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7" firstSheet="1" activeTab="1"/>
  </bookViews>
  <sheets>
    <sheet name="косвенные" sheetId="1" r:id="rId1"/>
    <sheet name="распределение ОХР" sheetId="2" r:id="rId2"/>
  </sheets>
  <definedNames>
    <definedName name="_xlnm._FilterDatabase" localSheetId="0" hidden="1">'косвенные'!$A$3:$O$68</definedName>
    <definedName name="_xlnm._FilterDatabase" localSheetId="1" hidden="1">'распределение ОХР'!$A$5:$O$63</definedName>
  </definedNames>
  <calcPr fullCalcOnLoad="1"/>
</workbook>
</file>

<file path=xl/sharedStrings.xml><?xml version="1.0" encoding="utf-8"?>
<sst xmlns="http://schemas.openxmlformats.org/spreadsheetml/2006/main" count="180" uniqueCount="98">
  <si>
    <t>№</t>
  </si>
  <si>
    <t>вид расхода</t>
  </si>
  <si>
    <t>ИТОГО</t>
  </si>
  <si>
    <t>заработная плата сотрудников</t>
  </si>
  <si>
    <t>Амортизация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</si>
  <si>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</si>
  <si>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</si>
  <si>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</si>
  <si>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</si>
  <si>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</si>
  <si>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</si>
  <si>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</si>
  <si>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</si>
  <si>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</si>
  <si>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</si>
  <si>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</si>
  <si>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</si>
  <si>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</si>
  <si>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Ответственный за составление регистра:                         __________________________</t>
  </si>
  <si>
    <t>/Красильникова В.В./</t>
  </si>
  <si>
    <t>№ п/п</t>
  </si>
  <si>
    <t>Абонирование ячейки</t>
  </si>
  <si>
    <t>Косвенные расходы всего</t>
  </si>
  <si>
    <t>Аренда помещения</t>
  </si>
  <si>
    <t>Канцелярские товары</t>
  </si>
  <si>
    <t>Командировочные расходы</t>
  </si>
  <si>
    <t>лизинговые платежи</t>
  </si>
  <si>
    <t>нотариальные услуги</t>
  </si>
  <si>
    <t>объявления в газете о наборе персонала</t>
  </si>
  <si>
    <t>ФСС НС</t>
  </si>
  <si>
    <t>Налог на имущество</t>
  </si>
  <si>
    <t>-</t>
  </si>
  <si>
    <t>Программа Консультант Плюс</t>
  </si>
  <si>
    <t>Страховка а/м КАСКО</t>
  </si>
  <si>
    <t>Страховка а/м ОСАГО</t>
  </si>
  <si>
    <t>Амортизация о.с.</t>
  </si>
  <si>
    <t>Аренда ортехники</t>
  </si>
  <si>
    <t>Бензин</t>
  </si>
  <si>
    <t>Книги для ПСО</t>
  </si>
  <si>
    <t>Консультант + (обновление)</t>
  </si>
  <si>
    <t>Курьерские услуги</t>
  </si>
  <si>
    <t>Лицензия</t>
  </si>
  <si>
    <t>Мебель для офиса</t>
  </si>
  <si>
    <t>Оргтехника</t>
  </si>
  <si>
    <t>Программа 1 С</t>
  </si>
  <si>
    <t>Услуги аутсорсинга</t>
  </si>
  <si>
    <t>Услуги сотовой связи</t>
  </si>
  <si>
    <t>Выписка из ЕГРЮЛ</t>
  </si>
  <si>
    <t>Информационные услуги (Лукойл-Интер-Кард)</t>
  </si>
  <si>
    <t>Комиссионное возн. за предост. данных в МИФНС № 15</t>
  </si>
  <si>
    <t>Обучение (повышение квалификации)</t>
  </si>
  <si>
    <t>Ремонт и обслуживание а/м</t>
  </si>
  <si>
    <t>Услуги межд. и междунар связь</t>
  </si>
  <si>
    <t>Инсталляционные работы (интернет+телефон, установка)</t>
  </si>
  <si>
    <t>Услуги справочных служб</t>
  </si>
  <si>
    <t>Общепроизводственные расходы</t>
  </si>
  <si>
    <t>Обновление 1С</t>
  </si>
  <si>
    <t>Аудиторские услуги</t>
  </si>
  <si>
    <t>Ревизия</t>
  </si>
  <si>
    <t>Расходные материалы для офиса</t>
  </si>
  <si>
    <t>Аренда а/м</t>
  </si>
  <si>
    <t>Услуги по приобретению билетов</t>
  </si>
  <si>
    <t>Итого</t>
  </si>
  <si>
    <t>Материал, оборудование,усл.стор.орг.</t>
  </si>
  <si>
    <t>Всего прямых расходов</t>
  </si>
  <si>
    <t>Всего по месяцам</t>
  </si>
  <si>
    <t>Пропуска</t>
  </si>
  <si>
    <t>Услуги интернет, абонентская плата за телефон</t>
  </si>
  <si>
    <t>Хозяйственные товары</t>
  </si>
  <si>
    <t>Прочие расходы для офиса</t>
  </si>
  <si>
    <t>Гар.обяз-ва  по Договору</t>
  </si>
  <si>
    <t>Страхование гражданской ответственности</t>
  </si>
  <si>
    <t>Транспортные услуги</t>
  </si>
  <si>
    <t>Себестоимость проданных материалов</t>
  </si>
  <si>
    <t>Регистр налогового учета косвенных расходов за 2010г.</t>
  </si>
  <si>
    <t>Услуги телефонной связи</t>
  </si>
  <si>
    <t>Страховые взносы</t>
  </si>
  <si>
    <t>Медецинское обследование</t>
  </si>
  <si>
    <t>Услуги почты и доставка корреспонденции</t>
  </si>
  <si>
    <t>26.02 НУ</t>
  </si>
  <si>
    <t>Программа фин.аналитик</t>
  </si>
  <si>
    <t>Конференц услуги</t>
  </si>
  <si>
    <t>Гранд-Смета, обновление</t>
  </si>
  <si>
    <t>26сч БУ</t>
  </si>
  <si>
    <t>амортизация по сч 26 БУ</t>
  </si>
  <si>
    <t>лицензия не для н.о. 26 БУ</t>
  </si>
  <si>
    <t>Проверка НУ</t>
  </si>
  <si>
    <t>лизинг на балансе лизингополучателя 76.5</t>
  </si>
  <si>
    <t>аренда помещения 25сч (в НУ на 90.8)</t>
  </si>
  <si>
    <t>командировки 20сч (в НУ на 90.8)</t>
  </si>
  <si>
    <t>Инструменты, поверка инструментов, спецодежда</t>
  </si>
  <si>
    <t>инструменты,спецодежда 25сч (в НУ на 90.8)</t>
  </si>
  <si>
    <t>Заработная плата, отпускные, комп.за неисп.отпуск</t>
  </si>
  <si>
    <t>Вступительные взносы, компенсационные, членские СРО</t>
  </si>
  <si>
    <t>Заправка катриджа, ТО принтера</t>
  </si>
  <si>
    <t>Страховка а/м Грин</t>
  </si>
  <si>
    <t>Проезд по платной автодороге</t>
  </si>
  <si>
    <t>Оформление документов для визы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</si>
</sst>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#,##0&quot;р.&quot;"/>
    <numFmt numFmtId="174" formatCode="0.0"/>
  </numFmts>
  <fonts count="36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sz val="8"/>
      <name val="Times New Roman Cyr"/>
      <family val="1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>
      <alignment horizontal="left"/>
      <protection/>
    </xf>
    <xf numFmtId="0" fontId="3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4" fontId="1" fillId="0" borderId="10" xfId="0" applyNumberFormat="1" applyFont="1" applyFill="1" applyBorder="1" applyAlignment="1">
      <alignment/>
    </xf>
    <xf numFmtId="0" fontId="2" fillId="15" borderId="13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10" fontId="3" fillId="15" borderId="14" xfId="0" applyNumberFormat="1" applyFont="1" applyFill="1" applyBorder="1" applyAlignment="1">
      <alignment horizontal="center"/>
    </xf>
    <xf numFmtId="0" fontId="2" fillId="15" borderId="15" xfId="0" applyFont="1" applyFill="1" applyBorder="1" applyAlignment="1">
      <alignment/>
    </xf>
    <xf numFmtId="0" fontId="2" fillId="15" borderId="13" xfId="0" applyFont="1" applyFill="1" applyBorder="1" applyAlignment="1">
      <alignment horizontal="center" wrapText="1"/>
    </xf>
    <xf numFmtId="0" fontId="2" fillId="15" borderId="16" xfId="0" applyFont="1" applyFill="1" applyBorder="1" applyAlignment="1">
      <alignment/>
    </xf>
    <xf numFmtId="0" fontId="2" fillId="15" borderId="14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4" fontId="2" fillId="4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6" fillId="11" borderId="11" xfId="0" applyFont="1" applyFill="1" applyBorder="1" applyAlignment="1">
      <alignment/>
    </xf>
    <xf numFmtId="0" fontId="6" fillId="11" borderId="12" xfId="0" applyFont="1" applyFill="1" applyBorder="1" applyAlignment="1">
      <alignment/>
    </xf>
    <xf numFmtId="4" fontId="6" fillId="11" borderId="12" xfId="0" applyNumberFormat="1" applyFont="1" applyFill="1" applyBorder="1" applyAlignment="1">
      <alignment/>
    </xf>
    <xf numFmtId="4" fontId="6" fillId="11" borderId="18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5" fillId="0" borderId="17" xfId="0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24" borderId="19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4" fontId="0" fillId="25" borderId="0" xfId="0" applyNumberFormat="1" applyFill="1" applyAlignment="1">
      <alignment/>
    </xf>
    <xf numFmtId="0" fontId="9" fillId="4" borderId="10" xfId="52" applyFont="1" applyFill="1" applyBorder="1" applyAlignment="1">
      <alignment vertical="top" wrapText="1"/>
      <protection/>
    </xf>
    <xf numFmtId="0" fontId="2" fillId="4" borderId="19" xfId="0" applyFont="1" applyFill="1" applyBorder="1" applyAlignment="1">
      <alignment/>
    </xf>
    <xf numFmtId="0" fontId="9" fillId="4" borderId="19" xfId="52" applyFont="1" applyFill="1" applyBorder="1" applyAlignment="1">
      <alignment vertical="top" wrapText="1"/>
      <protection/>
    </xf>
    <xf numFmtId="4" fontId="2" fillId="4" borderId="19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3" fontId="0" fillId="0" borderId="0" xfId="0" applyNumberFormat="1" applyFill="1" applyAlignment="1">
      <alignment/>
    </xf>
    <xf numFmtId="0" fontId="0" fillId="25" borderId="0" xfId="0" applyFill="1" applyAlignment="1">
      <alignment/>
    </xf>
    <xf numFmtId="4" fontId="0" fillId="0" borderId="0" xfId="0" applyNumberFormat="1" applyAlignment="1">
      <alignment horizontal="center"/>
    </xf>
    <xf numFmtId="4" fontId="6" fillId="26" borderId="12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4" borderId="19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27" borderId="20" xfId="0" applyFont="1" applyFill="1" applyBorder="1" applyAlignment="1">
      <alignment horizontal="center"/>
    </xf>
    <xf numFmtId="0" fontId="0" fillId="27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пределение ОХ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5"/>
  <sheetViews>
    <sheetView workbookViewId="0" topLeftCell="A1">
      <pane xSplit="2" ySplit="4" topLeftCell="C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O78" sqref="O78"/>
    </sheetView>
  </sheetViews>
  <sheetFormatPr defaultColWidth="9.140625" defaultRowHeight="12.75"/>
  <cols>
    <col min="1" max="1" width="2.8515625" style="0" bestFit="1" customWidth="1"/>
    <col min="2" max="2" width="49.7109375" style="0" bestFit="1" customWidth="1"/>
    <col min="3" max="3" width="12.8515625" style="0" customWidth="1"/>
    <col min="4" max="4" width="12.28125" style="0" customWidth="1"/>
    <col min="5" max="11" width="11.57421875" style="0" customWidth="1"/>
    <col min="12" max="13" width="11.57421875" style="0" hidden="1" customWidth="1"/>
    <col min="14" max="14" width="12.57421875" style="0" hidden="1" customWidth="1"/>
    <col min="15" max="15" width="14.00390625" style="0" customWidth="1"/>
    <col min="16" max="16" width="16.28125" style="0" customWidth="1"/>
    <col min="17" max="17" width="12.7109375" style="0" bestFit="1" customWidth="1"/>
  </cols>
  <sheetData>
    <row r="1" spans="1:15" ht="17.25" customHeight="1">
      <c r="A1" s="1"/>
      <c r="B1" s="71" t="s">
        <v>74</v>
      </c>
      <c r="C1" s="72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5" customHeight="1" thickBot="1">
      <c r="A2" s="1"/>
      <c r="B2" s="13"/>
      <c r="C2" s="12"/>
      <c r="D2" s="12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20" t="s">
        <v>0</v>
      </c>
      <c r="B3" s="21" t="s">
        <v>1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7" t="s">
        <v>2</v>
      </c>
    </row>
    <row r="4" spans="1:15" ht="14.25" thickBot="1">
      <c r="A4" s="22"/>
      <c r="B4" s="23"/>
      <c r="C4" s="18">
        <v>2010</v>
      </c>
      <c r="D4" s="18">
        <v>2010</v>
      </c>
      <c r="E4" s="18">
        <v>2010</v>
      </c>
      <c r="F4" s="18">
        <v>2010</v>
      </c>
      <c r="G4" s="18">
        <v>2010</v>
      </c>
      <c r="H4" s="18">
        <v>2010</v>
      </c>
      <c r="I4" s="18">
        <v>2010</v>
      </c>
      <c r="J4" s="18">
        <v>2010</v>
      </c>
      <c r="K4" s="18">
        <v>2010</v>
      </c>
      <c r="L4" s="18">
        <v>2010</v>
      </c>
      <c r="M4" s="18">
        <v>2010</v>
      </c>
      <c r="N4" s="18">
        <v>2010</v>
      </c>
      <c r="O4" s="19"/>
    </row>
    <row r="5" spans="1:15" s="5" customFormat="1" ht="12.75">
      <c r="A5" s="41"/>
      <c r="B5" s="42" t="s">
        <v>22</v>
      </c>
      <c r="C5" s="47"/>
      <c r="D5" s="48"/>
      <c r="E5" s="47"/>
      <c r="F5" s="47"/>
      <c r="G5" s="47"/>
      <c r="H5" s="47"/>
      <c r="I5" s="47"/>
      <c r="J5" s="47"/>
      <c r="K5" s="47"/>
      <c r="L5" s="47"/>
      <c r="M5" s="47"/>
      <c r="N5" s="47"/>
      <c r="O5" s="47">
        <f>SUM(C5:N5)</f>
        <v>0</v>
      </c>
    </row>
    <row r="6" spans="1:15" s="5" customFormat="1" ht="12.75">
      <c r="A6" s="30"/>
      <c r="B6" s="6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f>SUM(C6:N6)</f>
        <v>0</v>
      </c>
    </row>
    <row r="7" spans="1:15" s="5" customFormat="1" ht="12.75">
      <c r="A7" s="30">
        <v>1</v>
      </c>
      <c r="B7" s="6" t="s">
        <v>21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>
        <f>SUM(C7:N7)</f>
        <v>0</v>
      </c>
    </row>
    <row r="8" spans="1:15" s="5" customFormat="1" ht="12.75">
      <c r="A8" s="30">
        <v>2</v>
      </c>
      <c r="B8" s="6" t="s">
        <v>35</v>
      </c>
      <c r="C8" s="3">
        <v>12285.04</v>
      </c>
      <c r="D8" s="3">
        <v>12285.04</v>
      </c>
      <c r="E8" s="3">
        <v>12285.04</v>
      </c>
      <c r="F8" s="3">
        <f>14502.87-2217.83</f>
        <v>12285.04</v>
      </c>
      <c r="G8" s="3">
        <f>14502.87-2217.83</f>
        <v>12285.04</v>
      </c>
      <c r="H8" s="3">
        <f>15950.33-2217.83</f>
        <v>13732.5</v>
      </c>
      <c r="I8" s="3">
        <v>14659.08</v>
      </c>
      <c r="J8" s="3">
        <v>14659.08</v>
      </c>
      <c r="K8" s="3">
        <v>14659.08</v>
      </c>
      <c r="L8" s="3"/>
      <c r="M8" s="3"/>
      <c r="N8" s="3"/>
      <c r="O8" s="3">
        <f>SUM(C8:N8)</f>
        <v>119134.94000000002</v>
      </c>
    </row>
    <row r="9" spans="1:15" s="5" customFormat="1" ht="12.75">
      <c r="A9" s="30">
        <v>3</v>
      </c>
      <c r="B9" s="6" t="s">
        <v>36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f aca="true" t="shared" si="0" ref="O9:O66">SUM(C9:N9)</f>
        <v>0</v>
      </c>
    </row>
    <row r="10" spans="1:15" s="5" customFormat="1" ht="12.75">
      <c r="A10" s="30">
        <v>4</v>
      </c>
      <c r="B10" s="6" t="s">
        <v>23</v>
      </c>
      <c r="C10" s="3">
        <f>175577+15000</f>
        <v>190577</v>
      </c>
      <c r="D10" s="3">
        <f>175577+15000</f>
        <v>190577</v>
      </c>
      <c r="E10" s="3">
        <f>175577+15000</f>
        <v>190577</v>
      </c>
      <c r="F10" s="3">
        <v>190577</v>
      </c>
      <c r="G10" s="3">
        <v>190577</v>
      </c>
      <c r="H10" s="3">
        <v>190577</v>
      </c>
      <c r="I10" s="3">
        <v>190577</v>
      </c>
      <c r="J10" s="3">
        <v>190577</v>
      </c>
      <c r="K10" s="3">
        <v>190577</v>
      </c>
      <c r="L10" s="3"/>
      <c r="M10" s="3"/>
      <c r="N10" s="3"/>
      <c r="O10" s="3">
        <f>SUM(C10:N10)</f>
        <v>1715193</v>
      </c>
    </row>
    <row r="11" spans="1:15" s="5" customFormat="1" ht="12.75">
      <c r="A11" s="30">
        <v>5</v>
      </c>
      <c r="B11" s="6" t="s">
        <v>57</v>
      </c>
      <c r="C11" s="3"/>
      <c r="D11" s="3">
        <v>60000</v>
      </c>
      <c r="E11" s="3">
        <v>48000</v>
      </c>
      <c r="F11" s="3"/>
      <c r="G11" s="3"/>
      <c r="H11" s="3"/>
      <c r="I11" s="3"/>
      <c r="J11" s="3"/>
      <c r="K11" s="3"/>
      <c r="L11" s="3"/>
      <c r="M11" s="3"/>
      <c r="N11" s="3"/>
      <c r="O11" s="3">
        <f t="shared" si="0"/>
        <v>108000</v>
      </c>
    </row>
    <row r="12" spans="1:15" s="5" customFormat="1" ht="12.75">
      <c r="A12" s="30">
        <v>6</v>
      </c>
      <c r="B12" s="6" t="s">
        <v>37</v>
      </c>
      <c r="C12" s="3">
        <v>43931.05</v>
      </c>
      <c r="D12" s="3">
        <v>67975.52</v>
      </c>
      <c r="E12" s="3">
        <v>55308.03</v>
      </c>
      <c r="F12" s="3">
        <v>35417.95</v>
      </c>
      <c r="G12" s="3">
        <v>23307.72</v>
      </c>
      <c r="H12" s="3">
        <v>39273.31</v>
      </c>
      <c r="I12" s="3">
        <v>67398.88</v>
      </c>
      <c r="J12" s="3">
        <v>55754.21</v>
      </c>
      <c r="K12" s="3">
        <v>63531</v>
      </c>
      <c r="L12" s="3"/>
      <c r="M12" s="3"/>
      <c r="N12" s="3"/>
      <c r="O12" s="3">
        <f t="shared" si="0"/>
        <v>451897.67</v>
      </c>
    </row>
    <row r="13" spans="1:15" s="5" customFormat="1" ht="12.75">
      <c r="A13" s="30">
        <v>7</v>
      </c>
      <c r="B13" s="6" t="s">
        <v>66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0</v>
      </c>
    </row>
    <row r="14" spans="1:15" s="5" customFormat="1" ht="12.75">
      <c r="A14" s="30">
        <v>8</v>
      </c>
      <c r="B14" s="6" t="s">
        <v>47</v>
      </c>
      <c r="C14" s="3"/>
      <c r="D14" s="3"/>
      <c r="E14" s="3"/>
      <c r="F14" s="3"/>
      <c r="G14" s="3">
        <v>400</v>
      </c>
      <c r="H14" s="3"/>
      <c r="I14" s="3"/>
      <c r="J14" s="3"/>
      <c r="K14" s="3"/>
      <c r="L14" s="3"/>
      <c r="M14" s="3"/>
      <c r="N14" s="3"/>
      <c r="O14" s="3">
        <f t="shared" si="0"/>
        <v>400</v>
      </c>
    </row>
    <row r="15" spans="1:15" s="5" customFormat="1" ht="12.75">
      <c r="A15" s="30">
        <v>9</v>
      </c>
      <c r="B15" s="6" t="s">
        <v>82</v>
      </c>
      <c r="C15" s="3"/>
      <c r="D15" s="3"/>
      <c r="E15" s="3">
        <v>1260.27</v>
      </c>
      <c r="F15" s="3">
        <f>1890.41+2016.95</f>
        <v>3907.36</v>
      </c>
      <c r="G15" s="3">
        <f>1953.43+2016.95</f>
        <v>3970.38</v>
      </c>
      <c r="H15" s="3">
        <f>1890.41+2016.95</f>
        <v>3907.36</v>
      </c>
      <c r="I15" s="3">
        <v>1953.42</v>
      </c>
      <c r="J15" s="3">
        <v>1953.43</v>
      </c>
      <c r="K15" s="3">
        <v>1890.41</v>
      </c>
      <c r="L15" s="3"/>
      <c r="M15" s="3"/>
      <c r="N15" s="3"/>
      <c r="O15" s="3">
        <f t="shared" si="0"/>
        <v>18842.63</v>
      </c>
    </row>
    <row r="16" spans="1:15" s="5" customFormat="1" ht="12.75">
      <c r="A16" s="30">
        <v>10</v>
      </c>
      <c r="B16" s="6" t="s">
        <v>76</v>
      </c>
      <c r="C16" s="3">
        <f>C18*26%</f>
        <v>208780</v>
      </c>
      <c r="D16" s="3">
        <f>D18*26%</f>
        <v>226980</v>
      </c>
      <c r="E16" s="3">
        <v>210600</v>
      </c>
      <c r="F16" s="3">
        <v>151407.43</v>
      </c>
      <c r="G16" s="3">
        <v>82142.05</v>
      </c>
      <c r="H16" s="3">
        <v>62112.27</v>
      </c>
      <c r="I16" s="3">
        <v>39229.61</v>
      </c>
      <c r="J16" s="3">
        <v>15718.18</v>
      </c>
      <c r="K16" s="3">
        <v>26917.59</v>
      </c>
      <c r="L16" s="3"/>
      <c r="M16" s="3"/>
      <c r="N16" s="3"/>
      <c r="O16" s="3">
        <f t="shared" si="0"/>
        <v>1023887.13</v>
      </c>
    </row>
    <row r="17" spans="1:15" s="5" customFormat="1" ht="12.75">
      <c r="A17" s="30">
        <v>11</v>
      </c>
      <c r="B17" s="6" t="s">
        <v>94</v>
      </c>
      <c r="C17" s="3">
        <v>1101.7</v>
      </c>
      <c r="D17" s="3"/>
      <c r="E17" s="3">
        <f>847.46+2627.12</f>
        <v>3474.58</v>
      </c>
      <c r="F17" s="3">
        <v>4830.52</v>
      </c>
      <c r="G17" s="3"/>
      <c r="H17" s="3">
        <v>11440.69</v>
      </c>
      <c r="I17" s="3">
        <f>250+1949.15</f>
        <v>2199.15</v>
      </c>
      <c r="J17" s="3">
        <v>10254.25</v>
      </c>
      <c r="K17" s="3">
        <v>1898.31</v>
      </c>
      <c r="L17" s="3"/>
      <c r="M17" s="3"/>
      <c r="N17" s="3"/>
      <c r="O17" s="3">
        <f t="shared" si="0"/>
        <v>35199.2</v>
      </c>
    </row>
    <row r="18" spans="1:15" s="5" customFormat="1" ht="12.75">
      <c r="A18" s="30">
        <v>12</v>
      </c>
      <c r="B18" s="6" t="s">
        <v>92</v>
      </c>
      <c r="C18" s="3">
        <v>803000</v>
      </c>
      <c r="D18" s="3">
        <v>873000</v>
      </c>
      <c r="E18" s="3">
        <v>880000</v>
      </c>
      <c r="F18" s="3">
        <v>882336.29</v>
      </c>
      <c r="G18" s="3">
        <v>876930.92</v>
      </c>
      <c r="H18" s="3">
        <v>904571.93</v>
      </c>
      <c r="I18" s="3">
        <f>857363.64+58032.5</f>
        <v>915396.14</v>
      </c>
      <c r="J18" s="3">
        <f>618636.35+303327.63</f>
        <v>921963.98</v>
      </c>
      <c r="K18" s="3">
        <f>772727.24+143076.83</f>
        <v>915804.07</v>
      </c>
      <c r="L18" s="3"/>
      <c r="M18" s="3"/>
      <c r="N18" s="3"/>
      <c r="O18" s="3">
        <f t="shared" si="0"/>
        <v>7973003.33</v>
      </c>
    </row>
    <row r="19" spans="1:15" s="5" customFormat="1" ht="25.5">
      <c r="A19" s="30">
        <v>13</v>
      </c>
      <c r="B19" s="6" t="s">
        <v>53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f t="shared" si="0"/>
        <v>0</v>
      </c>
    </row>
    <row r="20" spans="1:15" s="5" customFormat="1" ht="12.75">
      <c r="A20" s="30">
        <v>14</v>
      </c>
      <c r="B20" s="6" t="s">
        <v>48</v>
      </c>
      <c r="C20" s="3">
        <v>1108.16</v>
      </c>
      <c r="D20" s="3">
        <v>2247.64</v>
      </c>
      <c r="E20" s="3">
        <v>1147.79</v>
      </c>
      <c r="F20" s="3">
        <v>866.4</v>
      </c>
      <c r="G20" s="3">
        <v>842.58</v>
      </c>
      <c r="H20" s="3">
        <v>1009.41</v>
      </c>
      <c r="I20" s="3">
        <v>2321.59</v>
      </c>
      <c r="J20" s="3">
        <v>1554.85</v>
      </c>
      <c r="K20" s="3">
        <v>1752.24</v>
      </c>
      <c r="L20" s="3"/>
      <c r="M20" s="3"/>
      <c r="N20" s="3"/>
      <c r="O20" s="3">
        <f t="shared" si="0"/>
        <v>12850.66</v>
      </c>
    </row>
    <row r="21" spans="1:15" s="5" customFormat="1" ht="12.75">
      <c r="A21" s="30">
        <v>15</v>
      </c>
      <c r="B21" s="6" t="s">
        <v>24</v>
      </c>
      <c r="C21" s="3">
        <v>6739.72</v>
      </c>
      <c r="D21" s="3">
        <v>10208.14</v>
      </c>
      <c r="E21" s="3">
        <v>29296.19</v>
      </c>
      <c r="F21" s="3">
        <v>2290.88</v>
      </c>
      <c r="G21" s="3">
        <v>8796.78</v>
      </c>
      <c r="H21" s="3">
        <v>7856.17</v>
      </c>
      <c r="I21" s="3">
        <v>20428.33</v>
      </c>
      <c r="J21" s="3">
        <v>8667.13</v>
      </c>
      <c r="K21" s="3">
        <v>9728.1</v>
      </c>
      <c r="L21" s="3"/>
      <c r="M21" s="3"/>
      <c r="N21" s="3"/>
      <c r="O21" s="3">
        <f t="shared" si="0"/>
        <v>104011.44</v>
      </c>
    </row>
    <row r="22" spans="1:15" s="5" customFormat="1" ht="12.75">
      <c r="A22" s="30">
        <v>16</v>
      </c>
      <c r="B22" s="6" t="s">
        <v>38</v>
      </c>
      <c r="C22" s="3"/>
      <c r="D22" s="3"/>
      <c r="E22" s="3"/>
      <c r="F22" s="3"/>
      <c r="G22" s="3">
        <v>2654.54</v>
      </c>
      <c r="H22" s="3">
        <v>454.55</v>
      </c>
      <c r="I22" s="3"/>
      <c r="J22" s="3"/>
      <c r="K22" s="3"/>
      <c r="L22" s="3"/>
      <c r="M22" s="3"/>
      <c r="N22" s="3"/>
      <c r="O22" s="3">
        <f t="shared" si="0"/>
        <v>3109.09</v>
      </c>
    </row>
    <row r="23" spans="1:15" s="5" customFormat="1" ht="12.75">
      <c r="A23" s="30">
        <v>17</v>
      </c>
      <c r="B23" s="6" t="s">
        <v>25</v>
      </c>
      <c r="C23" s="3">
        <f>27454.74+23350</f>
        <v>50804.740000000005</v>
      </c>
      <c r="D23" s="3">
        <f>32810.45+300+1550+116130.61</f>
        <v>150791.06</v>
      </c>
      <c r="E23" s="3">
        <f>29121.58+165530.88</f>
        <v>194652.46000000002</v>
      </c>
      <c r="F23" s="3">
        <f>92226.02+135690</f>
        <v>227916.02000000002</v>
      </c>
      <c r="G23" s="3">
        <f>4400+24340</f>
        <v>28740</v>
      </c>
      <c r="H23" s="3">
        <f>29323.12+63640</f>
        <v>92963.12</v>
      </c>
      <c r="I23" s="3">
        <f>47570.2+236254</f>
        <v>283824.2</v>
      </c>
      <c r="J23" s="3">
        <f>49302.41+261889.49</f>
        <v>311191.9</v>
      </c>
      <c r="K23" s="3">
        <f>90712.37+270965.08</f>
        <v>361677.45</v>
      </c>
      <c r="L23" s="3"/>
      <c r="M23" s="3"/>
      <c r="N23" s="3"/>
      <c r="O23" s="3">
        <f t="shared" si="0"/>
        <v>1702560.95</v>
      </c>
    </row>
    <row r="24" spans="1:15" s="5" customFormat="1" ht="12.75">
      <c r="A24" s="30">
        <v>18</v>
      </c>
      <c r="B24" s="6" t="s">
        <v>49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0"/>
        <v>0</v>
      </c>
    </row>
    <row r="25" spans="1:15" s="5" customFormat="1" ht="12.75">
      <c r="A25" s="30">
        <v>19</v>
      </c>
      <c r="B25" s="6" t="s">
        <v>39</v>
      </c>
      <c r="C25" s="3">
        <v>9158.4</v>
      </c>
      <c r="D25" s="3">
        <v>9158.4</v>
      </c>
      <c r="E25" s="3">
        <v>9158.4</v>
      </c>
      <c r="F25" s="3">
        <v>9158.4</v>
      </c>
      <c r="G25" s="3">
        <v>9158.4</v>
      </c>
      <c r="H25" s="3">
        <v>9158.4</v>
      </c>
      <c r="I25" s="3">
        <v>8166</v>
      </c>
      <c r="J25" s="3">
        <v>8166</v>
      </c>
      <c r="K25" s="3">
        <v>8166</v>
      </c>
      <c r="L25" s="3"/>
      <c r="M25" s="3"/>
      <c r="N25" s="3"/>
      <c r="O25" s="3">
        <f t="shared" si="0"/>
        <v>79448.4</v>
      </c>
    </row>
    <row r="26" spans="1:15" s="5" customFormat="1" ht="12.75">
      <c r="A26" s="30">
        <v>20</v>
      </c>
      <c r="B26" s="6" t="s">
        <v>77</v>
      </c>
      <c r="C26" s="3"/>
      <c r="D26" s="3">
        <v>711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 t="shared" si="0"/>
        <v>711</v>
      </c>
    </row>
    <row r="27" spans="1:15" s="5" customFormat="1" ht="12.75">
      <c r="A27" s="30">
        <v>21</v>
      </c>
      <c r="B27" s="6" t="s">
        <v>40</v>
      </c>
      <c r="C27" s="3">
        <v>3032.12</v>
      </c>
      <c r="D27" s="3">
        <v>1886.02</v>
      </c>
      <c r="E27" s="3"/>
      <c r="F27" s="3">
        <v>1319.66</v>
      </c>
      <c r="G27" s="3">
        <v>2446.77</v>
      </c>
      <c r="H27" s="3">
        <v>1896.86</v>
      </c>
      <c r="I27" s="3">
        <v>3231.19</v>
      </c>
      <c r="J27" s="3">
        <v>4522.03</v>
      </c>
      <c r="K27" s="3"/>
      <c r="L27" s="3"/>
      <c r="M27" s="3"/>
      <c r="N27" s="3"/>
      <c r="O27" s="3">
        <f t="shared" si="0"/>
        <v>18334.65</v>
      </c>
    </row>
    <row r="28" spans="1:15" s="5" customFormat="1" ht="12.75">
      <c r="A28" s="30">
        <v>22</v>
      </c>
      <c r="B28" s="6" t="s">
        <v>26</v>
      </c>
      <c r="C28" s="3">
        <f>146067.37+3338.9+3532.44*2</f>
        <v>156471.15</v>
      </c>
      <c r="D28" s="3">
        <f>146067.37+3527.44*2+3334.18</f>
        <v>156456.43</v>
      </c>
      <c r="E28" s="3">
        <f>113767.28+3481.09*2+3290.36</f>
        <v>124019.81999999999</v>
      </c>
      <c r="F28" s="3">
        <f>92378.1+10120.19</f>
        <v>102498.29000000001</v>
      </c>
      <c r="G28" s="3">
        <f>92378.1+10865.17</f>
        <v>103243.27</v>
      </c>
      <c r="H28" s="3">
        <f>92378.1+10743.07</f>
        <v>103121.17000000001</v>
      </c>
      <c r="I28" s="3">
        <f>92378.1+5215.52*2+4909.02</f>
        <v>107718.16000000002</v>
      </c>
      <c r="J28" s="3">
        <v>50772.45</v>
      </c>
      <c r="K28" s="3">
        <v>50772.45</v>
      </c>
      <c r="L28" s="3"/>
      <c r="M28" s="3"/>
      <c r="N28" s="3"/>
      <c r="O28" s="3">
        <f t="shared" si="0"/>
        <v>955073.19</v>
      </c>
    </row>
    <row r="29" spans="1:15" s="5" customFormat="1" ht="12.75">
      <c r="A29" s="30">
        <v>23</v>
      </c>
      <c r="B29" s="6" t="s">
        <v>41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f t="shared" si="0"/>
        <v>0</v>
      </c>
    </row>
    <row r="30" spans="1:15" s="5" customFormat="1" ht="12.75">
      <c r="A30" s="30">
        <v>24</v>
      </c>
      <c r="B30" s="6" t="s">
        <v>42</v>
      </c>
      <c r="C30" s="3"/>
      <c r="D30" s="3"/>
      <c r="E30" s="3">
        <f>14575.44+994.06</f>
        <v>15569.5</v>
      </c>
      <c r="F30" s="3">
        <v>3194.92</v>
      </c>
      <c r="G30" s="3"/>
      <c r="H30" s="3"/>
      <c r="I30" s="3"/>
      <c r="J30" s="3"/>
      <c r="K30" s="3"/>
      <c r="L30" s="3"/>
      <c r="M30" s="3"/>
      <c r="N30" s="3"/>
      <c r="O30" s="3">
        <f t="shared" si="0"/>
        <v>18764.42</v>
      </c>
    </row>
    <row r="31" spans="1:15" s="5" customFormat="1" ht="12.75">
      <c r="A31" s="30">
        <v>25</v>
      </c>
      <c r="B31" s="6" t="s">
        <v>50</v>
      </c>
      <c r="C31" s="3"/>
      <c r="D31" s="3">
        <v>22816.83</v>
      </c>
      <c r="E31" s="3"/>
      <c r="F31" s="3">
        <v>42400</v>
      </c>
      <c r="G31" s="3">
        <v>27000</v>
      </c>
      <c r="H31" s="3"/>
      <c r="I31" s="3">
        <v>75000</v>
      </c>
      <c r="J31" s="3"/>
      <c r="K31" s="3"/>
      <c r="L31" s="3"/>
      <c r="M31" s="3"/>
      <c r="N31" s="3"/>
      <c r="O31" s="3">
        <f t="shared" si="0"/>
        <v>167216.83000000002</v>
      </c>
    </row>
    <row r="32" spans="1:15" s="5" customFormat="1" ht="12.75">
      <c r="A32" s="30">
        <v>26</v>
      </c>
      <c r="B32" s="8" t="s">
        <v>27</v>
      </c>
      <c r="C32" s="3">
        <v>400</v>
      </c>
      <c r="D32" s="3">
        <v>120</v>
      </c>
      <c r="E32" s="3"/>
      <c r="F32" s="3">
        <v>440</v>
      </c>
      <c r="G32" s="3"/>
      <c r="H32" s="3">
        <v>14900</v>
      </c>
      <c r="I32" s="3"/>
      <c r="J32" s="3">
        <v>180</v>
      </c>
      <c r="K32" s="3"/>
      <c r="L32" s="3"/>
      <c r="M32" s="3"/>
      <c r="N32" s="3"/>
      <c r="O32" s="3">
        <f t="shared" si="0"/>
        <v>16040</v>
      </c>
    </row>
    <row r="33" spans="1:15" s="5" customFormat="1" ht="12.75">
      <c r="A33" s="30">
        <v>27</v>
      </c>
      <c r="B33" s="8" t="s">
        <v>28</v>
      </c>
      <c r="C33" s="3">
        <v>644.07</v>
      </c>
      <c r="D33" s="3">
        <v>5847.8</v>
      </c>
      <c r="E33" s="3">
        <v>1195.85</v>
      </c>
      <c r="F33" s="3">
        <v>5908.05</v>
      </c>
      <c r="G33" s="3"/>
      <c r="H33" s="3"/>
      <c r="I33" s="3"/>
      <c r="J33" s="3"/>
      <c r="K33" s="3"/>
      <c r="L33" s="3"/>
      <c r="M33" s="3"/>
      <c r="N33" s="3"/>
      <c r="O33" s="3">
        <f t="shared" si="0"/>
        <v>13595.77</v>
      </c>
    </row>
    <row r="34" spans="1:15" s="5" customFormat="1" ht="12.75">
      <c r="A34" s="30">
        <v>28</v>
      </c>
      <c r="B34" s="8" t="s">
        <v>56</v>
      </c>
      <c r="C34" s="3">
        <v>2016.95</v>
      </c>
      <c r="D34" s="3">
        <v>2016.95</v>
      </c>
      <c r="E34" s="3">
        <v>17292.37</v>
      </c>
      <c r="F34" s="3"/>
      <c r="G34" s="3"/>
      <c r="H34" s="3"/>
      <c r="I34" s="3">
        <v>2016.95</v>
      </c>
      <c r="J34" s="3">
        <v>2016.95</v>
      </c>
      <c r="K34" s="3">
        <v>2016.95</v>
      </c>
      <c r="L34" s="3"/>
      <c r="M34" s="3"/>
      <c r="N34" s="3"/>
      <c r="O34" s="3">
        <f t="shared" si="0"/>
        <v>27377.120000000003</v>
      </c>
    </row>
    <row r="35" spans="1:15" s="5" customFormat="1" ht="12.75">
      <c r="A35" s="30">
        <v>29</v>
      </c>
      <c r="B35" s="8" t="s">
        <v>43</v>
      </c>
      <c r="C35" s="3"/>
      <c r="D35" s="3">
        <v>40983.06</v>
      </c>
      <c r="E35" s="3">
        <f>17263.57+16518.15</f>
        <v>33781.72</v>
      </c>
      <c r="F35" s="3"/>
      <c r="G35" s="3"/>
      <c r="H35" s="3"/>
      <c r="I35" s="3"/>
      <c r="J35" s="3"/>
      <c r="K35" s="3"/>
      <c r="L35" s="3"/>
      <c r="M35" s="3"/>
      <c r="N35" s="3"/>
      <c r="O35" s="3">
        <f t="shared" si="0"/>
        <v>74764.78</v>
      </c>
    </row>
    <row r="36" spans="1:15" s="5" customFormat="1" ht="12.75">
      <c r="A36" s="30">
        <v>30</v>
      </c>
      <c r="B36" s="8" t="s">
        <v>44</v>
      </c>
      <c r="C36" s="3"/>
      <c r="D36" s="3"/>
      <c r="E36" s="3">
        <v>85.48</v>
      </c>
      <c r="F36" s="3">
        <v>427.4</v>
      </c>
      <c r="G36" s="3">
        <v>441.64</v>
      </c>
      <c r="H36" s="3">
        <v>427.4</v>
      </c>
      <c r="I36" s="3">
        <v>441.64</v>
      </c>
      <c r="J36" s="3">
        <v>441.64</v>
      </c>
      <c r="K36" s="3">
        <v>427.4</v>
      </c>
      <c r="L36" s="3"/>
      <c r="M36" s="3"/>
      <c r="N36" s="3"/>
      <c r="O36" s="3">
        <f t="shared" si="0"/>
        <v>2692.6</v>
      </c>
    </row>
    <row r="37" spans="1:15" s="5" customFormat="1" ht="12.75">
      <c r="A37" s="30">
        <v>31</v>
      </c>
      <c r="B37" s="8" t="s">
        <v>97</v>
      </c>
      <c r="C37" s="3"/>
      <c r="D37" s="3"/>
      <c r="E37" s="3"/>
      <c r="F37" s="3"/>
      <c r="G37" s="3"/>
      <c r="H37" s="3"/>
      <c r="I37" s="3"/>
      <c r="J37" s="3">
        <v>233.89</v>
      </c>
      <c r="K37" s="3">
        <v>350.84</v>
      </c>
      <c r="L37" s="3"/>
      <c r="M37" s="3"/>
      <c r="N37" s="3"/>
      <c r="O37" s="3">
        <f t="shared" si="0"/>
        <v>584.73</v>
      </c>
    </row>
    <row r="38" spans="1:15" s="5" customFormat="1" ht="12.75">
      <c r="A38" s="30">
        <v>32</v>
      </c>
      <c r="B38" s="6" t="s">
        <v>60</v>
      </c>
      <c r="C38" s="3">
        <v>34000</v>
      </c>
      <c r="D38" s="3">
        <v>34000</v>
      </c>
      <c r="E38" s="3">
        <v>34000</v>
      </c>
      <c r="F38" s="3">
        <v>34000</v>
      </c>
      <c r="G38" s="3">
        <v>34000</v>
      </c>
      <c r="H38" s="3">
        <v>34000</v>
      </c>
      <c r="I38" s="3">
        <v>34000</v>
      </c>
      <c r="J38" s="3">
        <v>34000</v>
      </c>
      <c r="K38" s="3">
        <v>34000</v>
      </c>
      <c r="L38" s="3"/>
      <c r="M38" s="3"/>
      <c r="N38" s="3"/>
      <c r="O38" s="3">
        <f t="shared" si="0"/>
        <v>306000</v>
      </c>
    </row>
    <row r="39" spans="1:15" s="5" customFormat="1" ht="12.75">
      <c r="A39" s="30">
        <v>33</v>
      </c>
      <c r="B39" s="6" t="s">
        <v>32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f t="shared" si="0"/>
        <v>0</v>
      </c>
    </row>
    <row r="40" spans="1:15" s="5" customFormat="1" ht="13.5" customHeight="1">
      <c r="A40" s="30">
        <v>34</v>
      </c>
      <c r="B40" s="6" t="s">
        <v>81</v>
      </c>
      <c r="C40" s="3"/>
      <c r="D40" s="3"/>
      <c r="E40" s="3"/>
      <c r="F40" s="3">
        <v>2966.1</v>
      </c>
      <c r="G40" s="3"/>
      <c r="H40" s="3"/>
      <c r="I40" s="3"/>
      <c r="J40" s="3"/>
      <c r="K40" s="3"/>
      <c r="L40" s="3"/>
      <c r="M40" s="3"/>
      <c r="N40" s="3"/>
      <c r="O40" s="3">
        <f t="shared" si="0"/>
        <v>2966.1</v>
      </c>
    </row>
    <row r="41" spans="1:15" s="5" customFormat="1" ht="13.5" customHeight="1">
      <c r="A41" s="30">
        <v>35</v>
      </c>
      <c r="B41" s="6" t="s">
        <v>59</v>
      </c>
      <c r="C41" s="3"/>
      <c r="D41" s="3"/>
      <c r="E41" s="3"/>
      <c r="F41" s="3">
        <v>1590</v>
      </c>
      <c r="G41" s="3">
        <v>2387.28</v>
      </c>
      <c r="H41" s="3">
        <v>5303.38</v>
      </c>
      <c r="I41" s="3"/>
      <c r="J41" s="3"/>
      <c r="K41" s="3"/>
      <c r="L41" s="3"/>
      <c r="M41" s="3"/>
      <c r="N41" s="3"/>
      <c r="O41" s="3">
        <f t="shared" si="0"/>
        <v>9280.66</v>
      </c>
    </row>
    <row r="42" spans="1:15" s="5" customFormat="1" ht="13.5" customHeight="1">
      <c r="A42" s="30">
        <v>36</v>
      </c>
      <c r="B42" s="6" t="s">
        <v>51</v>
      </c>
      <c r="C42" s="3">
        <v>60046.35</v>
      </c>
      <c r="D42" s="3">
        <v>30858.78</v>
      </c>
      <c r="E42" s="3">
        <v>22552.2</v>
      </c>
      <c r="F42" s="3">
        <v>32308.72</v>
      </c>
      <c r="G42" s="3">
        <v>34834.21</v>
      </c>
      <c r="H42" s="3">
        <v>50349.86</v>
      </c>
      <c r="I42" s="3">
        <v>12275.41</v>
      </c>
      <c r="J42" s="3">
        <v>26232.15</v>
      </c>
      <c r="K42" s="3">
        <v>61596.28</v>
      </c>
      <c r="L42" s="3"/>
      <c r="M42" s="3"/>
      <c r="N42" s="3"/>
      <c r="O42" s="3">
        <f t="shared" si="0"/>
        <v>331053.95999999996</v>
      </c>
    </row>
    <row r="43" spans="1:15" s="5" customFormat="1" ht="13.5" customHeight="1">
      <c r="A43" s="30">
        <v>37</v>
      </c>
      <c r="B43" s="6" t="s">
        <v>58</v>
      </c>
      <c r="C43" s="3"/>
      <c r="D43" s="3"/>
      <c r="E43" s="3">
        <v>132400</v>
      </c>
      <c r="F43" s="3"/>
      <c r="G43" s="3"/>
      <c r="H43" s="3"/>
      <c r="I43" s="3"/>
      <c r="J43" s="3"/>
      <c r="K43" s="3">
        <v>132400</v>
      </c>
      <c r="L43" s="3"/>
      <c r="M43" s="3"/>
      <c r="N43" s="3"/>
      <c r="O43" s="3">
        <f t="shared" si="0"/>
        <v>264800</v>
      </c>
    </row>
    <row r="44" spans="1:15" s="5" customFormat="1" ht="13.5" customHeight="1">
      <c r="A44" s="30">
        <v>38</v>
      </c>
      <c r="B44" s="6" t="s">
        <v>80</v>
      </c>
      <c r="C44" s="3"/>
      <c r="D44" s="3"/>
      <c r="E44" s="3"/>
      <c r="F44" s="3">
        <v>368.63</v>
      </c>
      <c r="G44" s="3">
        <v>496.85</v>
      </c>
      <c r="H44" s="3">
        <v>480.82</v>
      </c>
      <c r="I44" s="3">
        <v>496.85</v>
      </c>
      <c r="J44" s="3">
        <v>496.85</v>
      </c>
      <c r="K44" s="3">
        <v>480.82</v>
      </c>
      <c r="L44" s="3"/>
      <c r="M44" s="3"/>
      <c r="N44" s="3"/>
      <c r="O44" s="3">
        <f aca="true" t="shared" si="1" ref="O44:O54">SUM(C44:N44)</f>
        <v>2820.82</v>
      </c>
    </row>
    <row r="45" spans="1:15" s="5" customFormat="1" ht="12.75">
      <c r="A45" s="30">
        <v>39</v>
      </c>
      <c r="B45" s="6" t="s">
        <v>61</v>
      </c>
      <c r="C45" s="3">
        <v>510.17</v>
      </c>
      <c r="D45" s="3">
        <v>2343.25</v>
      </c>
      <c r="E45" s="3">
        <v>1110.14</v>
      </c>
      <c r="F45" s="3">
        <v>932.21</v>
      </c>
      <c r="G45" s="3">
        <v>576.28</v>
      </c>
      <c r="H45" s="3"/>
      <c r="I45" s="3">
        <v>1813.57</v>
      </c>
      <c r="J45" s="3">
        <v>852.55</v>
      </c>
      <c r="K45" s="3">
        <v>689.47</v>
      </c>
      <c r="L45" s="3"/>
      <c r="M45" s="3"/>
      <c r="N45" s="3"/>
      <c r="O45" s="3">
        <f t="shared" si="1"/>
        <v>8827.64</v>
      </c>
    </row>
    <row r="46" spans="1:15" s="5" customFormat="1" ht="12.75">
      <c r="A46" s="30">
        <v>40</v>
      </c>
      <c r="B46" s="6" t="s">
        <v>33</v>
      </c>
      <c r="C46" s="3">
        <v>21590.7</v>
      </c>
      <c r="D46" s="3">
        <v>19501.3</v>
      </c>
      <c r="E46" s="3">
        <v>21590.7</v>
      </c>
      <c r="F46" s="3">
        <v>24086.67</v>
      </c>
      <c r="G46" s="3">
        <v>25380.24</v>
      </c>
      <c r="H46" s="3">
        <v>24561.49</v>
      </c>
      <c r="I46" s="3">
        <v>24923.88</v>
      </c>
      <c r="J46" s="3">
        <v>22128.92</v>
      </c>
      <c r="K46" s="3">
        <v>21389.69</v>
      </c>
      <c r="L46" s="3"/>
      <c r="M46" s="3"/>
      <c r="N46" s="3"/>
      <c r="O46" s="3">
        <f t="shared" si="1"/>
        <v>205153.59000000003</v>
      </c>
    </row>
    <row r="47" spans="1:15" s="5" customFormat="1" ht="12.75">
      <c r="A47" s="30">
        <v>41</v>
      </c>
      <c r="B47" s="6" t="s">
        <v>34</v>
      </c>
      <c r="C47" s="3">
        <v>4475</v>
      </c>
      <c r="D47" s="3">
        <v>5248.83</v>
      </c>
      <c r="E47" s="3">
        <v>6159.8</v>
      </c>
      <c r="F47" s="3">
        <v>4828.6</v>
      </c>
      <c r="G47" s="3">
        <v>4989.58</v>
      </c>
      <c r="H47" s="3">
        <f>4828.6+1420</f>
        <v>6248.6</v>
      </c>
      <c r="I47" s="3">
        <v>4929.8</v>
      </c>
      <c r="J47" s="3">
        <v>4372.34</v>
      </c>
      <c r="K47" s="3">
        <v>4380.48</v>
      </c>
      <c r="L47" s="3"/>
      <c r="M47" s="3"/>
      <c r="N47" s="3"/>
      <c r="O47" s="3">
        <f t="shared" si="1"/>
        <v>45633.03</v>
      </c>
    </row>
    <row r="48" spans="1:15" s="5" customFormat="1" ht="12.75">
      <c r="A48" s="30">
        <v>42</v>
      </c>
      <c r="B48" s="6" t="s">
        <v>45</v>
      </c>
      <c r="C48" s="3">
        <v>65000</v>
      </c>
      <c r="D48" s="3">
        <v>65000</v>
      </c>
      <c r="E48" s="3">
        <v>65000</v>
      </c>
      <c r="F48" s="3">
        <v>65000</v>
      </c>
      <c r="G48" s="3">
        <v>65000</v>
      </c>
      <c r="H48" s="3">
        <v>65000</v>
      </c>
      <c r="I48" s="3">
        <v>65000</v>
      </c>
      <c r="J48" s="3">
        <v>65000</v>
      </c>
      <c r="K48" s="3">
        <v>65000</v>
      </c>
      <c r="L48" s="3"/>
      <c r="M48" s="3"/>
      <c r="N48" s="3"/>
      <c r="O48" s="3">
        <f t="shared" si="1"/>
        <v>585000</v>
      </c>
    </row>
    <row r="49" spans="1:15" s="5" customFormat="1" ht="12.75">
      <c r="A49" s="30">
        <v>43</v>
      </c>
      <c r="B49" s="6" t="s">
        <v>75</v>
      </c>
      <c r="C49" s="3">
        <v>889</v>
      </c>
      <c r="D49" s="3">
        <v>792</v>
      </c>
      <c r="E49" s="3">
        <v>2235</v>
      </c>
      <c r="F49" s="3">
        <v>1844.5</v>
      </c>
      <c r="G49" s="3">
        <v>939.75</v>
      </c>
      <c r="H49" s="3">
        <v>1253.25</v>
      </c>
      <c r="I49" s="3">
        <v>1103</v>
      </c>
      <c r="J49" s="3">
        <v>8748</v>
      </c>
      <c r="K49" s="3">
        <v>1801.75</v>
      </c>
      <c r="L49" s="3"/>
      <c r="M49" s="3"/>
      <c r="N49" s="3"/>
      <c r="O49" s="3">
        <f t="shared" si="1"/>
        <v>19606.25</v>
      </c>
    </row>
    <row r="50" spans="1:15" s="5" customFormat="1" ht="12.75">
      <c r="A50" s="30">
        <v>44</v>
      </c>
      <c r="B50" s="6" t="s">
        <v>67</v>
      </c>
      <c r="C50" s="3">
        <v>10890</v>
      </c>
      <c r="D50" s="3">
        <v>10890</v>
      </c>
      <c r="E50" s="3">
        <v>10890</v>
      </c>
      <c r="F50" s="3">
        <v>10890</v>
      </c>
      <c r="G50" s="3">
        <v>10890</v>
      </c>
      <c r="H50" s="3">
        <v>10890</v>
      </c>
      <c r="I50" s="3">
        <v>10890</v>
      </c>
      <c r="J50" s="3">
        <v>10773.55</v>
      </c>
      <c r="K50" s="3">
        <v>9900</v>
      </c>
      <c r="L50" s="3"/>
      <c r="M50" s="3"/>
      <c r="N50" s="3"/>
      <c r="O50" s="3">
        <f t="shared" si="1"/>
        <v>96903.55</v>
      </c>
    </row>
    <row r="51" spans="1:15" s="5" customFormat="1" ht="12.75">
      <c r="A51" s="30">
        <v>45</v>
      </c>
      <c r="B51" s="6" t="s">
        <v>52</v>
      </c>
      <c r="C51" s="3">
        <v>13918.77</v>
      </c>
      <c r="D51" s="3">
        <v>11462.64</v>
      </c>
      <c r="E51" s="3">
        <v>18047.13</v>
      </c>
      <c r="F51" s="3">
        <v>19193.21</v>
      </c>
      <c r="G51" s="3">
        <v>12559.96</v>
      </c>
      <c r="H51" s="3">
        <v>18224.65</v>
      </c>
      <c r="I51" s="3">
        <v>23070.47</v>
      </c>
      <c r="J51" s="3">
        <v>13480.25</v>
      </c>
      <c r="K51" s="3">
        <v>20652.45</v>
      </c>
      <c r="L51" s="3"/>
      <c r="M51" s="3"/>
      <c r="N51" s="3"/>
      <c r="O51" s="3">
        <f t="shared" si="1"/>
        <v>150609.53</v>
      </c>
    </row>
    <row r="52" spans="1:15" s="5" customFormat="1" ht="12.75">
      <c r="A52" s="30">
        <v>46</v>
      </c>
      <c r="B52" s="6" t="s">
        <v>78</v>
      </c>
      <c r="C52" s="3">
        <f>113.66+1690.68</f>
        <v>1804.3400000000001</v>
      </c>
      <c r="D52" s="3">
        <v>894.07</v>
      </c>
      <c r="E52" s="3">
        <v>76.93</v>
      </c>
      <c r="F52" s="3">
        <v>340.13</v>
      </c>
      <c r="G52" s="3"/>
      <c r="H52" s="3">
        <v>1234.41</v>
      </c>
      <c r="I52" s="3"/>
      <c r="J52" s="3">
        <v>183.9</v>
      </c>
      <c r="K52" s="3">
        <f>867.62+296.61</f>
        <v>1164.23</v>
      </c>
      <c r="L52" s="3"/>
      <c r="M52" s="3"/>
      <c r="N52" s="3"/>
      <c r="O52" s="3">
        <f t="shared" si="1"/>
        <v>5698.01</v>
      </c>
    </row>
    <row r="53" spans="1:15" s="5" customFormat="1" ht="12.75">
      <c r="A53" s="30">
        <v>47</v>
      </c>
      <c r="B53" s="6" t="s">
        <v>46</v>
      </c>
      <c r="C53" s="3">
        <v>20831.1</v>
      </c>
      <c r="D53" s="3">
        <v>25857.02</v>
      </c>
      <c r="E53" s="3">
        <v>21297.76</v>
      </c>
      <c r="F53" s="3">
        <v>18289.46</v>
      </c>
      <c r="G53" s="3">
        <v>15934.19</v>
      </c>
      <c r="H53" s="3">
        <v>24481.46</v>
      </c>
      <c r="I53" s="3">
        <v>27792.93</v>
      </c>
      <c r="J53" s="3">
        <v>35156.26</v>
      </c>
      <c r="K53" s="3">
        <v>32980.7</v>
      </c>
      <c r="L53" s="3"/>
      <c r="M53" s="3"/>
      <c r="N53" s="3"/>
      <c r="O53" s="3">
        <f t="shared" si="1"/>
        <v>222620.88</v>
      </c>
    </row>
    <row r="54" spans="1:15" s="5" customFormat="1" ht="12.75">
      <c r="A54" s="30">
        <v>48</v>
      </c>
      <c r="B54" s="6" t="s">
        <v>54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f t="shared" si="1"/>
        <v>0</v>
      </c>
    </row>
    <row r="55" spans="1:15" s="5" customFormat="1" ht="12.75">
      <c r="A55" s="30">
        <v>49</v>
      </c>
      <c r="B55" s="6" t="s">
        <v>29</v>
      </c>
      <c r="C55" s="3">
        <f>C18*0.2%</f>
        <v>1606</v>
      </c>
      <c r="D55" s="3">
        <v>1746.01</v>
      </c>
      <c r="E55" s="3">
        <v>1759.99</v>
      </c>
      <c r="F55" s="3">
        <v>1764.66</v>
      </c>
      <c r="G55" s="3">
        <v>1753.85</v>
      </c>
      <c r="H55" s="3">
        <v>1809.13</v>
      </c>
      <c r="I55" s="3">
        <v>1714.72</v>
      </c>
      <c r="J55" s="3">
        <v>1237.27</v>
      </c>
      <c r="K55" s="3">
        <v>1545.46</v>
      </c>
      <c r="L55" s="3"/>
      <c r="M55" s="3"/>
      <c r="N55" s="3"/>
      <c r="O55" s="3">
        <f t="shared" si="0"/>
        <v>14937.09</v>
      </c>
    </row>
    <row r="56" spans="1:15" s="5" customFormat="1" ht="12.75">
      <c r="A56" s="30">
        <v>50</v>
      </c>
      <c r="B56" s="6" t="s">
        <v>30</v>
      </c>
      <c r="C56" s="3"/>
      <c r="D56" s="3"/>
      <c r="E56" s="3">
        <v>3945</v>
      </c>
      <c r="F56" s="3"/>
      <c r="G56" s="3"/>
      <c r="H56" s="3">
        <v>3405</v>
      </c>
      <c r="I56" s="3"/>
      <c r="J56" s="3"/>
      <c r="K56" s="3">
        <v>2988</v>
      </c>
      <c r="L56" s="3"/>
      <c r="M56" s="3"/>
      <c r="N56" s="3"/>
      <c r="O56" s="3">
        <f t="shared" si="0"/>
        <v>10338</v>
      </c>
    </row>
    <row r="57" spans="1:15" s="5" customFormat="1" ht="12.75">
      <c r="A57" s="30">
        <v>51</v>
      </c>
      <c r="B57" s="6" t="s">
        <v>96</v>
      </c>
      <c r="C57" s="3"/>
      <c r="D57" s="3"/>
      <c r="E57" s="3"/>
      <c r="F57" s="3"/>
      <c r="G57" s="3"/>
      <c r="H57" s="3"/>
      <c r="I57" s="3"/>
      <c r="J57" s="3">
        <v>300</v>
      </c>
      <c r="K57" s="3">
        <v>600</v>
      </c>
      <c r="L57" s="3"/>
      <c r="M57" s="3"/>
      <c r="N57" s="3"/>
      <c r="O57" s="3">
        <f t="shared" si="0"/>
        <v>900</v>
      </c>
    </row>
    <row r="58" spans="1:15" s="5" customFormat="1" ht="12.75">
      <c r="A58" s="30">
        <v>52</v>
      </c>
      <c r="B58" s="6" t="s">
        <v>68</v>
      </c>
      <c r="C58" s="3"/>
      <c r="D58" s="3"/>
      <c r="E58" s="3">
        <v>377.63</v>
      </c>
      <c r="F58" s="3"/>
      <c r="G58" s="3"/>
      <c r="H58" s="3"/>
      <c r="I58" s="3"/>
      <c r="J58" s="3"/>
      <c r="K58" s="3"/>
      <c r="L58" s="3"/>
      <c r="M58" s="3"/>
      <c r="N58" s="3"/>
      <c r="O58" s="3">
        <f t="shared" si="0"/>
        <v>377.63</v>
      </c>
    </row>
    <row r="59" spans="1:15" s="5" customFormat="1" ht="12.75">
      <c r="A59" s="30">
        <v>53</v>
      </c>
      <c r="B59" s="6" t="s">
        <v>95</v>
      </c>
      <c r="C59" s="3"/>
      <c r="D59" s="3"/>
      <c r="E59" s="3"/>
      <c r="F59" s="3"/>
      <c r="G59" s="3"/>
      <c r="H59" s="3"/>
      <c r="I59" s="3"/>
      <c r="J59" s="3">
        <v>1290</v>
      </c>
      <c r="K59" s="3">
        <v>4266</v>
      </c>
      <c r="L59" s="3"/>
      <c r="M59" s="3"/>
      <c r="N59" s="3"/>
      <c r="O59" s="3">
        <f t="shared" si="0"/>
        <v>5556</v>
      </c>
    </row>
    <row r="60" spans="1:15" s="5" customFormat="1" ht="12.75">
      <c r="A60" s="30">
        <v>54</v>
      </c>
      <c r="B60" s="6" t="s">
        <v>69</v>
      </c>
      <c r="C60" s="3"/>
      <c r="D60" s="3"/>
      <c r="E60" s="3"/>
      <c r="F60" s="3"/>
      <c r="G60" s="3"/>
      <c r="H60" s="3"/>
      <c r="I60" s="3">
        <v>5169.73</v>
      </c>
      <c r="J60" s="3"/>
      <c r="K60" s="3">
        <v>3050.85</v>
      </c>
      <c r="L60" s="3"/>
      <c r="M60" s="3"/>
      <c r="N60" s="3"/>
      <c r="O60" s="3">
        <f t="shared" si="0"/>
        <v>8220.58</v>
      </c>
    </row>
    <row r="61" spans="1:16" s="5" customFormat="1" ht="12.75">
      <c r="A61" s="30">
        <v>55</v>
      </c>
      <c r="B61" s="6" t="s">
        <v>70</v>
      </c>
      <c r="C61" s="3">
        <f>50960+91221.89+1550+25030+96520</f>
        <v>265281.89</v>
      </c>
      <c r="D61" s="3">
        <f>73889.24+44668.48+74839.36+47795.79+123740</f>
        <v>364932.87</v>
      </c>
      <c r="E61" s="3">
        <f>64120+38771.28+261459.92+10454.74+107397.14+75125.5</f>
        <v>557328.5800000001</v>
      </c>
      <c r="F61" s="3">
        <v>53683.45</v>
      </c>
      <c r="G61" s="3">
        <v>366186.33</v>
      </c>
      <c r="H61" s="3">
        <v>29470.37</v>
      </c>
      <c r="I61" s="3">
        <v>89723.42</v>
      </c>
      <c r="J61" s="3"/>
      <c r="K61" s="3">
        <v>3500</v>
      </c>
      <c r="L61" s="3"/>
      <c r="M61" s="3"/>
      <c r="N61" s="3"/>
      <c r="O61" s="3">
        <f>SUM(C61:N61)</f>
        <v>1730106.9100000001</v>
      </c>
      <c r="P61" s="7"/>
    </row>
    <row r="62" spans="1:15" s="5" customFormat="1" ht="12.75">
      <c r="A62" s="30">
        <v>56</v>
      </c>
      <c r="B62" s="6" t="s">
        <v>72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f t="shared" si="0"/>
        <v>0</v>
      </c>
    </row>
    <row r="63" spans="1:15" s="5" customFormat="1" ht="12.75">
      <c r="A63" s="30">
        <v>57</v>
      </c>
      <c r="B63" s="6" t="s">
        <v>71</v>
      </c>
      <c r="C63" s="3">
        <v>2547.95</v>
      </c>
      <c r="D63" s="3">
        <v>2301.37</v>
      </c>
      <c r="E63" s="3">
        <v>2547.95</v>
      </c>
      <c r="F63" s="3">
        <v>2465.76</v>
      </c>
      <c r="G63" s="3">
        <v>2547.94</v>
      </c>
      <c r="H63" s="3">
        <v>2465.75</v>
      </c>
      <c r="I63" s="3">
        <v>2547.94</v>
      </c>
      <c r="J63" s="3">
        <v>2547.95</v>
      </c>
      <c r="K63" s="3">
        <v>2465.75</v>
      </c>
      <c r="L63" s="3"/>
      <c r="M63" s="3"/>
      <c r="N63" s="3"/>
      <c r="O63" s="3">
        <f t="shared" si="0"/>
        <v>22438.36</v>
      </c>
    </row>
    <row r="64" spans="1:15" s="5" customFormat="1" ht="12.75">
      <c r="A64" s="30">
        <v>58</v>
      </c>
      <c r="B64" s="6" t="s">
        <v>90</v>
      </c>
      <c r="C64" s="3">
        <v>8118</v>
      </c>
      <c r="D64" s="3">
        <v>180</v>
      </c>
      <c r="E64" s="3">
        <f>13604.53+82</f>
        <v>13686.53</v>
      </c>
      <c r="F64" s="3">
        <f>3997.5+81</f>
        <v>4078.5</v>
      </c>
      <c r="G64" s="3">
        <f>1349.91+4456.34</f>
        <v>5806.25</v>
      </c>
      <c r="H64" s="3">
        <v>238.98</v>
      </c>
      <c r="I64" s="3">
        <f>256.5+195.24</f>
        <v>451.74</v>
      </c>
      <c r="J64" s="3">
        <f>42.72+22144.54</f>
        <v>22187.260000000002</v>
      </c>
      <c r="K64" s="3">
        <f>37939.58+54.92</f>
        <v>37994.5</v>
      </c>
      <c r="L64" s="3"/>
      <c r="M64" s="3"/>
      <c r="N64" s="3"/>
      <c r="O64" s="3">
        <f t="shared" si="0"/>
        <v>92741.76000000001</v>
      </c>
    </row>
    <row r="65" spans="1:15" s="5" customFormat="1" ht="12.75">
      <c r="A65" s="30">
        <v>59</v>
      </c>
      <c r="B65" s="6" t="s">
        <v>73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f t="shared" si="0"/>
        <v>0</v>
      </c>
    </row>
    <row r="66" spans="1:15" s="5" customFormat="1" ht="13.5" thickBot="1">
      <c r="A66" s="30">
        <v>60</v>
      </c>
      <c r="B66" s="24" t="s">
        <v>93</v>
      </c>
      <c r="C66" s="25">
        <v>19534.25</v>
      </c>
      <c r="D66" s="25">
        <v>17643.84</v>
      </c>
      <c r="E66" s="25">
        <v>19534.25</v>
      </c>
      <c r="F66" s="25">
        <v>18904.11</v>
      </c>
      <c r="G66" s="25">
        <v>19534.25</v>
      </c>
      <c r="H66" s="25">
        <v>18904.11</v>
      </c>
      <c r="I66" s="25">
        <v>19534.24</v>
      </c>
      <c r="J66" s="25">
        <f>19534.24+90000</f>
        <v>109534.24</v>
      </c>
      <c r="K66" s="25">
        <f>18904.11+45000</f>
        <v>63904.11</v>
      </c>
      <c r="L66" s="25"/>
      <c r="M66" s="25"/>
      <c r="N66" s="25"/>
      <c r="O66" s="3">
        <f t="shared" si="0"/>
        <v>307027.39999999997</v>
      </c>
    </row>
    <row r="67" spans="1:15" s="26" customFormat="1" ht="14.25" customHeight="1" thickBot="1">
      <c r="A67" s="9"/>
      <c r="B67" s="10" t="s">
        <v>62</v>
      </c>
      <c r="C67" s="45">
        <f>SUM(C7:C66)</f>
        <v>2021093.6199999999</v>
      </c>
      <c r="D67" s="45">
        <f>SUM(D7:D66)</f>
        <v>2427712.87</v>
      </c>
      <c r="E67" s="45">
        <f>SUM(E7:E66)</f>
        <v>2762244.09</v>
      </c>
      <c r="F67" s="45">
        <f aca="true" t="shared" si="2" ref="F67:N67">SUM(F7:F66)</f>
        <v>1974716.3199999994</v>
      </c>
      <c r="G67" s="45">
        <f t="shared" si="2"/>
        <v>1976754.0500000003</v>
      </c>
      <c r="H67" s="45">
        <f>SUM(H7:H66)</f>
        <v>1755723.4</v>
      </c>
      <c r="I67" s="45">
        <f t="shared" si="2"/>
        <v>2059999.0399999996</v>
      </c>
      <c r="J67" s="45">
        <f>SUM(J7:J66)</f>
        <v>1957148.4599999995</v>
      </c>
      <c r="K67" s="45">
        <f>SUM(K7:K66)</f>
        <v>2156919.4299999997</v>
      </c>
      <c r="L67" s="45">
        <f t="shared" si="2"/>
        <v>0</v>
      </c>
      <c r="M67" s="45">
        <f t="shared" si="2"/>
        <v>0</v>
      </c>
      <c r="N67" s="45">
        <f t="shared" si="2"/>
        <v>0</v>
      </c>
      <c r="O67" s="46">
        <f>SUM(O5:O66)</f>
        <v>19092311.279999994</v>
      </c>
    </row>
    <row r="68" spans="1:15" ht="42" customHeight="1">
      <c r="A68" s="14" t="s">
        <v>18</v>
      </c>
      <c r="C68" s="51"/>
      <c r="D68" s="4"/>
      <c r="E68" s="4"/>
      <c r="F68" t="s">
        <v>19</v>
      </c>
      <c r="O68" s="40"/>
    </row>
    <row r="69" spans="3:16" ht="12.75">
      <c r="C69" s="4"/>
      <c r="D69" s="4"/>
      <c r="E69" s="4"/>
      <c r="I69" s="4"/>
      <c r="J69" s="4"/>
      <c r="K69" s="4"/>
      <c r="O69" s="7"/>
      <c r="P69" s="4"/>
    </row>
    <row r="70" spans="2:15" ht="12.75">
      <c r="B70" s="60" t="s">
        <v>85</v>
      </c>
      <c r="C70" s="59">
        <v>1799.97</v>
      </c>
      <c r="D70" s="59"/>
      <c r="E70" s="59"/>
      <c r="F70" s="49"/>
      <c r="G70" s="59"/>
      <c r="H70" s="49"/>
      <c r="I70" s="59"/>
      <c r="J70" s="59"/>
      <c r="K70" s="59"/>
      <c r="L70" s="59"/>
      <c r="M70" s="59"/>
      <c r="N70" s="59"/>
      <c r="O70" s="59">
        <f aca="true" t="shared" si="3" ref="O70:O76">SUM(C70:N70)</f>
        <v>1799.97</v>
      </c>
    </row>
    <row r="71" spans="2:15" ht="12.75">
      <c r="B71" s="60" t="s">
        <v>87</v>
      </c>
      <c r="C71" s="59">
        <v>10403.78</v>
      </c>
      <c r="D71" s="59">
        <v>10389.07</v>
      </c>
      <c r="E71" s="59">
        <v>10252.49</v>
      </c>
      <c r="F71" s="59">
        <f>11941.83/1.18</f>
        <v>10120.194915254238</v>
      </c>
      <c r="G71" s="59">
        <v>10865.17</v>
      </c>
      <c r="H71" s="59">
        <v>10743.07</v>
      </c>
      <c r="I71" s="59">
        <f>5215.52*2+4909.02</f>
        <v>15340.060000000001</v>
      </c>
      <c r="J71" s="59"/>
      <c r="K71" s="59"/>
      <c r="L71" s="59"/>
      <c r="M71" s="59"/>
      <c r="N71" s="59"/>
      <c r="O71" s="59">
        <f t="shared" si="3"/>
        <v>78113.83491525424</v>
      </c>
    </row>
    <row r="72" spans="2:15" ht="12.75">
      <c r="B72" s="60" t="s">
        <v>84</v>
      </c>
      <c r="C72" s="59">
        <v>72258.42</v>
      </c>
      <c r="D72" s="59">
        <v>72258.42</v>
      </c>
      <c r="E72" s="59">
        <v>72258.42</v>
      </c>
      <c r="F72" s="59">
        <v>72258.42</v>
      </c>
      <c r="G72" s="59">
        <v>72258.42</v>
      </c>
      <c r="H72" s="59">
        <v>73705.88</v>
      </c>
      <c r="I72" s="59">
        <v>74632.46</v>
      </c>
      <c r="J72" s="59">
        <v>76120.74</v>
      </c>
      <c r="K72" s="59">
        <v>16147.42</v>
      </c>
      <c r="L72" s="59"/>
      <c r="M72" s="59"/>
      <c r="N72" s="59"/>
      <c r="O72" s="59">
        <f t="shared" si="3"/>
        <v>601898.6000000001</v>
      </c>
    </row>
    <row r="73" spans="2:15" ht="12.75">
      <c r="B73" s="60" t="s">
        <v>91</v>
      </c>
      <c r="C73" s="59">
        <v>8118</v>
      </c>
      <c r="D73" s="59">
        <v>180</v>
      </c>
      <c r="E73" s="59">
        <f>13604.53+82</f>
        <v>13686.53</v>
      </c>
      <c r="F73" s="59">
        <f>3997.5+81</f>
        <v>4078.5</v>
      </c>
      <c r="G73" s="59">
        <f>1349.91+4456.34</f>
        <v>5806.25</v>
      </c>
      <c r="H73" s="59">
        <v>238.98</v>
      </c>
      <c r="I73" s="59">
        <f>256.5+195.24</f>
        <v>451.74</v>
      </c>
      <c r="J73" s="59">
        <f>22144.54+42.72</f>
        <v>22187.260000000002</v>
      </c>
      <c r="K73" s="59">
        <f>37939.58+54.92</f>
        <v>37994.5</v>
      </c>
      <c r="L73" s="59"/>
      <c r="M73" s="59"/>
      <c r="N73" s="59"/>
      <c r="O73" s="59">
        <f t="shared" si="3"/>
        <v>92741.76000000001</v>
      </c>
    </row>
    <row r="74" spans="2:15" ht="12.75">
      <c r="B74" s="60" t="s">
        <v>88</v>
      </c>
      <c r="C74" s="59">
        <v>15000</v>
      </c>
      <c r="D74" s="59">
        <v>15000</v>
      </c>
      <c r="E74" s="59">
        <v>15000</v>
      </c>
      <c r="F74" s="59">
        <v>15000</v>
      </c>
      <c r="G74" s="59">
        <v>15000</v>
      </c>
      <c r="H74" s="59">
        <v>15000</v>
      </c>
      <c r="I74" s="59">
        <v>15000</v>
      </c>
      <c r="J74" s="59">
        <v>15000</v>
      </c>
      <c r="K74" s="59">
        <v>15000</v>
      </c>
      <c r="L74" s="59"/>
      <c r="M74" s="59"/>
      <c r="N74" s="59"/>
      <c r="O74" s="59">
        <f t="shared" si="3"/>
        <v>135000</v>
      </c>
    </row>
    <row r="75" spans="2:15" ht="12.75">
      <c r="B75" s="60" t="s">
        <v>89</v>
      </c>
      <c r="C75" s="59">
        <v>23350</v>
      </c>
      <c r="D75" s="59">
        <v>116130.61</v>
      </c>
      <c r="E75" s="59">
        <v>165530.88</v>
      </c>
      <c r="F75" s="59">
        <v>135690</v>
      </c>
      <c r="G75" s="59">
        <v>24340</v>
      </c>
      <c r="H75" s="59">
        <v>63640</v>
      </c>
      <c r="I75" s="59">
        <v>236254</v>
      </c>
      <c r="J75" s="59">
        <v>261889.49</v>
      </c>
      <c r="K75" s="59">
        <v>270965.08</v>
      </c>
      <c r="L75" s="59"/>
      <c r="M75" s="59"/>
      <c r="N75" s="59"/>
      <c r="O75" s="59">
        <f t="shared" si="3"/>
        <v>1297790.06</v>
      </c>
    </row>
    <row r="76" spans="2:15" ht="12.75">
      <c r="B76" s="60" t="s">
        <v>83</v>
      </c>
      <c r="C76" s="59">
        <v>2025995.19</v>
      </c>
      <c r="D76" s="59">
        <v>2345986.57</v>
      </c>
      <c r="E76" s="59">
        <v>2617747.57</v>
      </c>
      <c r="F76" s="59">
        <v>1869801.01</v>
      </c>
      <c r="G76" s="59">
        <v>1980716.01</v>
      </c>
      <c r="H76" s="59">
        <v>1726074.73</v>
      </c>
      <c r="I76" s="59">
        <v>1852926.62</v>
      </c>
      <c r="J76" s="59">
        <v>1719533.37</v>
      </c>
      <c r="K76" s="59">
        <v>1834448.19</v>
      </c>
      <c r="L76" s="59"/>
      <c r="M76" s="59"/>
      <c r="N76" s="59"/>
      <c r="O76" s="59">
        <f t="shared" si="3"/>
        <v>17973229.26</v>
      </c>
    </row>
    <row r="77" spans="2:15" ht="12.75">
      <c r="B77" s="60"/>
      <c r="C77" s="59"/>
      <c r="D77" s="59"/>
      <c r="E77" s="59"/>
      <c r="F77" s="49"/>
      <c r="G77" s="49"/>
      <c r="H77" s="49"/>
      <c r="I77" s="59"/>
      <c r="J77" s="59"/>
      <c r="K77" s="59"/>
      <c r="L77" s="59"/>
      <c r="M77" s="59"/>
      <c r="N77" s="59"/>
      <c r="O77" s="59"/>
    </row>
    <row r="78" spans="2:16" ht="12.75">
      <c r="B78" s="60" t="s">
        <v>86</v>
      </c>
      <c r="C78" s="59">
        <f>C76-C72+C8+C73+C74+C75+C71-C70</f>
        <v>2021093.62</v>
      </c>
      <c r="D78" s="59">
        <f aca="true" t="shared" si="4" ref="D78:K78">D76-D72+D8+D73+D74+D75+D71-D70</f>
        <v>2427712.8699999996</v>
      </c>
      <c r="E78" s="59">
        <f t="shared" si="4"/>
        <v>2762244.09</v>
      </c>
      <c r="F78" s="59">
        <f t="shared" si="4"/>
        <v>1974716.3249152543</v>
      </c>
      <c r="G78" s="59">
        <f t="shared" si="4"/>
        <v>1976754.05</v>
      </c>
      <c r="H78" s="59">
        <f t="shared" si="4"/>
        <v>1755723.4000000001</v>
      </c>
      <c r="I78" s="59">
        <f t="shared" si="4"/>
        <v>2059999.0400000003</v>
      </c>
      <c r="J78" s="59">
        <f t="shared" si="4"/>
        <v>1957148.4600000002</v>
      </c>
      <c r="K78" s="59">
        <f t="shared" si="4"/>
        <v>2156919.43</v>
      </c>
      <c r="L78" s="59">
        <f>L76-L72+L73+L74+L75+L8</f>
        <v>0</v>
      </c>
      <c r="M78" s="59">
        <f>M76-M72+M73+M74+M75+M8</f>
        <v>0</v>
      </c>
      <c r="N78" s="59">
        <f>N76-N72+N73+N74+N75+N8</f>
        <v>0</v>
      </c>
      <c r="O78" s="59">
        <f>SUM(C78:N78)</f>
        <v>19092311.284915257</v>
      </c>
      <c r="P78" s="4"/>
    </row>
    <row r="79" spans="2:15" ht="12.75">
      <c r="B79" s="50"/>
      <c r="C79" s="7"/>
      <c r="D79" s="7"/>
      <c r="E79" s="7"/>
      <c r="F79" s="7"/>
      <c r="G79" s="4"/>
      <c r="H79" s="4"/>
      <c r="O79" s="7"/>
    </row>
    <row r="80" spans="3:15" ht="12.75">
      <c r="C80" s="4"/>
      <c r="D80" s="4"/>
      <c r="E80" s="4"/>
      <c r="I80" s="4"/>
      <c r="J80" s="4"/>
      <c r="K80" s="4"/>
      <c r="O80" s="7"/>
    </row>
    <row r="81" spans="3:15" ht="12.75">
      <c r="C81" s="4"/>
      <c r="D81" s="4"/>
      <c r="E81" s="4"/>
      <c r="O81" s="5"/>
    </row>
    <row r="82" spans="2:16" ht="12.75">
      <c r="B82" s="50" t="s">
        <v>79</v>
      </c>
      <c r="C82" s="61">
        <f>C67-C73-C74-C75</f>
        <v>1974625.6199999999</v>
      </c>
      <c r="D82" s="61">
        <f aca="true" t="shared" si="5" ref="D82:J82">D67-D73-D74-D75</f>
        <v>2296402.2600000002</v>
      </c>
      <c r="E82" s="61">
        <f t="shared" si="5"/>
        <v>2568026.68</v>
      </c>
      <c r="F82" s="61">
        <f t="shared" si="5"/>
        <v>1819947.8199999994</v>
      </c>
      <c r="G82" s="61">
        <f t="shared" si="5"/>
        <v>1931607.8000000003</v>
      </c>
      <c r="H82" s="61">
        <f t="shared" si="5"/>
        <v>1676844.42</v>
      </c>
      <c r="I82" s="61">
        <f t="shared" si="5"/>
        <v>1808293.2999999996</v>
      </c>
      <c r="J82" s="61">
        <f t="shared" si="5"/>
        <v>1658071.7099999995</v>
      </c>
      <c r="K82" s="61">
        <f>K67-K73-K74-K75</f>
        <v>1832959.8499999996</v>
      </c>
      <c r="L82" s="5"/>
      <c r="M82" s="5"/>
      <c r="N82" s="5"/>
      <c r="O82" s="7">
        <f>SUM(C82:K82)</f>
        <v>17566779.459999997</v>
      </c>
      <c r="P82" s="4"/>
    </row>
    <row r="83" spans="2:17" ht="12.75">
      <c r="B83" s="50"/>
      <c r="C83" s="4"/>
      <c r="O83" s="5"/>
      <c r="Q83" s="4"/>
    </row>
    <row r="84" spans="2:15" ht="12.75">
      <c r="B84" s="50"/>
      <c r="C84" s="52">
        <f>C67-C82</f>
        <v>46468</v>
      </c>
      <c r="D84" s="52">
        <f aca="true" t="shared" si="6" ref="D84:K84">D67-D82</f>
        <v>131310.60999999987</v>
      </c>
      <c r="E84" s="52">
        <f t="shared" si="6"/>
        <v>194217.40999999968</v>
      </c>
      <c r="F84" s="52">
        <f t="shared" si="6"/>
        <v>154768.5</v>
      </c>
      <c r="G84" s="52">
        <f t="shared" si="6"/>
        <v>45146.25</v>
      </c>
      <c r="H84" s="52">
        <f t="shared" si="6"/>
        <v>78878.97999999998</v>
      </c>
      <c r="I84" s="52">
        <f t="shared" si="6"/>
        <v>251705.74</v>
      </c>
      <c r="J84" s="52">
        <f t="shared" si="6"/>
        <v>299076.75</v>
      </c>
      <c r="K84" s="52">
        <f t="shared" si="6"/>
        <v>323959.5800000001</v>
      </c>
      <c r="L84" s="62"/>
      <c r="M84" s="62"/>
      <c r="N84" s="62"/>
      <c r="O84" s="52">
        <f>SUM(C84:K84)</f>
        <v>1525531.8199999996</v>
      </c>
    </row>
    <row r="85" spans="3:15" ht="12.75">
      <c r="C85" s="4"/>
      <c r="O85" s="5"/>
    </row>
    <row r="86" spans="8:15" ht="12.75">
      <c r="H86" s="4"/>
      <c r="I86" s="4"/>
      <c r="J86" s="4"/>
      <c r="K86" s="4"/>
      <c r="O86" s="7"/>
    </row>
    <row r="87" ht="12.75">
      <c r="O87" s="5"/>
    </row>
    <row r="88" spans="3:15" ht="12.75">
      <c r="C88" s="4"/>
      <c r="H88" s="4"/>
      <c r="I88" s="4"/>
      <c r="J88" s="4"/>
      <c r="K88" s="4"/>
      <c r="O88" s="5"/>
    </row>
    <row r="89" spans="3:15" ht="12.75">
      <c r="C89" s="4"/>
      <c r="O89" s="5"/>
    </row>
    <row r="90" ht="12.75">
      <c r="O90" s="5"/>
    </row>
    <row r="91" ht="12.75">
      <c r="O91" s="5"/>
    </row>
    <row r="92" ht="12.75">
      <c r="O92" s="5"/>
    </row>
    <row r="93" ht="12.75">
      <c r="O93" s="5"/>
    </row>
    <row r="94" ht="12.75">
      <c r="O94" s="5"/>
    </row>
    <row r="95" ht="12.75">
      <c r="O95" s="5"/>
    </row>
    <row r="96" ht="12.75">
      <c r="O96" s="5"/>
    </row>
    <row r="97" ht="12.75">
      <c r="O97" s="5"/>
    </row>
    <row r="98" ht="12.75">
      <c r="O98" s="5"/>
    </row>
    <row r="99" ht="12.75">
      <c r="O99" s="5"/>
    </row>
    <row r="100" ht="12.75">
      <c r="O100" s="5"/>
    </row>
    <row r="101" ht="12.75">
      <c r="O101" s="5"/>
    </row>
    <row r="102" ht="12.75">
      <c r="O102" s="5"/>
    </row>
    <row r="103" ht="12.75">
      <c r="O103" s="5"/>
    </row>
    <row r="104" ht="12.75">
      <c r="O104" s="5"/>
    </row>
    <row r="105" ht="12.75">
      <c r="O105" s="5"/>
    </row>
    <row r="106" ht="12.75">
      <c r="O106" s="5"/>
    </row>
    <row r="107" ht="12.75">
      <c r="O107" s="5"/>
    </row>
    <row r="108" ht="12.75">
      <c r="O108" s="5"/>
    </row>
    <row r="109" ht="12.75">
      <c r="O109" s="5"/>
    </row>
    <row r="110" ht="12.75">
      <c r="O110" s="5"/>
    </row>
    <row r="111" ht="12.75">
      <c r="O111" s="5"/>
    </row>
    <row r="112" ht="12.75">
      <c r="O112" s="5"/>
    </row>
    <row r="113" ht="12.75">
      <c r="O113" s="5"/>
    </row>
    <row r="114" ht="12.75">
      <c r="O114" s="5"/>
    </row>
    <row r="115" ht="12.75">
      <c r="O115" s="5"/>
    </row>
    <row r="116" ht="12.75">
      <c r="O116" s="5"/>
    </row>
    <row r="117" ht="12.75">
      <c r="O117" s="5"/>
    </row>
    <row r="118" ht="12.75">
      <c r="O118" s="5"/>
    </row>
    <row r="119" ht="12.75">
      <c r="O119" s="5"/>
    </row>
    <row r="120" ht="12.75">
      <c r="O120" s="5"/>
    </row>
    <row r="121" ht="12.75">
      <c r="O121" s="5"/>
    </row>
    <row r="122" ht="12.75">
      <c r="O122" s="5"/>
    </row>
    <row r="123" ht="12.75">
      <c r="O123" s="5"/>
    </row>
    <row r="124" ht="12.75">
      <c r="O124" s="5"/>
    </row>
    <row r="125" ht="12.75">
      <c r="O125" s="5"/>
    </row>
    <row r="126" ht="12.75">
      <c r="O126" s="5"/>
    </row>
    <row r="127" ht="12.75">
      <c r="O127" s="5"/>
    </row>
    <row r="128" ht="12.75">
      <c r="O128" s="5"/>
    </row>
    <row r="129" ht="12.75">
      <c r="O129" s="5"/>
    </row>
    <row r="130" ht="12.75">
      <c r="O130" s="5"/>
    </row>
    <row r="131" ht="12.75">
      <c r="O131" s="5"/>
    </row>
    <row r="132" ht="12.75">
      <c r="O132" s="5"/>
    </row>
    <row r="133" ht="12.75">
      <c r="O133" s="5"/>
    </row>
    <row r="134" ht="12.75">
      <c r="O134" s="5"/>
    </row>
    <row r="135" ht="12.75">
      <c r="O135" s="5"/>
    </row>
    <row r="136" ht="12.75">
      <c r="O136" s="5"/>
    </row>
    <row r="137" ht="12.75">
      <c r="O137" s="5"/>
    </row>
    <row r="138" ht="12.75">
      <c r="O138" s="5"/>
    </row>
    <row r="139" ht="12.75">
      <c r="O139" s="5"/>
    </row>
    <row r="140" ht="12.75">
      <c r="O140" s="5"/>
    </row>
    <row r="141" ht="12.75">
      <c r="O141" s="5"/>
    </row>
    <row r="142" ht="12.75">
      <c r="O142" s="5"/>
    </row>
    <row r="143" ht="12.75">
      <c r="O143" s="5"/>
    </row>
    <row r="144" ht="12.75">
      <c r="O144" s="5"/>
    </row>
    <row r="145" ht="12.75">
      <c r="O145" s="5"/>
    </row>
    <row r="146" ht="12.75">
      <c r="O146" s="5"/>
    </row>
    <row r="147" ht="12.75">
      <c r="O147" s="5"/>
    </row>
    <row r="148" ht="12.75">
      <c r="O148" s="5"/>
    </row>
    <row r="149" ht="12.75">
      <c r="O149" s="5"/>
    </row>
    <row r="150" ht="12.75">
      <c r="O150" s="5"/>
    </row>
    <row r="151" ht="12.75">
      <c r="O151" s="5"/>
    </row>
    <row r="152" ht="12.75">
      <c r="O152" s="5"/>
    </row>
    <row r="153" ht="12.75">
      <c r="O153" s="5"/>
    </row>
    <row r="154" ht="12.75">
      <c r="O154" s="5"/>
    </row>
    <row r="155" ht="12.75">
      <c r="O155" s="5"/>
    </row>
  </sheetData>
  <sheetProtection/>
  <autoFilter ref="A3:O68"/>
  <mergeCells count="1">
    <mergeCell ref="B1:O1"/>
  </mergeCells>
  <printOptions/>
  <pageMargins left="0.52" right="0.19" top="0.62" bottom="0.37" header="0.35" footer="0.14"/>
  <pageSetup fitToHeight="2" fitToWidth="1" horizontalDpi="600" verticalDpi="600" orientation="landscape" paperSize="9" scale="82" r:id="rId1"/>
  <headerFooter alignWithMargins="0">
    <oddHeader>&amp;C&amp;"Arial,полужирный курсив"&amp;12&amp;UООО "Газстрой Северо- Запад" ИНН 7810495185 / КПП 781001001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PageLayoutView="0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3" sqref="C63"/>
    </sheetView>
  </sheetViews>
  <sheetFormatPr defaultColWidth="9.140625" defaultRowHeight="12.75"/>
  <cols>
    <col min="1" max="1" width="5.8515625" style="0" bestFit="1" customWidth="1"/>
    <col min="2" max="2" width="51.28125" style="0" customWidth="1"/>
    <col min="3" max="3" width="15.140625" style="0" customWidth="1"/>
    <col min="4" max="4" width="15.57421875" style="0" customWidth="1"/>
    <col min="5" max="5" width="15.7109375" style="0" customWidth="1"/>
    <col min="6" max="6" width="16.00390625" style="0" customWidth="1"/>
    <col min="7" max="7" width="15.57421875" style="0" customWidth="1"/>
    <col min="8" max="8" width="15.8515625" style="0" customWidth="1"/>
    <col min="9" max="9" width="16.00390625" style="0" customWidth="1"/>
    <col min="10" max="10" width="16.421875" style="0" customWidth="1"/>
    <col min="11" max="11" width="17.140625" style="0" customWidth="1"/>
    <col min="12" max="12" width="15.8515625" style="0" hidden="1" customWidth="1"/>
    <col min="13" max="13" width="16.140625" style="0" hidden="1" customWidth="1"/>
    <col min="14" max="14" width="16.00390625" style="0" hidden="1" customWidth="1"/>
    <col min="15" max="15" width="16.8515625" style="0" customWidth="1"/>
    <col min="16" max="16" width="14.421875" style="4" customWidth="1"/>
  </cols>
  <sheetData>
    <row r="1" spans="1:16" s="11" customFormat="1" ht="15">
      <c r="A1" s="43"/>
      <c r="B1" s="43"/>
      <c r="C1" s="65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63"/>
    </row>
    <row r="2" s="11" customFormat="1" ht="8.25" customHeight="1">
      <c r="P2" s="63"/>
    </row>
    <row r="3" spans="1:15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6.7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75" customFormat="1" ht="12.75">
      <c r="A5" s="76" t="s">
        <v>20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s="75" customFormat="1" ht="14.25" customHeigh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13.5">
      <c r="A7" s="74">
        <v>1</v>
      </c>
      <c r="B7" s="58"/>
      <c r="C7" s="56">
        <f aca="true" t="shared" si="0" ref="C7:K7">C12+C13</f>
        <v>149000.13</v>
      </c>
      <c r="D7" s="56">
        <f t="shared" si="0"/>
        <v>230118.62999999998</v>
      </c>
      <c r="E7" s="56">
        <f t="shared" si="0"/>
        <v>219678.27158</v>
      </c>
      <c r="F7" s="56">
        <f>F12+F13</f>
        <v>419118.07999999996</v>
      </c>
      <c r="G7" s="56">
        <f>G12+G13</f>
        <v>469054.12000000005</v>
      </c>
      <c r="H7" s="56">
        <f t="shared" si="0"/>
        <v>497943.26999999996</v>
      </c>
      <c r="I7" s="56">
        <f t="shared" si="0"/>
        <v>823409</v>
      </c>
      <c r="J7" s="56">
        <f t="shared" si="0"/>
        <v>862990.13</v>
      </c>
      <c r="K7" s="56">
        <f t="shared" si="0"/>
        <v>1032821.69</v>
      </c>
      <c r="L7" s="35"/>
      <c r="M7" s="35"/>
      <c r="N7" s="35"/>
      <c r="O7" s="57">
        <f aca="true" t="shared" si="1" ref="O7:O34">SUM(C7:N7)</f>
        <v>4704133.32158</v>
      </c>
    </row>
    <row r="8" spans="1:15" ht="12.75">
      <c r="A8" s="66" t="s">
        <v>31</v>
      </c>
      <c r="B8" s="6" t="s">
        <v>3</v>
      </c>
      <c r="C8" s="3">
        <v>110158.84</v>
      </c>
      <c r="D8" s="3">
        <v>173456.58</v>
      </c>
      <c r="E8" s="3">
        <v>165909.09</v>
      </c>
      <c r="F8" s="3">
        <v>323136.36</v>
      </c>
      <c r="G8" s="3">
        <f>356138.96+2615.3</f>
        <v>358754.26</v>
      </c>
      <c r="H8" s="3">
        <v>386642.85</v>
      </c>
      <c r="I8" s="3">
        <v>208500</v>
      </c>
      <c r="J8" s="3">
        <v>239863.81</v>
      </c>
      <c r="K8" s="3">
        <f>336159.1+7404.6</f>
        <v>343563.69999999995</v>
      </c>
      <c r="L8" s="3"/>
      <c r="M8" s="3"/>
      <c r="N8" s="28"/>
      <c r="O8" s="3">
        <f t="shared" si="1"/>
        <v>2309985.49</v>
      </c>
    </row>
    <row r="9" spans="1:15" ht="12.75">
      <c r="A9" s="67" t="s">
        <v>31</v>
      </c>
      <c r="B9" s="6" t="s">
        <v>76</v>
      </c>
      <c r="C9" s="3">
        <v>28841.29</v>
      </c>
      <c r="D9" s="3">
        <v>45433.96</v>
      </c>
      <c r="E9" s="3">
        <f>E8*26.2%</f>
        <v>43468.181580000004</v>
      </c>
      <c r="F9" s="3">
        <v>84661.72</v>
      </c>
      <c r="G9" s="3">
        <v>93308.33</v>
      </c>
      <c r="H9" s="3">
        <v>101300.42</v>
      </c>
      <c r="I9" s="3">
        <v>54627</v>
      </c>
      <c r="J9" s="3">
        <v>62844.32</v>
      </c>
      <c r="K9" s="3">
        <v>88073.69</v>
      </c>
      <c r="L9" s="3"/>
      <c r="M9" s="3"/>
      <c r="N9" s="3"/>
      <c r="O9" s="3">
        <f t="shared" si="1"/>
        <v>602558.9115800001</v>
      </c>
    </row>
    <row r="10" spans="1:15" ht="12.75">
      <c r="A10" s="67" t="s">
        <v>31</v>
      </c>
      <c r="B10" s="6" t="s">
        <v>4</v>
      </c>
      <c r="C10" s="3"/>
      <c r="D10" s="3"/>
      <c r="E10" s="3"/>
      <c r="F10" s="3"/>
      <c r="G10" s="3"/>
      <c r="H10" s="3"/>
      <c r="I10" s="29"/>
      <c r="J10" s="29"/>
      <c r="K10" s="29"/>
      <c r="L10" s="29"/>
      <c r="M10" s="29"/>
      <c r="N10" s="3"/>
      <c r="O10" s="3">
        <f t="shared" si="1"/>
        <v>0</v>
      </c>
    </row>
    <row r="11" spans="1:15" ht="12.75">
      <c r="A11" s="67" t="s">
        <v>31</v>
      </c>
      <c r="B11" s="6" t="s">
        <v>63</v>
      </c>
      <c r="C11" s="3"/>
      <c r="D11" s="3">
        <v>1228.09</v>
      </c>
      <c r="E11" s="3">
        <v>301</v>
      </c>
      <c r="F11" s="3">
        <v>1320</v>
      </c>
      <c r="G11" s="3">
        <v>6991.53</v>
      </c>
      <c r="H11" s="3"/>
      <c r="I11" s="3">
        <f>550282</f>
        <v>550282</v>
      </c>
      <c r="J11" s="3">
        <f>550282</f>
        <v>550282</v>
      </c>
      <c r="K11" s="3">
        <f>134.5+591049.8</f>
        <v>591184.3</v>
      </c>
      <c r="L11" s="29"/>
      <c r="M11" s="29"/>
      <c r="N11" s="3"/>
      <c r="O11" s="3">
        <f t="shared" si="1"/>
        <v>1701588.9200000002</v>
      </c>
    </row>
    <row r="12" spans="1:15" ht="13.5">
      <c r="A12" s="67"/>
      <c r="B12" s="31" t="s">
        <v>64</v>
      </c>
      <c r="C12" s="27">
        <f aca="true" t="shared" si="2" ref="C12:H12">SUM(C8:C11)</f>
        <v>139000.13</v>
      </c>
      <c r="D12" s="27">
        <f t="shared" si="2"/>
        <v>220118.62999999998</v>
      </c>
      <c r="E12" s="27">
        <f t="shared" si="2"/>
        <v>209678.27158</v>
      </c>
      <c r="F12" s="27">
        <f t="shared" si="2"/>
        <v>409118.07999999996</v>
      </c>
      <c r="G12" s="27">
        <f t="shared" si="2"/>
        <v>459054.12000000005</v>
      </c>
      <c r="H12" s="27">
        <f t="shared" si="2"/>
        <v>487943.26999999996</v>
      </c>
      <c r="I12" s="27">
        <f>SUM(I8:I11)</f>
        <v>813409</v>
      </c>
      <c r="J12" s="27">
        <f>SUM(J8:J11)</f>
        <v>852990.13</v>
      </c>
      <c r="K12" s="27">
        <f>SUM(K8:K11)</f>
        <v>1022821.69</v>
      </c>
      <c r="L12" s="29"/>
      <c r="M12" s="29"/>
      <c r="N12" s="3"/>
      <c r="O12" s="27">
        <f t="shared" si="1"/>
        <v>4614133.32158</v>
      </c>
    </row>
    <row r="13" spans="1:15" ht="12.75">
      <c r="A13" s="67" t="s">
        <v>31</v>
      </c>
      <c r="B13" s="6" t="s">
        <v>55</v>
      </c>
      <c r="C13" s="3">
        <v>10000</v>
      </c>
      <c r="D13" s="3">
        <v>10000</v>
      </c>
      <c r="E13" s="3">
        <v>10000</v>
      </c>
      <c r="F13" s="3">
        <v>10000</v>
      </c>
      <c r="G13" s="3">
        <v>10000</v>
      </c>
      <c r="H13" s="3">
        <v>10000</v>
      </c>
      <c r="I13" s="3">
        <v>10000</v>
      </c>
      <c r="J13" s="3">
        <v>10000</v>
      </c>
      <c r="K13" s="3">
        <v>10000</v>
      </c>
      <c r="L13" s="3">
        <v>10000</v>
      </c>
      <c r="M13" s="3">
        <v>10000</v>
      </c>
      <c r="N13" s="3">
        <v>10000</v>
      </c>
      <c r="O13" s="3">
        <v>10000</v>
      </c>
    </row>
    <row r="14" spans="1:15" ht="13.5">
      <c r="A14" s="68">
        <v>2</v>
      </c>
      <c r="B14" s="53"/>
      <c r="C14" s="34">
        <f aca="true" t="shared" si="3" ref="C14:K14">C19+C20</f>
        <v>73100</v>
      </c>
      <c r="D14" s="34">
        <f>D19+D20</f>
        <v>73100</v>
      </c>
      <c r="E14" s="34">
        <f t="shared" si="3"/>
        <v>10000</v>
      </c>
      <c r="F14" s="34">
        <f>F19+F20</f>
        <v>50346.61</v>
      </c>
      <c r="G14" s="34">
        <f t="shared" si="3"/>
        <v>121765.42</v>
      </c>
      <c r="H14" s="34">
        <f t="shared" si="3"/>
        <v>10000</v>
      </c>
      <c r="I14" s="34">
        <f t="shared" si="3"/>
        <v>10000</v>
      </c>
      <c r="J14" s="34">
        <f t="shared" si="3"/>
        <v>10000</v>
      </c>
      <c r="K14" s="34">
        <f t="shared" si="3"/>
        <v>10000</v>
      </c>
      <c r="L14" s="34"/>
      <c r="M14" s="34"/>
      <c r="N14" s="34"/>
      <c r="O14" s="57">
        <f t="shared" si="1"/>
        <v>368312.02999999997</v>
      </c>
    </row>
    <row r="15" spans="1:15" ht="12.75">
      <c r="A15" s="69" t="s">
        <v>31</v>
      </c>
      <c r="B15" s="6" t="s">
        <v>3</v>
      </c>
      <c r="C15" s="3">
        <v>50000</v>
      </c>
      <c r="D15" s="3">
        <v>50000</v>
      </c>
      <c r="E15" s="3"/>
      <c r="F15" s="3">
        <v>25000</v>
      </c>
      <c r="G15" s="3">
        <v>20000</v>
      </c>
      <c r="H15" s="3"/>
      <c r="I15" s="3"/>
      <c r="J15" s="3"/>
      <c r="K15" s="3"/>
      <c r="L15" s="3"/>
      <c r="M15" s="3"/>
      <c r="N15" s="32"/>
      <c r="O15" s="3">
        <f t="shared" si="1"/>
        <v>145000</v>
      </c>
    </row>
    <row r="16" spans="1:15" ht="12.75">
      <c r="A16" s="70" t="s">
        <v>31</v>
      </c>
      <c r="B16" s="6" t="s">
        <v>76</v>
      </c>
      <c r="C16" s="3">
        <f>C15*26.2%</f>
        <v>13100</v>
      </c>
      <c r="D16" s="3">
        <f>D15*26.2%</f>
        <v>13100</v>
      </c>
      <c r="E16" s="3">
        <f>E15*12%</f>
        <v>0</v>
      </c>
      <c r="F16" s="3">
        <v>6550</v>
      </c>
      <c r="G16" s="3">
        <f>G15*26.2%</f>
        <v>5240</v>
      </c>
      <c r="H16" s="3">
        <f>H15*12%</f>
        <v>0</v>
      </c>
      <c r="I16" s="3"/>
      <c r="J16" s="3"/>
      <c r="K16" s="3"/>
      <c r="L16" s="3"/>
      <c r="M16" s="3"/>
      <c r="N16" s="3"/>
      <c r="O16" s="3">
        <f t="shared" si="1"/>
        <v>37990</v>
      </c>
    </row>
    <row r="17" spans="1:15" ht="12.75">
      <c r="A17" s="70" t="s">
        <v>31</v>
      </c>
      <c r="B17" s="6" t="s">
        <v>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1"/>
        <v>0</v>
      </c>
    </row>
    <row r="18" spans="1:15" ht="12.75">
      <c r="A18" s="70" t="s">
        <v>31</v>
      </c>
      <c r="B18" s="6" t="s">
        <v>63</v>
      </c>
      <c r="C18" s="3"/>
      <c r="D18" s="3"/>
      <c r="E18" s="3"/>
      <c r="F18" s="3">
        <v>8796.61</v>
      </c>
      <c r="G18" s="3">
        <v>86525.42</v>
      </c>
      <c r="H18" s="3"/>
      <c r="I18" s="3"/>
      <c r="J18" s="3"/>
      <c r="K18" s="3"/>
      <c r="L18" s="3"/>
      <c r="M18" s="3"/>
      <c r="N18" s="3"/>
      <c r="O18" s="3">
        <f t="shared" si="1"/>
        <v>95322.03</v>
      </c>
    </row>
    <row r="19" spans="1:15" ht="13.5">
      <c r="A19" s="70"/>
      <c r="B19" s="31" t="s">
        <v>64</v>
      </c>
      <c r="C19" s="27">
        <f aca="true" t="shared" si="4" ref="C19:H19">SUM(C15:C18)</f>
        <v>63100</v>
      </c>
      <c r="D19" s="27">
        <f t="shared" si="4"/>
        <v>63100</v>
      </c>
      <c r="E19" s="27">
        <f t="shared" si="4"/>
        <v>0</v>
      </c>
      <c r="F19" s="27">
        <f t="shared" si="4"/>
        <v>40346.61</v>
      </c>
      <c r="G19" s="27">
        <f t="shared" si="4"/>
        <v>111765.42</v>
      </c>
      <c r="H19" s="27">
        <f t="shared" si="4"/>
        <v>0</v>
      </c>
      <c r="I19" s="27">
        <f>SUM(I15:I18)</f>
        <v>0</v>
      </c>
      <c r="J19" s="27">
        <f>SUM(J15:J18)</f>
        <v>0</v>
      </c>
      <c r="K19" s="27">
        <f>SUM(K15:K18)</f>
        <v>0</v>
      </c>
      <c r="L19" s="3"/>
      <c r="M19" s="3"/>
      <c r="N19" s="3"/>
      <c r="O19" s="27">
        <f t="shared" si="1"/>
        <v>278312.02999999997</v>
      </c>
    </row>
    <row r="20" spans="1:15" ht="12.75">
      <c r="A20" s="70" t="s">
        <v>31</v>
      </c>
      <c r="B20" s="6" t="s">
        <v>55</v>
      </c>
      <c r="C20" s="3">
        <v>10000</v>
      </c>
      <c r="D20" s="3">
        <v>10000</v>
      </c>
      <c r="E20" s="3">
        <v>10000</v>
      </c>
      <c r="F20" s="3">
        <v>10000</v>
      </c>
      <c r="G20" s="3">
        <v>10000</v>
      </c>
      <c r="H20" s="3">
        <v>10000</v>
      </c>
      <c r="I20" s="3">
        <v>10000</v>
      </c>
      <c r="J20" s="3">
        <v>10000</v>
      </c>
      <c r="K20" s="3">
        <v>10000</v>
      </c>
      <c r="L20" s="3">
        <v>10000</v>
      </c>
      <c r="M20" s="3">
        <v>10000</v>
      </c>
      <c r="N20" s="3">
        <v>10000</v>
      </c>
      <c r="O20" s="3">
        <v>10000</v>
      </c>
    </row>
    <row r="21" spans="1:15" ht="13.5">
      <c r="A21" s="68">
        <v>3</v>
      </c>
      <c r="B21" s="53"/>
      <c r="C21" s="34">
        <f aca="true" t="shared" si="5" ref="C21:K21">C26+C27</f>
        <v>10000</v>
      </c>
      <c r="D21" s="34">
        <f t="shared" si="5"/>
        <v>10000</v>
      </c>
      <c r="E21" s="34">
        <f t="shared" si="5"/>
        <v>39574.58</v>
      </c>
      <c r="F21" s="34">
        <f t="shared" si="5"/>
        <v>10000</v>
      </c>
      <c r="G21" s="34">
        <f t="shared" si="5"/>
        <v>10000</v>
      </c>
      <c r="H21" s="34">
        <f t="shared" si="5"/>
        <v>10348.09</v>
      </c>
      <c r="I21" s="34">
        <f t="shared" si="5"/>
        <v>10000</v>
      </c>
      <c r="J21" s="34">
        <f t="shared" si="5"/>
        <v>10000</v>
      </c>
      <c r="K21" s="34">
        <f t="shared" si="5"/>
        <v>10000</v>
      </c>
      <c r="L21" s="34"/>
      <c r="M21" s="34"/>
      <c r="N21" s="34"/>
      <c r="O21" s="57">
        <f t="shared" si="1"/>
        <v>119922.67</v>
      </c>
    </row>
    <row r="22" spans="1:15" ht="12.75">
      <c r="A22" s="69" t="s">
        <v>31</v>
      </c>
      <c r="B22" s="6" t="s">
        <v>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5"/>
      <c r="O22" s="3">
        <f t="shared" si="1"/>
        <v>0</v>
      </c>
    </row>
    <row r="23" spans="1:15" ht="12.75">
      <c r="A23" s="70" t="s">
        <v>31</v>
      </c>
      <c r="B23" s="6" t="s">
        <v>76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5"/>
      <c r="O23" s="3">
        <f t="shared" si="1"/>
        <v>0</v>
      </c>
    </row>
    <row r="24" spans="1:15" ht="12.75">
      <c r="A24" s="70" t="s">
        <v>31</v>
      </c>
      <c r="B24" s="6" t="s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1"/>
        <v>0</v>
      </c>
    </row>
    <row r="25" spans="1:15" ht="12.75">
      <c r="A25" s="70" t="s">
        <v>31</v>
      </c>
      <c r="B25" s="6" t="s">
        <v>63</v>
      </c>
      <c r="C25" s="3"/>
      <c r="D25" s="3"/>
      <c r="E25" s="3">
        <v>29574.58</v>
      </c>
      <c r="F25" s="3"/>
      <c r="G25" s="3"/>
      <c r="H25" s="3">
        <v>348.09</v>
      </c>
      <c r="I25" s="3"/>
      <c r="J25" s="3"/>
      <c r="K25" s="3"/>
      <c r="L25" s="3"/>
      <c r="M25" s="3"/>
      <c r="N25" s="15"/>
      <c r="O25" s="3">
        <f t="shared" si="1"/>
        <v>29922.670000000002</v>
      </c>
    </row>
    <row r="26" spans="1:15" ht="13.5">
      <c r="A26" s="70"/>
      <c r="B26" s="31" t="s">
        <v>64</v>
      </c>
      <c r="C26" s="27">
        <f aca="true" t="shared" si="6" ref="C26:H26">SUM(C22:C25)</f>
        <v>0</v>
      </c>
      <c r="D26" s="27">
        <f t="shared" si="6"/>
        <v>0</v>
      </c>
      <c r="E26" s="27">
        <f t="shared" si="6"/>
        <v>29574.58</v>
      </c>
      <c r="F26" s="27">
        <f t="shared" si="6"/>
        <v>0</v>
      </c>
      <c r="G26" s="27">
        <f t="shared" si="6"/>
        <v>0</v>
      </c>
      <c r="H26" s="27">
        <f t="shared" si="6"/>
        <v>348.09</v>
      </c>
      <c r="I26" s="27">
        <f>SUM(I22:I25)</f>
        <v>0</v>
      </c>
      <c r="J26" s="27">
        <f>SUM(J22:J25)</f>
        <v>0</v>
      </c>
      <c r="K26" s="27">
        <f>SUM(K22:K25)</f>
        <v>0</v>
      </c>
      <c r="L26" s="3"/>
      <c r="M26" s="3"/>
      <c r="N26" s="3"/>
      <c r="O26" s="27">
        <f t="shared" si="1"/>
        <v>29922.670000000002</v>
      </c>
    </row>
    <row r="27" spans="1:15" ht="12.75">
      <c r="A27" s="70" t="s">
        <v>31</v>
      </c>
      <c r="B27" s="6" t="s">
        <v>55</v>
      </c>
      <c r="C27" s="3">
        <v>10000</v>
      </c>
      <c r="D27" s="3">
        <v>10000</v>
      </c>
      <c r="E27" s="3">
        <v>10000</v>
      </c>
      <c r="F27" s="3">
        <v>10000</v>
      </c>
      <c r="G27" s="3">
        <v>10000</v>
      </c>
      <c r="H27" s="3">
        <v>10000</v>
      </c>
      <c r="I27" s="3">
        <v>10000</v>
      </c>
      <c r="J27" s="3">
        <v>10000</v>
      </c>
      <c r="K27" s="3">
        <v>10000</v>
      </c>
      <c r="L27" s="3">
        <v>10000</v>
      </c>
      <c r="M27" s="3">
        <v>10000</v>
      </c>
      <c r="N27" s="3">
        <v>10000</v>
      </c>
      <c r="O27" s="3">
        <v>10000</v>
      </c>
    </row>
    <row r="28" spans="1:15" ht="13.5">
      <c r="A28" s="68">
        <v>4</v>
      </c>
      <c r="B28" s="53"/>
      <c r="C28" s="34">
        <f aca="true" t="shared" si="7" ref="C28:K28">C33+C34</f>
        <v>28530.51</v>
      </c>
      <c r="D28" s="34">
        <f t="shared" si="7"/>
        <v>10000</v>
      </c>
      <c r="E28" s="34">
        <f t="shared" si="7"/>
        <v>10000</v>
      </c>
      <c r="F28" s="34">
        <f t="shared" si="7"/>
        <v>10000</v>
      </c>
      <c r="G28" s="34">
        <f t="shared" si="7"/>
        <v>10000</v>
      </c>
      <c r="H28" s="34">
        <f t="shared" si="7"/>
        <v>10000</v>
      </c>
      <c r="I28" s="34">
        <f t="shared" si="7"/>
        <v>10000</v>
      </c>
      <c r="J28" s="34">
        <f t="shared" si="7"/>
        <v>10000</v>
      </c>
      <c r="K28" s="34">
        <f t="shared" si="7"/>
        <v>10000</v>
      </c>
      <c r="L28" s="34"/>
      <c r="M28" s="34"/>
      <c r="N28" s="34"/>
      <c r="O28" s="57">
        <f t="shared" si="1"/>
        <v>108530.51</v>
      </c>
    </row>
    <row r="29" spans="1:15" ht="12.75">
      <c r="A29" s="69" t="s">
        <v>31</v>
      </c>
      <c r="B29" s="6" t="s">
        <v>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5"/>
      <c r="O29" s="3">
        <f t="shared" si="1"/>
        <v>0</v>
      </c>
    </row>
    <row r="30" spans="1:15" ht="12.75">
      <c r="A30" s="70" t="s">
        <v>31</v>
      </c>
      <c r="B30" s="6" t="s">
        <v>76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f t="shared" si="1"/>
        <v>0</v>
      </c>
    </row>
    <row r="31" spans="1:15" ht="12.75">
      <c r="A31" s="70" t="s">
        <v>31</v>
      </c>
      <c r="B31" s="6" t="s">
        <v>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f t="shared" si="1"/>
        <v>0</v>
      </c>
    </row>
    <row r="32" spans="1:15" ht="12.75">
      <c r="A32" s="70" t="s">
        <v>31</v>
      </c>
      <c r="B32" s="6" t="s">
        <v>63</v>
      </c>
      <c r="C32" s="3">
        <v>18530.51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15"/>
      <c r="O32" s="3">
        <f t="shared" si="1"/>
        <v>18530.51</v>
      </c>
    </row>
    <row r="33" spans="1:15" ht="13.5">
      <c r="A33" s="70"/>
      <c r="B33" s="31" t="s">
        <v>64</v>
      </c>
      <c r="C33" s="27">
        <f aca="true" t="shared" si="8" ref="C33:H33">SUM(C29:C32)</f>
        <v>18530.51</v>
      </c>
      <c r="D33" s="27">
        <f t="shared" si="8"/>
        <v>0</v>
      </c>
      <c r="E33" s="27">
        <f t="shared" si="8"/>
        <v>0</v>
      </c>
      <c r="F33" s="27">
        <f t="shared" si="8"/>
        <v>0</v>
      </c>
      <c r="G33" s="27">
        <f t="shared" si="8"/>
        <v>0</v>
      </c>
      <c r="H33" s="27">
        <f t="shared" si="8"/>
        <v>0</v>
      </c>
      <c r="I33" s="27">
        <f>SUM(I29:I32)</f>
        <v>0</v>
      </c>
      <c r="J33" s="27">
        <f>SUM(J29:J32)</f>
        <v>0</v>
      </c>
      <c r="K33" s="27">
        <f>SUM(K29:K32)</f>
        <v>0</v>
      </c>
      <c r="L33" s="3"/>
      <c r="M33" s="3"/>
      <c r="N33" s="3"/>
      <c r="O33" s="27">
        <f t="shared" si="1"/>
        <v>18530.51</v>
      </c>
    </row>
    <row r="34" spans="1:15" ht="12.75">
      <c r="A34" s="70" t="s">
        <v>31</v>
      </c>
      <c r="B34" s="6" t="s">
        <v>55</v>
      </c>
      <c r="C34" s="3">
        <v>10000</v>
      </c>
      <c r="D34" s="3">
        <v>10000</v>
      </c>
      <c r="E34" s="3">
        <v>10000</v>
      </c>
      <c r="F34" s="3">
        <v>10000</v>
      </c>
      <c r="G34" s="3">
        <v>10000</v>
      </c>
      <c r="H34" s="3">
        <v>10000</v>
      </c>
      <c r="I34" s="3">
        <v>10000</v>
      </c>
      <c r="J34" s="3">
        <v>10000</v>
      </c>
      <c r="K34" s="3">
        <v>10000</v>
      </c>
      <c r="L34" s="3">
        <v>10000</v>
      </c>
      <c r="M34" s="3">
        <v>10000</v>
      </c>
      <c r="N34" s="3">
        <v>10000</v>
      </c>
      <c r="O34" s="3">
        <v>10000</v>
      </c>
    </row>
    <row r="35" spans="1:15" ht="13.5">
      <c r="A35" s="68">
        <v>5</v>
      </c>
      <c r="B35" s="53"/>
      <c r="C35" s="34">
        <f aca="true" t="shared" si="9" ref="C35:K35">C40+C41</f>
        <v>10000</v>
      </c>
      <c r="D35" s="34">
        <f t="shared" si="9"/>
        <v>47195.79</v>
      </c>
      <c r="E35" s="34">
        <f t="shared" si="9"/>
        <v>98340</v>
      </c>
      <c r="F35" s="34">
        <f t="shared" si="9"/>
        <v>10000</v>
      </c>
      <c r="G35" s="34">
        <f t="shared" si="9"/>
        <v>25190.75</v>
      </c>
      <c r="H35" s="34">
        <f t="shared" si="9"/>
        <v>104650</v>
      </c>
      <c r="I35" s="34">
        <f>I40+I41</f>
        <v>12938.14</v>
      </c>
      <c r="J35" s="34">
        <f t="shared" si="9"/>
        <v>10000</v>
      </c>
      <c r="K35" s="34">
        <f t="shared" si="9"/>
        <v>10000</v>
      </c>
      <c r="L35" s="34">
        <f>L40+L41</f>
        <v>10000</v>
      </c>
      <c r="M35" s="34">
        <f>M40+M41</f>
        <v>10000</v>
      </c>
      <c r="N35" s="34"/>
      <c r="O35" s="57">
        <f>C35+D35+E35+F35+G35+H35+I35+J35+K35</f>
        <v>328314.68000000005</v>
      </c>
    </row>
    <row r="36" spans="1:15" ht="12.75">
      <c r="A36" s="69" t="s">
        <v>31</v>
      </c>
      <c r="B36" s="6" t="s">
        <v>3</v>
      </c>
      <c r="C36" s="3"/>
      <c r="D36" s="3">
        <v>29473.68</v>
      </c>
      <c r="E36" s="3">
        <v>70000</v>
      </c>
      <c r="F36" s="3"/>
      <c r="G36" s="3">
        <v>12037.04</v>
      </c>
      <c r="H36" s="3">
        <v>75000</v>
      </c>
      <c r="I36" s="3"/>
      <c r="J36" s="3"/>
      <c r="K36" s="3"/>
      <c r="L36" s="3"/>
      <c r="M36" s="3"/>
      <c r="N36" s="15"/>
      <c r="O36" s="3">
        <f>SUM(C36:N36)</f>
        <v>186510.72</v>
      </c>
    </row>
    <row r="37" spans="1:15" ht="12.75">
      <c r="A37" s="70" t="s">
        <v>31</v>
      </c>
      <c r="B37" s="6" t="s">
        <v>76</v>
      </c>
      <c r="C37" s="3"/>
      <c r="D37" s="3">
        <v>7722.11</v>
      </c>
      <c r="E37" s="3">
        <f>E36*26.2%</f>
        <v>18340</v>
      </c>
      <c r="F37" s="3"/>
      <c r="G37" s="3">
        <v>3153.71</v>
      </c>
      <c r="H37" s="3">
        <f>H36*26.2%</f>
        <v>19650</v>
      </c>
      <c r="I37" s="3"/>
      <c r="J37" s="3"/>
      <c r="K37" s="3"/>
      <c r="L37" s="3"/>
      <c r="M37" s="3"/>
      <c r="N37" s="3"/>
      <c r="O37" s="3">
        <f>SUM(C37:N37)</f>
        <v>48865.82</v>
      </c>
    </row>
    <row r="38" spans="1:15" ht="12.75">
      <c r="A38" s="70" t="s">
        <v>31</v>
      </c>
      <c r="B38" s="6" t="s">
        <v>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f>SUM(C38:N38)</f>
        <v>0</v>
      </c>
    </row>
    <row r="39" spans="1:15" ht="12.75">
      <c r="A39" s="70" t="s">
        <v>31</v>
      </c>
      <c r="B39" s="6" t="s">
        <v>63</v>
      </c>
      <c r="C39" s="3"/>
      <c r="D39" s="3"/>
      <c r="E39" s="3"/>
      <c r="F39" s="3"/>
      <c r="G39" s="3"/>
      <c r="H39" s="3"/>
      <c r="I39" s="3">
        <v>2938.14</v>
      </c>
      <c r="J39" s="3"/>
      <c r="K39" s="3"/>
      <c r="L39" s="3"/>
      <c r="M39" s="3"/>
      <c r="N39" s="15"/>
      <c r="O39" s="3">
        <f>SUM(C39:N39)</f>
        <v>2938.14</v>
      </c>
    </row>
    <row r="40" spans="1:15" ht="13.5">
      <c r="A40" s="70"/>
      <c r="B40" s="31" t="s">
        <v>64</v>
      </c>
      <c r="C40" s="27">
        <f aca="true" t="shared" si="10" ref="C40:H40">SUM(C36:C39)</f>
        <v>0</v>
      </c>
      <c r="D40" s="27">
        <f t="shared" si="10"/>
        <v>37195.79</v>
      </c>
      <c r="E40" s="27">
        <f t="shared" si="10"/>
        <v>88340</v>
      </c>
      <c r="F40" s="27">
        <f t="shared" si="10"/>
        <v>0</v>
      </c>
      <c r="G40" s="27">
        <f t="shared" si="10"/>
        <v>15190.75</v>
      </c>
      <c r="H40" s="27">
        <f t="shared" si="10"/>
        <v>94650</v>
      </c>
      <c r="I40" s="27">
        <f aca="true" t="shared" si="11" ref="I40:N40">SUM(I36:I39)</f>
        <v>2938.14</v>
      </c>
      <c r="J40" s="27">
        <f t="shared" si="11"/>
        <v>0</v>
      </c>
      <c r="K40" s="27">
        <f t="shared" si="11"/>
        <v>0</v>
      </c>
      <c r="L40" s="27">
        <f>SUM(L36:L39)</f>
        <v>0</v>
      </c>
      <c r="M40" s="27">
        <f>SUM(M36:M39)</f>
        <v>0</v>
      </c>
      <c r="N40" s="27">
        <f t="shared" si="11"/>
        <v>0</v>
      </c>
      <c r="O40" s="27">
        <f>SUM(C40:N40)</f>
        <v>238314.68000000002</v>
      </c>
    </row>
    <row r="41" spans="1:15" ht="12.75">
      <c r="A41" s="30" t="s">
        <v>31</v>
      </c>
      <c r="B41" s="6" t="s">
        <v>55</v>
      </c>
      <c r="C41" s="3">
        <v>10000</v>
      </c>
      <c r="D41" s="3">
        <v>10000</v>
      </c>
      <c r="E41" s="3">
        <v>10000</v>
      </c>
      <c r="F41" s="3">
        <v>10000</v>
      </c>
      <c r="G41" s="3">
        <v>10000</v>
      </c>
      <c r="H41" s="3">
        <v>10000</v>
      </c>
      <c r="I41" s="3">
        <v>10000</v>
      </c>
      <c r="J41" s="3">
        <v>10000</v>
      </c>
      <c r="K41" s="3">
        <v>10000</v>
      </c>
      <c r="L41" s="3">
        <v>10000</v>
      </c>
      <c r="M41" s="3">
        <v>10000</v>
      </c>
      <c r="N41" s="3">
        <v>10000</v>
      </c>
      <c r="O41" s="3">
        <v>10000</v>
      </c>
    </row>
    <row r="42" spans="1:15" ht="13.5">
      <c r="A42" s="33">
        <v>6</v>
      </c>
      <c r="B42" s="53"/>
      <c r="C42" s="34">
        <f aca="true" t="shared" si="12" ref="C42:L42">C47+C48</f>
        <v>10000</v>
      </c>
      <c r="D42" s="34">
        <f t="shared" si="12"/>
        <v>125572.64</v>
      </c>
      <c r="E42" s="34">
        <f t="shared" si="12"/>
        <v>224540</v>
      </c>
      <c r="F42" s="34">
        <f t="shared" si="12"/>
        <v>41550</v>
      </c>
      <c r="G42" s="34">
        <f t="shared" si="12"/>
        <v>150581.37</v>
      </c>
      <c r="H42" s="34">
        <f t="shared" si="12"/>
        <v>655189.0599999999</v>
      </c>
      <c r="I42" s="34">
        <f t="shared" si="12"/>
        <v>294127.66000000003</v>
      </c>
      <c r="J42" s="34">
        <f t="shared" si="12"/>
        <v>1735829.1099999999</v>
      </c>
      <c r="K42" s="34">
        <f t="shared" si="12"/>
        <v>74268.8</v>
      </c>
      <c r="L42" s="34">
        <f t="shared" si="12"/>
        <v>10000</v>
      </c>
      <c r="M42" s="34">
        <f>M47+M48</f>
        <v>10000</v>
      </c>
      <c r="N42" s="34"/>
      <c r="O42" s="57">
        <f>C42+D42+E42+F42+G42+H42+I42+J42+K42</f>
        <v>3311658.6399999997</v>
      </c>
    </row>
    <row r="43" spans="1:15" ht="12.75">
      <c r="A43" s="29" t="s">
        <v>31</v>
      </c>
      <c r="B43" s="6" t="s">
        <v>3</v>
      </c>
      <c r="C43" s="3"/>
      <c r="D43" s="3">
        <v>91578.95</v>
      </c>
      <c r="E43" s="3">
        <v>170000</v>
      </c>
      <c r="F43" s="3">
        <v>25000</v>
      </c>
      <c r="G43" s="3">
        <f>94098.06+21829.61</f>
        <v>115927.67</v>
      </c>
      <c r="H43" s="3">
        <f>57952.98+14306.47</f>
        <v>72259.45</v>
      </c>
      <c r="I43" s="3">
        <v>19138.24</v>
      </c>
      <c r="J43" s="3">
        <v>83623.92</v>
      </c>
      <c r="K43" s="3">
        <v>50000</v>
      </c>
      <c r="L43" s="3"/>
      <c r="M43" s="3"/>
      <c r="N43" s="15"/>
      <c r="O43" s="3">
        <f>SUM(C43:N43)</f>
        <v>627528.23</v>
      </c>
    </row>
    <row r="44" spans="1:15" ht="12.75">
      <c r="A44" s="30" t="s">
        <v>31</v>
      </c>
      <c r="B44" s="6" t="s">
        <v>76</v>
      </c>
      <c r="C44" s="3"/>
      <c r="D44" s="3">
        <v>23993.69</v>
      </c>
      <c r="E44" s="3">
        <f>E43*26.2%</f>
        <v>44540</v>
      </c>
      <c r="F44" s="3">
        <v>6550</v>
      </c>
      <c r="G44" s="3">
        <v>24653.7</v>
      </c>
      <c r="H44" s="3">
        <v>15167.79</v>
      </c>
      <c r="I44" s="3">
        <v>5014.23</v>
      </c>
      <c r="J44" s="3">
        <v>21872.23</v>
      </c>
      <c r="K44" s="3">
        <v>13100</v>
      </c>
      <c r="L44" s="3"/>
      <c r="M44" s="3"/>
      <c r="N44" s="3"/>
      <c r="O44" s="3">
        <f>SUM(C44:N44)</f>
        <v>154891.63999999998</v>
      </c>
    </row>
    <row r="45" spans="1:15" ht="12.75">
      <c r="A45" s="30" t="s">
        <v>31</v>
      </c>
      <c r="B45" s="6" t="s">
        <v>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f>SUM(C45:N45)</f>
        <v>0</v>
      </c>
    </row>
    <row r="46" spans="1:15" ht="12.75">
      <c r="A46" s="30" t="s">
        <v>31</v>
      </c>
      <c r="B46" s="6" t="s">
        <v>63</v>
      </c>
      <c r="C46" s="3"/>
      <c r="D46" s="3"/>
      <c r="E46" s="3"/>
      <c r="F46" s="3"/>
      <c r="G46" s="3"/>
      <c r="H46" s="3">
        <f>593.22+557168.6</f>
        <v>557761.82</v>
      </c>
      <c r="I46" s="3">
        <v>259975.19</v>
      </c>
      <c r="J46" s="3">
        <v>1620332.96</v>
      </c>
      <c r="K46" s="3">
        <v>1168.8</v>
      </c>
      <c r="L46" s="3"/>
      <c r="M46" s="3"/>
      <c r="N46" s="15"/>
      <c r="O46" s="3">
        <f>SUM(C46:N46)</f>
        <v>2439238.7699999996</v>
      </c>
    </row>
    <row r="47" spans="1:15" ht="13.5">
      <c r="A47" s="30"/>
      <c r="B47" s="31" t="s">
        <v>64</v>
      </c>
      <c r="C47" s="27">
        <f aca="true" t="shared" si="13" ref="C47:H47">SUM(C43:C46)</f>
        <v>0</v>
      </c>
      <c r="D47" s="27">
        <f t="shared" si="13"/>
        <v>115572.64</v>
      </c>
      <c r="E47" s="27">
        <f t="shared" si="13"/>
        <v>214540</v>
      </c>
      <c r="F47" s="27">
        <f t="shared" si="13"/>
        <v>31550</v>
      </c>
      <c r="G47" s="27">
        <f t="shared" si="13"/>
        <v>140581.37</v>
      </c>
      <c r="H47" s="27">
        <f t="shared" si="13"/>
        <v>645189.0599999999</v>
      </c>
      <c r="I47" s="27">
        <f aca="true" t="shared" si="14" ref="I47:N47">SUM(I43:I46)</f>
        <v>284127.66000000003</v>
      </c>
      <c r="J47" s="27">
        <f t="shared" si="14"/>
        <v>1725829.1099999999</v>
      </c>
      <c r="K47" s="27">
        <f t="shared" si="14"/>
        <v>64268.8</v>
      </c>
      <c r="L47" s="27">
        <f t="shared" si="14"/>
        <v>0</v>
      </c>
      <c r="M47" s="27">
        <f t="shared" si="14"/>
        <v>0</v>
      </c>
      <c r="N47" s="27">
        <f t="shared" si="14"/>
        <v>0</v>
      </c>
      <c r="O47" s="27">
        <f>SUM(C47:N47)</f>
        <v>3221658.6399999997</v>
      </c>
    </row>
    <row r="48" spans="1:15" ht="12.75">
      <c r="A48" s="44" t="s">
        <v>31</v>
      </c>
      <c r="B48" s="24" t="s">
        <v>55</v>
      </c>
      <c r="C48" s="3">
        <v>10000</v>
      </c>
      <c r="D48" s="3">
        <v>10000</v>
      </c>
      <c r="E48" s="3">
        <v>10000</v>
      </c>
      <c r="F48" s="3">
        <v>10000</v>
      </c>
      <c r="G48" s="3">
        <v>10000</v>
      </c>
      <c r="H48" s="3">
        <v>10000</v>
      </c>
      <c r="I48" s="3">
        <v>10000</v>
      </c>
      <c r="J48" s="3">
        <v>10000</v>
      </c>
      <c r="K48" s="3">
        <v>10000</v>
      </c>
      <c r="L48" s="3">
        <v>10000</v>
      </c>
      <c r="M48" s="3">
        <v>10000</v>
      </c>
      <c r="N48" s="3">
        <v>10000</v>
      </c>
      <c r="O48" s="3">
        <v>10000</v>
      </c>
    </row>
    <row r="49" spans="1:15" ht="13.5">
      <c r="A49" s="54">
        <v>7</v>
      </c>
      <c r="B49" s="55"/>
      <c r="C49" s="56">
        <f aca="true" t="shared" si="15" ref="C49:N49">C54+C55</f>
        <v>10000</v>
      </c>
      <c r="D49" s="56">
        <f t="shared" si="15"/>
        <v>29405.08</v>
      </c>
      <c r="E49" s="56">
        <f t="shared" si="15"/>
        <v>10000</v>
      </c>
      <c r="F49" s="56">
        <f t="shared" si="15"/>
        <v>10000</v>
      </c>
      <c r="G49" s="56">
        <f t="shared" si="15"/>
        <v>10000</v>
      </c>
      <c r="H49" s="56">
        <f t="shared" si="15"/>
        <v>10000</v>
      </c>
      <c r="I49" s="56">
        <f t="shared" si="15"/>
        <v>10000</v>
      </c>
      <c r="J49" s="56">
        <f t="shared" si="15"/>
        <v>10000</v>
      </c>
      <c r="K49" s="56">
        <f t="shared" si="15"/>
        <v>10000</v>
      </c>
      <c r="L49" s="56">
        <f t="shared" si="15"/>
        <v>10000</v>
      </c>
      <c r="M49" s="56">
        <f t="shared" si="15"/>
        <v>10000</v>
      </c>
      <c r="N49" s="56">
        <f t="shared" si="15"/>
        <v>10000</v>
      </c>
      <c r="O49" s="57">
        <f>C49+D49+E49+F49+G49+H49+I49+J49+K49</f>
        <v>109405.08</v>
      </c>
    </row>
    <row r="50" spans="1:15" ht="12.75">
      <c r="A50" s="29" t="s">
        <v>31</v>
      </c>
      <c r="B50" s="6" t="s">
        <v>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5"/>
      <c r="O50" s="3">
        <f>SUM(C50:N50)</f>
        <v>0</v>
      </c>
    </row>
    <row r="51" spans="1:15" ht="12.75">
      <c r="A51" s="30" t="s">
        <v>31</v>
      </c>
      <c r="B51" s="6" t="s">
        <v>76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5"/>
      <c r="O51" s="3">
        <f>SUM(C51:N51)</f>
        <v>0</v>
      </c>
    </row>
    <row r="52" spans="1:15" ht="12.75">
      <c r="A52" s="30" t="s">
        <v>31</v>
      </c>
      <c r="B52" s="6" t="s">
        <v>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f>SUM(C52:N52)</f>
        <v>0</v>
      </c>
    </row>
    <row r="53" spans="1:15" ht="12.75">
      <c r="A53" s="30" t="s">
        <v>31</v>
      </c>
      <c r="B53" s="6" t="s">
        <v>63</v>
      </c>
      <c r="C53" s="3"/>
      <c r="D53" s="3">
        <v>19405.08</v>
      </c>
      <c r="E53" s="3"/>
      <c r="F53" s="3"/>
      <c r="G53" s="3"/>
      <c r="H53" s="3"/>
      <c r="I53" s="3"/>
      <c r="J53" s="3"/>
      <c r="K53" s="3"/>
      <c r="L53" s="3"/>
      <c r="M53" s="3"/>
      <c r="N53" s="15"/>
      <c r="O53" s="3">
        <f>SUM(C53:N53)</f>
        <v>19405.08</v>
      </c>
    </row>
    <row r="54" spans="1:15" ht="13.5">
      <c r="A54" s="30"/>
      <c r="B54" s="31" t="s">
        <v>64</v>
      </c>
      <c r="C54" s="27">
        <f aca="true" t="shared" si="16" ref="C54:H54">SUM(C50:C53)</f>
        <v>0</v>
      </c>
      <c r="D54" s="27">
        <f t="shared" si="16"/>
        <v>19405.08</v>
      </c>
      <c r="E54" s="27">
        <f t="shared" si="16"/>
        <v>0</v>
      </c>
      <c r="F54" s="27">
        <f t="shared" si="16"/>
        <v>0</v>
      </c>
      <c r="G54" s="27">
        <f t="shared" si="16"/>
        <v>0</v>
      </c>
      <c r="H54" s="27">
        <f t="shared" si="16"/>
        <v>0</v>
      </c>
      <c r="I54" s="27">
        <f aca="true" t="shared" si="17" ref="I54:N54">SUM(I50:I53)</f>
        <v>0</v>
      </c>
      <c r="J54" s="27">
        <f t="shared" si="17"/>
        <v>0</v>
      </c>
      <c r="K54" s="27">
        <f t="shared" si="17"/>
        <v>0</v>
      </c>
      <c r="L54" s="27">
        <f t="shared" si="17"/>
        <v>0</v>
      </c>
      <c r="M54" s="27">
        <f t="shared" si="17"/>
        <v>0</v>
      </c>
      <c r="N54" s="27">
        <f t="shared" si="17"/>
        <v>0</v>
      </c>
      <c r="O54" s="27">
        <f>SUM(C54:N54)</f>
        <v>19405.08</v>
      </c>
    </row>
    <row r="55" spans="1:15" ht="12.75">
      <c r="A55" s="30" t="s">
        <v>31</v>
      </c>
      <c r="B55" s="6" t="s">
        <v>55</v>
      </c>
      <c r="C55" s="3">
        <v>10000</v>
      </c>
      <c r="D55" s="3">
        <v>10000</v>
      </c>
      <c r="E55" s="3">
        <v>10000</v>
      </c>
      <c r="F55" s="3">
        <v>10000</v>
      </c>
      <c r="G55" s="3">
        <v>10000</v>
      </c>
      <c r="H55" s="3">
        <v>10000</v>
      </c>
      <c r="I55" s="3">
        <v>10000</v>
      </c>
      <c r="J55" s="3">
        <v>10000</v>
      </c>
      <c r="K55" s="3">
        <v>10000</v>
      </c>
      <c r="L55" s="3">
        <v>10000</v>
      </c>
      <c r="M55" s="3">
        <v>10000</v>
      </c>
      <c r="N55" s="3">
        <v>10000</v>
      </c>
      <c r="O55" s="3">
        <v>10000</v>
      </c>
    </row>
    <row r="56" spans="1:15" ht="13.5">
      <c r="A56" s="33">
        <v>8</v>
      </c>
      <c r="B56" s="53"/>
      <c r="C56" s="34">
        <f aca="true" t="shared" si="18" ref="C56:K56">C61+C62</f>
        <v>47860</v>
      </c>
      <c r="D56" s="34">
        <f t="shared" si="18"/>
        <v>137200.12</v>
      </c>
      <c r="E56" s="34">
        <f t="shared" si="18"/>
        <v>160410.5</v>
      </c>
      <c r="F56" s="34">
        <f t="shared" si="18"/>
        <v>172081.83000000002</v>
      </c>
      <c r="G56" s="34">
        <f t="shared" si="18"/>
        <v>93563.95000000001</v>
      </c>
      <c r="H56" s="34">
        <f t="shared" si="18"/>
        <v>3077010.12</v>
      </c>
      <c r="I56" s="34">
        <f t="shared" si="18"/>
        <v>439885.29</v>
      </c>
      <c r="J56" s="34">
        <f t="shared" si="18"/>
        <v>95816</v>
      </c>
      <c r="K56" s="34">
        <f t="shared" si="18"/>
        <v>51646</v>
      </c>
      <c r="L56" s="34"/>
      <c r="M56" s="34"/>
      <c r="N56" s="34"/>
      <c r="O56" s="57">
        <f>C56+D56+E56+F56+G56+H56+I56+J56+K56</f>
        <v>4275473.8100000005</v>
      </c>
    </row>
    <row r="57" spans="1:15" ht="12.75">
      <c r="A57" s="29" t="s">
        <v>31</v>
      </c>
      <c r="B57" s="6" t="s">
        <v>3</v>
      </c>
      <c r="C57" s="3">
        <v>30000</v>
      </c>
      <c r="D57" s="3">
        <v>60000</v>
      </c>
      <c r="E57" s="3">
        <v>114500</v>
      </c>
      <c r="F57" s="3">
        <v>105407.88</v>
      </c>
      <c r="G57" s="3">
        <f>54014.3+14072.39</f>
        <v>68086.69</v>
      </c>
      <c r="H57" s="3">
        <f>35000+32927.18</f>
        <v>67927.18</v>
      </c>
      <c r="I57" s="3">
        <v>30000</v>
      </c>
      <c r="J57" s="3">
        <v>68000</v>
      </c>
      <c r="K57" s="3">
        <v>33000</v>
      </c>
      <c r="L57" s="3"/>
      <c r="M57" s="3"/>
      <c r="N57" s="32"/>
      <c r="O57" s="3">
        <f>SUM(C57:N57)</f>
        <v>576921.75</v>
      </c>
    </row>
    <row r="58" spans="1:15" ht="12.75">
      <c r="A58" s="30" t="s">
        <v>31</v>
      </c>
      <c r="B58" s="6" t="s">
        <v>76</v>
      </c>
      <c r="C58" s="3">
        <f>C57*26.2%</f>
        <v>7860</v>
      </c>
      <c r="D58" s="3">
        <f>D57*26.2%</f>
        <v>15720</v>
      </c>
      <c r="E58" s="3">
        <f>E57*26.2%</f>
        <v>29999</v>
      </c>
      <c r="F58" s="3">
        <v>27616.89</v>
      </c>
      <c r="G58" s="3">
        <v>14151.77</v>
      </c>
      <c r="H58" s="3">
        <v>9170</v>
      </c>
      <c r="I58" s="3">
        <v>7860</v>
      </c>
      <c r="J58" s="3">
        <v>17816</v>
      </c>
      <c r="K58" s="3">
        <v>8646</v>
      </c>
      <c r="L58" s="3"/>
      <c r="M58" s="3"/>
      <c r="N58" s="3"/>
      <c r="O58" s="3">
        <f>SUM(C58:N58)</f>
        <v>138839.66</v>
      </c>
    </row>
    <row r="59" spans="1:15" ht="12.75">
      <c r="A59" s="30" t="s">
        <v>31</v>
      </c>
      <c r="B59" s="6" t="s">
        <v>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f>SUM(C59:N59)</f>
        <v>0</v>
      </c>
    </row>
    <row r="60" spans="1:15" ht="12.75">
      <c r="A60" s="30" t="s">
        <v>31</v>
      </c>
      <c r="B60" s="6" t="s">
        <v>63</v>
      </c>
      <c r="C60" s="3"/>
      <c r="D60" s="3">
        <v>51480.12</v>
      </c>
      <c r="E60" s="3">
        <v>5911.5</v>
      </c>
      <c r="F60" s="3">
        <v>29057.06</v>
      </c>
      <c r="G60" s="3">
        <v>1325.49</v>
      </c>
      <c r="H60" s="3">
        <f>2989912.94</f>
        <v>2989912.94</v>
      </c>
      <c r="I60" s="3">
        <f>2025.29+390000</f>
        <v>392025.29</v>
      </c>
      <c r="J60" s="3"/>
      <c r="K60" s="3"/>
      <c r="L60" s="3"/>
      <c r="M60" s="3"/>
      <c r="N60" s="3"/>
      <c r="O60" s="3">
        <f>SUM(C60:N60)</f>
        <v>3469712.4</v>
      </c>
    </row>
    <row r="61" spans="1:15" ht="13.5">
      <c r="A61" s="30"/>
      <c r="B61" s="31" t="s">
        <v>64</v>
      </c>
      <c r="C61" s="27">
        <f aca="true" t="shared" si="19" ref="C61:H61">SUM(C57:C60)</f>
        <v>37860</v>
      </c>
      <c r="D61" s="27">
        <f t="shared" si="19"/>
        <v>127200.12</v>
      </c>
      <c r="E61" s="27">
        <f t="shared" si="19"/>
        <v>150410.5</v>
      </c>
      <c r="F61" s="27">
        <f t="shared" si="19"/>
        <v>162081.83000000002</v>
      </c>
      <c r="G61" s="27">
        <f t="shared" si="19"/>
        <v>83563.95000000001</v>
      </c>
      <c r="H61" s="27">
        <f t="shared" si="19"/>
        <v>3067010.12</v>
      </c>
      <c r="I61" s="27">
        <f>SUM(I57:I60)</f>
        <v>429885.29</v>
      </c>
      <c r="J61" s="27">
        <f>SUM(J57:J60)</f>
        <v>85816</v>
      </c>
      <c r="K61" s="27">
        <f>SUM(K57:K60)</f>
        <v>41646</v>
      </c>
      <c r="L61" s="3"/>
      <c r="M61" s="3"/>
      <c r="N61" s="3"/>
      <c r="O61" s="27">
        <f>SUM(C61:N61)</f>
        <v>4185473.81</v>
      </c>
    </row>
    <row r="62" spans="1:15" ht="13.5" thickBot="1">
      <c r="A62" s="30" t="s">
        <v>31</v>
      </c>
      <c r="B62" s="6" t="s">
        <v>55</v>
      </c>
      <c r="C62" s="3">
        <v>10000</v>
      </c>
      <c r="D62" s="3">
        <v>10000</v>
      </c>
      <c r="E62" s="3">
        <v>10000</v>
      </c>
      <c r="F62" s="3">
        <v>10000</v>
      </c>
      <c r="G62" s="3">
        <v>10000</v>
      </c>
      <c r="H62" s="3">
        <v>10000</v>
      </c>
      <c r="I62" s="3">
        <v>10000</v>
      </c>
      <c r="J62" s="3">
        <v>10000</v>
      </c>
      <c r="K62" s="3">
        <v>10000</v>
      </c>
      <c r="L62" s="3">
        <v>10000</v>
      </c>
      <c r="M62" s="3">
        <v>10000</v>
      </c>
      <c r="N62" s="3">
        <v>10000</v>
      </c>
      <c r="O62" s="3">
        <v>10000</v>
      </c>
    </row>
    <row r="63" spans="1:15" ht="13.5" thickBot="1">
      <c r="A63" s="36"/>
      <c r="B63" s="37" t="s">
        <v>65</v>
      </c>
      <c r="C63" s="64">
        <f>SUMPRODUCT(C1:C62*(MOD(ROW(C1:C62),6)=7))</f>
        <v>0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</row>
    <row r="64" ht="12.75">
      <c r="I64" s="4"/>
    </row>
  </sheetData>
  <sheetProtection/>
  <autoFilter ref="A5:O63"/>
  <printOptions/>
  <pageMargins left="0.38" right="0.27" top="0.26" bottom="0.75" header="0.21" footer="0.42"/>
  <pageSetup fitToHeight="0" fitToWidth="1" horizontalDpi="600" verticalDpi="600" orientation="landscape" paperSize="9" scale="6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2011-01-27T11:55:15Z</cp:lastPrinted>
  <dcterms:created xsi:type="dcterms:W3CDTF">1996-10-08T23:32:33Z</dcterms:created>
  <dcterms:modified xsi:type="dcterms:W3CDTF">2011-02-06T13:58:52Z</dcterms:modified>
  <cp:category/>
  <cp:version/>
  <cp:contentType/>
  <cp:contentStatus/>
</cp:coreProperties>
</file>