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bookViews>
    <workbookView xWindow="0" yWindow="0" windowWidth="24000" windowHeight="9435"/>
  </bookViews>
  <sheets>
    <sheet name="Смета СН-2012 по гл. 1-5" sheetId="5" r:id="rId1"/>
    <sheet name="кс-2 СН-2012 по гл. 1-5 " sheetId="10" r:id="rId2"/>
    <sheet name="кс3" sheetId="11" r:id="rId3"/>
    <sheet name="Дефектная ведомость" sheetId="6" r:id="rId4"/>
    <sheet name="RV_DATA" sheetId="8" state="hidden" r:id="rId5"/>
    <sheet name="Расчет стоимости ресурсов" sheetId="7" r:id="rId6"/>
    <sheet name="Локальная ресурсная ведомо" sheetId="9" r:id="rId7"/>
    <sheet name="Source" sheetId="1" r:id="rId8"/>
    <sheet name="SourceObSm" sheetId="2" r:id="rId9"/>
    <sheet name="SmtRes" sheetId="3" r:id="rId10"/>
    <sheet name="EtalonRes" sheetId="4" r:id="rId11"/>
  </sheets>
  <externalReferences>
    <externalReference r:id="rId12"/>
    <externalReference r:id="rId13"/>
  </externalReferences>
  <definedNames>
    <definedName name="_xlnm.Print_Titles" localSheetId="3">'Дефектная ведомость'!$18:$18</definedName>
    <definedName name="_xlnm.Print_Titles" localSheetId="1">'кс-2 СН-2012 по гл. 1-5 '!$35:$35</definedName>
    <definedName name="_xlnm.Print_Titles" localSheetId="6">'Локальная ресурсная ведомо'!$16:$16</definedName>
    <definedName name="_xlnm.Print_Titles" localSheetId="5">'Расчет стоимости ресурсов'!$4:$7</definedName>
    <definedName name="_xlnm.Print_Titles" localSheetId="0">'Смета СН-2012 по гл. 1-5'!$30:$30</definedName>
    <definedName name="_xlnm.Print_Area" localSheetId="3">'Дефектная ведомость'!$A$1:$E$100</definedName>
    <definedName name="_xlnm.Print_Area" localSheetId="1">'кс-2 СН-2012 по гл. 1-5 '!$B$1:$L$351</definedName>
    <definedName name="_xlnm.Print_Area" localSheetId="6">'Локальная ресурсная ведомо'!$A$1:$G$209</definedName>
    <definedName name="_xlnm.Print_Area" localSheetId="5">'Расчет стоимости ресурсов'!$A$1:$F$92</definedName>
    <definedName name="_xlnm.Print_Area" localSheetId="0">'Смета СН-2012 по гл. 1-5'!$A$1:$K$346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5" i="5" l="1"/>
  <c r="E21" i="11" l="1"/>
  <c r="K21" i="11" s="1"/>
  <c r="I26" i="10"/>
  <c r="K35" i="11"/>
  <c r="I35" i="11"/>
  <c r="K10" i="11"/>
  <c r="K8" i="11"/>
  <c r="A1" i="11"/>
  <c r="J26" i="10"/>
  <c r="C17" i="10"/>
  <c r="C9" i="10"/>
  <c r="G35" i="11" l="1"/>
  <c r="G34" i="11" s="1"/>
  <c r="I34" i="11"/>
  <c r="K34" i="11"/>
  <c r="K36" i="11"/>
  <c r="K37" i="11" l="1"/>
  <c r="K38" i="11" s="1"/>
  <c r="A1" i="10" l="1"/>
  <c r="J339" i="10"/>
  <c r="D339" i="10"/>
  <c r="J338" i="10"/>
  <c r="D338" i="10"/>
  <c r="B334" i="10"/>
  <c r="F331" i="10"/>
  <c r="K330" i="10"/>
  <c r="J330" i="10"/>
  <c r="I330" i="10"/>
  <c r="H330" i="10"/>
  <c r="G330" i="10"/>
  <c r="K329" i="10"/>
  <c r="J329" i="10"/>
  <c r="I329" i="10"/>
  <c r="H329" i="10"/>
  <c r="G329" i="10"/>
  <c r="W328" i="10"/>
  <c r="K331" i="10" s="1"/>
  <c r="V328" i="10"/>
  <c r="U328" i="10"/>
  <c r="T328" i="10"/>
  <c r="S328" i="10"/>
  <c r="R328" i="10"/>
  <c r="F328" i="10"/>
  <c r="E328" i="10"/>
  <c r="D328" i="10"/>
  <c r="C328" i="10"/>
  <c r="L326" i="10"/>
  <c r="I326" i="10"/>
  <c r="H326" i="10"/>
  <c r="F326" i="10"/>
  <c r="F325" i="10"/>
  <c r="F324" i="10"/>
  <c r="F323" i="10"/>
  <c r="W322" i="10"/>
  <c r="V322" i="10"/>
  <c r="U322" i="10"/>
  <c r="T322" i="10"/>
  <c r="S322" i="10"/>
  <c r="R322" i="10"/>
  <c r="K322" i="10"/>
  <c r="J322" i="10"/>
  <c r="I322" i="10"/>
  <c r="G322" i="10"/>
  <c r="F322" i="10"/>
  <c r="E322" i="10"/>
  <c r="C322" i="10"/>
  <c r="K321" i="10"/>
  <c r="J321" i="10"/>
  <c r="I321" i="10"/>
  <c r="H321" i="10"/>
  <c r="G321" i="10"/>
  <c r="K320" i="10"/>
  <c r="J320" i="10"/>
  <c r="I320" i="10"/>
  <c r="H320" i="10"/>
  <c r="G320" i="10"/>
  <c r="K319" i="10"/>
  <c r="J319" i="10"/>
  <c r="I319" i="10"/>
  <c r="H319" i="10"/>
  <c r="G319" i="10"/>
  <c r="K318" i="10"/>
  <c r="J318" i="10"/>
  <c r="I318" i="10"/>
  <c r="H318" i="10"/>
  <c r="G318" i="10"/>
  <c r="D317" i="10"/>
  <c r="W316" i="10"/>
  <c r="V316" i="10"/>
  <c r="U316" i="10"/>
  <c r="K324" i="10" s="1"/>
  <c r="T316" i="10"/>
  <c r="S316" i="10"/>
  <c r="R316" i="10"/>
  <c r="F316" i="10"/>
  <c r="E316" i="10"/>
  <c r="D316" i="10"/>
  <c r="C316" i="10"/>
  <c r="L314" i="10"/>
  <c r="I314" i="10"/>
  <c r="H314" i="10"/>
  <c r="F314" i="10"/>
  <c r="F313" i="10"/>
  <c r="F312" i="10"/>
  <c r="F311" i="10"/>
  <c r="W310" i="10"/>
  <c r="V310" i="10"/>
  <c r="U310" i="10"/>
  <c r="T310" i="10"/>
  <c r="S310" i="10"/>
  <c r="R310" i="10"/>
  <c r="K310" i="10"/>
  <c r="J310" i="10"/>
  <c r="I310" i="10"/>
  <c r="G310" i="10"/>
  <c r="F310" i="10"/>
  <c r="E310" i="10"/>
  <c r="C310" i="10"/>
  <c r="W309" i="10"/>
  <c r="V309" i="10"/>
  <c r="U309" i="10"/>
  <c r="T309" i="10"/>
  <c r="S309" i="10"/>
  <c r="R309" i="10"/>
  <c r="K309" i="10"/>
  <c r="J309" i="10"/>
  <c r="I309" i="10"/>
  <c r="G309" i="10"/>
  <c r="F309" i="10"/>
  <c r="E309" i="10"/>
  <c r="C309" i="10"/>
  <c r="W308" i="10"/>
  <c r="V308" i="10"/>
  <c r="U308" i="10"/>
  <c r="T308" i="10"/>
  <c r="S308" i="10"/>
  <c r="R308" i="10"/>
  <c r="K308" i="10"/>
  <c r="J308" i="10"/>
  <c r="I308" i="10"/>
  <c r="G308" i="10"/>
  <c r="F308" i="10"/>
  <c r="E308" i="10"/>
  <c r="C308" i="10"/>
  <c r="K307" i="10"/>
  <c r="J307" i="10"/>
  <c r="I307" i="10"/>
  <c r="H307" i="10"/>
  <c r="G307" i="10"/>
  <c r="K306" i="10"/>
  <c r="J306" i="10"/>
  <c r="I306" i="10"/>
  <c r="H306" i="10"/>
  <c r="G306" i="10"/>
  <c r="K305" i="10"/>
  <c r="J305" i="10"/>
  <c r="I305" i="10"/>
  <c r="H305" i="10"/>
  <c r="G305" i="10"/>
  <c r="K304" i="10"/>
  <c r="J304" i="10"/>
  <c r="I304" i="10"/>
  <c r="H304" i="10"/>
  <c r="G304" i="10"/>
  <c r="W303" i="10"/>
  <c r="V303" i="10"/>
  <c r="U303" i="10"/>
  <c r="T303" i="10"/>
  <c r="S303" i="10"/>
  <c r="R303" i="10"/>
  <c r="F303" i="10"/>
  <c r="E303" i="10"/>
  <c r="D303" i="10"/>
  <c r="C303" i="10"/>
  <c r="L301" i="10"/>
  <c r="I301" i="10"/>
  <c r="H301" i="10"/>
  <c r="F301" i="10"/>
  <c r="F300" i="10"/>
  <c r="F299" i="10"/>
  <c r="K298" i="10"/>
  <c r="J298" i="10"/>
  <c r="I298" i="10"/>
  <c r="H298" i="10"/>
  <c r="G298" i="10"/>
  <c r="K297" i="10"/>
  <c r="J297" i="10"/>
  <c r="I297" i="10"/>
  <c r="H297" i="10"/>
  <c r="G297" i="10"/>
  <c r="D296" i="10"/>
  <c r="W295" i="10"/>
  <c r="V295" i="10"/>
  <c r="U295" i="10"/>
  <c r="K300" i="10" s="1"/>
  <c r="T295" i="10"/>
  <c r="S295" i="10"/>
  <c r="K299" i="10" s="1"/>
  <c r="R295" i="10"/>
  <c r="F295" i="10"/>
  <c r="E295" i="10"/>
  <c r="D295" i="10"/>
  <c r="C295" i="10"/>
  <c r="L293" i="10"/>
  <c r="I293" i="10"/>
  <c r="H293" i="10"/>
  <c r="F293" i="10"/>
  <c r="F292" i="10"/>
  <c r="F291" i="10"/>
  <c r="K290" i="10"/>
  <c r="J290" i="10"/>
  <c r="I290" i="10"/>
  <c r="H290" i="10"/>
  <c r="G290" i="10"/>
  <c r="K289" i="10"/>
  <c r="J289" i="10"/>
  <c r="I289" i="10"/>
  <c r="H289" i="10"/>
  <c r="G289" i="10"/>
  <c r="W288" i="10"/>
  <c r="V288" i="10"/>
  <c r="U288" i="10"/>
  <c r="K292" i="10" s="1"/>
  <c r="T288" i="10"/>
  <c r="S288" i="10"/>
  <c r="K291" i="10" s="1"/>
  <c r="R288" i="10"/>
  <c r="F288" i="10"/>
  <c r="E288" i="10"/>
  <c r="D288" i="10"/>
  <c r="C288" i="10"/>
  <c r="L286" i="10"/>
  <c r="I286" i="10"/>
  <c r="H286" i="10"/>
  <c r="F286" i="10"/>
  <c r="F285" i="10"/>
  <c r="F284" i="10"/>
  <c r="K283" i="10"/>
  <c r="J283" i="10"/>
  <c r="I283" i="10"/>
  <c r="H283" i="10"/>
  <c r="G283" i="10"/>
  <c r="K282" i="10"/>
  <c r="J282" i="10"/>
  <c r="I282" i="10"/>
  <c r="H282" i="10"/>
  <c r="G282" i="10"/>
  <c r="D281" i="10"/>
  <c r="W280" i="10"/>
  <c r="V280" i="10"/>
  <c r="U280" i="10"/>
  <c r="K285" i="10" s="1"/>
  <c r="T280" i="10"/>
  <c r="S280" i="10"/>
  <c r="K284" i="10" s="1"/>
  <c r="R280" i="10"/>
  <c r="F280" i="10"/>
  <c r="E280" i="10"/>
  <c r="D280" i="10"/>
  <c r="C280" i="10"/>
  <c r="L278" i="10"/>
  <c r="I278" i="10"/>
  <c r="H278" i="10"/>
  <c r="F278" i="10"/>
  <c r="F277" i="10"/>
  <c r="F276" i="10"/>
  <c r="F275" i="10"/>
  <c r="K274" i="10"/>
  <c r="J274" i="10"/>
  <c r="I274" i="10"/>
  <c r="H274" i="10"/>
  <c r="G274" i="10"/>
  <c r="K273" i="10"/>
  <c r="J273" i="10"/>
  <c r="I273" i="10"/>
  <c r="H273" i="10"/>
  <c r="G273" i="10"/>
  <c r="K272" i="10"/>
  <c r="J272" i="10"/>
  <c r="I272" i="10"/>
  <c r="H272" i="10"/>
  <c r="G272" i="10"/>
  <c r="K271" i="10"/>
  <c r="J271" i="10"/>
  <c r="I271" i="10"/>
  <c r="H271" i="10"/>
  <c r="G271" i="10"/>
  <c r="D270" i="10"/>
  <c r="W269" i="10"/>
  <c r="K277" i="10" s="1"/>
  <c r="V269" i="10"/>
  <c r="U269" i="10"/>
  <c r="K276" i="10" s="1"/>
  <c r="T269" i="10"/>
  <c r="S269" i="10"/>
  <c r="K275" i="10" s="1"/>
  <c r="R269" i="10"/>
  <c r="F269" i="10"/>
  <c r="E269" i="10"/>
  <c r="D269" i="10"/>
  <c r="C269" i="10"/>
  <c r="L267" i="10"/>
  <c r="I267" i="10"/>
  <c r="H267" i="10"/>
  <c r="F267" i="10"/>
  <c r="F266" i="10"/>
  <c r="F265" i="10"/>
  <c r="W264" i="10"/>
  <c r="V264" i="10"/>
  <c r="U264" i="10"/>
  <c r="T264" i="10"/>
  <c r="S264" i="10"/>
  <c r="R264" i="10"/>
  <c r="K264" i="10"/>
  <c r="J264" i="10"/>
  <c r="I264" i="10"/>
  <c r="G264" i="10"/>
  <c r="F264" i="10"/>
  <c r="E264" i="10"/>
  <c r="D264" i="10"/>
  <c r="C264" i="10"/>
  <c r="W263" i="10"/>
  <c r="V263" i="10"/>
  <c r="U263" i="10"/>
  <c r="T263" i="10"/>
  <c r="S263" i="10"/>
  <c r="R263" i="10"/>
  <c r="K263" i="10"/>
  <c r="J263" i="10"/>
  <c r="I263" i="10"/>
  <c r="G263" i="10"/>
  <c r="F263" i="10"/>
  <c r="E263" i="10"/>
  <c r="D263" i="10"/>
  <c r="C263" i="10"/>
  <c r="K262" i="10"/>
  <c r="J262" i="10"/>
  <c r="I262" i="10"/>
  <c r="H262" i="10"/>
  <c r="G262" i="10"/>
  <c r="K261" i="10"/>
  <c r="J261" i="10"/>
  <c r="I261" i="10"/>
  <c r="H261" i="10"/>
  <c r="G261" i="10"/>
  <c r="D260" i="10"/>
  <c r="W259" i="10"/>
  <c r="V259" i="10"/>
  <c r="U259" i="10"/>
  <c r="T259" i="10"/>
  <c r="S259" i="10"/>
  <c r="R259" i="10"/>
  <c r="F259" i="10"/>
  <c r="E259" i="10"/>
  <c r="D259" i="10"/>
  <c r="C259" i="10"/>
  <c r="L257" i="10"/>
  <c r="I257" i="10"/>
  <c r="H257" i="10"/>
  <c r="F257" i="10"/>
  <c r="K256" i="10"/>
  <c r="F256" i="10"/>
  <c r="F255" i="10"/>
  <c r="W254" i="10"/>
  <c r="V254" i="10"/>
  <c r="U254" i="10"/>
  <c r="T254" i="10"/>
  <c r="S254" i="10"/>
  <c r="R254" i="10"/>
  <c r="K254" i="10"/>
  <c r="J254" i="10"/>
  <c r="I254" i="10"/>
  <c r="G254" i="10"/>
  <c r="F254" i="10"/>
  <c r="E254" i="10"/>
  <c r="D254" i="10"/>
  <c r="C254" i="10"/>
  <c r="K253" i="10"/>
  <c r="J253" i="10"/>
  <c r="I253" i="10"/>
  <c r="H253" i="10"/>
  <c r="G253" i="10"/>
  <c r="D252" i="10"/>
  <c r="W251" i="10"/>
  <c r="V251" i="10"/>
  <c r="U251" i="10"/>
  <c r="T251" i="10"/>
  <c r="S251" i="10"/>
  <c r="K255" i="10" s="1"/>
  <c r="R251" i="10"/>
  <c r="F251" i="10"/>
  <c r="E251" i="10"/>
  <c r="D251" i="10"/>
  <c r="C251" i="10"/>
  <c r="L249" i="10"/>
  <c r="I249" i="10"/>
  <c r="H249" i="10"/>
  <c r="F249" i="10"/>
  <c r="F248" i="10"/>
  <c r="F247" i="10"/>
  <c r="F246" i="10"/>
  <c r="W245" i="10"/>
  <c r="V245" i="10"/>
  <c r="U245" i="10"/>
  <c r="T245" i="10"/>
  <c r="S245" i="10"/>
  <c r="R245" i="10"/>
  <c r="K245" i="10"/>
  <c r="J245" i="10"/>
  <c r="I245" i="10"/>
  <c r="G245" i="10"/>
  <c r="F245" i="10"/>
  <c r="E245" i="10"/>
  <c r="D245" i="10"/>
  <c r="C245" i="10"/>
  <c r="W244" i="10"/>
  <c r="V244" i="10"/>
  <c r="U244" i="10"/>
  <c r="T244" i="10"/>
  <c r="S244" i="10"/>
  <c r="R244" i="10"/>
  <c r="K244" i="10"/>
  <c r="J244" i="10"/>
  <c r="I244" i="10"/>
  <c r="G244" i="10"/>
  <c r="F244" i="10"/>
  <c r="E244" i="10"/>
  <c r="D244" i="10"/>
  <c r="C244" i="10"/>
  <c r="W243" i="10"/>
  <c r="V243" i="10"/>
  <c r="U243" i="10"/>
  <c r="T243" i="10"/>
  <c r="S243" i="10"/>
  <c r="R243" i="10"/>
  <c r="K243" i="10"/>
  <c r="J243" i="10"/>
  <c r="I243" i="10"/>
  <c r="G243" i="10"/>
  <c r="F243" i="10"/>
  <c r="E243" i="10"/>
  <c r="D243" i="10"/>
  <c r="C243" i="10"/>
  <c r="W242" i="10"/>
  <c r="V242" i="10"/>
  <c r="U242" i="10"/>
  <c r="T242" i="10"/>
  <c r="S242" i="10"/>
  <c r="R242" i="10"/>
  <c r="K242" i="10"/>
  <c r="J242" i="10"/>
  <c r="I242" i="10"/>
  <c r="G242" i="10"/>
  <c r="F242" i="10"/>
  <c r="E242" i="10"/>
  <c r="D242" i="10"/>
  <c r="C242" i="10"/>
  <c r="W241" i="10"/>
  <c r="V241" i="10"/>
  <c r="U241" i="10"/>
  <c r="T241" i="10"/>
  <c r="S241" i="10"/>
  <c r="R241" i="10"/>
  <c r="K241" i="10"/>
  <c r="J241" i="10"/>
  <c r="I241" i="10"/>
  <c r="G241" i="10"/>
  <c r="F241" i="10"/>
  <c r="E241" i="10"/>
  <c r="D241" i="10"/>
  <c r="C241" i="10"/>
  <c r="K240" i="10"/>
  <c r="J240" i="10"/>
  <c r="I240" i="10"/>
  <c r="H240" i="10"/>
  <c r="G240" i="10"/>
  <c r="K239" i="10"/>
  <c r="J239" i="10"/>
  <c r="I239" i="10"/>
  <c r="H239" i="10"/>
  <c r="G239" i="10"/>
  <c r="K238" i="10"/>
  <c r="J238" i="10"/>
  <c r="I238" i="10"/>
  <c r="H238" i="10"/>
  <c r="G238" i="10"/>
  <c r="K237" i="10"/>
  <c r="J237" i="10"/>
  <c r="I237" i="10"/>
  <c r="H237" i="10"/>
  <c r="G237" i="10"/>
  <c r="D236" i="10"/>
  <c r="W235" i="10"/>
  <c r="V235" i="10"/>
  <c r="U235" i="10"/>
  <c r="T235" i="10"/>
  <c r="S235" i="10"/>
  <c r="R235" i="10"/>
  <c r="F235" i="10"/>
  <c r="E235" i="10"/>
  <c r="D235" i="10"/>
  <c r="C235" i="10"/>
  <c r="L233" i="10"/>
  <c r="I233" i="10"/>
  <c r="H233" i="10"/>
  <c r="F233" i="10"/>
  <c r="F232" i="10"/>
  <c r="F231" i="10"/>
  <c r="F230" i="10"/>
  <c r="W229" i="10"/>
  <c r="V229" i="10"/>
  <c r="U229" i="10"/>
  <c r="T229" i="10"/>
  <c r="S229" i="10"/>
  <c r="R229" i="10"/>
  <c r="K229" i="10"/>
  <c r="J229" i="10"/>
  <c r="I229" i="10"/>
  <c r="G229" i="10"/>
  <c r="F229" i="10"/>
  <c r="E229" i="10"/>
  <c r="D229" i="10"/>
  <c r="C229" i="10"/>
  <c r="K228" i="10"/>
  <c r="J228" i="10"/>
  <c r="I228" i="10"/>
  <c r="H228" i="10"/>
  <c r="G228" i="10"/>
  <c r="K227" i="10"/>
  <c r="J227" i="10"/>
  <c r="I227" i="10"/>
  <c r="H227" i="10"/>
  <c r="G227" i="10"/>
  <c r="K226" i="10"/>
  <c r="J226" i="10"/>
  <c r="I226" i="10"/>
  <c r="H226" i="10"/>
  <c r="G226" i="10"/>
  <c r="K225" i="10"/>
  <c r="J225" i="10"/>
  <c r="I225" i="10"/>
  <c r="H225" i="10"/>
  <c r="G225" i="10"/>
  <c r="D224" i="10"/>
  <c r="W223" i="10"/>
  <c r="V223" i="10"/>
  <c r="U223" i="10"/>
  <c r="T223" i="10"/>
  <c r="S223" i="10"/>
  <c r="R223" i="10"/>
  <c r="F223" i="10"/>
  <c r="E223" i="10"/>
  <c r="D223" i="10"/>
  <c r="C223" i="10"/>
  <c r="L221" i="10"/>
  <c r="I221" i="10"/>
  <c r="H221" i="10"/>
  <c r="F221" i="10"/>
  <c r="F220" i="10"/>
  <c r="F219" i="10"/>
  <c r="F218" i="10"/>
  <c r="K217" i="10"/>
  <c r="J217" i="10"/>
  <c r="I217" i="10"/>
  <c r="H217" i="10"/>
  <c r="G217" i="10"/>
  <c r="K216" i="10"/>
  <c r="J216" i="10"/>
  <c r="I216" i="10"/>
  <c r="H216" i="10"/>
  <c r="G216" i="10"/>
  <c r="K215" i="10"/>
  <c r="J215" i="10"/>
  <c r="I215" i="10"/>
  <c r="H215" i="10"/>
  <c r="G215" i="10"/>
  <c r="K214" i="10"/>
  <c r="J214" i="10"/>
  <c r="I214" i="10"/>
  <c r="H214" i="10"/>
  <c r="G214" i="10"/>
  <c r="W213" i="10"/>
  <c r="K220" i="10" s="1"/>
  <c r="V213" i="10"/>
  <c r="U213" i="10"/>
  <c r="K219" i="10" s="1"/>
  <c r="T213" i="10"/>
  <c r="S213" i="10"/>
  <c r="K218" i="10" s="1"/>
  <c r="R213" i="10"/>
  <c r="F213" i="10"/>
  <c r="E213" i="10"/>
  <c r="L211" i="10"/>
  <c r="I211" i="10"/>
  <c r="H211" i="10"/>
  <c r="F211" i="10"/>
  <c r="F210" i="10"/>
  <c r="F209" i="10"/>
  <c r="F208" i="10"/>
  <c r="W207" i="10"/>
  <c r="V207" i="10"/>
  <c r="U207" i="10"/>
  <c r="T207" i="10"/>
  <c r="S207" i="10"/>
  <c r="R207" i="10"/>
  <c r="K207" i="10"/>
  <c r="J207" i="10"/>
  <c r="I207" i="10"/>
  <c r="G207" i="10"/>
  <c r="F207" i="10"/>
  <c r="E207" i="10"/>
  <c r="C207" i="10"/>
  <c r="K206" i="10"/>
  <c r="J206" i="10"/>
  <c r="I206" i="10"/>
  <c r="H206" i="10"/>
  <c r="G206" i="10"/>
  <c r="K205" i="10"/>
  <c r="J205" i="10"/>
  <c r="I205" i="10"/>
  <c r="H205" i="10"/>
  <c r="G205" i="10"/>
  <c r="K204" i="10"/>
  <c r="J204" i="10"/>
  <c r="I204" i="10"/>
  <c r="H204" i="10"/>
  <c r="G204" i="10"/>
  <c r="K203" i="10"/>
  <c r="J203" i="10"/>
  <c r="I203" i="10"/>
  <c r="H203" i="10"/>
  <c r="G203" i="10"/>
  <c r="D202" i="10"/>
  <c r="W201" i="10"/>
  <c r="V201" i="10"/>
  <c r="U201" i="10"/>
  <c r="T201" i="10"/>
  <c r="S201" i="10"/>
  <c r="R201" i="10"/>
  <c r="F201" i="10"/>
  <c r="E201" i="10"/>
  <c r="D201" i="10"/>
  <c r="C201" i="10"/>
  <c r="L199" i="10"/>
  <c r="I199" i="10"/>
  <c r="H199" i="10"/>
  <c r="F199" i="10"/>
  <c r="F198" i="10"/>
  <c r="F197" i="10"/>
  <c r="F196" i="10"/>
  <c r="W195" i="10"/>
  <c r="V195" i="10"/>
  <c r="U195" i="10"/>
  <c r="T195" i="10"/>
  <c r="S195" i="10"/>
  <c r="R195" i="10"/>
  <c r="K195" i="10"/>
  <c r="J195" i="10"/>
  <c r="I195" i="10"/>
  <c r="G195" i="10"/>
  <c r="F195" i="10"/>
  <c r="E195" i="10"/>
  <c r="C195" i="10"/>
  <c r="K194" i="10"/>
  <c r="J194" i="10"/>
  <c r="I194" i="10"/>
  <c r="H194" i="10"/>
  <c r="G194" i="10"/>
  <c r="K193" i="10"/>
  <c r="J193" i="10"/>
  <c r="I193" i="10"/>
  <c r="H193" i="10"/>
  <c r="G193" i="10"/>
  <c r="K192" i="10"/>
  <c r="J192" i="10"/>
  <c r="I192" i="10"/>
  <c r="H192" i="10"/>
  <c r="G192" i="10"/>
  <c r="W191" i="10"/>
  <c r="K198" i="10" s="1"/>
  <c r="V191" i="10"/>
  <c r="U191" i="10"/>
  <c r="K197" i="10" s="1"/>
  <c r="T191" i="10"/>
  <c r="S191" i="10"/>
  <c r="K196" i="10" s="1"/>
  <c r="R191" i="10"/>
  <c r="F191" i="10"/>
  <c r="E191" i="10"/>
  <c r="D191" i="10"/>
  <c r="C191" i="10"/>
  <c r="L189" i="10"/>
  <c r="I189" i="10"/>
  <c r="H189" i="10"/>
  <c r="F189" i="10"/>
  <c r="F188" i="10"/>
  <c r="F187" i="10"/>
  <c r="W186" i="10"/>
  <c r="V186" i="10"/>
  <c r="U186" i="10"/>
  <c r="T186" i="10"/>
  <c r="S186" i="10"/>
  <c r="R186" i="10"/>
  <c r="K186" i="10"/>
  <c r="J186" i="10"/>
  <c r="I186" i="10"/>
  <c r="G186" i="10"/>
  <c r="F186" i="10"/>
  <c r="E186" i="10"/>
  <c r="D186" i="10"/>
  <c r="C186" i="10"/>
  <c r="W185" i="10"/>
  <c r="V185" i="10"/>
  <c r="U185" i="10"/>
  <c r="T185" i="10"/>
  <c r="S185" i="10"/>
  <c r="R185" i="10"/>
  <c r="K185" i="10"/>
  <c r="J185" i="10"/>
  <c r="I185" i="10"/>
  <c r="G185" i="10"/>
  <c r="F185" i="10"/>
  <c r="E185" i="10"/>
  <c r="D185" i="10"/>
  <c r="C185" i="10"/>
  <c r="W184" i="10"/>
  <c r="V184" i="10"/>
  <c r="U184" i="10"/>
  <c r="T184" i="10"/>
  <c r="S184" i="10"/>
  <c r="R184" i="10"/>
  <c r="K184" i="10"/>
  <c r="J184" i="10"/>
  <c r="I184" i="10"/>
  <c r="G184" i="10"/>
  <c r="F184" i="10"/>
  <c r="E184" i="10"/>
  <c r="D184" i="10"/>
  <c r="C184" i="10"/>
  <c r="W183" i="10"/>
  <c r="V183" i="10"/>
  <c r="U183" i="10"/>
  <c r="T183" i="10"/>
  <c r="S183" i="10"/>
  <c r="R183" i="10"/>
  <c r="K183" i="10"/>
  <c r="J183" i="10"/>
  <c r="I183" i="10"/>
  <c r="G183" i="10"/>
  <c r="F183" i="10"/>
  <c r="E183" i="10"/>
  <c r="C183" i="10"/>
  <c r="W182" i="10"/>
  <c r="V182" i="10"/>
  <c r="U182" i="10"/>
  <c r="T182" i="10"/>
  <c r="S182" i="10"/>
  <c r="R182" i="10"/>
  <c r="K182" i="10"/>
  <c r="J182" i="10"/>
  <c r="I182" i="10"/>
  <c r="G182" i="10"/>
  <c r="F182" i="10"/>
  <c r="E182" i="10"/>
  <c r="D182" i="10"/>
  <c r="C182" i="10"/>
  <c r="K181" i="10"/>
  <c r="J181" i="10"/>
  <c r="I181" i="10"/>
  <c r="H181" i="10"/>
  <c r="G181" i="10"/>
  <c r="K180" i="10"/>
  <c r="J180" i="10"/>
  <c r="I180" i="10"/>
  <c r="H180" i="10"/>
  <c r="G180" i="10"/>
  <c r="D179" i="10"/>
  <c r="W178" i="10"/>
  <c r="V178" i="10"/>
  <c r="U178" i="10"/>
  <c r="T178" i="10"/>
  <c r="S178" i="10"/>
  <c r="R178" i="10"/>
  <c r="F178" i="10"/>
  <c r="E178" i="10"/>
  <c r="D178" i="10"/>
  <c r="C178" i="10"/>
  <c r="L176" i="10"/>
  <c r="I176" i="10"/>
  <c r="H176" i="10"/>
  <c r="F176" i="10"/>
  <c r="F175" i="10"/>
  <c r="F174" i="10"/>
  <c r="W173" i="10"/>
  <c r="V173" i="10"/>
  <c r="U173" i="10"/>
  <c r="T173" i="10"/>
  <c r="S173" i="10"/>
  <c r="R173" i="10"/>
  <c r="K173" i="10"/>
  <c r="J173" i="10"/>
  <c r="I173" i="10"/>
  <c r="G173" i="10"/>
  <c r="F173" i="10"/>
  <c r="E173" i="10"/>
  <c r="D173" i="10"/>
  <c r="C173" i="10"/>
  <c r="W172" i="10"/>
  <c r="V172" i="10"/>
  <c r="U172" i="10"/>
  <c r="T172" i="10"/>
  <c r="S172" i="10"/>
  <c r="R172" i="10"/>
  <c r="K172" i="10"/>
  <c r="J172" i="10"/>
  <c r="I172" i="10"/>
  <c r="G172" i="10"/>
  <c r="F172" i="10"/>
  <c r="E172" i="10"/>
  <c r="C172" i="10"/>
  <c r="K171" i="10"/>
  <c r="J171" i="10"/>
  <c r="I171" i="10"/>
  <c r="H171" i="10"/>
  <c r="G171" i="10"/>
  <c r="K170" i="10"/>
  <c r="J170" i="10"/>
  <c r="I170" i="10"/>
  <c r="H170" i="10"/>
  <c r="G170" i="10"/>
  <c r="D169" i="10"/>
  <c r="W168" i="10"/>
  <c r="V168" i="10"/>
  <c r="U168" i="10"/>
  <c r="T168" i="10"/>
  <c r="S168" i="10"/>
  <c r="R168" i="10"/>
  <c r="F168" i="10"/>
  <c r="E168" i="10"/>
  <c r="D168" i="10"/>
  <c r="C168" i="10"/>
  <c r="L166" i="10"/>
  <c r="I166" i="10"/>
  <c r="H166" i="10"/>
  <c r="F166" i="10"/>
  <c r="F165" i="10"/>
  <c r="F164" i="10"/>
  <c r="F163" i="10"/>
  <c r="W162" i="10"/>
  <c r="V162" i="10"/>
  <c r="U162" i="10"/>
  <c r="T162" i="10"/>
  <c r="S162" i="10"/>
  <c r="R162" i="10"/>
  <c r="K162" i="10"/>
  <c r="J162" i="10"/>
  <c r="I162" i="10"/>
  <c r="G162" i="10"/>
  <c r="F162" i="10"/>
  <c r="E162" i="10"/>
  <c r="D162" i="10"/>
  <c r="C162" i="10"/>
  <c r="W161" i="10"/>
  <c r="V161" i="10"/>
  <c r="U161" i="10"/>
  <c r="T161" i="10"/>
  <c r="S161" i="10"/>
  <c r="R161" i="10"/>
  <c r="K161" i="10"/>
  <c r="J161" i="10"/>
  <c r="I161" i="10"/>
  <c r="G161" i="10"/>
  <c r="F161" i="10"/>
  <c r="E161" i="10"/>
  <c r="D161" i="10"/>
  <c r="C161" i="10"/>
  <c r="W160" i="10"/>
  <c r="V160" i="10"/>
  <c r="U160" i="10"/>
  <c r="T160" i="10"/>
  <c r="S160" i="10"/>
  <c r="R160" i="10"/>
  <c r="K160" i="10"/>
  <c r="J160" i="10"/>
  <c r="I160" i="10"/>
  <c r="G160" i="10"/>
  <c r="F160" i="10"/>
  <c r="E160" i="10"/>
  <c r="D160" i="10"/>
  <c r="C160" i="10"/>
  <c r="W159" i="10"/>
  <c r="V159" i="10"/>
  <c r="U159" i="10"/>
  <c r="T159" i="10"/>
  <c r="S159" i="10"/>
  <c r="R159" i="10"/>
  <c r="K159" i="10"/>
  <c r="J159" i="10"/>
  <c r="I159" i="10"/>
  <c r="G159" i="10"/>
  <c r="F159" i="10"/>
  <c r="E159" i="10"/>
  <c r="D159" i="10"/>
  <c r="C159" i="10"/>
  <c r="W158" i="10"/>
  <c r="V158" i="10"/>
  <c r="U158" i="10"/>
  <c r="T158" i="10"/>
  <c r="S158" i="10"/>
  <c r="R158" i="10"/>
  <c r="K158" i="10"/>
  <c r="J158" i="10"/>
  <c r="I158" i="10"/>
  <c r="G158" i="10"/>
  <c r="F158" i="10"/>
  <c r="E158" i="10"/>
  <c r="D158" i="10"/>
  <c r="C158" i="10"/>
  <c r="W157" i="10"/>
  <c r="V157" i="10"/>
  <c r="U157" i="10"/>
  <c r="T157" i="10"/>
  <c r="S157" i="10"/>
  <c r="R157" i="10"/>
  <c r="K157" i="10"/>
  <c r="J157" i="10"/>
  <c r="I157" i="10"/>
  <c r="G157" i="10"/>
  <c r="F157" i="10"/>
  <c r="E157" i="10"/>
  <c r="D157" i="10"/>
  <c r="C157" i="10"/>
  <c r="W156" i="10"/>
  <c r="V156" i="10"/>
  <c r="U156" i="10"/>
  <c r="T156" i="10"/>
  <c r="S156" i="10"/>
  <c r="R156" i="10"/>
  <c r="K156" i="10"/>
  <c r="J156" i="10"/>
  <c r="I156" i="10"/>
  <c r="G156" i="10"/>
  <c r="F156" i="10"/>
  <c r="E156" i="10"/>
  <c r="D156" i="10"/>
  <c r="C156" i="10"/>
  <c r="W155" i="10"/>
  <c r="V155" i="10"/>
  <c r="U155" i="10"/>
  <c r="T155" i="10"/>
  <c r="S155" i="10"/>
  <c r="R155" i="10"/>
  <c r="K155" i="10"/>
  <c r="J155" i="10"/>
  <c r="I155" i="10"/>
  <c r="G155" i="10"/>
  <c r="F155" i="10"/>
  <c r="E155" i="10"/>
  <c r="C155" i="10"/>
  <c r="K154" i="10"/>
  <c r="J154" i="10"/>
  <c r="I154" i="10"/>
  <c r="H154" i="10"/>
  <c r="G154" i="10"/>
  <c r="K153" i="10"/>
  <c r="J153" i="10"/>
  <c r="I153" i="10"/>
  <c r="H153" i="10"/>
  <c r="G153" i="10"/>
  <c r="K152" i="10"/>
  <c r="J152" i="10"/>
  <c r="I152" i="10"/>
  <c r="H152" i="10"/>
  <c r="G152" i="10"/>
  <c r="K151" i="10"/>
  <c r="J151" i="10"/>
  <c r="I151" i="10"/>
  <c r="H151" i="10"/>
  <c r="G151" i="10"/>
  <c r="D150" i="10"/>
  <c r="W149" i="10"/>
  <c r="V149" i="10"/>
  <c r="U149" i="10"/>
  <c r="T149" i="10"/>
  <c r="S149" i="10"/>
  <c r="R149" i="10"/>
  <c r="F149" i="10"/>
  <c r="E149" i="10"/>
  <c r="D149" i="10"/>
  <c r="C149" i="10"/>
  <c r="L147" i="10"/>
  <c r="I147" i="10"/>
  <c r="H147" i="10"/>
  <c r="F147" i="10"/>
  <c r="F146" i="10"/>
  <c r="F145" i="10"/>
  <c r="W144" i="10"/>
  <c r="V144" i="10"/>
  <c r="U144" i="10"/>
  <c r="T144" i="10"/>
  <c r="S144" i="10"/>
  <c r="R144" i="10"/>
  <c r="K144" i="10"/>
  <c r="J144" i="10"/>
  <c r="I144" i="10"/>
  <c r="G144" i="10"/>
  <c r="F144" i="10"/>
  <c r="E144" i="10"/>
  <c r="C144" i="10"/>
  <c r="K143" i="10"/>
  <c r="J143" i="10"/>
  <c r="I143" i="10"/>
  <c r="H143" i="10"/>
  <c r="G143" i="10"/>
  <c r="D142" i="10"/>
  <c r="W141" i="10"/>
  <c r="V141" i="10"/>
  <c r="U141" i="10"/>
  <c r="T141" i="10"/>
  <c r="S141" i="10"/>
  <c r="R141" i="10"/>
  <c r="F141" i="10"/>
  <c r="E141" i="10"/>
  <c r="D141" i="10"/>
  <c r="C141" i="10"/>
  <c r="L139" i="10"/>
  <c r="I139" i="10"/>
  <c r="H139" i="10"/>
  <c r="F139" i="10"/>
  <c r="F138" i="10"/>
  <c r="F137" i="10"/>
  <c r="F136" i="10"/>
  <c r="W135" i="10"/>
  <c r="V135" i="10"/>
  <c r="U135" i="10"/>
  <c r="T135" i="10"/>
  <c r="S135" i="10"/>
  <c r="R135" i="10"/>
  <c r="K135" i="10"/>
  <c r="J135" i="10"/>
  <c r="I135" i="10"/>
  <c r="G135" i="10"/>
  <c r="F135" i="10"/>
  <c r="E135" i="10"/>
  <c r="D135" i="10"/>
  <c r="C135" i="10"/>
  <c r="K134" i="10"/>
  <c r="J134" i="10"/>
  <c r="I134" i="10"/>
  <c r="H134" i="10"/>
  <c r="G134" i="10"/>
  <c r="K133" i="10"/>
  <c r="J133" i="10"/>
  <c r="I133" i="10"/>
  <c r="H133" i="10"/>
  <c r="G133" i="10"/>
  <c r="K132" i="10"/>
  <c r="J132" i="10"/>
  <c r="I132" i="10"/>
  <c r="H132" i="10"/>
  <c r="G132" i="10"/>
  <c r="K131" i="10"/>
  <c r="J131" i="10"/>
  <c r="I131" i="10"/>
  <c r="H131" i="10"/>
  <c r="G131" i="10"/>
  <c r="D130" i="10"/>
  <c r="W129" i="10"/>
  <c r="V129" i="10"/>
  <c r="U129" i="10"/>
  <c r="T129" i="10"/>
  <c r="S129" i="10"/>
  <c r="R129" i="10"/>
  <c r="F129" i="10"/>
  <c r="E129" i="10"/>
  <c r="D129" i="10"/>
  <c r="C129" i="10"/>
  <c r="L127" i="10"/>
  <c r="I127" i="10"/>
  <c r="H127" i="10"/>
  <c r="F127" i="10"/>
  <c r="F126" i="10"/>
  <c r="F125" i="10"/>
  <c r="W124" i="10"/>
  <c r="V124" i="10"/>
  <c r="U124" i="10"/>
  <c r="T124" i="10"/>
  <c r="S124" i="10"/>
  <c r="R124" i="10"/>
  <c r="K124" i="10"/>
  <c r="J124" i="10"/>
  <c r="I124" i="10"/>
  <c r="G124" i="10"/>
  <c r="F124" i="10"/>
  <c r="E124" i="10"/>
  <c r="C124" i="10"/>
  <c r="K123" i="10"/>
  <c r="J123" i="10"/>
  <c r="I123" i="10"/>
  <c r="H123" i="10"/>
  <c r="G123" i="10"/>
  <c r="W122" i="10"/>
  <c r="V122" i="10"/>
  <c r="U122" i="10"/>
  <c r="K126" i="10" s="1"/>
  <c r="T122" i="10"/>
  <c r="S122" i="10"/>
  <c r="R122" i="10"/>
  <c r="F122" i="10"/>
  <c r="E122" i="10"/>
  <c r="D122" i="10"/>
  <c r="C122" i="10"/>
  <c r="L120" i="10"/>
  <c r="I120" i="10"/>
  <c r="H120" i="10"/>
  <c r="F120" i="10"/>
  <c r="F119" i="10"/>
  <c r="F118" i="10"/>
  <c r="F117" i="10"/>
  <c r="W116" i="10"/>
  <c r="V116" i="10"/>
  <c r="U116" i="10"/>
  <c r="T116" i="10"/>
  <c r="S116" i="10"/>
  <c r="R116" i="10"/>
  <c r="K116" i="10"/>
  <c r="J116" i="10"/>
  <c r="I116" i="10"/>
  <c r="G116" i="10"/>
  <c r="F116" i="10"/>
  <c r="E116" i="10"/>
  <c r="C116" i="10"/>
  <c r="K115" i="10"/>
  <c r="J115" i="10"/>
  <c r="I115" i="10"/>
  <c r="H115" i="10"/>
  <c r="G115" i="10"/>
  <c r="K114" i="10"/>
  <c r="J114" i="10"/>
  <c r="I114" i="10"/>
  <c r="H114" i="10"/>
  <c r="G114" i="10"/>
  <c r="K113" i="10"/>
  <c r="J113" i="10"/>
  <c r="I113" i="10"/>
  <c r="H113" i="10"/>
  <c r="G113" i="10"/>
  <c r="W112" i="10"/>
  <c r="K119" i="10" s="1"/>
  <c r="V112" i="10"/>
  <c r="U112" i="10"/>
  <c r="K118" i="10" s="1"/>
  <c r="T112" i="10"/>
  <c r="S112" i="10"/>
  <c r="K117" i="10" s="1"/>
  <c r="R112" i="10"/>
  <c r="F112" i="10"/>
  <c r="E112" i="10"/>
  <c r="D112" i="10"/>
  <c r="C112" i="10"/>
  <c r="L110" i="10"/>
  <c r="I110" i="10"/>
  <c r="H110" i="10"/>
  <c r="F110" i="10"/>
  <c r="F109" i="10"/>
  <c r="F108" i="10"/>
  <c r="W107" i="10"/>
  <c r="V107" i="10"/>
  <c r="U107" i="10"/>
  <c r="T107" i="10"/>
  <c r="S107" i="10"/>
  <c r="R107" i="10"/>
  <c r="K107" i="10"/>
  <c r="J107" i="10"/>
  <c r="I107" i="10"/>
  <c r="G107" i="10"/>
  <c r="F107" i="10"/>
  <c r="E107" i="10"/>
  <c r="D107" i="10"/>
  <c r="C107" i="10"/>
  <c r="W106" i="10"/>
  <c r="V106" i="10"/>
  <c r="U106" i="10"/>
  <c r="T106" i="10"/>
  <c r="S106" i="10"/>
  <c r="R106" i="10"/>
  <c r="K106" i="10"/>
  <c r="J106" i="10"/>
  <c r="I106" i="10"/>
  <c r="G106" i="10"/>
  <c r="F106" i="10"/>
  <c r="E106" i="10"/>
  <c r="D106" i="10"/>
  <c r="C106" i="10"/>
  <c r="W105" i="10"/>
  <c r="V105" i="10"/>
  <c r="U105" i="10"/>
  <c r="T105" i="10"/>
  <c r="S105" i="10"/>
  <c r="R105" i="10"/>
  <c r="K105" i="10"/>
  <c r="J105" i="10"/>
  <c r="I105" i="10"/>
  <c r="G105" i="10"/>
  <c r="F105" i="10"/>
  <c r="E105" i="10"/>
  <c r="D105" i="10"/>
  <c r="C105" i="10"/>
  <c r="W104" i="10"/>
  <c r="V104" i="10"/>
  <c r="U104" i="10"/>
  <c r="T104" i="10"/>
  <c r="S104" i="10"/>
  <c r="R104" i="10"/>
  <c r="K104" i="10"/>
  <c r="J104" i="10"/>
  <c r="I104" i="10"/>
  <c r="G104" i="10"/>
  <c r="F104" i="10"/>
  <c r="E104" i="10"/>
  <c r="D104" i="10"/>
  <c r="C104" i="10"/>
  <c r="W103" i="10"/>
  <c r="V103" i="10"/>
  <c r="U103" i="10"/>
  <c r="T103" i="10"/>
  <c r="S103" i="10"/>
  <c r="R103" i="10"/>
  <c r="K103" i="10"/>
  <c r="J103" i="10"/>
  <c r="I103" i="10"/>
  <c r="G103" i="10"/>
  <c r="F103" i="10"/>
  <c r="E103" i="10"/>
  <c r="D103" i="10"/>
  <c r="C103" i="10"/>
  <c r="K102" i="10"/>
  <c r="J102" i="10"/>
  <c r="I102" i="10"/>
  <c r="H102" i="10"/>
  <c r="G102" i="10"/>
  <c r="K101" i="10"/>
  <c r="J101" i="10"/>
  <c r="I101" i="10"/>
  <c r="H101" i="10"/>
  <c r="G101" i="10"/>
  <c r="D100" i="10"/>
  <c r="W99" i="10"/>
  <c r="V99" i="10"/>
  <c r="U99" i="10"/>
  <c r="T99" i="10"/>
  <c r="S99" i="10"/>
  <c r="R99" i="10"/>
  <c r="F99" i="10"/>
  <c r="E99" i="10"/>
  <c r="D99" i="10"/>
  <c r="C99" i="10"/>
  <c r="L97" i="10"/>
  <c r="I97" i="10"/>
  <c r="H97" i="10"/>
  <c r="F97" i="10"/>
  <c r="F96" i="10"/>
  <c r="F95" i="10"/>
  <c r="F94" i="10"/>
  <c r="W93" i="10"/>
  <c r="V93" i="10"/>
  <c r="U93" i="10"/>
  <c r="T93" i="10"/>
  <c r="S93" i="10"/>
  <c r="R93" i="10"/>
  <c r="K93" i="10"/>
  <c r="J93" i="10"/>
  <c r="I93" i="10"/>
  <c r="G93" i="10"/>
  <c r="F93" i="10"/>
  <c r="E93" i="10"/>
  <c r="D93" i="10"/>
  <c r="C93" i="10"/>
  <c r="W92" i="10"/>
  <c r="V92" i="10"/>
  <c r="U92" i="10"/>
  <c r="T92" i="10"/>
  <c r="S92" i="10"/>
  <c r="R92" i="10"/>
  <c r="K92" i="10"/>
  <c r="J92" i="10"/>
  <c r="I92" i="10"/>
  <c r="G92" i="10"/>
  <c r="F92" i="10"/>
  <c r="E92" i="10"/>
  <c r="D92" i="10"/>
  <c r="C92" i="10"/>
  <c r="W91" i="10"/>
  <c r="V91" i="10"/>
  <c r="U91" i="10"/>
  <c r="T91" i="10"/>
  <c r="S91" i="10"/>
  <c r="R91" i="10"/>
  <c r="K91" i="10"/>
  <c r="J91" i="10"/>
  <c r="I91" i="10"/>
  <c r="G91" i="10"/>
  <c r="F91" i="10"/>
  <c r="E91" i="10"/>
  <c r="D91" i="10"/>
  <c r="C91" i="10"/>
  <c r="W90" i="10"/>
  <c r="V90" i="10"/>
  <c r="U90" i="10"/>
  <c r="T90" i="10"/>
  <c r="S90" i="10"/>
  <c r="R90" i="10"/>
  <c r="K90" i="10"/>
  <c r="J90" i="10"/>
  <c r="I90" i="10"/>
  <c r="G90" i="10"/>
  <c r="F90" i="10"/>
  <c r="E90" i="10"/>
  <c r="D90" i="10"/>
  <c r="C90" i="10"/>
  <c r="W89" i="10"/>
  <c r="V89" i="10"/>
  <c r="U89" i="10"/>
  <c r="T89" i="10"/>
  <c r="S89" i="10"/>
  <c r="R89" i="10"/>
  <c r="K89" i="10"/>
  <c r="J89" i="10"/>
  <c r="I89" i="10"/>
  <c r="G89" i="10"/>
  <c r="F89" i="10"/>
  <c r="E89" i="10"/>
  <c r="D89" i="10"/>
  <c r="C89" i="10"/>
  <c r="K88" i="10"/>
  <c r="J88" i="10"/>
  <c r="I88" i="10"/>
  <c r="H88" i="10"/>
  <c r="G88" i="10"/>
  <c r="K87" i="10"/>
  <c r="J87" i="10"/>
  <c r="I87" i="10"/>
  <c r="H87" i="10"/>
  <c r="G87" i="10"/>
  <c r="K86" i="10"/>
  <c r="J86" i="10"/>
  <c r="I86" i="10"/>
  <c r="H86" i="10"/>
  <c r="G86" i="10"/>
  <c r="K85" i="10"/>
  <c r="J85" i="10"/>
  <c r="I85" i="10"/>
  <c r="H85" i="10"/>
  <c r="G85" i="10"/>
  <c r="D84" i="10"/>
  <c r="W83" i="10"/>
  <c r="V83" i="10"/>
  <c r="U83" i="10"/>
  <c r="T83" i="10"/>
  <c r="S83" i="10"/>
  <c r="R83" i="10"/>
  <c r="F83" i="10"/>
  <c r="E83" i="10"/>
  <c r="D83" i="10"/>
  <c r="C83" i="10"/>
  <c r="L81" i="10"/>
  <c r="I81" i="10"/>
  <c r="H81" i="10"/>
  <c r="F81" i="10"/>
  <c r="F80" i="10"/>
  <c r="F79" i="10"/>
  <c r="F78" i="10"/>
  <c r="W77" i="10"/>
  <c r="V77" i="10"/>
  <c r="U77" i="10"/>
  <c r="T77" i="10"/>
  <c r="S77" i="10"/>
  <c r="R77" i="10"/>
  <c r="K77" i="10"/>
  <c r="J77" i="10"/>
  <c r="I77" i="10"/>
  <c r="G77" i="10"/>
  <c r="F77" i="10"/>
  <c r="E77" i="10"/>
  <c r="D77" i="10"/>
  <c r="C77" i="10"/>
  <c r="W76" i="10"/>
  <c r="V76" i="10"/>
  <c r="U76" i="10"/>
  <c r="T76" i="10"/>
  <c r="S76" i="10"/>
  <c r="R76" i="10"/>
  <c r="K76" i="10"/>
  <c r="J76" i="10"/>
  <c r="I76" i="10"/>
  <c r="G76" i="10"/>
  <c r="F76" i="10"/>
  <c r="E76" i="10"/>
  <c r="C76" i="10"/>
  <c r="K75" i="10"/>
  <c r="J75" i="10"/>
  <c r="I75" i="10"/>
  <c r="H75" i="10"/>
  <c r="G75" i="10"/>
  <c r="K74" i="10"/>
  <c r="J74" i="10"/>
  <c r="I74" i="10"/>
  <c r="H74" i="10"/>
  <c r="G74" i="10"/>
  <c r="K73" i="10"/>
  <c r="J73" i="10"/>
  <c r="I73" i="10"/>
  <c r="H73" i="10"/>
  <c r="G73" i="10"/>
  <c r="K72" i="10"/>
  <c r="J72" i="10"/>
  <c r="I72" i="10"/>
  <c r="H72" i="10"/>
  <c r="G72" i="10"/>
  <c r="W71" i="10"/>
  <c r="V71" i="10"/>
  <c r="U71" i="10"/>
  <c r="T71" i="10"/>
  <c r="S71" i="10"/>
  <c r="R71" i="10"/>
  <c r="F71" i="10"/>
  <c r="E71" i="10"/>
  <c r="D71" i="10"/>
  <c r="C71" i="10"/>
  <c r="L69" i="10"/>
  <c r="I69" i="10"/>
  <c r="H69" i="10"/>
  <c r="F69" i="10"/>
  <c r="F68" i="10"/>
  <c r="F67" i="10"/>
  <c r="F66" i="10"/>
  <c r="W65" i="10"/>
  <c r="V65" i="10"/>
  <c r="U65" i="10"/>
  <c r="T65" i="10"/>
  <c r="S65" i="10"/>
  <c r="R65" i="10"/>
  <c r="K65" i="10"/>
  <c r="J65" i="10"/>
  <c r="I65" i="10"/>
  <c r="G65" i="10"/>
  <c r="F65" i="10"/>
  <c r="E65" i="10"/>
  <c r="D65" i="10"/>
  <c r="C65" i="10"/>
  <c r="W64" i="10"/>
  <c r="V64" i="10"/>
  <c r="U64" i="10"/>
  <c r="T64" i="10"/>
  <c r="S64" i="10"/>
  <c r="R64" i="10"/>
  <c r="K64" i="10"/>
  <c r="J64" i="10"/>
  <c r="I64" i="10"/>
  <c r="G64" i="10"/>
  <c r="F64" i="10"/>
  <c r="E64" i="10"/>
  <c r="C64" i="10"/>
  <c r="W63" i="10"/>
  <c r="V63" i="10"/>
  <c r="U63" i="10"/>
  <c r="T63" i="10"/>
  <c r="S63" i="10"/>
  <c r="R63" i="10"/>
  <c r="K63" i="10"/>
  <c r="J63" i="10"/>
  <c r="I63" i="10"/>
  <c r="G63" i="10"/>
  <c r="F63" i="10"/>
  <c r="E63" i="10"/>
  <c r="C63" i="10"/>
  <c r="K62" i="10"/>
  <c r="J62" i="10"/>
  <c r="I62" i="10"/>
  <c r="H62" i="10"/>
  <c r="G62" i="10"/>
  <c r="K61" i="10"/>
  <c r="J61" i="10"/>
  <c r="I61" i="10"/>
  <c r="H61" i="10"/>
  <c r="G61" i="10"/>
  <c r="K60" i="10"/>
  <c r="J60" i="10"/>
  <c r="I60" i="10"/>
  <c r="H60" i="10"/>
  <c r="G60" i="10"/>
  <c r="K59" i="10"/>
  <c r="J59" i="10"/>
  <c r="I59" i="10"/>
  <c r="H59" i="10"/>
  <c r="G59" i="10"/>
  <c r="W58" i="10"/>
  <c r="V58" i="10"/>
  <c r="U58" i="10"/>
  <c r="T58" i="10"/>
  <c r="S58" i="10"/>
  <c r="R58" i="10"/>
  <c r="F58" i="10"/>
  <c r="E58" i="10"/>
  <c r="D58" i="10"/>
  <c r="C58" i="10"/>
  <c r="L56" i="10"/>
  <c r="I56" i="10"/>
  <c r="H56" i="10"/>
  <c r="F56" i="10"/>
  <c r="F55" i="10"/>
  <c r="F54" i="10"/>
  <c r="F53" i="10"/>
  <c r="K52" i="10"/>
  <c r="J52" i="10"/>
  <c r="I52" i="10"/>
  <c r="H52" i="10"/>
  <c r="G52" i="10"/>
  <c r="K51" i="10"/>
  <c r="J51" i="10"/>
  <c r="I51" i="10"/>
  <c r="H51" i="10"/>
  <c r="G51" i="10"/>
  <c r="K50" i="10"/>
  <c r="J50" i="10"/>
  <c r="I50" i="10"/>
  <c r="H50" i="10"/>
  <c r="G50" i="10"/>
  <c r="K49" i="10"/>
  <c r="J49" i="10"/>
  <c r="I49" i="10"/>
  <c r="H49" i="10"/>
  <c r="G49" i="10"/>
  <c r="W48" i="10"/>
  <c r="K55" i="10" s="1"/>
  <c r="V48" i="10"/>
  <c r="U48" i="10"/>
  <c r="K54" i="10" s="1"/>
  <c r="T48" i="10"/>
  <c r="S48" i="10"/>
  <c r="K53" i="10" s="1"/>
  <c r="R48" i="10"/>
  <c r="F48" i="10"/>
  <c r="E48" i="10"/>
  <c r="D48" i="10"/>
  <c r="C48" i="10"/>
  <c r="L46" i="10"/>
  <c r="I46" i="10"/>
  <c r="H46" i="10"/>
  <c r="F46" i="10"/>
  <c r="F45" i="10"/>
  <c r="F44" i="10"/>
  <c r="F43" i="10"/>
  <c r="K42" i="10"/>
  <c r="J42" i="10"/>
  <c r="I42" i="10"/>
  <c r="H42" i="10"/>
  <c r="G42" i="10"/>
  <c r="K41" i="10"/>
  <c r="J41" i="10"/>
  <c r="I41" i="10"/>
  <c r="H41" i="10"/>
  <c r="G41" i="10"/>
  <c r="K40" i="10"/>
  <c r="J40" i="10"/>
  <c r="I40" i="10"/>
  <c r="H40" i="10"/>
  <c r="G40" i="10"/>
  <c r="K39" i="10"/>
  <c r="J39" i="10"/>
  <c r="I39" i="10"/>
  <c r="H39" i="10"/>
  <c r="G39" i="10"/>
  <c r="W38" i="10"/>
  <c r="K45" i="10" s="1"/>
  <c r="V38" i="10"/>
  <c r="U38" i="10"/>
  <c r="K44" i="10" s="1"/>
  <c r="T38" i="10"/>
  <c r="S38" i="10"/>
  <c r="K43" i="10" s="1"/>
  <c r="R38" i="10"/>
  <c r="F38" i="10"/>
  <c r="E38" i="10"/>
  <c r="D38" i="10"/>
  <c r="C38" i="10"/>
  <c r="B37" i="10"/>
  <c r="B1" i="10"/>
  <c r="K146" i="10" l="1"/>
  <c r="K246" i="10"/>
  <c r="K248" i="10"/>
  <c r="K175" i="10"/>
  <c r="J294" i="10"/>
  <c r="Q294" i="10" s="1"/>
  <c r="K209" i="10"/>
  <c r="K230" i="10"/>
  <c r="K232" i="10"/>
  <c r="J234" i="10" s="1"/>
  <c r="L234" i="10" s="1"/>
  <c r="K266" i="10"/>
  <c r="K78" i="10"/>
  <c r="K80" i="10"/>
  <c r="K136" i="10"/>
  <c r="K138" i="10"/>
  <c r="K231" i="10"/>
  <c r="K109" i="10"/>
  <c r="K265" i="10"/>
  <c r="K312" i="10"/>
  <c r="K66" i="10"/>
  <c r="K68" i="10"/>
  <c r="K67" i="10"/>
  <c r="K95" i="10"/>
  <c r="K125" i="10"/>
  <c r="J128" i="10" s="1"/>
  <c r="K137" i="10"/>
  <c r="K145" i="10"/>
  <c r="J148" i="10" s="1"/>
  <c r="Q148" i="10" s="1"/>
  <c r="K163" i="10"/>
  <c r="K165" i="10"/>
  <c r="K164" i="10"/>
  <c r="J222" i="10"/>
  <c r="Q222" i="10" s="1"/>
  <c r="K247" i="10"/>
  <c r="J302" i="10"/>
  <c r="Q302" i="10" s="1"/>
  <c r="K311" i="10"/>
  <c r="K313" i="10"/>
  <c r="K323" i="10"/>
  <c r="K325" i="10"/>
  <c r="J121" i="10"/>
  <c r="L121" i="10" s="1"/>
  <c r="K79" i="10"/>
  <c r="J47" i="10"/>
  <c r="L47" i="10" s="1"/>
  <c r="K94" i="10"/>
  <c r="K96" i="10"/>
  <c r="K108" i="10"/>
  <c r="K174" i="10"/>
  <c r="K188" i="10"/>
  <c r="K187" i="10"/>
  <c r="K208" i="10"/>
  <c r="K210" i="10"/>
  <c r="J57" i="10"/>
  <c r="J200" i="10"/>
  <c r="J258" i="10"/>
  <c r="J279" i="10"/>
  <c r="J287" i="10"/>
  <c r="J332" i="10"/>
  <c r="Q47" i="10"/>
  <c r="A19" i="6"/>
  <c r="F207" i="9"/>
  <c r="F204" i="9"/>
  <c r="C207" i="9"/>
  <c r="C204" i="9"/>
  <c r="G201" i="9"/>
  <c r="D201" i="9"/>
  <c r="C201" i="9"/>
  <c r="B201" i="9"/>
  <c r="A201" i="9"/>
  <c r="F200" i="9"/>
  <c r="E200" i="9"/>
  <c r="D200" i="9"/>
  <c r="C200" i="9"/>
  <c r="B200" i="9"/>
  <c r="F199" i="9"/>
  <c r="E199" i="9"/>
  <c r="D199" i="9"/>
  <c r="C199" i="9"/>
  <c r="B199" i="9"/>
  <c r="F198" i="9"/>
  <c r="E198" i="9"/>
  <c r="D198" i="9"/>
  <c r="C198" i="9"/>
  <c r="B198" i="9"/>
  <c r="F197" i="9"/>
  <c r="E197" i="9"/>
  <c r="D197" i="9"/>
  <c r="C197" i="9"/>
  <c r="B197" i="9"/>
  <c r="F196" i="9"/>
  <c r="E196" i="9"/>
  <c r="D196" i="9"/>
  <c r="C196" i="9"/>
  <c r="B196" i="9"/>
  <c r="F195" i="9"/>
  <c r="E195" i="9"/>
  <c r="D195" i="9"/>
  <c r="C195" i="9"/>
  <c r="B195" i="9"/>
  <c r="F194" i="9"/>
  <c r="E194" i="9"/>
  <c r="D194" i="9"/>
  <c r="C194" i="9"/>
  <c r="B194" i="9"/>
  <c r="F193" i="9"/>
  <c r="E193" i="9"/>
  <c r="D193" i="9"/>
  <c r="C193" i="9"/>
  <c r="B193" i="9"/>
  <c r="F192" i="9"/>
  <c r="E192" i="9"/>
  <c r="D192" i="9"/>
  <c r="C192" i="9"/>
  <c r="B192" i="9"/>
  <c r="D190" i="9"/>
  <c r="C190" i="9"/>
  <c r="B190" i="9"/>
  <c r="A190" i="9"/>
  <c r="G189" i="9"/>
  <c r="F189" i="9"/>
  <c r="E189" i="9"/>
  <c r="D189" i="9"/>
  <c r="C189" i="9"/>
  <c r="B189" i="9"/>
  <c r="G188" i="9"/>
  <c r="F188" i="9"/>
  <c r="E188" i="9"/>
  <c r="D188" i="9"/>
  <c r="C188" i="9"/>
  <c r="B188" i="9"/>
  <c r="G187" i="9"/>
  <c r="F187" i="9"/>
  <c r="E187" i="9"/>
  <c r="D187" i="9"/>
  <c r="C187" i="9"/>
  <c r="B187" i="9"/>
  <c r="G186" i="9"/>
  <c r="F186" i="9"/>
  <c r="E186" i="9"/>
  <c r="D186" i="9"/>
  <c r="C186" i="9"/>
  <c r="B186" i="9"/>
  <c r="G185" i="9"/>
  <c r="D185" i="9"/>
  <c r="C185" i="9"/>
  <c r="B185" i="9"/>
  <c r="A185" i="9"/>
  <c r="F184" i="9"/>
  <c r="E184" i="9"/>
  <c r="D184" i="9"/>
  <c r="C184" i="9"/>
  <c r="B184" i="9"/>
  <c r="F183" i="9"/>
  <c r="E183" i="9"/>
  <c r="D183" i="9"/>
  <c r="C183" i="9"/>
  <c r="B183" i="9"/>
  <c r="D181" i="9"/>
  <c r="C181" i="9"/>
  <c r="B181" i="9"/>
  <c r="A181" i="9"/>
  <c r="G180" i="9"/>
  <c r="F180" i="9"/>
  <c r="E180" i="9"/>
  <c r="D180" i="9"/>
  <c r="C180" i="9"/>
  <c r="B180" i="9"/>
  <c r="G179" i="9"/>
  <c r="F179" i="9"/>
  <c r="E179" i="9"/>
  <c r="D179" i="9"/>
  <c r="C179" i="9"/>
  <c r="B179" i="9"/>
  <c r="G178" i="9"/>
  <c r="F178" i="9"/>
  <c r="E178" i="9"/>
  <c r="D178" i="9"/>
  <c r="C178" i="9"/>
  <c r="B178" i="9"/>
  <c r="G177" i="9"/>
  <c r="F177" i="9"/>
  <c r="E177" i="9"/>
  <c r="D177" i="9"/>
  <c r="C177" i="9"/>
  <c r="B177" i="9"/>
  <c r="G176" i="9"/>
  <c r="F176" i="9"/>
  <c r="E176" i="9"/>
  <c r="D176" i="9"/>
  <c r="C176" i="9"/>
  <c r="B176" i="9"/>
  <c r="G175" i="9"/>
  <c r="D175" i="9"/>
  <c r="C175" i="9"/>
  <c r="B175" i="9"/>
  <c r="A175" i="9"/>
  <c r="F174" i="9"/>
  <c r="E174" i="9"/>
  <c r="D174" i="9"/>
  <c r="C174" i="9"/>
  <c r="B174" i="9"/>
  <c r="F173" i="9"/>
  <c r="E173" i="9"/>
  <c r="D173" i="9"/>
  <c r="C173" i="9"/>
  <c r="B173" i="9"/>
  <c r="D171" i="9"/>
  <c r="C171" i="9"/>
  <c r="B171" i="9"/>
  <c r="A171" i="9"/>
  <c r="F170" i="9"/>
  <c r="E170" i="9"/>
  <c r="D170" i="9"/>
  <c r="C170" i="9"/>
  <c r="B170" i="9"/>
  <c r="F169" i="9"/>
  <c r="E169" i="9"/>
  <c r="D169" i="9"/>
  <c r="C169" i="9"/>
  <c r="B169" i="9"/>
  <c r="F168" i="9"/>
  <c r="E168" i="9"/>
  <c r="D168" i="9"/>
  <c r="C168" i="9"/>
  <c r="B168" i="9"/>
  <c r="D166" i="9"/>
  <c r="C166" i="9"/>
  <c r="B166" i="9"/>
  <c r="A166" i="9"/>
  <c r="F165" i="9"/>
  <c r="E165" i="9"/>
  <c r="D165" i="9"/>
  <c r="C165" i="9"/>
  <c r="B165" i="9"/>
  <c r="F164" i="9"/>
  <c r="E164" i="9"/>
  <c r="D164" i="9"/>
  <c r="C164" i="9"/>
  <c r="B164" i="9"/>
  <c r="F163" i="9"/>
  <c r="E163" i="9"/>
  <c r="D163" i="9"/>
  <c r="C163" i="9"/>
  <c r="B163" i="9"/>
  <c r="F162" i="9"/>
  <c r="E162" i="9"/>
  <c r="D162" i="9"/>
  <c r="C162" i="9"/>
  <c r="B162" i="9"/>
  <c r="F161" i="9"/>
  <c r="E161" i="9"/>
  <c r="D161" i="9"/>
  <c r="C161" i="9"/>
  <c r="B161" i="9"/>
  <c r="F160" i="9"/>
  <c r="E160" i="9"/>
  <c r="D160" i="9"/>
  <c r="C160" i="9"/>
  <c r="B160" i="9"/>
  <c r="F159" i="9"/>
  <c r="E159" i="9"/>
  <c r="D159" i="9"/>
  <c r="C159" i="9"/>
  <c r="B159" i="9"/>
  <c r="F158" i="9"/>
  <c r="E158" i="9"/>
  <c r="D158" i="9"/>
  <c r="C158" i="9"/>
  <c r="B158" i="9"/>
  <c r="D156" i="9"/>
  <c r="C156" i="9"/>
  <c r="B156" i="9"/>
  <c r="A156" i="9"/>
  <c r="F155" i="9"/>
  <c r="E155" i="9"/>
  <c r="D155" i="9"/>
  <c r="C155" i="9"/>
  <c r="B155" i="9"/>
  <c r="F154" i="9"/>
  <c r="E154" i="9"/>
  <c r="D154" i="9"/>
  <c r="C154" i="9"/>
  <c r="B154" i="9"/>
  <c r="D152" i="9"/>
  <c r="C152" i="9"/>
  <c r="B152" i="9"/>
  <c r="A152" i="9"/>
  <c r="F151" i="9"/>
  <c r="E151" i="9"/>
  <c r="D151" i="9"/>
  <c r="C151" i="9"/>
  <c r="B151" i="9"/>
  <c r="F150" i="9"/>
  <c r="E150" i="9"/>
  <c r="D150" i="9"/>
  <c r="C150" i="9"/>
  <c r="B150" i="9"/>
  <c r="F149" i="9"/>
  <c r="E149" i="9"/>
  <c r="D149" i="9"/>
  <c r="C149" i="9"/>
  <c r="B149" i="9"/>
  <c r="F148" i="9"/>
  <c r="E148" i="9"/>
  <c r="D148" i="9"/>
  <c r="C148" i="9"/>
  <c r="B148" i="9"/>
  <c r="F147" i="9"/>
  <c r="E147" i="9"/>
  <c r="D147" i="9"/>
  <c r="C147" i="9"/>
  <c r="B147" i="9"/>
  <c r="F146" i="9"/>
  <c r="E146" i="9"/>
  <c r="D146" i="9"/>
  <c r="C146" i="9"/>
  <c r="B146" i="9"/>
  <c r="F145" i="9"/>
  <c r="E145" i="9"/>
  <c r="D145" i="9"/>
  <c r="C145" i="9"/>
  <c r="B145" i="9"/>
  <c r="D143" i="9"/>
  <c r="C143" i="9"/>
  <c r="B143" i="9"/>
  <c r="A143" i="9"/>
  <c r="F142" i="9"/>
  <c r="E142" i="9"/>
  <c r="D142" i="9"/>
  <c r="C142" i="9"/>
  <c r="B142" i="9"/>
  <c r="F141" i="9"/>
  <c r="E141" i="9"/>
  <c r="D141" i="9"/>
  <c r="C141" i="9"/>
  <c r="B141" i="9"/>
  <c r="F140" i="9"/>
  <c r="E140" i="9"/>
  <c r="D140" i="9"/>
  <c r="C140" i="9"/>
  <c r="B140" i="9"/>
  <c r="F139" i="9"/>
  <c r="E139" i="9"/>
  <c r="D139" i="9"/>
  <c r="C139" i="9"/>
  <c r="B139" i="9"/>
  <c r="F138" i="9"/>
  <c r="E138" i="9"/>
  <c r="D138" i="9"/>
  <c r="C138" i="9"/>
  <c r="B138" i="9"/>
  <c r="F137" i="9"/>
  <c r="E137" i="9"/>
  <c r="D137" i="9"/>
  <c r="C137" i="9"/>
  <c r="B137" i="9"/>
  <c r="F136" i="9"/>
  <c r="E136" i="9"/>
  <c r="D136" i="9"/>
  <c r="C136" i="9"/>
  <c r="B136" i="9"/>
  <c r="F135" i="9"/>
  <c r="E135" i="9"/>
  <c r="D135" i="9"/>
  <c r="C135" i="9"/>
  <c r="B135" i="9"/>
  <c r="D133" i="9"/>
  <c r="C133" i="9"/>
  <c r="B133" i="9"/>
  <c r="A133" i="9"/>
  <c r="G132" i="9"/>
  <c r="F132" i="9"/>
  <c r="E132" i="9"/>
  <c r="D132" i="9"/>
  <c r="C132" i="9"/>
  <c r="B132" i="9"/>
  <c r="G131" i="9"/>
  <c r="F131" i="9"/>
  <c r="E131" i="9"/>
  <c r="D131" i="9"/>
  <c r="C131" i="9"/>
  <c r="B131" i="9"/>
  <c r="G130" i="9"/>
  <c r="F130" i="9"/>
  <c r="E130" i="9"/>
  <c r="D130" i="9"/>
  <c r="C130" i="9"/>
  <c r="B130" i="9"/>
  <c r="G129" i="9"/>
  <c r="F129" i="9"/>
  <c r="E129" i="9"/>
  <c r="D129" i="9"/>
  <c r="C129" i="9"/>
  <c r="B129" i="9"/>
  <c r="G128" i="9"/>
  <c r="D128" i="9"/>
  <c r="B128" i="9"/>
  <c r="A128" i="9"/>
  <c r="F127" i="9"/>
  <c r="E127" i="9"/>
  <c r="D127" i="9"/>
  <c r="C127" i="9"/>
  <c r="B127" i="9"/>
  <c r="F126" i="9"/>
  <c r="E126" i="9"/>
  <c r="D126" i="9"/>
  <c r="C126" i="9"/>
  <c r="B126" i="9"/>
  <c r="F125" i="9"/>
  <c r="E125" i="9"/>
  <c r="D125" i="9"/>
  <c r="C125" i="9"/>
  <c r="B125" i="9"/>
  <c r="F124" i="9"/>
  <c r="E124" i="9"/>
  <c r="D124" i="9"/>
  <c r="C124" i="9"/>
  <c r="B124" i="9"/>
  <c r="F123" i="9"/>
  <c r="E123" i="9"/>
  <c r="D123" i="9"/>
  <c r="C123" i="9"/>
  <c r="B123" i="9"/>
  <c r="D121" i="9"/>
  <c r="C121" i="9"/>
  <c r="B121" i="9"/>
  <c r="A121" i="9"/>
  <c r="G120" i="9"/>
  <c r="F120" i="9"/>
  <c r="E120" i="9"/>
  <c r="D120" i="9"/>
  <c r="C120" i="9"/>
  <c r="B120" i="9"/>
  <c r="G119" i="9"/>
  <c r="F119" i="9"/>
  <c r="E119" i="9"/>
  <c r="D119" i="9"/>
  <c r="C119" i="9"/>
  <c r="B119" i="9"/>
  <c r="G118" i="9"/>
  <c r="D118" i="9"/>
  <c r="C118" i="9"/>
  <c r="B118" i="9"/>
  <c r="A118" i="9"/>
  <c r="F117" i="9"/>
  <c r="E117" i="9"/>
  <c r="D117" i="9"/>
  <c r="C117" i="9"/>
  <c r="B117" i="9"/>
  <c r="F116" i="9"/>
  <c r="E116" i="9"/>
  <c r="D116" i="9"/>
  <c r="C116" i="9"/>
  <c r="B116" i="9"/>
  <c r="F115" i="9"/>
  <c r="E115" i="9"/>
  <c r="D115" i="9"/>
  <c r="C115" i="9"/>
  <c r="B115" i="9"/>
  <c r="D113" i="9"/>
  <c r="C113" i="9"/>
  <c r="B113" i="9"/>
  <c r="A113" i="9"/>
  <c r="F112" i="9"/>
  <c r="E112" i="9"/>
  <c r="D112" i="9"/>
  <c r="C112" i="9"/>
  <c r="B112" i="9"/>
  <c r="F111" i="9"/>
  <c r="E111" i="9"/>
  <c r="D111" i="9"/>
  <c r="C111" i="9"/>
  <c r="B111" i="9"/>
  <c r="F110" i="9"/>
  <c r="E110" i="9"/>
  <c r="D110" i="9"/>
  <c r="C110" i="9"/>
  <c r="B110" i="9"/>
  <c r="F109" i="9"/>
  <c r="E109" i="9"/>
  <c r="D109" i="9"/>
  <c r="C109" i="9"/>
  <c r="B109" i="9"/>
  <c r="F108" i="9"/>
  <c r="E108" i="9"/>
  <c r="D108" i="9"/>
  <c r="C108" i="9"/>
  <c r="B108" i="9"/>
  <c r="F107" i="9"/>
  <c r="E107" i="9"/>
  <c r="D107" i="9"/>
  <c r="C107" i="9"/>
  <c r="B107" i="9"/>
  <c r="F106" i="9"/>
  <c r="E106" i="9"/>
  <c r="D106" i="9"/>
  <c r="C106" i="9"/>
  <c r="B106" i="9"/>
  <c r="D104" i="9"/>
  <c r="C104" i="9"/>
  <c r="B104" i="9"/>
  <c r="A104" i="9"/>
  <c r="F103" i="9"/>
  <c r="E103" i="9"/>
  <c r="D103" i="9"/>
  <c r="C103" i="9"/>
  <c r="B103" i="9"/>
  <c r="F102" i="9"/>
  <c r="E102" i="9"/>
  <c r="D102" i="9"/>
  <c r="C102" i="9"/>
  <c r="B102" i="9"/>
  <c r="F101" i="9"/>
  <c r="E101" i="9"/>
  <c r="D101" i="9"/>
  <c r="C101" i="9"/>
  <c r="B101" i="9"/>
  <c r="F100" i="9"/>
  <c r="E100" i="9"/>
  <c r="D100" i="9"/>
  <c r="C100" i="9"/>
  <c r="B100" i="9"/>
  <c r="F99" i="9"/>
  <c r="E99" i="9"/>
  <c r="D99" i="9"/>
  <c r="C99" i="9"/>
  <c r="B99" i="9"/>
  <c r="F98" i="9"/>
  <c r="E98" i="9"/>
  <c r="D98" i="9"/>
  <c r="C98" i="9"/>
  <c r="B98" i="9"/>
  <c r="D96" i="9"/>
  <c r="C96" i="9"/>
  <c r="B96" i="9"/>
  <c r="A96" i="9"/>
  <c r="F95" i="9"/>
  <c r="E95" i="9"/>
  <c r="D95" i="9"/>
  <c r="C95" i="9"/>
  <c r="B95" i="9"/>
  <c r="D93" i="9"/>
  <c r="C93" i="9"/>
  <c r="B93" i="9"/>
  <c r="A93" i="9"/>
  <c r="F92" i="9"/>
  <c r="E92" i="9"/>
  <c r="D92" i="9"/>
  <c r="C92" i="9"/>
  <c r="B92" i="9"/>
  <c r="F91" i="9"/>
  <c r="E91" i="9"/>
  <c r="D91" i="9"/>
  <c r="C91" i="9"/>
  <c r="B91" i="9"/>
  <c r="F90" i="9"/>
  <c r="E90" i="9"/>
  <c r="D90" i="9"/>
  <c r="C90" i="9"/>
  <c r="B90" i="9"/>
  <c r="F89" i="9"/>
  <c r="E89" i="9"/>
  <c r="D89" i="9"/>
  <c r="C89" i="9"/>
  <c r="B89" i="9"/>
  <c r="F88" i="9"/>
  <c r="E88" i="9"/>
  <c r="D88" i="9"/>
  <c r="C88" i="9"/>
  <c r="B88" i="9"/>
  <c r="F87" i="9"/>
  <c r="E87" i="9"/>
  <c r="D87" i="9"/>
  <c r="C87" i="9"/>
  <c r="B87" i="9"/>
  <c r="F86" i="9"/>
  <c r="E86" i="9"/>
  <c r="D86" i="9"/>
  <c r="C86" i="9"/>
  <c r="B86" i="9"/>
  <c r="F85" i="9"/>
  <c r="E85" i="9"/>
  <c r="D85" i="9"/>
  <c r="C85" i="9"/>
  <c r="B85" i="9"/>
  <c r="D83" i="9"/>
  <c r="C83" i="9"/>
  <c r="B83" i="9"/>
  <c r="A83" i="9"/>
  <c r="G82" i="9"/>
  <c r="F82" i="9"/>
  <c r="E82" i="9"/>
  <c r="D82" i="9"/>
  <c r="C82" i="9"/>
  <c r="B82" i="9"/>
  <c r="G81" i="9"/>
  <c r="D81" i="9"/>
  <c r="C81" i="9"/>
  <c r="B81" i="9"/>
  <c r="A81" i="9"/>
  <c r="G80" i="9"/>
  <c r="F80" i="9"/>
  <c r="E80" i="9"/>
  <c r="D80" i="9"/>
  <c r="C80" i="9"/>
  <c r="B80" i="9"/>
  <c r="G79" i="9"/>
  <c r="F79" i="9"/>
  <c r="E79" i="9"/>
  <c r="D79" i="9"/>
  <c r="C79" i="9"/>
  <c r="B79" i="9"/>
  <c r="G78" i="9"/>
  <c r="F78" i="9"/>
  <c r="E78" i="9"/>
  <c r="D78" i="9"/>
  <c r="C78" i="9"/>
  <c r="B78" i="9"/>
  <c r="G77" i="9"/>
  <c r="F77" i="9"/>
  <c r="E77" i="9"/>
  <c r="D77" i="9"/>
  <c r="C77" i="9"/>
  <c r="B77" i="9"/>
  <c r="G76" i="9"/>
  <c r="F76" i="9"/>
  <c r="E76" i="9"/>
  <c r="D76" i="9"/>
  <c r="C76" i="9"/>
  <c r="B76" i="9"/>
  <c r="G75" i="9"/>
  <c r="D75" i="9"/>
  <c r="C75" i="9"/>
  <c r="B75" i="9"/>
  <c r="A75" i="9"/>
  <c r="F74" i="9"/>
  <c r="E74" i="9"/>
  <c r="D74" i="9"/>
  <c r="C74" i="9"/>
  <c r="B74" i="9"/>
  <c r="F73" i="9"/>
  <c r="E73" i="9"/>
  <c r="D73" i="9"/>
  <c r="C73" i="9"/>
  <c r="B73" i="9"/>
  <c r="F72" i="9"/>
  <c r="E72" i="9"/>
  <c r="D72" i="9"/>
  <c r="C72" i="9"/>
  <c r="B72" i="9"/>
  <c r="F71" i="9"/>
  <c r="E71" i="9"/>
  <c r="D71" i="9"/>
  <c r="C71" i="9"/>
  <c r="B71" i="9"/>
  <c r="F70" i="9"/>
  <c r="E70" i="9"/>
  <c r="D70" i="9"/>
  <c r="C70" i="9"/>
  <c r="B70" i="9"/>
  <c r="F69" i="9"/>
  <c r="E69" i="9"/>
  <c r="D69" i="9"/>
  <c r="C69" i="9"/>
  <c r="B69" i="9"/>
  <c r="F68" i="9"/>
  <c r="E68" i="9"/>
  <c r="D68" i="9"/>
  <c r="C68" i="9"/>
  <c r="B68" i="9"/>
  <c r="D66" i="9"/>
  <c r="C66" i="9"/>
  <c r="B66" i="9"/>
  <c r="A66" i="9"/>
  <c r="F65" i="9"/>
  <c r="E65" i="9"/>
  <c r="D65" i="9"/>
  <c r="C65" i="9"/>
  <c r="B65" i="9"/>
  <c r="F64" i="9"/>
  <c r="E64" i="9"/>
  <c r="D64" i="9"/>
  <c r="C64" i="9"/>
  <c r="B64" i="9"/>
  <c r="F63" i="9"/>
  <c r="E63" i="9"/>
  <c r="D63" i="9"/>
  <c r="C63" i="9"/>
  <c r="B63" i="9"/>
  <c r="F62" i="9"/>
  <c r="E62" i="9"/>
  <c r="D62" i="9"/>
  <c r="C62" i="9"/>
  <c r="B62" i="9"/>
  <c r="F61" i="9"/>
  <c r="E61" i="9"/>
  <c r="D61" i="9"/>
  <c r="C61" i="9"/>
  <c r="B61" i="9"/>
  <c r="F60" i="9"/>
  <c r="E60" i="9"/>
  <c r="D60" i="9"/>
  <c r="C60" i="9"/>
  <c r="B60" i="9"/>
  <c r="F59" i="9"/>
  <c r="E59" i="9"/>
  <c r="D59" i="9"/>
  <c r="C59" i="9"/>
  <c r="B59" i="9"/>
  <c r="F58" i="9"/>
  <c r="E58" i="9"/>
  <c r="D58" i="9"/>
  <c r="C58" i="9"/>
  <c r="B58" i="9"/>
  <c r="F57" i="9"/>
  <c r="E57" i="9"/>
  <c r="D57" i="9"/>
  <c r="C57" i="9"/>
  <c r="B57" i="9"/>
  <c r="F56" i="9"/>
  <c r="E56" i="9"/>
  <c r="D56" i="9"/>
  <c r="C56" i="9"/>
  <c r="B56" i="9"/>
  <c r="F55" i="9"/>
  <c r="E55" i="9"/>
  <c r="D55" i="9"/>
  <c r="C55" i="9"/>
  <c r="B55" i="9"/>
  <c r="F54" i="9"/>
  <c r="E54" i="9"/>
  <c r="D54" i="9"/>
  <c r="C54" i="9"/>
  <c r="B54" i="9"/>
  <c r="F53" i="9"/>
  <c r="E53" i="9"/>
  <c r="D53" i="9"/>
  <c r="C53" i="9"/>
  <c r="B53" i="9"/>
  <c r="D51" i="9"/>
  <c r="C51" i="9"/>
  <c r="B51" i="9"/>
  <c r="A51" i="9"/>
  <c r="G50" i="9"/>
  <c r="F50" i="9"/>
  <c r="E50" i="9"/>
  <c r="D50" i="9"/>
  <c r="C50" i="9"/>
  <c r="B50" i="9"/>
  <c r="G49" i="9"/>
  <c r="F49" i="9"/>
  <c r="E49" i="9"/>
  <c r="D49" i="9"/>
  <c r="C49" i="9"/>
  <c r="B49" i="9"/>
  <c r="G48" i="9"/>
  <c r="F48" i="9"/>
  <c r="E48" i="9"/>
  <c r="D48" i="9"/>
  <c r="C48" i="9"/>
  <c r="B48" i="9"/>
  <c r="G47" i="9"/>
  <c r="F47" i="9"/>
  <c r="E47" i="9"/>
  <c r="D47" i="9"/>
  <c r="C47" i="9"/>
  <c r="B47" i="9"/>
  <c r="G46" i="9"/>
  <c r="F46" i="9"/>
  <c r="E46" i="9"/>
  <c r="D46" i="9"/>
  <c r="C46" i="9"/>
  <c r="B46" i="9"/>
  <c r="G45" i="9"/>
  <c r="F45" i="9"/>
  <c r="E45" i="9"/>
  <c r="D45" i="9"/>
  <c r="C45" i="9"/>
  <c r="B45" i="9"/>
  <c r="G44" i="9"/>
  <c r="F44" i="9"/>
  <c r="E44" i="9"/>
  <c r="D44" i="9"/>
  <c r="C44" i="9"/>
  <c r="B44" i="9"/>
  <c r="G43" i="9"/>
  <c r="F43" i="9"/>
  <c r="E43" i="9"/>
  <c r="D43" i="9"/>
  <c r="C43" i="9"/>
  <c r="B43" i="9"/>
  <c r="G42" i="9"/>
  <c r="F42" i="9"/>
  <c r="E42" i="9"/>
  <c r="D42" i="9"/>
  <c r="C42" i="9"/>
  <c r="B42" i="9"/>
  <c r="G41" i="9"/>
  <c r="F41" i="9"/>
  <c r="E41" i="9"/>
  <c r="D41" i="9"/>
  <c r="C41" i="9"/>
  <c r="B41" i="9"/>
  <c r="G40" i="9"/>
  <c r="D40" i="9"/>
  <c r="C40" i="9"/>
  <c r="B40" i="9"/>
  <c r="A40" i="9"/>
  <c r="G39" i="9"/>
  <c r="F39" i="9"/>
  <c r="E39" i="9"/>
  <c r="D39" i="9"/>
  <c r="C39" i="9"/>
  <c r="B39" i="9"/>
  <c r="G38" i="9"/>
  <c r="F38" i="9"/>
  <c r="E38" i="9"/>
  <c r="D38" i="9"/>
  <c r="C38" i="9"/>
  <c r="B38" i="9"/>
  <c r="G37" i="9"/>
  <c r="F37" i="9"/>
  <c r="E37" i="9"/>
  <c r="D37" i="9"/>
  <c r="C37" i="9"/>
  <c r="B37" i="9"/>
  <c r="G36" i="9"/>
  <c r="F36" i="9"/>
  <c r="E36" i="9"/>
  <c r="D36" i="9"/>
  <c r="C36" i="9"/>
  <c r="B36" i="9"/>
  <c r="G35" i="9"/>
  <c r="F35" i="9"/>
  <c r="E35" i="9"/>
  <c r="D35" i="9"/>
  <c r="C35" i="9"/>
  <c r="B35" i="9"/>
  <c r="G34" i="9"/>
  <c r="F34" i="9"/>
  <c r="E34" i="9"/>
  <c r="D34" i="9"/>
  <c r="C34" i="9"/>
  <c r="B34" i="9"/>
  <c r="G33" i="9"/>
  <c r="F33" i="9"/>
  <c r="E33" i="9"/>
  <c r="D33" i="9"/>
  <c r="C33" i="9"/>
  <c r="B33" i="9"/>
  <c r="G32" i="9"/>
  <c r="F32" i="9"/>
  <c r="E32" i="9"/>
  <c r="D32" i="9"/>
  <c r="C32" i="9"/>
  <c r="B32" i="9"/>
  <c r="G31" i="9"/>
  <c r="F31" i="9"/>
  <c r="E31" i="9"/>
  <c r="D31" i="9"/>
  <c r="C31" i="9"/>
  <c r="B31" i="9"/>
  <c r="G30" i="9"/>
  <c r="F30" i="9"/>
  <c r="E30" i="9"/>
  <c r="D30" i="9"/>
  <c r="C30" i="9"/>
  <c r="B30" i="9"/>
  <c r="G29" i="9"/>
  <c r="D29" i="9"/>
  <c r="C29" i="9"/>
  <c r="B29" i="9"/>
  <c r="A29" i="9"/>
  <c r="G28" i="9"/>
  <c r="F28" i="9"/>
  <c r="E28" i="9"/>
  <c r="D28" i="9"/>
  <c r="C28" i="9"/>
  <c r="B28" i="9"/>
  <c r="G27" i="9"/>
  <c r="F27" i="9"/>
  <c r="E27" i="9"/>
  <c r="D27" i="9"/>
  <c r="C27" i="9"/>
  <c r="B27" i="9"/>
  <c r="G26" i="9"/>
  <c r="F26" i="9"/>
  <c r="E26" i="9"/>
  <c r="D26" i="9"/>
  <c r="C26" i="9"/>
  <c r="B26" i="9"/>
  <c r="G25" i="9"/>
  <c r="F25" i="9"/>
  <c r="E25" i="9"/>
  <c r="D25" i="9"/>
  <c r="C25" i="9"/>
  <c r="B25" i="9"/>
  <c r="G24" i="9"/>
  <c r="F24" i="9"/>
  <c r="E24" i="9"/>
  <c r="D24" i="9"/>
  <c r="C24" i="9"/>
  <c r="B24" i="9"/>
  <c r="G23" i="9"/>
  <c r="D23" i="9"/>
  <c r="C23" i="9"/>
  <c r="B23" i="9"/>
  <c r="A23" i="9"/>
  <c r="G22" i="9"/>
  <c r="F22" i="9"/>
  <c r="E22" i="9"/>
  <c r="D22" i="9"/>
  <c r="C22" i="9"/>
  <c r="B22" i="9"/>
  <c r="G21" i="9"/>
  <c r="F21" i="9"/>
  <c r="E21" i="9"/>
  <c r="D21" i="9"/>
  <c r="C21" i="9"/>
  <c r="B21" i="9"/>
  <c r="G20" i="9"/>
  <c r="F20" i="9"/>
  <c r="E20" i="9"/>
  <c r="D20" i="9"/>
  <c r="C20" i="9"/>
  <c r="B20" i="9"/>
  <c r="G19" i="9"/>
  <c r="F19" i="9"/>
  <c r="E19" i="9"/>
  <c r="D19" i="9"/>
  <c r="C19" i="9"/>
  <c r="B19" i="9"/>
  <c r="G18" i="9"/>
  <c r="F18" i="9"/>
  <c r="E18" i="9"/>
  <c r="D18" i="9"/>
  <c r="C18" i="9"/>
  <c r="B18" i="9"/>
  <c r="G17" i="9"/>
  <c r="D17" i="9"/>
  <c r="C17" i="9"/>
  <c r="B17" i="9"/>
  <c r="A17" i="9"/>
  <c r="C11" i="9"/>
  <c r="A8" i="9"/>
  <c r="A6" i="9"/>
  <c r="A1" i="9"/>
  <c r="Y136" i="8"/>
  <c r="I136" i="8"/>
  <c r="H136" i="8"/>
  <c r="G136" i="8"/>
  <c r="F136" i="8"/>
  <c r="E136" i="8"/>
  <c r="D136" i="8"/>
  <c r="A136" i="8"/>
  <c r="Y135" i="8"/>
  <c r="H135" i="8"/>
  <c r="G135" i="8"/>
  <c r="F135" i="8"/>
  <c r="E135" i="8"/>
  <c r="D135" i="8"/>
  <c r="A135" i="8"/>
  <c r="Y134" i="8"/>
  <c r="S134" i="8"/>
  <c r="P134" i="8"/>
  <c r="N134" i="8"/>
  <c r="K134" i="8"/>
  <c r="J134" i="8"/>
  <c r="H134" i="8"/>
  <c r="G134" i="8"/>
  <c r="F134" i="8"/>
  <c r="E134" i="8"/>
  <c r="Y133" i="8"/>
  <c r="S133" i="8"/>
  <c r="P133" i="8"/>
  <c r="N133" i="8"/>
  <c r="K133" i="8"/>
  <c r="J133" i="8"/>
  <c r="H133" i="8"/>
  <c r="G133" i="8"/>
  <c r="F133" i="8"/>
  <c r="E133" i="8"/>
  <c r="Y132" i="8"/>
  <c r="S132" i="8"/>
  <c r="P132" i="8"/>
  <c r="N132" i="8"/>
  <c r="K132" i="8"/>
  <c r="E22" i="7" s="1"/>
  <c r="J132" i="8"/>
  <c r="H132" i="8"/>
  <c r="G132" i="8"/>
  <c r="F132" i="8"/>
  <c r="E132" i="8"/>
  <c r="Y131" i="8"/>
  <c r="S131" i="8"/>
  <c r="P131" i="8"/>
  <c r="N131" i="8"/>
  <c r="K131" i="8"/>
  <c r="E31" i="7" s="1"/>
  <c r="J131" i="8"/>
  <c r="H131" i="8"/>
  <c r="G131" i="8"/>
  <c r="F131" i="8"/>
  <c r="E131" i="8"/>
  <c r="Y130" i="8"/>
  <c r="S130" i="8"/>
  <c r="P130" i="8"/>
  <c r="N130" i="8"/>
  <c r="K130" i="8"/>
  <c r="E33" i="7" s="1"/>
  <c r="J130" i="8"/>
  <c r="H130" i="8"/>
  <c r="G130" i="8"/>
  <c r="F130" i="8"/>
  <c r="E130" i="8"/>
  <c r="Y129" i="8"/>
  <c r="S129" i="8"/>
  <c r="P129" i="8"/>
  <c r="N129" i="8"/>
  <c r="K129" i="8"/>
  <c r="E34" i="7" s="1"/>
  <c r="J129" i="8"/>
  <c r="H129" i="8"/>
  <c r="G129" i="8"/>
  <c r="F129" i="8"/>
  <c r="E129" i="8"/>
  <c r="Y128" i="8"/>
  <c r="S128" i="8"/>
  <c r="P128" i="8"/>
  <c r="N128" i="8"/>
  <c r="K128" i="8"/>
  <c r="J128" i="8"/>
  <c r="H128" i="8"/>
  <c r="G128" i="8"/>
  <c r="F128" i="8"/>
  <c r="E128" i="8"/>
  <c r="Y127" i="8"/>
  <c r="H127" i="8"/>
  <c r="G127" i="8"/>
  <c r="F127" i="8"/>
  <c r="E127" i="8"/>
  <c r="D127" i="8"/>
  <c r="A127" i="8"/>
  <c r="Y126" i="8"/>
  <c r="H126" i="8"/>
  <c r="G126" i="8"/>
  <c r="F126" i="8"/>
  <c r="E126" i="8"/>
  <c r="D126" i="8"/>
  <c r="A126" i="8"/>
  <c r="Y125" i="8"/>
  <c r="H125" i="8"/>
  <c r="G125" i="8"/>
  <c r="F125" i="8"/>
  <c r="E125" i="8"/>
  <c r="D125" i="8"/>
  <c r="A125" i="8"/>
  <c r="Y124" i="8"/>
  <c r="S124" i="8"/>
  <c r="P124" i="8"/>
  <c r="N124" i="8"/>
  <c r="K124" i="8"/>
  <c r="J124" i="8"/>
  <c r="I124" i="8"/>
  <c r="H124" i="8"/>
  <c r="G124" i="8"/>
  <c r="F124" i="8"/>
  <c r="E124" i="8"/>
  <c r="Y123" i="8"/>
  <c r="S123" i="8"/>
  <c r="P123" i="8"/>
  <c r="N123" i="8"/>
  <c r="K123" i="8"/>
  <c r="J123" i="8"/>
  <c r="I123" i="8"/>
  <c r="H123" i="8"/>
  <c r="G123" i="8"/>
  <c r="F123" i="8"/>
  <c r="E123" i="8"/>
  <c r="Y122" i="8"/>
  <c r="S122" i="8"/>
  <c r="P122" i="8"/>
  <c r="N122" i="8"/>
  <c r="K122" i="8"/>
  <c r="E46" i="7" s="1"/>
  <c r="J122" i="8"/>
  <c r="I122" i="8"/>
  <c r="H122" i="8"/>
  <c r="G122" i="8"/>
  <c r="F122" i="8"/>
  <c r="E122" i="8"/>
  <c r="Y121" i="8"/>
  <c r="S121" i="8"/>
  <c r="P121" i="8"/>
  <c r="N121" i="8"/>
  <c r="K121" i="8"/>
  <c r="E75" i="7" s="1"/>
  <c r="J121" i="8"/>
  <c r="H121" i="8"/>
  <c r="G121" i="8"/>
  <c r="F121" i="8"/>
  <c r="E121" i="8"/>
  <c r="Y120" i="8"/>
  <c r="S120" i="8"/>
  <c r="P120" i="8"/>
  <c r="N120" i="8"/>
  <c r="K120" i="8"/>
  <c r="E37" i="7" s="1"/>
  <c r="J120" i="8"/>
  <c r="I120" i="8"/>
  <c r="D37" i="7" s="1"/>
  <c r="H120" i="8"/>
  <c r="G120" i="8"/>
  <c r="F120" i="8"/>
  <c r="E120" i="8"/>
  <c r="Y119" i="8"/>
  <c r="S119" i="8"/>
  <c r="P119" i="8"/>
  <c r="N119" i="8"/>
  <c r="K119" i="8"/>
  <c r="E61" i="7" s="1"/>
  <c r="J119" i="8"/>
  <c r="I119" i="8"/>
  <c r="D61" i="7" s="1"/>
  <c r="H119" i="8"/>
  <c r="G119" i="8"/>
  <c r="F119" i="8"/>
  <c r="E119" i="8"/>
  <c r="Y118" i="8"/>
  <c r="S118" i="8"/>
  <c r="P118" i="8"/>
  <c r="N118" i="8"/>
  <c r="K118" i="8"/>
  <c r="E62" i="7" s="1"/>
  <c r="J118" i="8"/>
  <c r="I118" i="8"/>
  <c r="D62" i="7" s="1"/>
  <c r="H118" i="8"/>
  <c r="G118" i="8"/>
  <c r="F118" i="8"/>
  <c r="E118" i="8"/>
  <c r="Y117" i="8"/>
  <c r="S117" i="8"/>
  <c r="P117" i="8"/>
  <c r="N117" i="8"/>
  <c r="K117" i="8"/>
  <c r="E71" i="7" s="1"/>
  <c r="J117" i="8"/>
  <c r="I117" i="8"/>
  <c r="D71" i="7" s="1"/>
  <c r="H117" i="8"/>
  <c r="G117" i="8"/>
  <c r="F117" i="8"/>
  <c r="E117" i="8"/>
  <c r="Y116" i="8"/>
  <c r="S116" i="8"/>
  <c r="P116" i="8"/>
  <c r="N116" i="8"/>
  <c r="K116" i="8"/>
  <c r="J116" i="8"/>
  <c r="H116" i="8"/>
  <c r="G116" i="8"/>
  <c r="F116" i="8"/>
  <c r="E116" i="8"/>
  <c r="Y115" i="8"/>
  <c r="S115" i="8"/>
  <c r="P115" i="8"/>
  <c r="N115" i="8"/>
  <c r="K115" i="8"/>
  <c r="J115" i="8"/>
  <c r="H115" i="8"/>
  <c r="G115" i="8"/>
  <c r="F115" i="8"/>
  <c r="E115" i="8"/>
  <c r="Y114" i="8"/>
  <c r="S114" i="8"/>
  <c r="P114" i="8"/>
  <c r="N114" i="8"/>
  <c r="K114" i="8"/>
  <c r="E73" i="7" s="1"/>
  <c r="J114" i="8"/>
  <c r="H114" i="8"/>
  <c r="G114" i="8"/>
  <c r="F114" i="8"/>
  <c r="E114" i="8"/>
  <c r="Y113" i="8"/>
  <c r="H113" i="8"/>
  <c r="G113" i="8"/>
  <c r="F113" i="8"/>
  <c r="E113" i="8"/>
  <c r="D113" i="8"/>
  <c r="A113" i="8"/>
  <c r="Y112" i="8"/>
  <c r="S112" i="8"/>
  <c r="P112" i="8"/>
  <c r="N112" i="8"/>
  <c r="K112" i="8"/>
  <c r="J112" i="8"/>
  <c r="H112" i="8"/>
  <c r="G112" i="8"/>
  <c r="F112" i="8"/>
  <c r="E112" i="8"/>
  <c r="Y111" i="8"/>
  <c r="S111" i="8"/>
  <c r="P111" i="8"/>
  <c r="N111" i="8"/>
  <c r="K111" i="8"/>
  <c r="J111" i="8"/>
  <c r="H111" i="8"/>
  <c r="G111" i="8"/>
  <c r="F111" i="8"/>
  <c r="E111" i="8"/>
  <c r="Y110" i="8"/>
  <c r="S110" i="8"/>
  <c r="P110" i="8"/>
  <c r="N110" i="8"/>
  <c r="K110" i="8"/>
  <c r="J110" i="8"/>
  <c r="H110" i="8"/>
  <c r="G110" i="8"/>
  <c r="F110" i="8"/>
  <c r="E110" i="8"/>
  <c r="Y109" i="8"/>
  <c r="S109" i="8"/>
  <c r="P109" i="8"/>
  <c r="N109" i="8"/>
  <c r="K109" i="8"/>
  <c r="J109" i="8"/>
  <c r="H109" i="8"/>
  <c r="G109" i="8"/>
  <c r="F109" i="8"/>
  <c r="E109" i="8"/>
  <c r="Y108" i="8"/>
  <c r="S108" i="8"/>
  <c r="P108" i="8"/>
  <c r="N108" i="8"/>
  <c r="K108" i="8"/>
  <c r="J108" i="8"/>
  <c r="H108" i="8"/>
  <c r="G108" i="8"/>
  <c r="F108" i="8"/>
  <c r="E108" i="8"/>
  <c r="Y107" i="8"/>
  <c r="S107" i="8"/>
  <c r="P107" i="8"/>
  <c r="N107" i="8"/>
  <c r="K107" i="8"/>
  <c r="J107" i="8"/>
  <c r="H107" i="8"/>
  <c r="G107" i="8"/>
  <c r="F107" i="8"/>
  <c r="E107" i="8"/>
  <c r="Y106" i="8"/>
  <c r="H106" i="8"/>
  <c r="G106" i="8"/>
  <c r="F106" i="8"/>
  <c r="E106" i="8"/>
  <c r="D106" i="8"/>
  <c r="A106" i="8"/>
  <c r="Y105" i="8"/>
  <c r="S105" i="8"/>
  <c r="P105" i="8"/>
  <c r="N105" i="8"/>
  <c r="K105" i="8"/>
  <c r="J105" i="8"/>
  <c r="H105" i="8"/>
  <c r="G105" i="8"/>
  <c r="F105" i="8"/>
  <c r="E105" i="8"/>
  <c r="Y104" i="8"/>
  <c r="S104" i="8"/>
  <c r="P104" i="8"/>
  <c r="N104" i="8"/>
  <c r="K104" i="8"/>
  <c r="J104" i="8"/>
  <c r="H104" i="8"/>
  <c r="G104" i="8"/>
  <c r="F104" i="8"/>
  <c r="E104" i="8"/>
  <c r="Y103" i="8"/>
  <c r="S103" i="8"/>
  <c r="P103" i="8"/>
  <c r="N103" i="8"/>
  <c r="K103" i="8"/>
  <c r="J103" i="8"/>
  <c r="H103" i="8"/>
  <c r="G103" i="8"/>
  <c r="F103" i="8"/>
  <c r="E103" i="8"/>
  <c r="Y102" i="8"/>
  <c r="S102" i="8"/>
  <c r="P102" i="8"/>
  <c r="N102" i="8"/>
  <c r="K102" i="8"/>
  <c r="J102" i="8"/>
  <c r="H102" i="8"/>
  <c r="G102" i="8"/>
  <c r="F102" i="8"/>
  <c r="E102" i="8"/>
  <c r="Y101" i="8"/>
  <c r="S101" i="8"/>
  <c r="P101" i="8"/>
  <c r="N101" i="8"/>
  <c r="K101" i="8"/>
  <c r="E47" i="7" s="1"/>
  <c r="J101" i="8"/>
  <c r="H101" i="8"/>
  <c r="G101" i="8"/>
  <c r="F101" i="8"/>
  <c r="E101" i="8"/>
  <c r="Y100" i="8"/>
  <c r="S100" i="8"/>
  <c r="P100" i="8"/>
  <c r="N100" i="8"/>
  <c r="K100" i="8"/>
  <c r="J100" i="8"/>
  <c r="H100" i="8"/>
  <c r="G100" i="8"/>
  <c r="F100" i="8"/>
  <c r="E100" i="8"/>
  <c r="Y99" i="8"/>
  <c r="S99" i="8"/>
  <c r="P99" i="8"/>
  <c r="N99" i="8"/>
  <c r="K99" i="8"/>
  <c r="J99" i="8"/>
  <c r="H99" i="8"/>
  <c r="G99" i="8"/>
  <c r="F99" i="8"/>
  <c r="E99" i="8"/>
  <c r="Y98" i="8"/>
  <c r="S98" i="8"/>
  <c r="P98" i="8"/>
  <c r="N98" i="8"/>
  <c r="K98" i="8"/>
  <c r="J98" i="8"/>
  <c r="H98" i="8"/>
  <c r="G98" i="8"/>
  <c r="F98" i="8"/>
  <c r="E98" i="8"/>
  <c r="Y97" i="8"/>
  <c r="S97" i="8"/>
  <c r="P97" i="8"/>
  <c r="N97" i="8"/>
  <c r="K97" i="8"/>
  <c r="J97" i="8"/>
  <c r="H97" i="8"/>
  <c r="G97" i="8"/>
  <c r="F97" i="8"/>
  <c r="E97" i="8"/>
  <c r="Y96" i="8"/>
  <c r="S96" i="8"/>
  <c r="P96" i="8"/>
  <c r="N96" i="8"/>
  <c r="K96" i="8"/>
  <c r="J96" i="8"/>
  <c r="H96" i="8"/>
  <c r="G96" i="8"/>
  <c r="F96" i="8"/>
  <c r="E96" i="8"/>
  <c r="Y95" i="8"/>
  <c r="S95" i="8"/>
  <c r="P95" i="8"/>
  <c r="N95" i="8"/>
  <c r="K95" i="8"/>
  <c r="J95" i="8"/>
  <c r="H95" i="8"/>
  <c r="G95" i="8"/>
  <c r="F95" i="8"/>
  <c r="E95" i="8"/>
  <c r="Y94" i="8"/>
  <c r="S94" i="8"/>
  <c r="P94" i="8"/>
  <c r="N94" i="8"/>
  <c r="K94" i="8"/>
  <c r="J94" i="8"/>
  <c r="H94" i="8"/>
  <c r="G94" i="8"/>
  <c r="F94" i="8"/>
  <c r="E94" i="8"/>
  <c r="Y93" i="8"/>
  <c r="S93" i="8"/>
  <c r="P93" i="8"/>
  <c r="N93" i="8"/>
  <c r="K93" i="8"/>
  <c r="J93" i="8"/>
  <c r="H93" i="8"/>
  <c r="G93" i="8"/>
  <c r="F93" i="8"/>
  <c r="E93" i="8"/>
  <c r="Y92" i="8"/>
  <c r="S92" i="8"/>
  <c r="P92" i="8"/>
  <c r="N92" i="8"/>
  <c r="K92" i="8"/>
  <c r="E12" i="7" s="1"/>
  <c r="J92" i="8"/>
  <c r="I92" i="8"/>
  <c r="H92" i="8"/>
  <c r="G92" i="8"/>
  <c r="F92" i="8"/>
  <c r="E92" i="8"/>
  <c r="Y91" i="8"/>
  <c r="S91" i="8"/>
  <c r="P91" i="8"/>
  <c r="N91" i="8"/>
  <c r="K91" i="8"/>
  <c r="J91" i="8"/>
  <c r="I91" i="8"/>
  <c r="H91" i="8"/>
  <c r="G91" i="8"/>
  <c r="F91" i="8"/>
  <c r="E91" i="8"/>
  <c r="Y90" i="8"/>
  <c r="S90" i="8"/>
  <c r="P90" i="8"/>
  <c r="N90" i="8"/>
  <c r="K90" i="8"/>
  <c r="E64" i="7" s="1"/>
  <c r="J90" i="8"/>
  <c r="I90" i="8"/>
  <c r="D64" i="7" s="1"/>
  <c r="H90" i="8"/>
  <c r="G90" i="8"/>
  <c r="F90" i="8"/>
  <c r="E90" i="8"/>
  <c r="Y89" i="8"/>
  <c r="H89" i="8"/>
  <c r="G89" i="8"/>
  <c r="F89" i="8"/>
  <c r="E89" i="8"/>
  <c r="D89" i="8"/>
  <c r="A89" i="8"/>
  <c r="Y88" i="8"/>
  <c r="S88" i="8"/>
  <c r="P88" i="8"/>
  <c r="N88" i="8"/>
  <c r="K88" i="8"/>
  <c r="J88" i="8"/>
  <c r="H88" i="8"/>
  <c r="G88" i="8"/>
  <c r="F88" i="8"/>
  <c r="E88" i="8"/>
  <c r="Y87" i="8"/>
  <c r="S87" i="8"/>
  <c r="P87" i="8"/>
  <c r="N87" i="8"/>
  <c r="K87" i="8"/>
  <c r="J87" i="8"/>
  <c r="H87" i="8"/>
  <c r="G87" i="8"/>
  <c r="F87" i="8"/>
  <c r="E87" i="8"/>
  <c r="Y86" i="8"/>
  <c r="S86" i="8"/>
  <c r="P86" i="8"/>
  <c r="N86" i="8"/>
  <c r="K86" i="8"/>
  <c r="E20" i="7" s="1"/>
  <c r="J86" i="8"/>
  <c r="H86" i="8"/>
  <c r="G86" i="8"/>
  <c r="F86" i="8"/>
  <c r="E86" i="8"/>
  <c r="Y85" i="8"/>
  <c r="S85" i="8"/>
  <c r="P85" i="8"/>
  <c r="N85" i="8"/>
  <c r="K85" i="8"/>
  <c r="E29" i="7" s="1"/>
  <c r="J85" i="8"/>
  <c r="H85" i="8"/>
  <c r="G85" i="8"/>
  <c r="F85" i="8"/>
  <c r="E85" i="8"/>
  <c r="Y84" i="8"/>
  <c r="H84" i="8"/>
  <c r="G84" i="8"/>
  <c r="F84" i="8"/>
  <c r="E84" i="8"/>
  <c r="D84" i="8"/>
  <c r="A84" i="8"/>
  <c r="Y83" i="8"/>
  <c r="S83" i="8"/>
  <c r="P83" i="8"/>
  <c r="N83" i="8"/>
  <c r="K83" i="8"/>
  <c r="J83" i="8"/>
  <c r="I83" i="8"/>
  <c r="H83" i="8"/>
  <c r="G83" i="8"/>
  <c r="F83" i="8"/>
  <c r="E83" i="8"/>
  <c r="Y82" i="8"/>
  <c r="H82" i="8"/>
  <c r="G82" i="8"/>
  <c r="F82" i="8"/>
  <c r="E82" i="8"/>
  <c r="D82" i="8"/>
  <c r="A82" i="8"/>
  <c r="Y81" i="8"/>
  <c r="H81" i="8"/>
  <c r="G81" i="8"/>
  <c r="F81" i="8"/>
  <c r="E81" i="8"/>
  <c r="D81" i="8"/>
  <c r="A81" i="8"/>
  <c r="Y80" i="8"/>
  <c r="S80" i="8"/>
  <c r="P80" i="8"/>
  <c r="N80" i="8"/>
  <c r="K80" i="8"/>
  <c r="E36" i="7" s="1"/>
  <c r="J80" i="8"/>
  <c r="H80" i="8"/>
  <c r="G80" i="8"/>
  <c r="F80" i="8"/>
  <c r="E80" i="8"/>
  <c r="Y79" i="8"/>
  <c r="H79" i="8"/>
  <c r="G79" i="8"/>
  <c r="F79" i="8"/>
  <c r="E79" i="8"/>
  <c r="D79" i="8"/>
  <c r="A79" i="8"/>
  <c r="Y78" i="8"/>
  <c r="S78" i="8"/>
  <c r="P78" i="8"/>
  <c r="N78" i="8"/>
  <c r="K78" i="8"/>
  <c r="E45" i="7" s="1"/>
  <c r="J78" i="8"/>
  <c r="H78" i="8"/>
  <c r="G78" i="8"/>
  <c r="F78" i="8"/>
  <c r="E78" i="8"/>
  <c r="Y77" i="8"/>
  <c r="S77" i="8"/>
  <c r="P77" i="8"/>
  <c r="N77" i="8"/>
  <c r="K77" i="8"/>
  <c r="E63" i="7" s="1"/>
  <c r="J77" i="8"/>
  <c r="H77" i="8"/>
  <c r="G77" i="8"/>
  <c r="F77" i="8"/>
  <c r="E77" i="8"/>
  <c r="Y76" i="8"/>
  <c r="S76" i="8"/>
  <c r="P76" i="8"/>
  <c r="N76" i="8"/>
  <c r="K76" i="8"/>
  <c r="E65" i="7" s="1"/>
  <c r="J76" i="8"/>
  <c r="H76" i="8"/>
  <c r="G76" i="8"/>
  <c r="F76" i="8"/>
  <c r="E76" i="8"/>
  <c r="Y75" i="8"/>
  <c r="S75" i="8"/>
  <c r="P75" i="8"/>
  <c r="N75" i="8"/>
  <c r="K75" i="8"/>
  <c r="E66" i="7" s="1"/>
  <c r="J75" i="8"/>
  <c r="H75" i="8"/>
  <c r="G75" i="8"/>
  <c r="F75" i="8"/>
  <c r="E75" i="8"/>
  <c r="Y74" i="8"/>
  <c r="S74" i="8"/>
  <c r="P74" i="8"/>
  <c r="N74" i="8"/>
  <c r="K74" i="8"/>
  <c r="E67" i="7" s="1"/>
  <c r="J74" i="8"/>
  <c r="H74" i="8"/>
  <c r="G74" i="8"/>
  <c r="F74" i="8"/>
  <c r="E74" i="8"/>
  <c r="Y73" i="8"/>
  <c r="S73" i="8"/>
  <c r="P73" i="8"/>
  <c r="N73" i="8"/>
  <c r="K73" i="8"/>
  <c r="E69" i="7" s="1"/>
  <c r="J73" i="8"/>
  <c r="H73" i="8"/>
  <c r="G73" i="8"/>
  <c r="F73" i="8"/>
  <c r="E73" i="8"/>
  <c r="Y72" i="8"/>
  <c r="H72" i="8"/>
  <c r="G72" i="8"/>
  <c r="F72" i="8"/>
  <c r="E72" i="8"/>
  <c r="D72" i="8"/>
  <c r="A72" i="8"/>
  <c r="Y71" i="8"/>
  <c r="S71" i="8"/>
  <c r="P71" i="8"/>
  <c r="N71" i="8"/>
  <c r="K71" i="8"/>
  <c r="E15" i="7" s="1"/>
  <c r="J71" i="8"/>
  <c r="H71" i="8"/>
  <c r="G71" i="8"/>
  <c r="F71" i="8"/>
  <c r="E71" i="8"/>
  <c r="Y70" i="8"/>
  <c r="S70" i="8"/>
  <c r="P70" i="8"/>
  <c r="N70" i="8"/>
  <c r="K70" i="8"/>
  <c r="E16" i="7" s="1"/>
  <c r="J70" i="8"/>
  <c r="H70" i="8"/>
  <c r="G70" i="8"/>
  <c r="F70" i="8"/>
  <c r="E70" i="8"/>
  <c r="Y69" i="8"/>
  <c r="S69" i="8"/>
  <c r="P69" i="8"/>
  <c r="N69" i="8"/>
  <c r="K69" i="8"/>
  <c r="J69" i="8"/>
  <c r="H69" i="8"/>
  <c r="G69" i="8"/>
  <c r="F69" i="8"/>
  <c r="E69" i="8"/>
  <c r="Y68" i="8"/>
  <c r="S68" i="8"/>
  <c r="P68" i="8"/>
  <c r="N68" i="8"/>
  <c r="K68" i="8"/>
  <c r="E38" i="7" s="1"/>
  <c r="J68" i="8"/>
  <c r="H68" i="8"/>
  <c r="G68" i="8"/>
  <c r="F68" i="8"/>
  <c r="E68" i="8"/>
  <c r="Y67" i="8"/>
  <c r="S67" i="8"/>
  <c r="P67" i="8"/>
  <c r="N67" i="8"/>
  <c r="K67" i="8"/>
  <c r="E74" i="7" s="1"/>
  <c r="J67" i="8"/>
  <c r="H67" i="8"/>
  <c r="G67" i="8"/>
  <c r="F67" i="8"/>
  <c r="E67" i="8"/>
  <c r="Y66" i="8"/>
  <c r="H66" i="8"/>
  <c r="G66" i="8"/>
  <c r="F66" i="8"/>
  <c r="E66" i="8"/>
  <c r="D66" i="8"/>
  <c r="A66" i="8"/>
  <c r="Y65" i="8"/>
  <c r="S65" i="8"/>
  <c r="P65" i="8"/>
  <c r="N65" i="8"/>
  <c r="K65" i="8"/>
  <c r="J65" i="8"/>
  <c r="H65" i="8"/>
  <c r="G65" i="8"/>
  <c r="F65" i="8"/>
  <c r="E65" i="8"/>
  <c r="Y64" i="8"/>
  <c r="S64" i="8"/>
  <c r="P64" i="8"/>
  <c r="N64" i="8"/>
  <c r="K64" i="8"/>
  <c r="J64" i="8"/>
  <c r="H64" i="8"/>
  <c r="G64" i="8"/>
  <c r="F64" i="8"/>
  <c r="E64" i="8"/>
  <c r="Y63" i="8"/>
  <c r="S63" i="8"/>
  <c r="P63" i="8"/>
  <c r="N63" i="8"/>
  <c r="K63" i="8"/>
  <c r="E28" i="7" s="1"/>
  <c r="J63" i="8"/>
  <c r="H63" i="8"/>
  <c r="G63" i="8"/>
  <c r="F63" i="8"/>
  <c r="E63" i="8"/>
  <c r="Y62" i="8"/>
  <c r="S62" i="8"/>
  <c r="P62" i="8"/>
  <c r="N62" i="8"/>
  <c r="K62" i="8"/>
  <c r="J62" i="8"/>
  <c r="H62" i="8"/>
  <c r="G62" i="8"/>
  <c r="F62" i="8"/>
  <c r="E62" i="8"/>
  <c r="Y61" i="8"/>
  <c r="S61" i="8"/>
  <c r="P61" i="8"/>
  <c r="N61" i="8"/>
  <c r="K61" i="8"/>
  <c r="E48" i="7" s="1"/>
  <c r="J61" i="8"/>
  <c r="H61" i="8"/>
  <c r="G61" i="8"/>
  <c r="F61" i="8"/>
  <c r="E61" i="8"/>
  <c r="Y60" i="8"/>
  <c r="S60" i="8"/>
  <c r="P60" i="8"/>
  <c r="N60" i="8"/>
  <c r="K60" i="8"/>
  <c r="E68" i="7" s="1"/>
  <c r="J60" i="8"/>
  <c r="H60" i="8"/>
  <c r="G60" i="8"/>
  <c r="F60" i="8"/>
  <c r="E60" i="8"/>
  <c r="Y59" i="8"/>
  <c r="S59" i="8"/>
  <c r="P59" i="8"/>
  <c r="N59" i="8"/>
  <c r="K59" i="8"/>
  <c r="E72" i="7" s="1"/>
  <c r="J59" i="8"/>
  <c r="H59" i="8"/>
  <c r="G59" i="8"/>
  <c r="F59" i="8"/>
  <c r="E59" i="8"/>
  <c r="Y58" i="8"/>
  <c r="H58" i="8"/>
  <c r="G58" i="8"/>
  <c r="F58" i="8"/>
  <c r="E58" i="8"/>
  <c r="D58" i="8"/>
  <c r="A58" i="8"/>
  <c r="Y57" i="8"/>
  <c r="H57" i="8"/>
  <c r="G57" i="8"/>
  <c r="F57" i="8"/>
  <c r="E57" i="8"/>
  <c r="D57" i="8"/>
  <c r="A57" i="8"/>
  <c r="Y56" i="8"/>
  <c r="S56" i="8"/>
  <c r="P56" i="8"/>
  <c r="N56" i="8"/>
  <c r="K56" i="8"/>
  <c r="E10" i="7" s="1"/>
  <c r="J56" i="8"/>
  <c r="I56" i="8"/>
  <c r="D10" i="7" s="1"/>
  <c r="H56" i="8"/>
  <c r="G56" i="8"/>
  <c r="F56" i="8"/>
  <c r="E56" i="8"/>
  <c r="Y55" i="8"/>
  <c r="S55" i="8"/>
  <c r="P55" i="8"/>
  <c r="N55" i="8"/>
  <c r="K55" i="8"/>
  <c r="E11" i="7" s="1"/>
  <c r="J55" i="8"/>
  <c r="I55" i="8"/>
  <c r="D11" i="7" s="1"/>
  <c r="H55" i="8"/>
  <c r="G55" i="8"/>
  <c r="F55" i="8"/>
  <c r="E55" i="8"/>
  <c r="Y54" i="8"/>
  <c r="S54" i="8"/>
  <c r="P54" i="8"/>
  <c r="N54" i="8"/>
  <c r="K54" i="8"/>
  <c r="E21" i="7" s="1"/>
  <c r="J54" i="8"/>
  <c r="I54" i="8"/>
  <c r="D21" i="7" s="1"/>
  <c r="H54" i="8"/>
  <c r="G54" i="8"/>
  <c r="F54" i="8"/>
  <c r="E54" i="8"/>
  <c r="Y53" i="8"/>
  <c r="H53" i="8"/>
  <c r="G53" i="8"/>
  <c r="F53" i="8"/>
  <c r="E53" i="8"/>
  <c r="D53" i="8"/>
  <c r="A53" i="8"/>
  <c r="Y52" i="8"/>
  <c r="H52" i="8"/>
  <c r="G52" i="8"/>
  <c r="F52" i="8"/>
  <c r="E52" i="8"/>
  <c r="D52" i="8"/>
  <c r="A52" i="8"/>
  <c r="Y51" i="8"/>
  <c r="H51" i="8"/>
  <c r="G51" i="8"/>
  <c r="F51" i="8"/>
  <c r="E51" i="8"/>
  <c r="D51" i="8"/>
  <c r="A51" i="8"/>
  <c r="Y50" i="8"/>
  <c r="H50" i="8"/>
  <c r="G50" i="8"/>
  <c r="F50" i="8"/>
  <c r="E50" i="8"/>
  <c r="D50" i="8"/>
  <c r="A50" i="8"/>
  <c r="Y49" i="8"/>
  <c r="H49" i="8"/>
  <c r="G49" i="8"/>
  <c r="F49" i="8"/>
  <c r="E49" i="8"/>
  <c r="D49" i="8"/>
  <c r="A49" i="8"/>
  <c r="Y48" i="8"/>
  <c r="S48" i="8"/>
  <c r="P48" i="8"/>
  <c r="N48" i="8"/>
  <c r="K48" i="8"/>
  <c r="E32" i="7" s="1"/>
  <c r="J48" i="8"/>
  <c r="H48" i="8"/>
  <c r="G48" i="8"/>
  <c r="F48" i="8"/>
  <c r="E48" i="8"/>
  <c r="Y47" i="8"/>
  <c r="H47" i="8"/>
  <c r="G47" i="8"/>
  <c r="F47" i="8"/>
  <c r="E47" i="8"/>
  <c r="D47" i="8"/>
  <c r="A47" i="8"/>
  <c r="Y46" i="8"/>
  <c r="H46" i="8"/>
  <c r="G46" i="8"/>
  <c r="F46" i="8"/>
  <c r="E46" i="8"/>
  <c r="D46" i="8"/>
  <c r="A46" i="8"/>
  <c r="Y45" i="8"/>
  <c r="H45" i="8"/>
  <c r="G45" i="8"/>
  <c r="F45" i="8"/>
  <c r="E45" i="8"/>
  <c r="D45" i="8"/>
  <c r="A45" i="8"/>
  <c r="Y44" i="8"/>
  <c r="H44" i="8"/>
  <c r="G44" i="8"/>
  <c r="F44" i="8"/>
  <c r="E44" i="8"/>
  <c r="D44" i="8"/>
  <c r="A44" i="8"/>
  <c r="Y43" i="8"/>
  <c r="S43" i="8"/>
  <c r="P43" i="8"/>
  <c r="N43" i="8"/>
  <c r="K43" i="8"/>
  <c r="E13" i="7" s="1"/>
  <c r="J43" i="8"/>
  <c r="H43" i="8"/>
  <c r="G43" i="8"/>
  <c r="F43" i="8"/>
  <c r="E43" i="8"/>
  <c r="Y42" i="8"/>
  <c r="S42" i="8"/>
  <c r="P42" i="8"/>
  <c r="N42" i="8"/>
  <c r="K42" i="8"/>
  <c r="E14" i="7" s="1"/>
  <c r="J42" i="8"/>
  <c r="H42" i="8"/>
  <c r="G42" i="8"/>
  <c r="F42" i="8"/>
  <c r="E42" i="8"/>
  <c r="Y41" i="8"/>
  <c r="S41" i="8"/>
  <c r="P41" i="8"/>
  <c r="N41" i="8"/>
  <c r="K41" i="8"/>
  <c r="E18" i="7" s="1"/>
  <c r="J41" i="8"/>
  <c r="H41" i="8"/>
  <c r="G41" i="8"/>
  <c r="F41" i="8"/>
  <c r="E41" i="8"/>
  <c r="Y40" i="8"/>
  <c r="S40" i="8"/>
  <c r="P40" i="8"/>
  <c r="N40" i="8"/>
  <c r="K40" i="8"/>
  <c r="E25" i="7" s="1"/>
  <c r="J40" i="8"/>
  <c r="H40" i="8"/>
  <c r="G40" i="8"/>
  <c r="F40" i="8"/>
  <c r="E40" i="8"/>
  <c r="Y39" i="8"/>
  <c r="S39" i="8"/>
  <c r="P39" i="8"/>
  <c r="N39" i="8"/>
  <c r="K39" i="8"/>
  <c r="E43" i="7" s="1"/>
  <c r="J39" i="8"/>
  <c r="H39" i="8"/>
  <c r="G39" i="8"/>
  <c r="F39" i="8"/>
  <c r="E39" i="8"/>
  <c r="Y38" i="8"/>
  <c r="S38" i="8"/>
  <c r="P38" i="8"/>
  <c r="N38" i="8"/>
  <c r="K38" i="8"/>
  <c r="E44" i="7" s="1"/>
  <c r="J38" i="8"/>
  <c r="H38" i="8"/>
  <c r="G38" i="8"/>
  <c r="F38" i="8"/>
  <c r="E38" i="8"/>
  <c r="Y37" i="8"/>
  <c r="S37" i="8"/>
  <c r="P37" i="8"/>
  <c r="N37" i="8"/>
  <c r="K37" i="8"/>
  <c r="E58" i="7" s="1"/>
  <c r="J37" i="8"/>
  <c r="H37" i="8"/>
  <c r="G37" i="8"/>
  <c r="F37" i="8"/>
  <c r="E37" i="8"/>
  <c r="Y36" i="8"/>
  <c r="S36" i="8"/>
  <c r="P36" i="8"/>
  <c r="N36" i="8"/>
  <c r="K36" i="8"/>
  <c r="E59" i="7" s="1"/>
  <c r="J36" i="8"/>
  <c r="H36" i="8"/>
  <c r="G36" i="8"/>
  <c r="F36" i="8"/>
  <c r="E36" i="8"/>
  <c r="Y35" i="8"/>
  <c r="H35" i="8"/>
  <c r="G35" i="8"/>
  <c r="F35" i="8"/>
  <c r="E35" i="8"/>
  <c r="D35" i="8"/>
  <c r="A35" i="8"/>
  <c r="Y34" i="8"/>
  <c r="H34" i="8"/>
  <c r="G34" i="8"/>
  <c r="F34" i="8"/>
  <c r="E34" i="8"/>
  <c r="D34" i="8"/>
  <c r="A34" i="8"/>
  <c r="Y33" i="8"/>
  <c r="S33" i="8"/>
  <c r="P33" i="8"/>
  <c r="N33" i="8"/>
  <c r="K33" i="8"/>
  <c r="J33" i="8"/>
  <c r="I33" i="8"/>
  <c r="H33" i="8"/>
  <c r="G33" i="8"/>
  <c r="F33" i="8"/>
  <c r="E33" i="8"/>
  <c r="Y32" i="8"/>
  <c r="S32" i="8"/>
  <c r="P32" i="8"/>
  <c r="N32" i="8"/>
  <c r="K32" i="8"/>
  <c r="J32" i="8"/>
  <c r="I32" i="8"/>
  <c r="H32" i="8"/>
  <c r="G32" i="8"/>
  <c r="F32" i="8"/>
  <c r="E32" i="8"/>
  <c r="Y31" i="8"/>
  <c r="S31" i="8"/>
  <c r="P31" i="8"/>
  <c r="N31" i="8"/>
  <c r="K31" i="8"/>
  <c r="J31" i="8"/>
  <c r="I31" i="8"/>
  <c r="H31" i="8"/>
  <c r="G31" i="8"/>
  <c r="F31" i="8"/>
  <c r="E31" i="8"/>
  <c r="Y30" i="8"/>
  <c r="S30" i="8"/>
  <c r="P30" i="8"/>
  <c r="N30" i="8"/>
  <c r="K30" i="8"/>
  <c r="J30" i="8"/>
  <c r="I30" i="8"/>
  <c r="H30" i="8"/>
  <c r="G30" i="8"/>
  <c r="F30" i="8"/>
  <c r="E30" i="8"/>
  <c r="Y29" i="8"/>
  <c r="S29" i="8"/>
  <c r="P29" i="8"/>
  <c r="N29" i="8"/>
  <c r="K29" i="8"/>
  <c r="J29" i="8"/>
  <c r="I29" i="8"/>
  <c r="H29" i="8"/>
  <c r="G29" i="8"/>
  <c r="F29" i="8"/>
  <c r="E29" i="8"/>
  <c r="Y28" i="8"/>
  <c r="S28" i="8"/>
  <c r="P28" i="8"/>
  <c r="N28" i="8"/>
  <c r="K28" i="8"/>
  <c r="J28" i="8"/>
  <c r="I28" i="8"/>
  <c r="H28" i="8"/>
  <c r="G28" i="8"/>
  <c r="F28" i="8"/>
  <c r="E28" i="8"/>
  <c r="Y27" i="8"/>
  <c r="S27" i="8"/>
  <c r="P27" i="8"/>
  <c r="N27" i="8"/>
  <c r="K27" i="8"/>
  <c r="J27" i="8"/>
  <c r="I27" i="8"/>
  <c r="H27" i="8"/>
  <c r="G27" i="8"/>
  <c r="F27" i="8"/>
  <c r="E27" i="8"/>
  <c r="Y26" i="8"/>
  <c r="S26" i="8"/>
  <c r="P26" i="8"/>
  <c r="N26" i="8"/>
  <c r="K26" i="8"/>
  <c r="J26" i="8"/>
  <c r="I26" i="8"/>
  <c r="H26" i="8"/>
  <c r="G26" i="8"/>
  <c r="F26" i="8"/>
  <c r="E26" i="8"/>
  <c r="Y25" i="8"/>
  <c r="H25" i="8"/>
  <c r="G25" i="8"/>
  <c r="F25" i="8"/>
  <c r="E25" i="8"/>
  <c r="D25" i="8"/>
  <c r="A25" i="8"/>
  <c r="Y24" i="8"/>
  <c r="H24" i="8"/>
  <c r="G24" i="8"/>
  <c r="F24" i="8"/>
  <c r="E24" i="8"/>
  <c r="D24" i="8"/>
  <c r="A24" i="8"/>
  <c r="Y23" i="8"/>
  <c r="H23" i="8"/>
  <c r="G23" i="8"/>
  <c r="F23" i="8"/>
  <c r="E23" i="8"/>
  <c r="D23" i="8"/>
  <c r="A23" i="8"/>
  <c r="Y22" i="8"/>
  <c r="S22" i="8"/>
  <c r="P22" i="8"/>
  <c r="N22" i="8"/>
  <c r="K22" i="8"/>
  <c r="J22" i="8"/>
  <c r="I22" i="8"/>
  <c r="H22" i="8"/>
  <c r="G22" i="8"/>
  <c r="F22" i="8"/>
  <c r="E22" i="8"/>
  <c r="Y21" i="8"/>
  <c r="S21" i="8"/>
  <c r="P21" i="8"/>
  <c r="N21" i="8"/>
  <c r="K21" i="8"/>
  <c r="J21" i="8"/>
  <c r="I21" i="8"/>
  <c r="H21" i="8"/>
  <c r="G21" i="8"/>
  <c r="F21" i="8"/>
  <c r="E21" i="8"/>
  <c r="Y20" i="8"/>
  <c r="S20" i="8"/>
  <c r="P20" i="8"/>
  <c r="N20" i="8"/>
  <c r="K20" i="8"/>
  <c r="E24" i="7" s="1"/>
  <c r="J20" i="8"/>
  <c r="I20" i="8"/>
  <c r="H20" i="8"/>
  <c r="G20" i="8"/>
  <c r="F20" i="8"/>
  <c r="E20" i="8"/>
  <c r="Y19" i="8"/>
  <c r="S19" i="8"/>
  <c r="P19" i="8"/>
  <c r="N19" i="8"/>
  <c r="K19" i="8"/>
  <c r="E30" i="7" s="1"/>
  <c r="J19" i="8"/>
  <c r="I19" i="8"/>
  <c r="D30" i="7" s="1"/>
  <c r="H19" i="8"/>
  <c r="G19" i="8"/>
  <c r="F19" i="8"/>
  <c r="E19" i="8"/>
  <c r="Y18" i="8"/>
  <c r="S18" i="8"/>
  <c r="P18" i="8"/>
  <c r="N18" i="8"/>
  <c r="K18" i="8"/>
  <c r="J18" i="8"/>
  <c r="I18" i="8"/>
  <c r="H18" i="8"/>
  <c r="G18" i="8"/>
  <c r="F18" i="8"/>
  <c r="E18" i="8"/>
  <c r="Y17" i="8"/>
  <c r="S17" i="8"/>
  <c r="P17" i="8"/>
  <c r="N17" i="8"/>
  <c r="K17" i="8"/>
  <c r="J17" i="8"/>
  <c r="I17" i="8"/>
  <c r="H17" i="8"/>
  <c r="G17" i="8"/>
  <c r="F17" i="8"/>
  <c r="E17" i="8"/>
  <c r="Y16" i="8"/>
  <c r="S16" i="8"/>
  <c r="P16" i="8"/>
  <c r="N16" i="8"/>
  <c r="K16" i="8"/>
  <c r="E50" i="7" s="1"/>
  <c r="J16" i="8"/>
  <c r="I16" i="8"/>
  <c r="H16" i="8"/>
  <c r="G16" i="8"/>
  <c r="F16" i="8"/>
  <c r="E16" i="8"/>
  <c r="Y15" i="8"/>
  <c r="S15" i="8"/>
  <c r="P15" i="8"/>
  <c r="N15" i="8"/>
  <c r="K15" i="8"/>
  <c r="E52" i="7" s="1"/>
  <c r="J15" i="8"/>
  <c r="I15" i="8"/>
  <c r="H15" i="8"/>
  <c r="G15" i="8"/>
  <c r="F15" i="8"/>
  <c r="E15" i="8"/>
  <c r="Y14" i="8"/>
  <c r="S14" i="8"/>
  <c r="P14" i="8"/>
  <c r="N14" i="8"/>
  <c r="K14" i="8"/>
  <c r="J14" i="8"/>
  <c r="I14" i="8"/>
  <c r="H14" i="8"/>
  <c r="G14" i="8"/>
  <c r="F14" i="8"/>
  <c r="E14" i="8"/>
  <c r="Y13" i="8"/>
  <c r="S13" i="8"/>
  <c r="P13" i="8"/>
  <c r="N13" i="8"/>
  <c r="K13" i="8"/>
  <c r="J13" i="8"/>
  <c r="I13" i="8"/>
  <c r="H13" i="8"/>
  <c r="G13" i="8"/>
  <c r="F13" i="8"/>
  <c r="E13" i="8"/>
  <c r="Y12" i="8"/>
  <c r="S12" i="8"/>
  <c r="P12" i="8"/>
  <c r="N12" i="8"/>
  <c r="K12" i="8"/>
  <c r="J12" i="8"/>
  <c r="I12" i="8"/>
  <c r="H12" i="8"/>
  <c r="G12" i="8"/>
  <c r="F12" i="8"/>
  <c r="E12" i="8"/>
  <c r="Y11" i="8"/>
  <c r="S11" i="8"/>
  <c r="P11" i="8"/>
  <c r="N11" i="8"/>
  <c r="K11" i="8"/>
  <c r="J11" i="8"/>
  <c r="I11" i="8"/>
  <c r="H11" i="8"/>
  <c r="G11" i="8"/>
  <c r="F11" i="8"/>
  <c r="E11" i="8"/>
  <c r="Y10" i="8"/>
  <c r="S10" i="8"/>
  <c r="P10" i="8"/>
  <c r="N10" i="8"/>
  <c r="K10" i="8"/>
  <c r="E17" i="7" s="1"/>
  <c r="J10" i="8"/>
  <c r="I10" i="8"/>
  <c r="H10" i="8"/>
  <c r="G10" i="8"/>
  <c r="F10" i="8"/>
  <c r="E10" i="8"/>
  <c r="Y9" i="8"/>
  <c r="S9" i="8"/>
  <c r="P9" i="8"/>
  <c r="N9" i="8"/>
  <c r="K9" i="8"/>
  <c r="E19" i="7" s="1"/>
  <c r="J9" i="8"/>
  <c r="I9" i="8"/>
  <c r="H9" i="8"/>
  <c r="G9" i="8"/>
  <c r="F9" i="8"/>
  <c r="E9" i="8"/>
  <c r="Y8" i="8"/>
  <c r="S8" i="8"/>
  <c r="P8" i="8"/>
  <c r="N8" i="8"/>
  <c r="K8" i="8"/>
  <c r="E35" i="7" s="1"/>
  <c r="J8" i="8"/>
  <c r="I8" i="8"/>
  <c r="H8" i="8"/>
  <c r="G8" i="8"/>
  <c r="F8" i="8"/>
  <c r="E8" i="8"/>
  <c r="Y7" i="8"/>
  <c r="S7" i="8"/>
  <c r="P7" i="8"/>
  <c r="N7" i="8"/>
  <c r="K7" i="8"/>
  <c r="E49" i="7" s="1"/>
  <c r="J7" i="8"/>
  <c r="I7" i="8"/>
  <c r="H7" i="8"/>
  <c r="G7" i="8"/>
  <c r="F7" i="8"/>
  <c r="E7" i="8"/>
  <c r="G6" i="8"/>
  <c r="A6" i="8"/>
  <c r="D95" i="6"/>
  <c r="C95" i="6"/>
  <c r="B95" i="6"/>
  <c r="C94" i="6"/>
  <c r="B94" i="6"/>
  <c r="C93" i="6"/>
  <c r="B93" i="6"/>
  <c r="C92" i="6"/>
  <c r="B92" i="6"/>
  <c r="C91" i="6"/>
  <c r="B91" i="6"/>
  <c r="C90" i="6"/>
  <c r="B90" i="6"/>
  <c r="D89" i="6"/>
  <c r="C89" i="6"/>
  <c r="B89" i="6"/>
  <c r="C88" i="6"/>
  <c r="B88" i="6"/>
  <c r="D87" i="6"/>
  <c r="C87" i="6"/>
  <c r="B87" i="6"/>
  <c r="C86" i="6"/>
  <c r="B86" i="6"/>
  <c r="C85" i="6"/>
  <c r="B85" i="6"/>
  <c r="C84" i="6"/>
  <c r="B84" i="6"/>
  <c r="C83" i="6"/>
  <c r="B83" i="6"/>
  <c r="C82" i="6"/>
  <c r="B82" i="6"/>
  <c r="C81" i="6"/>
  <c r="B81" i="6"/>
  <c r="C80" i="6"/>
  <c r="B80" i="6"/>
  <c r="C79" i="6"/>
  <c r="B79" i="6"/>
  <c r="C78" i="6"/>
  <c r="B78" i="6"/>
  <c r="C77" i="6"/>
  <c r="B77" i="6"/>
  <c r="C76" i="6"/>
  <c r="B76" i="6"/>
  <c r="C75" i="6"/>
  <c r="B75" i="6"/>
  <c r="C74" i="6"/>
  <c r="B74" i="6"/>
  <c r="C73" i="6"/>
  <c r="B73" i="6"/>
  <c r="C72" i="6"/>
  <c r="B72" i="6"/>
  <c r="D71" i="6"/>
  <c r="C71" i="6"/>
  <c r="B71" i="6"/>
  <c r="C70" i="6"/>
  <c r="B70" i="6"/>
  <c r="C69" i="6"/>
  <c r="B69" i="6"/>
  <c r="C68" i="6"/>
  <c r="B68" i="6"/>
  <c r="D67" i="6"/>
  <c r="C67" i="6"/>
  <c r="B67" i="6"/>
  <c r="C66" i="6"/>
  <c r="B66" i="6"/>
  <c r="C65" i="6"/>
  <c r="B65" i="6"/>
  <c r="C64" i="6"/>
  <c r="B64" i="6"/>
  <c r="C63" i="6"/>
  <c r="B63" i="6"/>
  <c r="C62" i="6"/>
  <c r="B62" i="6"/>
  <c r="C61" i="6"/>
  <c r="B61" i="6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D43" i="6"/>
  <c r="C43" i="6"/>
  <c r="B43" i="6"/>
  <c r="C42" i="6"/>
  <c r="B42" i="6"/>
  <c r="D41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D26" i="6"/>
  <c r="C26" i="6"/>
  <c r="B26" i="6"/>
  <c r="C25" i="6"/>
  <c r="B25" i="6"/>
  <c r="C24" i="6"/>
  <c r="B24" i="6"/>
  <c r="C23" i="6"/>
  <c r="B23" i="6"/>
  <c r="D22" i="6"/>
  <c r="C22" i="6"/>
  <c r="B22" i="6"/>
  <c r="D21" i="6"/>
  <c r="C21" i="6"/>
  <c r="B21" i="6"/>
  <c r="D20" i="6"/>
  <c r="C20" i="6"/>
  <c r="B20" i="6"/>
  <c r="AD12" i="6"/>
  <c r="A11" i="6"/>
  <c r="A1" i="6"/>
  <c r="H344" i="5"/>
  <c r="H341" i="5"/>
  <c r="C344" i="5"/>
  <c r="C341" i="5"/>
  <c r="C334" i="5"/>
  <c r="C333" i="5"/>
  <c r="E326" i="5"/>
  <c r="I325" i="5"/>
  <c r="H325" i="5"/>
  <c r="G325" i="5"/>
  <c r="F325" i="5"/>
  <c r="I324" i="5"/>
  <c r="H324" i="5"/>
  <c r="G324" i="5"/>
  <c r="F324" i="5"/>
  <c r="E323" i="5"/>
  <c r="D323" i="5"/>
  <c r="C323" i="5"/>
  <c r="B323" i="5"/>
  <c r="H321" i="5"/>
  <c r="G321" i="5"/>
  <c r="E321" i="5"/>
  <c r="E320" i="5"/>
  <c r="E319" i="5"/>
  <c r="E318" i="5"/>
  <c r="I317" i="5"/>
  <c r="H317" i="5"/>
  <c r="F317" i="5"/>
  <c r="D317" i="5"/>
  <c r="B317" i="5"/>
  <c r="I316" i="5"/>
  <c r="H316" i="5"/>
  <c r="G316" i="5"/>
  <c r="F316" i="5"/>
  <c r="I315" i="5"/>
  <c r="H315" i="5"/>
  <c r="G315" i="5"/>
  <c r="F315" i="5"/>
  <c r="I314" i="5"/>
  <c r="H314" i="5"/>
  <c r="G314" i="5"/>
  <c r="F314" i="5"/>
  <c r="I313" i="5"/>
  <c r="H313" i="5"/>
  <c r="G313" i="5"/>
  <c r="F313" i="5"/>
  <c r="D311" i="5"/>
  <c r="C311" i="5"/>
  <c r="B311" i="5"/>
  <c r="H309" i="5"/>
  <c r="G309" i="5"/>
  <c r="E309" i="5"/>
  <c r="E308" i="5"/>
  <c r="E307" i="5"/>
  <c r="E306" i="5"/>
  <c r="I305" i="5"/>
  <c r="H305" i="5"/>
  <c r="F305" i="5"/>
  <c r="D305" i="5"/>
  <c r="B305" i="5"/>
  <c r="I304" i="5"/>
  <c r="H304" i="5"/>
  <c r="F304" i="5"/>
  <c r="D304" i="5"/>
  <c r="B304" i="5"/>
  <c r="I303" i="5"/>
  <c r="H303" i="5"/>
  <c r="F303" i="5"/>
  <c r="D303" i="5"/>
  <c r="B303" i="5"/>
  <c r="I302" i="5"/>
  <c r="H302" i="5"/>
  <c r="G302" i="5"/>
  <c r="F302" i="5"/>
  <c r="I301" i="5"/>
  <c r="H301" i="5"/>
  <c r="G301" i="5"/>
  <c r="F301" i="5"/>
  <c r="I300" i="5"/>
  <c r="H300" i="5"/>
  <c r="G300" i="5"/>
  <c r="F300" i="5"/>
  <c r="I299" i="5"/>
  <c r="H299" i="5"/>
  <c r="G299" i="5"/>
  <c r="F299" i="5"/>
  <c r="E298" i="5"/>
  <c r="D298" i="5"/>
  <c r="C298" i="5"/>
  <c r="B298" i="5"/>
  <c r="H296" i="5"/>
  <c r="G296" i="5"/>
  <c r="E296" i="5"/>
  <c r="E295" i="5"/>
  <c r="E294" i="5"/>
  <c r="I293" i="5"/>
  <c r="H293" i="5"/>
  <c r="G293" i="5"/>
  <c r="F293" i="5"/>
  <c r="I292" i="5"/>
  <c r="H292" i="5"/>
  <c r="G292" i="5"/>
  <c r="F292" i="5"/>
  <c r="D290" i="5"/>
  <c r="C290" i="5"/>
  <c r="B290" i="5"/>
  <c r="H288" i="5"/>
  <c r="G288" i="5"/>
  <c r="E288" i="5"/>
  <c r="E287" i="5"/>
  <c r="E286" i="5"/>
  <c r="I285" i="5"/>
  <c r="H285" i="5"/>
  <c r="G285" i="5"/>
  <c r="F285" i="5"/>
  <c r="I284" i="5"/>
  <c r="H284" i="5"/>
  <c r="G284" i="5"/>
  <c r="F284" i="5"/>
  <c r="E283" i="5"/>
  <c r="D283" i="5"/>
  <c r="C283" i="5"/>
  <c r="B283" i="5"/>
  <c r="H281" i="5"/>
  <c r="G281" i="5"/>
  <c r="E281" i="5"/>
  <c r="E280" i="5"/>
  <c r="E279" i="5"/>
  <c r="I278" i="5"/>
  <c r="H278" i="5"/>
  <c r="G278" i="5"/>
  <c r="F278" i="5"/>
  <c r="I277" i="5"/>
  <c r="H277" i="5"/>
  <c r="G277" i="5"/>
  <c r="F277" i="5"/>
  <c r="D275" i="5"/>
  <c r="C275" i="5"/>
  <c r="B275" i="5"/>
  <c r="H273" i="5"/>
  <c r="G273" i="5"/>
  <c r="E273" i="5"/>
  <c r="E272" i="5"/>
  <c r="E271" i="5"/>
  <c r="E270" i="5"/>
  <c r="I269" i="5"/>
  <c r="H269" i="5"/>
  <c r="G269" i="5"/>
  <c r="F269" i="5"/>
  <c r="I268" i="5"/>
  <c r="H268" i="5"/>
  <c r="G268" i="5"/>
  <c r="F268" i="5"/>
  <c r="I267" i="5"/>
  <c r="H267" i="5"/>
  <c r="G267" i="5"/>
  <c r="F267" i="5"/>
  <c r="I266" i="5"/>
  <c r="H266" i="5"/>
  <c r="G266" i="5"/>
  <c r="F266" i="5"/>
  <c r="D264" i="5"/>
  <c r="C264" i="5"/>
  <c r="B264" i="5"/>
  <c r="H262" i="5"/>
  <c r="G262" i="5"/>
  <c r="E262" i="5"/>
  <c r="E261" i="5"/>
  <c r="E260" i="5"/>
  <c r="I259" i="5"/>
  <c r="H259" i="5"/>
  <c r="F259" i="5"/>
  <c r="D259" i="5"/>
  <c r="C259" i="5"/>
  <c r="B259" i="5"/>
  <c r="I258" i="5"/>
  <c r="H258" i="5"/>
  <c r="F258" i="5"/>
  <c r="D258" i="5"/>
  <c r="C258" i="5"/>
  <c r="B258" i="5"/>
  <c r="I257" i="5"/>
  <c r="H257" i="5"/>
  <c r="G257" i="5"/>
  <c r="F257" i="5"/>
  <c r="I256" i="5"/>
  <c r="H256" i="5"/>
  <c r="G256" i="5"/>
  <c r="F256" i="5"/>
  <c r="D254" i="5"/>
  <c r="C254" i="5"/>
  <c r="B254" i="5"/>
  <c r="H252" i="5"/>
  <c r="G252" i="5"/>
  <c r="E252" i="5"/>
  <c r="E251" i="5"/>
  <c r="E250" i="5"/>
  <c r="I249" i="5"/>
  <c r="H249" i="5"/>
  <c r="F249" i="5"/>
  <c r="D249" i="5"/>
  <c r="C249" i="5"/>
  <c r="B249" i="5"/>
  <c r="I248" i="5"/>
  <c r="H248" i="5"/>
  <c r="G248" i="5"/>
  <c r="F248" i="5"/>
  <c r="D246" i="5"/>
  <c r="C246" i="5"/>
  <c r="B246" i="5"/>
  <c r="H244" i="5"/>
  <c r="G244" i="5"/>
  <c r="E244" i="5"/>
  <c r="E243" i="5"/>
  <c r="E242" i="5"/>
  <c r="E241" i="5"/>
  <c r="I240" i="5"/>
  <c r="H240" i="5"/>
  <c r="F240" i="5"/>
  <c r="D240" i="5"/>
  <c r="C240" i="5"/>
  <c r="B240" i="5"/>
  <c r="I239" i="5"/>
  <c r="H239" i="5"/>
  <c r="F239" i="5"/>
  <c r="D239" i="5"/>
  <c r="C239" i="5"/>
  <c r="B239" i="5"/>
  <c r="I238" i="5"/>
  <c r="H238" i="5"/>
  <c r="F238" i="5"/>
  <c r="D238" i="5"/>
  <c r="C238" i="5"/>
  <c r="B238" i="5"/>
  <c r="I237" i="5"/>
  <c r="H237" i="5"/>
  <c r="F237" i="5"/>
  <c r="D237" i="5"/>
  <c r="C237" i="5"/>
  <c r="B237" i="5"/>
  <c r="I236" i="5"/>
  <c r="H236" i="5"/>
  <c r="F236" i="5"/>
  <c r="D236" i="5"/>
  <c r="C236" i="5"/>
  <c r="B236" i="5"/>
  <c r="I235" i="5"/>
  <c r="H235" i="5"/>
  <c r="G235" i="5"/>
  <c r="F235" i="5"/>
  <c r="I234" i="5"/>
  <c r="H234" i="5"/>
  <c r="G234" i="5"/>
  <c r="F234" i="5"/>
  <c r="I233" i="5"/>
  <c r="H233" i="5"/>
  <c r="G233" i="5"/>
  <c r="F233" i="5"/>
  <c r="I232" i="5"/>
  <c r="H232" i="5"/>
  <c r="G232" i="5"/>
  <c r="F232" i="5"/>
  <c r="D230" i="5"/>
  <c r="C230" i="5"/>
  <c r="B230" i="5"/>
  <c r="H228" i="5"/>
  <c r="G228" i="5"/>
  <c r="E228" i="5"/>
  <c r="E227" i="5"/>
  <c r="E226" i="5"/>
  <c r="E225" i="5"/>
  <c r="I224" i="5"/>
  <c r="H224" i="5"/>
  <c r="F224" i="5"/>
  <c r="D224" i="5"/>
  <c r="C224" i="5"/>
  <c r="B224" i="5"/>
  <c r="I223" i="5"/>
  <c r="H223" i="5"/>
  <c r="G223" i="5"/>
  <c r="F223" i="5"/>
  <c r="I222" i="5"/>
  <c r="H222" i="5"/>
  <c r="G222" i="5"/>
  <c r="F222" i="5"/>
  <c r="I221" i="5"/>
  <c r="H221" i="5"/>
  <c r="G221" i="5"/>
  <c r="F221" i="5"/>
  <c r="I220" i="5"/>
  <c r="H220" i="5"/>
  <c r="G220" i="5"/>
  <c r="F220" i="5"/>
  <c r="D218" i="5"/>
  <c r="C218" i="5"/>
  <c r="B218" i="5"/>
  <c r="H216" i="5"/>
  <c r="G216" i="5"/>
  <c r="E216" i="5"/>
  <c r="E215" i="5"/>
  <c r="E214" i="5"/>
  <c r="E213" i="5"/>
  <c r="I212" i="5"/>
  <c r="H212" i="5"/>
  <c r="G212" i="5"/>
  <c r="F212" i="5"/>
  <c r="I211" i="5"/>
  <c r="H211" i="5"/>
  <c r="G211" i="5"/>
  <c r="F211" i="5"/>
  <c r="I210" i="5"/>
  <c r="H210" i="5"/>
  <c r="G210" i="5"/>
  <c r="F210" i="5"/>
  <c r="I209" i="5"/>
  <c r="H209" i="5"/>
  <c r="G209" i="5"/>
  <c r="F209" i="5"/>
  <c r="E208" i="5"/>
  <c r="D208" i="5"/>
  <c r="H206" i="5"/>
  <c r="G206" i="5"/>
  <c r="E206" i="5"/>
  <c r="E205" i="5"/>
  <c r="E204" i="5"/>
  <c r="E203" i="5"/>
  <c r="I202" i="5"/>
  <c r="H202" i="5"/>
  <c r="F202" i="5"/>
  <c r="D202" i="5"/>
  <c r="B202" i="5"/>
  <c r="I201" i="5"/>
  <c r="H201" i="5"/>
  <c r="G201" i="5"/>
  <c r="F201" i="5"/>
  <c r="I200" i="5"/>
  <c r="H200" i="5"/>
  <c r="G200" i="5"/>
  <c r="F200" i="5"/>
  <c r="I199" i="5"/>
  <c r="H199" i="5"/>
  <c r="G199" i="5"/>
  <c r="F199" i="5"/>
  <c r="I198" i="5"/>
  <c r="H198" i="5"/>
  <c r="G198" i="5"/>
  <c r="F198" i="5"/>
  <c r="D196" i="5"/>
  <c r="C196" i="5"/>
  <c r="B196" i="5"/>
  <c r="H194" i="5"/>
  <c r="G194" i="5"/>
  <c r="E194" i="5"/>
  <c r="E193" i="5"/>
  <c r="E192" i="5"/>
  <c r="E191" i="5"/>
  <c r="I190" i="5"/>
  <c r="H190" i="5"/>
  <c r="F190" i="5"/>
  <c r="D190" i="5"/>
  <c r="B190" i="5"/>
  <c r="I189" i="5"/>
  <c r="H189" i="5"/>
  <c r="G189" i="5"/>
  <c r="F189" i="5"/>
  <c r="I188" i="5"/>
  <c r="H188" i="5"/>
  <c r="G188" i="5"/>
  <c r="F188" i="5"/>
  <c r="I187" i="5"/>
  <c r="H187" i="5"/>
  <c r="G187" i="5"/>
  <c r="F187" i="5"/>
  <c r="E186" i="5"/>
  <c r="D186" i="5"/>
  <c r="C186" i="5"/>
  <c r="B186" i="5"/>
  <c r="H184" i="5"/>
  <c r="G184" i="5"/>
  <c r="E184" i="5"/>
  <c r="E183" i="5"/>
  <c r="E182" i="5"/>
  <c r="I181" i="5"/>
  <c r="H181" i="5"/>
  <c r="F181" i="5"/>
  <c r="D181" i="5"/>
  <c r="C181" i="5"/>
  <c r="B181" i="5"/>
  <c r="I180" i="5"/>
  <c r="H180" i="5"/>
  <c r="F180" i="5"/>
  <c r="D180" i="5"/>
  <c r="C180" i="5"/>
  <c r="B180" i="5"/>
  <c r="I179" i="5"/>
  <c r="H179" i="5"/>
  <c r="F179" i="5"/>
  <c r="D179" i="5"/>
  <c r="C179" i="5"/>
  <c r="B179" i="5"/>
  <c r="I178" i="5"/>
  <c r="H178" i="5"/>
  <c r="F178" i="5"/>
  <c r="D178" i="5"/>
  <c r="B178" i="5"/>
  <c r="I177" i="5"/>
  <c r="H177" i="5"/>
  <c r="F177" i="5"/>
  <c r="D177" i="5"/>
  <c r="C177" i="5"/>
  <c r="B177" i="5"/>
  <c r="I176" i="5"/>
  <c r="H176" i="5"/>
  <c r="G176" i="5"/>
  <c r="F176" i="5"/>
  <c r="I175" i="5"/>
  <c r="H175" i="5"/>
  <c r="G175" i="5"/>
  <c r="F175" i="5"/>
  <c r="D173" i="5"/>
  <c r="C173" i="5"/>
  <c r="B173" i="5"/>
  <c r="H171" i="5"/>
  <c r="G171" i="5"/>
  <c r="E171" i="5"/>
  <c r="E170" i="5"/>
  <c r="E169" i="5"/>
  <c r="I168" i="5"/>
  <c r="H168" i="5"/>
  <c r="F168" i="5"/>
  <c r="D168" i="5"/>
  <c r="C168" i="5"/>
  <c r="B168" i="5"/>
  <c r="I167" i="5"/>
  <c r="H167" i="5"/>
  <c r="F167" i="5"/>
  <c r="D167" i="5"/>
  <c r="B167" i="5"/>
  <c r="I166" i="5"/>
  <c r="H166" i="5"/>
  <c r="G166" i="5"/>
  <c r="F166" i="5"/>
  <c r="I165" i="5"/>
  <c r="H165" i="5"/>
  <c r="G165" i="5"/>
  <c r="F165" i="5"/>
  <c r="D163" i="5"/>
  <c r="C163" i="5"/>
  <c r="B163" i="5"/>
  <c r="H161" i="5"/>
  <c r="G161" i="5"/>
  <c r="E161" i="5"/>
  <c r="E160" i="5"/>
  <c r="E159" i="5"/>
  <c r="E158" i="5"/>
  <c r="I157" i="5"/>
  <c r="H157" i="5"/>
  <c r="F157" i="5"/>
  <c r="D157" i="5"/>
  <c r="C157" i="5"/>
  <c r="B157" i="5"/>
  <c r="I156" i="5"/>
  <c r="H156" i="5"/>
  <c r="F156" i="5"/>
  <c r="D156" i="5"/>
  <c r="C156" i="5"/>
  <c r="B156" i="5"/>
  <c r="I155" i="5"/>
  <c r="H155" i="5"/>
  <c r="F155" i="5"/>
  <c r="D155" i="5"/>
  <c r="C155" i="5"/>
  <c r="B155" i="5"/>
  <c r="I154" i="5"/>
  <c r="H154" i="5"/>
  <c r="F154" i="5"/>
  <c r="D154" i="5"/>
  <c r="C154" i="5"/>
  <c r="B154" i="5"/>
  <c r="I153" i="5"/>
  <c r="H153" i="5"/>
  <c r="F153" i="5"/>
  <c r="D153" i="5"/>
  <c r="C153" i="5"/>
  <c r="B153" i="5"/>
  <c r="I152" i="5"/>
  <c r="H152" i="5"/>
  <c r="F152" i="5"/>
  <c r="D152" i="5"/>
  <c r="C152" i="5"/>
  <c r="B152" i="5"/>
  <c r="I151" i="5"/>
  <c r="H151" i="5"/>
  <c r="F151" i="5"/>
  <c r="D151" i="5"/>
  <c r="C151" i="5"/>
  <c r="B151" i="5"/>
  <c r="I150" i="5"/>
  <c r="H150" i="5"/>
  <c r="F150" i="5"/>
  <c r="D150" i="5"/>
  <c r="B150" i="5"/>
  <c r="I149" i="5"/>
  <c r="H149" i="5"/>
  <c r="G149" i="5"/>
  <c r="F149" i="5"/>
  <c r="I148" i="5"/>
  <c r="H148" i="5"/>
  <c r="G148" i="5"/>
  <c r="F148" i="5"/>
  <c r="I147" i="5"/>
  <c r="H147" i="5"/>
  <c r="G147" i="5"/>
  <c r="F147" i="5"/>
  <c r="I146" i="5"/>
  <c r="H146" i="5"/>
  <c r="G146" i="5"/>
  <c r="F146" i="5"/>
  <c r="D144" i="5"/>
  <c r="C144" i="5"/>
  <c r="B144" i="5"/>
  <c r="H142" i="5"/>
  <c r="G142" i="5"/>
  <c r="E142" i="5"/>
  <c r="E141" i="5"/>
  <c r="E140" i="5"/>
  <c r="I139" i="5"/>
  <c r="H139" i="5"/>
  <c r="F139" i="5"/>
  <c r="D139" i="5"/>
  <c r="B139" i="5"/>
  <c r="I138" i="5"/>
  <c r="H138" i="5"/>
  <c r="G138" i="5"/>
  <c r="F138" i="5"/>
  <c r="D136" i="5"/>
  <c r="C136" i="5"/>
  <c r="B136" i="5"/>
  <c r="H134" i="5"/>
  <c r="G134" i="5"/>
  <c r="E134" i="5"/>
  <c r="E133" i="5"/>
  <c r="E132" i="5"/>
  <c r="E131" i="5"/>
  <c r="I130" i="5"/>
  <c r="H130" i="5"/>
  <c r="F130" i="5"/>
  <c r="D130" i="5"/>
  <c r="C130" i="5"/>
  <c r="B130" i="5"/>
  <c r="I129" i="5"/>
  <c r="H129" i="5"/>
  <c r="G129" i="5"/>
  <c r="F129" i="5"/>
  <c r="I128" i="5"/>
  <c r="H128" i="5"/>
  <c r="G128" i="5"/>
  <c r="F128" i="5"/>
  <c r="I127" i="5"/>
  <c r="H127" i="5"/>
  <c r="G127" i="5"/>
  <c r="F127" i="5"/>
  <c r="I126" i="5"/>
  <c r="H126" i="5"/>
  <c r="G126" i="5"/>
  <c r="F126" i="5"/>
  <c r="D124" i="5"/>
  <c r="C124" i="5"/>
  <c r="B124" i="5"/>
  <c r="H122" i="5"/>
  <c r="G122" i="5"/>
  <c r="E122" i="5"/>
  <c r="E121" i="5"/>
  <c r="E120" i="5"/>
  <c r="I119" i="5"/>
  <c r="H119" i="5"/>
  <c r="F119" i="5"/>
  <c r="D119" i="5"/>
  <c r="B119" i="5"/>
  <c r="I118" i="5"/>
  <c r="H118" i="5"/>
  <c r="G118" i="5"/>
  <c r="F118" i="5"/>
  <c r="E117" i="5"/>
  <c r="D117" i="5"/>
  <c r="C117" i="5"/>
  <c r="B117" i="5"/>
  <c r="H115" i="5"/>
  <c r="G115" i="5"/>
  <c r="E115" i="5"/>
  <c r="E114" i="5"/>
  <c r="E113" i="5"/>
  <c r="E112" i="5"/>
  <c r="I111" i="5"/>
  <c r="H111" i="5"/>
  <c r="F111" i="5"/>
  <c r="D111" i="5"/>
  <c r="B111" i="5"/>
  <c r="I110" i="5"/>
  <c r="H110" i="5"/>
  <c r="G110" i="5"/>
  <c r="F110" i="5"/>
  <c r="I109" i="5"/>
  <c r="H109" i="5"/>
  <c r="G109" i="5"/>
  <c r="F109" i="5"/>
  <c r="I108" i="5"/>
  <c r="H108" i="5"/>
  <c r="G108" i="5"/>
  <c r="F108" i="5"/>
  <c r="E107" i="5"/>
  <c r="D107" i="5"/>
  <c r="C107" i="5"/>
  <c r="B107" i="5"/>
  <c r="H105" i="5"/>
  <c r="G105" i="5"/>
  <c r="E105" i="5"/>
  <c r="E104" i="5"/>
  <c r="E103" i="5"/>
  <c r="I102" i="5"/>
  <c r="H102" i="5"/>
  <c r="F102" i="5"/>
  <c r="D102" i="5"/>
  <c r="C102" i="5"/>
  <c r="B102" i="5"/>
  <c r="I101" i="5"/>
  <c r="H101" i="5"/>
  <c r="F101" i="5"/>
  <c r="D101" i="5"/>
  <c r="C101" i="5"/>
  <c r="B101" i="5"/>
  <c r="I100" i="5"/>
  <c r="H100" i="5"/>
  <c r="F100" i="5"/>
  <c r="D100" i="5"/>
  <c r="C100" i="5"/>
  <c r="B100" i="5"/>
  <c r="I99" i="5"/>
  <c r="H99" i="5"/>
  <c r="F99" i="5"/>
  <c r="D99" i="5"/>
  <c r="C99" i="5"/>
  <c r="B99" i="5"/>
  <c r="I98" i="5"/>
  <c r="H98" i="5"/>
  <c r="F98" i="5"/>
  <c r="D98" i="5"/>
  <c r="C98" i="5"/>
  <c r="B98" i="5"/>
  <c r="I97" i="5"/>
  <c r="H97" i="5"/>
  <c r="G97" i="5"/>
  <c r="F97" i="5"/>
  <c r="I96" i="5"/>
  <c r="H96" i="5"/>
  <c r="G96" i="5"/>
  <c r="F96" i="5"/>
  <c r="D94" i="5"/>
  <c r="C94" i="5"/>
  <c r="B94" i="5"/>
  <c r="H92" i="5"/>
  <c r="G92" i="5"/>
  <c r="E92" i="5"/>
  <c r="E91" i="5"/>
  <c r="E90" i="5"/>
  <c r="E89" i="5"/>
  <c r="I88" i="5"/>
  <c r="H88" i="5"/>
  <c r="F88" i="5"/>
  <c r="D88" i="5"/>
  <c r="C88" i="5"/>
  <c r="B88" i="5"/>
  <c r="I87" i="5"/>
  <c r="H87" i="5"/>
  <c r="F87" i="5"/>
  <c r="D87" i="5"/>
  <c r="C87" i="5"/>
  <c r="B87" i="5"/>
  <c r="I86" i="5"/>
  <c r="H86" i="5"/>
  <c r="F86" i="5"/>
  <c r="D86" i="5"/>
  <c r="C86" i="5"/>
  <c r="B86" i="5"/>
  <c r="I85" i="5"/>
  <c r="H85" i="5"/>
  <c r="F85" i="5"/>
  <c r="D85" i="5"/>
  <c r="C85" i="5"/>
  <c r="B85" i="5"/>
  <c r="I84" i="5"/>
  <c r="H84" i="5"/>
  <c r="F84" i="5"/>
  <c r="D84" i="5"/>
  <c r="C84" i="5"/>
  <c r="B84" i="5"/>
  <c r="I83" i="5"/>
  <c r="H83" i="5"/>
  <c r="G83" i="5"/>
  <c r="F83" i="5"/>
  <c r="I82" i="5"/>
  <c r="H82" i="5"/>
  <c r="G82" i="5"/>
  <c r="F82" i="5"/>
  <c r="I81" i="5"/>
  <c r="H81" i="5"/>
  <c r="G81" i="5"/>
  <c r="F81" i="5"/>
  <c r="I80" i="5"/>
  <c r="H80" i="5"/>
  <c r="G80" i="5"/>
  <c r="F80" i="5"/>
  <c r="D78" i="5"/>
  <c r="C78" i="5"/>
  <c r="B78" i="5"/>
  <c r="H76" i="5"/>
  <c r="G76" i="5"/>
  <c r="E76" i="5"/>
  <c r="E75" i="5"/>
  <c r="E74" i="5"/>
  <c r="E73" i="5"/>
  <c r="I72" i="5"/>
  <c r="H72" i="5"/>
  <c r="F72" i="5"/>
  <c r="D72" i="5"/>
  <c r="C72" i="5"/>
  <c r="B72" i="5"/>
  <c r="I71" i="5"/>
  <c r="H71" i="5"/>
  <c r="F71" i="5"/>
  <c r="D71" i="5"/>
  <c r="B71" i="5"/>
  <c r="I70" i="5"/>
  <c r="H70" i="5"/>
  <c r="G70" i="5"/>
  <c r="F70" i="5"/>
  <c r="I69" i="5"/>
  <c r="H69" i="5"/>
  <c r="G69" i="5"/>
  <c r="F69" i="5"/>
  <c r="I68" i="5"/>
  <c r="H68" i="5"/>
  <c r="G68" i="5"/>
  <c r="F68" i="5"/>
  <c r="I67" i="5"/>
  <c r="H67" i="5"/>
  <c r="G67" i="5"/>
  <c r="F67" i="5"/>
  <c r="E66" i="5"/>
  <c r="D66" i="5"/>
  <c r="C66" i="5"/>
  <c r="B66" i="5"/>
  <c r="H64" i="5"/>
  <c r="G64" i="5"/>
  <c r="E64" i="5"/>
  <c r="E63" i="5"/>
  <c r="E62" i="5"/>
  <c r="E61" i="5"/>
  <c r="I60" i="5"/>
  <c r="H60" i="5"/>
  <c r="F60" i="5"/>
  <c r="D60" i="5"/>
  <c r="C60" i="5"/>
  <c r="B60" i="5"/>
  <c r="I59" i="5"/>
  <c r="H59" i="5"/>
  <c r="F59" i="5"/>
  <c r="D59" i="5"/>
  <c r="B59" i="5"/>
  <c r="I58" i="5"/>
  <c r="H58" i="5"/>
  <c r="F58" i="5"/>
  <c r="D58" i="5"/>
  <c r="B58" i="5"/>
  <c r="I57" i="5"/>
  <c r="H57" i="5"/>
  <c r="G57" i="5"/>
  <c r="F57" i="5"/>
  <c r="I56" i="5"/>
  <c r="H56" i="5"/>
  <c r="G56" i="5"/>
  <c r="F56" i="5"/>
  <c r="I55" i="5"/>
  <c r="H55" i="5"/>
  <c r="G55" i="5"/>
  <c r="F55" i="5"/>
  <c r="I54" i="5"/>
  <c r="H54" i="5"/>
  <c r="G54" i="5"/>
  <c r="F54" i="5"/>
  <c r="E53" i="5"/>
  <c r="D53" i="5"/>
  <c r="C53" i="5"/>
  <c r="B53" i="5"/>
  <c r="H51" i="5"/>
  <c r="G51" i="5"/>
  <c r="E51" i="5"/>
  <c r="E50" i="5"/>
  <c r="E49" i="5"/>
  <c r="E48" i="5"/>
  <c r="I47" i="5"/>
  <c r="H47" i="5"/>
  <c r="G47" i="5"/>
  <c r="F47" i="5"/>
  <c r="I46" i="5"/>
  <c r="H46" i="5"/>
  <c r="G46" i="5"/>
  <c r="F46" i="5"/>
  <c r="I45" i="5"/>
  <c r="H45" i="5"/>
  <c r="G45" i="5"/>
  <c r="F45" i="5"/>
  <c r="I44" i="5"/>
  <c r="H44" i="5"/>
  <c r="G44" i="5"/>
  <c r="F44" i="5"/>
  <c r="E43" i="5"/>
  <c r="D43" i="5"/>
  <c r="C43" i="5"/>
  <c r="B43" i="5"/>
  <c r="H41" i="5"/>
  <c r="G41" i="5"/>
  <c r="E41" i="5"/>
  <c r="E40" i="5"/>
  <c r="E39" i="5"/>
  <c r="E38" i="5"/>
  <c r="I37" i="5"/>
  <c r="H37" i="5"/>
  <c r="G37" i="5"/>
  <c r="F37" i="5"/>
  <c r="I36" i="5"/>
  <c r="H36" i="5"/>
  <c r="G36" i="5"/>
  <c r="F36" i="5"/>
  <c r="I35" i="5"/>
  <c r="H35" i="5"/>
  <c r="G35" i="5"/>
  <c r="F35" i="5"/>
  <c r="I34" i="5"/>
  <c r="H34" i="5"/>
  <c r="G34" i="5"/>
  <c r="F34" i="5"/>
  <c r="E33" i="5"/>
  <c r="D33" i="5"/>
  <c r="C33" i="5"/>
  <c r="B33" i="5"/>
  <c r="A32" i="5"/>
  <c r="A18" i="5"/>
  <c r="AE15" i="5"/>
  <c r="A10" i="5"/>
  <c r="G6" i="5"/>
  <c r="B6" i="5"/>
  <c r="A1" i="5"/>
  <c r="J268" i="10" l="1"/>
  <c r="L294" i="10"/>
  <c r="J190" i="10"/>
  <c r="L190" i="10" s="1"/>
  <c r="J212" i="10"/>
  <c r="L212" i="10" s="1"/>
  <c r="J327" i="10"/>
  <c r="J250" i="10"/>
  <c r="L250" i="10" s="1"/>
  <c r="L302" i="10"/>
  <c r="J111" i="10"/>
  <c r="Q111" i="10" s="1"/>
  <c r="J82" i="10"/>
  <c r="Q82" i="10" s="1"/>
  <c r="J140" i="10"/>
  <c r="Q140" i="10" s="1"/>
  <c r="L148" i="10"/>
  <c r="J98" i="10"/>
  <c r="L98" i="10" s="1"/>
  <c r="Q234" i="10"/>
  <c r="J177" i="10"/>
  <c r="Q177" i="10" s="1"/>
  <c r="L222" i="10"/>
  <c r="J315" i="10"/>
  <c r="Q315" i="10" s="1"/>
  <c r="J70" i="10"/>
  <c r="L70" i="10" s="1"/>
  <c r="J167" i="10"/>
  <c r="L167" i="10" s="1"/>
  <c r="Q121" i="10"/>
  <c r="Q70" i="10"/>
  <c r="Q250" i="10"/>
  <c r="Q268" i="10"/>
  <c r="L268" i="10"/>
  <c r="Q287" i="10"/>
  <c r="L287" i="10"/>
  <c r="Q190" i="10"/>
  <c r="Q332" i="10"/>
  <c r="L332" i="10"/>
  <c r="Q279" i="10"/>
  <c r="L279" i="10"/>
  <c r="Q327" i="10"/>
  <c r="L327" i="10"/>
  <c r="L128" i="10"/>
  <c r="Q128" i="10"/>
  <c r="Q258" i="10"/>
  <c r="L258" i="10"/>
  <c r="L200" i="10"/>
  <c r="Q200" i="10"/>
  <c r="L57" i="10"/>
  <c r="Q57" i="10"/>
  <c r="D50" i="7"/>
  <c r="D24" i="7"/>
  <c r="D52" i="7"/>
  <c r="D49" i="7"/>
  <c r="D23" i="7"/>
  <c r="A1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1" i="3"/>
  <c r="CX1" i="3"/>
  <c r="CY1" i="3"/>
  <c r="CZ1" i="3"/>
  <c r="DB1" i="3" s="1"/>
  <c r="DA1" i="3"/>
  <c r="DC1" i="3"/>
  <c r="A2" i="3"/>
  <c r="CX2" i="3"/>
  <c r="CY2" i="3"/>
  <c r="CZ2" i="3"/>
  <c r="DB2" i="3" s="1"/>
  <c r="L10" i="8" s="1"/>
  <c r="DA2" i="3"/>
  <c r="DC2" i="3"/>
  <c r="Q10" i="8" s="1"/>
  <c r="A3" i="3"/>
  <c r="CX3" i="3"/>
  <c r="CY3" i="3"/>
  <c r="CZ3" i="3"/>
  <c r="DA3" i="3"/>
  <c r="DB3" i="3"/>
  <c r="L9" i="8" s="1"/>
  <c r="DC3" i="3"/>
  <c r="Q9" i="8" s="1"/>
  <c r="A4" i="3"/>
  <c r="CX4" i="3"/>
  <c r="CY4" i="3"/>
  <c r="CZ4" i="3"/>
  <c r="DB4" i="3" s="1"/>
  <c r="L8" i="8" s="1"/>
  <c r="DA4" i="3"/>
  <c r="DC4" i="3"/>
  <c r="Q8" i="8" s="1"/>
  <c r="T8" i="8" s="1"/>
  <c r="A5" i="3"/>
  <c r="CX5" i="3"/>
  <c r="CY5" i="3"/>
  <c r="CZ5" i="3"/>
  <c r="DB5" i="3" s="1"/>
  <c r="L7" i="8" s="1"/>
  <c r="DA5" i="3"/>
  <c r="DC5" i="3"/>
  <c r="Q7" i="8" s="1"/>
  <c r="A6" i="3"/>
  <c r="CX6" i="3"/>
  <c r="CY6" i="3"/>
  <c r="CZ6" i="3"/>
  <c r="DB6" i="3" s="1"/>
  <c r="DA6" i="3"/>
  <c r="DC6" i="3"/>
  <c r="A7" i="3"/>
  <c r="CX7" i="3"/>
  <c r="CY7" i="3"/>
  <c r="CZ7" i="3"/>
  <c r="DB7" i="3" s="1"/>
  <c r="L14" i="8" s="1"/>
  <c r="DA7" i="3"/>
  <c r="DC7" i="3"/>
  <c r="Q14" i="8" s="1"/>
  <c r="A8" i="3"/>
  <c r="CX8" i="3"/>
  <c r="CY8" i="3"/>
  <c r="CZ8" i="3"/>
  <c r="DA8" i="3"/>
  <c r="DB8" i="3"/>
  <c r="L13" i="8" s="1"/>
  <c r="M13" i="8" s="1"/>
  <c r="DC8" i="3"/>
  <c r="Q13" i="8" s="1"/>
  <c r="A9" i="3"/>
  <c r="CX9" i="3"/>
  <c r="CY9" i="3"/>
  <c r="CZ9" i="3"/>
  <c r="DB9" i="3" s="1"/>
  <c r="L12" i="8" s="1"/>
  <c r="DA9" i="3"/>
  <c r="DC9" i="3"/>
  <c r="Q12" i="8" s="1"/>
  <c r="R12" i="8" s="1"/>
  <c r="A10" i="3"/>
  <c r="CX10" i="3"/>
  <c r="CY10" i="3"/>
  <c r="CZ10" i="3"/>
  <c r="DB10" i="3" s="1"/>
  <c r="L11" i="8" s="1"/>
  <c r="DA10" i="3"/>
  <c r="DC10" i="3"/>
  <c r="Q11" i="8" s="1"/>
  <c r="A11" i="3"/>
  <c r="CX11" i="3"/>
  <c r="CY11" i="3"/>
  <c r="CZ11" i="3"/>
  <c r="DB11" i="3" s="1"/>
  <c r="DA11" i="3"/>
  <c r="DC11" i="3"/>
  <c r="A12" i="3"/>
  <c r="CX12" i="3"/>
  <c r="CY12" i="3"/>
  <c r="CZ12" i="3"/>
  <c r="DB12" i="3" s="1"/>
  <c r="L22" i="8" s="1"/>
  <c r="M22" i="8" s="1"/>
  <c r="DA12" i="3"/>
  <c r="DC12" i="3"/>
  <c r="Q22" i="8" s="1"/>
  <c r="T22" i="8" s="1"/>
  <c r="A13" i="3"/>
  <c r="CX13" i="3"/>
  <c r="CY13" i="3"/>
  <c r="CZ13" i="3"/>
  <c r="DB13" i="3" s="1"/>
  <c r="L21" i="8" s="1"/>
  <c r="DA13" i="3"/>
  <c r="DC13" i="3"/>
  <c r="Q21" i="8" s="1"/>
  <c r="R21" i="8" s="1"/>
  <c r="A14" i="3"/>
  <c r="CX14" i="3"/>
  <c r="CY14" i="3"/>
  <c r="CZ14" i="3"/>
  <c r="DB14" i="3" s="1"/>
  <c r="L20" i="8" s="1"/>
  <c r="DA14" i="3"/>
  <c r="DC14" i="3"/>
  <c r="Q20" i="8" s="1"/>
  <c r="A15" i="3"/>
  <c r="CX15" i="3"/>
  <c r="CY15" i="3"/>
  <c r="CZ15" i="3"/>
  <c r="DB15" i="3" s="1"/>
  <c r="L19" i="8" s="1"/>
  <c r="DA15" i="3"/>
  <c r="DC15" i="3"/>
  <c r="Q19" i="8" s="1"/>
  <c r="A16" i="3"/>
  <c r="CX16" i="3"/>
  <c r="CY16" i="3"/>
  <c r="CZ16" i="3"/>
  <c r="DB16" i="3" s="1"/>
  <c r="L18" i="8" s="1"/>
  <c r="DA16" i="3"/>
  <c r="DC16" i="3"/>
  <c r="Q18" i="8" s="1"/>
  <c r="A17" i="3"/>
  <c r="CX17" i="3"/>
  <c r="CY17" i="3"/>
  <c r="CZ17" i="3"/>
  <c r="DB17" i="3" s="1"/>
  <c r="L17" i="8" s="1"/>
  <c r="DA17" i="3"/>
  <c r="DC17" i="3"/>
  <c r="Q17" i="8" s="1"/>
  <c r="A18" i="3"/>
  <c r="CX18" i="3"/>
  <c r="CY18" i="3"/>
  <c r="CZ18" i="3"/>
  <c r="DB18" i="3" s="1"/>
  <c r="L16" i="8" s="1"/>
  <c r="DA18" i="3"/>
  <c r="DC18" i="3"/>
  <c r="Q16" i="8" s="1"/>
  <c r="T16" i="8" s="1"/>
  <c r="A19" i="3"/>
  <c r="CX19" i="3"/>
  <c r="CY19" i="3"/>
  <c r="CZ19" i="3"/>
  <c r="DB19" i="3" s="1"/>
  <c r="L15" i="8" s="1"/>
  <c r="DA19" i="3"/>
  <c r="DC19" i="3"/>
  <c r="Q15" i="8" s="1"/>
  <c r="R15" i="8" s="1"/>
  <c r="A20" i="3"/>
  <c r="CX20" i="3"/>
  <c r="CY20" i="3"/>
  <c r="CZ20" i="3"/>
  <c r="DB20" i="3" s="1"/>
  <c r="DA20" i="3"/>
  <c r="DC20" i="3"/>
  <c r="A21" i="3"/>
  <c r="CX21" i="3"/>
  <c r="CY21" i="3"/>
  <c r="CZ21" i="3"/>
  <c r="DB21" i="3" s="1"/>
  <c r="DA21" i="3"/>
  <c r="DC21" i="3"/>
  <c r="A22" i="3"/>
  <c r="CX22" i="3"/>
  <c r="CY22" i="3"/>
  <c r="CZ22" i="3"/>
  <c r="DB22" i="3" s="1"/>
  <c r="L33" i="8" s="1"/>
  <c r="DA22" i="3"/>
  <c r="DC22" i="3"/>
  <c r="Q33" i="8" s="1"/>
  <c r="R33" i="8" s="1"/>
  <c r="A23" i="3"/>
  <c r="CX23" i="3"/>
  <c r="CY23" i="3"/>
  <c r="CZ23" i="3"/>
  <c r="DB23" i="3" s="1"/>
  <c r="L32" i="8" s="1"/>
  <c r="O32" i="8" s="1"/>
  <c r="DA23" i="3"/>
  <c r="DC23" i="3"/>
  <c r="Q32" i="8" s="1"/>
  <c r="A24" i="3"/>
  <c r="CX24" i="3"/>
  <c r="CY24" i="3"/>
  <c r="CZ24" i="3"/>
  <c r="DB24" i="3" s="1"/>
  <c r="L31" i="8" s="1"/>
  <c r="M31" i="8" s="1"/>
  <c r="DA24" i="3"/>
  <c r="DC24" i="3"/>
  <c r="Q31" i="8" s="1"/>
  <c r="T31" i="8" s="1"/>
  <c r="A25" i="3"/>
  <c r="CX25" i="3"/>
  <c r="CY25" i="3"/>
  <c r="CZ25" i="3"/>
  <c r="DB25" i="3" s="1"/>
  <c r="L30" i="8" s="1"/>
  <c r="DA25" i="3"/>
  <c r="DC25" i="3"/>
  <c r="Q30" i="8" s="1"/>
  <c r="R30" i="8" s="1"/>
  <c r="A26" i="3"/>
  <c r="CX26" i="3"/>
  <c r="CY26" i="3"/>
  <c r="CZ26" i="3"/>
  <c r="DB26" i="3" s="1"/>
  <c r="L29" i="8" s="1"/>
  <c r="DA26" i="3"/>
  <c r="DC26" i="3"/>
  <c r="Q29" i="8" s="1"/>
  <c r="A27" i="3"/>
  <c r="CX27" i="3"/>
  <c r="CY27" i="3"/>
  <c r="CZ27" i="3"/>
  <c r="DA27" i="3"/>
  <c r="DB27" i="3"/>
  <c r="L28" i="8" s="1"/>
  <c r="DC27" i="3"/>
  <c r="Q28" i="8" s="1"/>
  <c r="A28" i="3"/>
  <c r="CX28" i="3"/>
  <c r="CY28" i="3"/>
  <c r="CZ28" i="3"/>
  <c r="DB28" i="3" s="1"/>
  <c r="L27" i="8" s="1"/>
  <c r="DA28" i="3"/>
  <c r="DC28" i="3"/>
  <c r="Q27" i="8" s="1"/>
  <c r="A29" i="3"/>
  <c r="CX29" i="3"/>
  <c r="CY29" i="3"/>
  <c r="CZ29" i="3"/>
  <c r="DB29" i="3" s="1"/>
  <c r="L26" i="8" s="1"/>
  <c r="DA29" i="3"/>
  <c r="DC29" i="3"/>
  <c r="Q26" i="8" s="1"/>
  <c r="A30" i="3"/>
  <c r="CX30" i="3"/>
  <c r="CY30" i="3"/>
  <c r="CZ30" i="3"/>
  <c r="DB30" i="3" s="1"/>
  <c r="DA30" i="3"/>
  <c r="DC30" i="3"/>
  <c r="A31" i="3"/>
  <c r="CY31" i="3"/>
  <c r="CZ31" i="3"/>
  <c r="DB31" i="3" s="1"/>
  <c r="DA31" i="3"/>
  <c r="DC31" i="3"/>
  <c r="A32" i="3"/>
  <c r="CY32" i="3"/>
  <c r="CZ32" i="3"/>
  <c r="DB32" i="3" s="1"/>
  <c r="L43" i="8" s="1"/>
  <c r="DA32" i="3"/>
  <c r="DC32" i="3"/>
  <c r="Q43" i="8" s="1"/>
  <c r="A33" i="3"/>
  <c r="CY33" i="3"/>
  <c r="CZ33" i="3"/>
  <c r="DB33" i="3" s="1"/>
  <c r="L42" i="8" s="1"/>
  <c r="DA33" i="3"/>
  <c r="DC33" i="3"/>
  <c r="Q42" i="8" s="1"/>
  <c r="A34" i="3"/>
  <c r="CY34" i="3"/>
  <c r="CZ34" i="3"/>
  <c r="DB34" i="3" s="1"/>
  <c r="L41" i="8" s="1"/>
  <c r="DA34" i="3"/>
  <c r="DC34" i="3"/>
  <c r="Q41" i="8" s="1"/>
  <c r="A35" i="3"/>
  <c r="CY35" i="3"/>
  <c r="CZ35" i="3"/>
  <c r="DB35" i="3" s="1"/>
  <c r="L40" i="8" s="1"/>
  <c r="DA35" i="3"/>
  <c r="DC35" i="3"/>
  <c r="Q40" i="8" s="1"/>
  <c r="A36" i="3"/>
  <c r="CY36" i="3"/>
  <c r="CZ36" i="3"/>
  <c r="DB36" i="3" s="1"/>
  <c r="L39" i="8" s="1"/>
  <c r="DA36" i="3"/>
  <c r="DC36" i="3"/>
  <c r="Q39" i="8" s="1"/>
  <c r="A37" i="3"/>
  <c r="CY37" i="3"/>
  <c r="CZ37" i="3"/>
  <c r="DB37" i="3" s="1"/>
  <c r="L38" i="8" s="1"/>
  <c r="DA37" i="3"/>
  <c r="DC37" i="3"/>
  <c r="Q38" i="8" s="1"/>
  <c r="A38" i="3"/>
  <c r="CY38" i="3"/>
  <c r="CZ38" i="3"/>
  <c r="DB38" i="3" s="1"/>
  <c r="DA38" i="3"/>
  <c r="DC38" i="3"/>
  <c r="A39" i="3"/>
  <c r="CY39" i="3"/>
  <c r="CZ39" i="3"/>
  <c r="DB39" i="3" s="1"/>
  <c r="DA39" i="3"/>
  <c r="DC39" i="3"/>
  <c r="A40" i="3"/>
  <c r="CY40" i="3"/>
  <c r="CZ40" i="3"/>
  <c r="DB40" i="3" s="1"/>
  <c r="DA40" i="3"/>
  <c r="DC40" i="3"/>
  <c r="A41" i="3"/>
  <c r="CY41" i="3"/>
  <c r="CZ41" i="3"/>
  <c r="DB41" i="3" s="1"/>
  <c r="DA41" i="3"/>
  <c r="DC41" i="3"/>
  <c r="A42" i="3"/>
  <c r="CY42" i="3"/>
  <c r="CZ42" i="3"/>
  <c r="DB42" i="3" s="1"/>
  <c r="DA42" i="3"/>
  <c r="DC42" i="3"/>
  <c r="A43" i="3"/>
  <c r="CY43" i="3"/>
  <c r="CZ43" i="3"/>
  <c r="DB43" i="3" s="1"/>
  <c r="L37" i="8" s="1"/>
  <c r="DA43" i="3"/>
  <c r="DC43" i="3"/>
  <c r="Q37" i="8" s="1"/>
  <c r="A44" i="3"/>
  <c r="CY44" i="3"/>
  <c r="CZ44" i="3"/>
  <c r="DB44" i="3" s="1"/>
  <c r="L36" i="8" s="1"/>
  <c r="DA44" i="3"/>
  <c r="DC44" i="3"/>
  <c r="Q36" i="8" s="1"/>
  <c r="A45" i="3"/>
  <c r="CY45" i="3"/>
  <c r="CZ45" i="3"/>
  <c r="DA45" i="3"/>
  <c r="DB45" i="3"/>
  <c r="DC45" i="3"/>
  <c r="A46" i="3"/>
  <c r="CY46" i="3"/>
  <c r="CZ46" i="3"/>
  <c r="DB46" i="3" s="1"/>
  <c r="L48" i="8" s="1"/>
  <c r="DA46" i="3"/>
  <c r="DC46" i="3"/>
  <c r="Q48" i="8" s="1"/>
  <c r="A47" i="3"/>
  <c r="CY47" i="3"/>
  <c r="CZ47" i="3"/>
  <c r="DB47" i="3" s="1"/>
  <c r="DA47" i="3"/>
  <c r="DC47" i="3"/>
  <c r="A48" i="3"/>
  <c r="CY48" i="3"/>
  <c r="CZ48" i="3"/>
  <c r="DB48" i="3" s="1"/>
  <c r="DA48" i="3"/>
  <c r="DC48" i="3"/>
  <c r="A49" i="3"/>
  <c r="CY49" i="3"/>
  <c r="CZ49" i="3"/>
  <c r="DB49" i="3" s="1"/>
  <c r="DA49" i="3"/>
  <c r="DC49" i="3"/>
  <c r="A50" i="3"/>
  <c r="CY50" i="3"/>
  <c r="CZ50" i="3"/>
  <c r="DB50" i="3" s="1"/>
  <c r="DA50" i="3"/>
  <c r="DC50" i="3"/>
  <c r="A51" i="3"/>
  <c r="CY51" i="3"/>
  <c r="CZ51" i="3"/>
  <c r="DA51" i="3"/>
  <c r="DB51" i="3"/>
  <c r="DC51" i="3"/>
  <c r="A52" i="3"/>
  <c r="CY52" i="3"/>
  <c r="CZ52" i="3"/>
  <c r="DB52" i="3" s="1"/>
  <c r="DA52" i="3"/>
  <c r="DC52" i="3"/>
  <c r="A53" i="3"/>
  <c r="CY53" i="3"/>
  <c r="CZ53" i="3"/>
  <c r="DB53" i="3" s="1"/>
  <c r="DA53" i="3"/>
  <c r="DC53" i="3"/>
  <c r="A54" i="3"/>
  <c r="CX54" i="3"/>
  <c r="CY54" i="3"/>
  <c r="CZ54" i="3"/>
  <c r="DB54" i="3" s="1"/>
  <c r="DA54" i="3"/>
  <c r="DC54" i="3"/>
  <c r="A55" i="3"/>
  <c r="CX55" i="3"/>
  <c r="CY55" i="3"/>
  <c r="CZ55" i="3"/>
  <c r="DB55" i="3" s="1"/>
  <c r="DA55" i="3"/>
  <c r="DC55" i="3"/>
  <c r="A56" i="3"/>
  <c r="CX56" i="3"/>
  <c r="CY56" i="3"/>
  <c r="CZ56" i="3"/>
  <c r="DA56" i="3"/>
  <c r="DB56" i="3"/>
  <c r="DC56" i="3"/>
  <c r="A57" i="3"/>
  <c r="CX57" i="3"/>
  <c r="CY57" i="3"/>
  <c r="CZ57" i="3"/>
  <c r="DA57" i="3"/>
  <c r="DB57" i="3"/>
  <c r="DC57" i="3"/>
  <c r="A58" i="3"/>
  <c r="CX58" i="3"/>
  <c r="CY58" i="3"/>
  <c r="CZ58" i="3"/>
  <c r="DB58" i="3" s="1"/>
  <c r="DA58" i="3"/>
  <c r="DC58" i="3"/>
  <c r="A59" i="3"/>
  <c r="CX59" i="3"/>
  <c r="CY59" i="3"/>
  <c r="CZ59" i="3"/>
  <c r="DB59" i="3" s="1"/>
  <c r="DA59" i="3"/>
  <c r="DC59" i="3"/>
  <c r="A60" i="3"/>
  <c r="CX60" i="3"/>
  <c r="CY60" i="3"/>
  <c r="CZ60" i="3"/>
  <c r="DB60" i="3" s="1"/>
  <c r="L56" i="8" s="1"/>
  <c r="DA60" i="3"/>
  <c r="DC60" i="3"/>
  <c r="Q56" i="8" s="1"/>
  <c r="A61" i="3"/>
  <c r="CX61" i="3"/>
  <c r="CY61" i="3"/>
  <c r="CZ61" i="3"/>
  <c r="DB61" i="3" s="1"/>
  <c r="L55" i="8" s="1"/>
  <c r="DA61" i="3"/>
  <c r="DC61" i="3"/>
  <c r="Q55" i="8" s="1"/>
  <c r="A62" i="3"/>
  <c r="CX62" i="3"/>
  <c r="CY62" i="3"/>
  <c r="CZ62" i="3"/>
  <c r="DB62" i="3" s="1"/>
  <c r="L54" i="8" s="1"/>
  <c r="DA62" i="3"/>
  <c r="DC62" i="3"/>
  <c r="Q54" i="8" s="1"/>
  <c r="A63" i="3"/>
  <c r="CX63" i="3"/>
  <c r="CY63" i="3"/>
  <c r="CZ63" i="3"/>
  <c r="DB63" i="3" s="1"/>
  <c r="DA63" i="3"/>
  <c r="DC63" i="3"/>
  <c r="A64" i="3"/>
  <c r="CX64" i="3"/>
  <c r="CY64" i="3"/>
  <c r="CZ64" i="3"/>
  <c r="DB64" i="3" s="1"/>
  <c r="DA64" i="3"/>
  <c r="DC64" i="3"/>
  <c r="A65" i="3"/>
  <c r="CY65" i="3"/>
  <c r="CZ65" i="3"/>
  <c r="DB65" i="3" s="1"/>
  <c r="DA65" i="3"/>
  <c r="DC65" i="3"/>
  <c r="A66" i="3"/>
  <c r="CY66" i="3"/>
  <c r="CZ66" i="3"/>
  <c r="DB66" i="3" s="1"/>
  <c r="L65" i="8" s="1"/>
  <c r="DA66" i="3"/>
  <c r="DC66" i="3"/>
  <c r="Q65" i="8" s="1"/>
  <c r="A67" i="3"/>
  <c r="CY67" i="3"/>
  <c r="CZ67" i="3"/>
  <c r="DB67" i="3" s="1"/>
  <c r="L64" i="8" s="1"/>
  <c r="DA67" i="3"/>
  <c r="DC67" i="3"/>
  <c r="Q64" i="8" s="1"/>
  <c r="A68" i="3"/>
  <c r="CY68" i="3"/>
  <c r="CZ68" i="3"/>
  <c r="DB68" i="3" s="1"/>
  <c r="L63" i="8" s="1"/>
  <c r="DA68" i="3"/>
  <c r="DC68" i="3"/>
  <c r="Q63" i="8" s="1"/>
  <c r="A69" i="3"/>
  <c r="CY69" i="3"/>
  <c r="CZ69" i="3"/>
  <c r="DB69" i="3" s="1"/>
  <c r="L62" i="8" s="1"/>
  <c r="DA69" i="3"/>
  <c r="DC69" i="3"/>
  <c r="Q62" i="8" s="1"/>
  <c r="A70" i="3"/>
  <c r="CY70" i="3"/>
  <c r="CZ70" i="3"/>
  <c r="DB70" i="3" s="1"/>
  <c r="L61" i="8" s="1"/>
  <c r="DA70" i="3"/>
  <c r="DC70" i="3"/>
  <c r="Q61" i="8" s="1"/>
  <c r="A71" i="3"/>
  <c r="CY71" i="3"/>
  <c r="CZ71" i="3"/>
  <c r="DB71" i="3" s="1"/>
  <c r="L60" i="8" s="1"/>
  <c r="DA71" i="3"/>
  <c r="DC71" i="3"/>
  <c r="Q60" i="8" s="1"/>
  <c r="A72" i="3"/>
  <c r="CY72" i="3"/>
  <c r="CZ72" i="3"/>
  <c r="DB72" i="3" s="1"/>
  <c r="DA72" i="3"/>
  <c r="DC72" i="3"/>
  <c r="A73" i="3"/>
  <c r="CY73" i="3"/>
  <c r="CZ73" i="3"/>
  <c r="DB73" i="3" s="1"/>
  <c r="L59" i="8" s="1"/>
  <c r="DA73" i="3"/>
  <c r="DC73" i="3"/>
  <c r="Q59" i="8" s="1"/>
  <c r="A74" i="3"/>
  <c r="CY74" i="3"/>
  <c r="CZ74" i="3"/>
  <c r="DB74" i="3" s="1"/>
  <c r="DA74" i="3"/>
  <c r="DC74" i="3"/>
  <c r="A75" i="3"/>
  <c r="CY75" i="3"/>
  <c r="CZ75" i="3"/>
  <c r="DB75" i="3" s="1"/>
  <c r="DA75" i="3"/>
  <c r="DC75" i="3"/>
  <c r="A76" i="3"/>
  <c r="CY76" i="3"/>
  <c r="CZ76" i="3"/>
  <c r="DB76" i="3" s="1"/>
  <c r="L71" i="8" s="1"/>
  <c r="DA76" i="3"/>
  <c r="DC76" i="3"/>
  <c r="Q71" i="8" s="1"/>
  <c r="A77" i="3"/>
  <c r="CY77" i="3"/>
  <c r="CZ77" i="3"/>
  <c r="DB77" i="3" s="1"/>
  <c r="L70" i="8" s="1"/>
  <c r="DA77" i="3"/>
  <c r="DC77" i="3"/>
  <c r="Q70" i="8" s="1"/>
  <c r="A78" i="3"/>
  <c r="CY78" i="3"/>
  <c r="CZ78" i="3"/>
  <c r="DB78" i="3" s="1"/>
  <c r="L69" i="8" s="1"/>
  <c r="DA78" i="3"/>
  <c r="DC78" i="3"/>
  <c r="Q69" i="8" s="1"/>
  <c r="A79" i="3"/>
  <c r="CY79" i="3"/>
  <c r="CZ79" i="3"/>
  <c r="DB79" i="3" s="1"/>
  <c r="L68" i="8" s="1"/>
  <c r="DA79" i="3"/>
  <c r="DC79" i="3"/>
  <c r="Q68" i="8" s="1"/>
  <c r="A80" i="3"/>
  <c r="CY80" i="3"/>
  <c r="CZ80" i="3"/>
  <c r="DA80" i="3"/>
  <c r="DB80" i="3"/>
  <c r="DC80" i="3"/>
  <c r="A81" i="3"/>
  <c r="CY81" i="3"/>
  <c r="CZ81" i="3"/>
  <c r="DB81" i="3" s="1"/>
  <c r="DA81" i="3"/>
  <c r="DC81" i="3"/>
  <c r="A82" i="3"/>
  <c r="CY82" i="3"/>
  <c r="CZ82" i="3"/>
  <c r="DB82" i="3" s="1"/>
  <c r="DA82" i="3"/>
  <c r="DC82" i="3"/>
  <c r="A83" i="3"/>
  <c r="CY83" i="3"/>
  <c r="CZ83" i="3"/>
  <c r="DB83" i="3" s="1"/>
  <c r="DA83" i="3"/>
  <c r="DC83" i="3"/>
  <c r="A84" i="3"/>
  <c r="CY84" i="3"/>
  <c r="CZ84" i="3"/>
  <c r="DB84" i="3" s="1"/>
  <c r="DA84" i="3"/>
  <c r="DC84" i="3"/>
  <c r="A85" i="3"/>
  <c r="CY85" i="3"/>
  <c r="CZ85" i="3"/>
  <c r="DB85" i="3" s="1"/>
  <c r="DA85" i="3"/>
  <c r="DC85" i="3"/>
  <c r="A86" i="3"/>
  <c r="CY86" i="3"/>
  <c r="CZ86" i="3"/>
  <c r="DA86" i="3"/>
  <c r="DB86" i="3"/>
  <c r="DC86" i="3"/>
  <c r="A87" i="3"/>
  <c r="CY87" i="3"/>
  <c r="CZ87" i="3"/>
  <c r="DB87" i="3" s="1"/>
  <c r="L67" i="8" s="1"/>
  <c r="DA87" i="3"/>
  <c r="DC87" i="3"/>
  <c r="Q67" i="8" s="1"/>
  <c r="A88" i="3"/>
  <c r="CY88" i="3"/>
  <c r="CZ88" i="3"/>
  <c r="DB88" i="3" s="1"/>
  <c r="DA88" i="3"/>
  <c r="DC88" i="3"/>
  <c r="A89" i="3"/>
  <c r="CY89" i="3"/>
  <c r="CZ89" i="3"/>
  <c r="DB89" i="3" s="1"/>
  <c r="DA89" i="3"/>
  <c r="DC89" i="3"/>
  <c r="A90" i="3"/>
  <c r="CY90" i="3"/>
  <c r="CZ90" i="3"/>
  <c r="DB90" i="3" s="1"/>
  <c r="DA90" i="3"/>
  <c r="DC90" i="3"/>
  <c r="A91" i="3"/>
  <c r="CY91" i="3"/>
  <c r="CZ91" i="3"/>
  <c r="DB91" i="3" s="1"/>
  <c r="DA91" i="3"/>
  <c r="DC91" i="3"/>
  <c r="A92" i="3"/>
  <c r="CY92" i="3"/>
  <c r="CZ92" i="3"/>
  <c r="DB92" i="3" s="1"/>
  <c r="DA92" i="3"/>
  <c r="DC92" i="3"/>
  <c r="A93" i="3"/>
  <c r="CY93" i="3"/>
  <c r="CZ93" i="3"/>
  <c r="DB93" i="3" s="1"/>
  <c r="L78" i="8" s="1"/>
  <c r="DA93" i="3"/>
  <c r="DC93" i="3"/>
  <c r="Q78" i="8" s="1"/>
  <c r="A94" i="3"/>
  <c r="CY94" i="3"/>
  <c r="CZ94" i="3"/>
  <c r="DB94" i="3" s="1"/>
  <c r="L77" i="8" s="1"/>
  <c r="DA94" i="3"/>
  <c r="DC94" i="3"/>
  <c r="Q77" i="8" s="1"/>
  <c r="A95" i="3"/>
  <c r="CY95" i="3"/>
  <c r="CZ95" i="3"/>
  <c r="DB95" i="3" s="1"/>
  <c r="L76" i="8" s="1"/>
  <c r="DA95" i="3"/>
  <c r="DC95" i="3"/>
  <c r="Q76" i="8" s="1"/>
  <c r="A96" i="3"/>
  <c r="CY96" i="3"/>
  <c r="CZ96" i="3"/>
  <c r="DB96" i="3" s="1"/>
  <c r="L75" i="8" s="1"/>
  <c r="DA96" i="3"/>
  <c r="DC96" i="3"/>
  <c r="Q75" i="8" s="1"/>
  <c r="A97" i="3"/>
  <c r="CY97" i="3"/>
  <c r="CZ97" i="3"/>
  <c r="DB97" i="3" s="1"/>
  <c r="L74" i="8" s="1"/>
  <c r="DA97" i="3"/>
  <c r="DC97" i="3"/>
  <c r="Q74" i="8" s="1"/>
  <c r="A98" i="3"/>
  <c r="CY98" i="3"/>
  <c r="CZ98" i="3"/>
  <c r="DB98" i="3" s="1"/>
  <c r="L73" i="8" s="1"/>
  <c r="DA98" i="3"/>
  <c r="DC98" i="3"/>
  <c r="Q73" i="8" s="1"/>
  <c r="A99" i="3"/>
  <c r="CY99" i="3"/>
  <c r="CZ99" i="3"/>
  <c r="DB99" i="3" s="1"/>
  <c r="DA99" i="3"/>
  <c r="DC99" i="3"/>
  <c r="A100" i="3"/>
  <c r="CY100" i="3"/>
  <c r="CZ100" i="3"/>
  <c r="DB100" i="3" s="1"/>
  <c r="DA100" i="3"/>
  <c r="DC100" i="3"/>
  <c r="A101" i="3"/>
  <c r="CY101" i="3"/>
  <c r="CZ101" i="3"/>
  <c r="DB101" i="3" s="1"/>
  <c r="L80" i="8" s="1"/>
  <c r="DA101" i="3"/>
  <c r="DC101" i="3"/>
  <c r="Q80" i="8" s="1"/>
  <c r="A102" i="3"/>
  <c r="CY102" i="3"/>
  <c r="CZ102" i="3"/>
  <c r="DB102" i="3" s="1"/>
  <c r="DA102" i="3"/>
  <c r="DC102" i="3"/>
  <c r="A103" i="3"/>
  <c r="CY103" i="3"/>
  <c r="CZ103" i="3"/>
  <c r="DB103" i="3" s="1"/>
  <c r="DA103" i="3"/>
  <c r="DC103" i="3"/>
  <c r="A104" i="3"/>
  <c r="CY104" i="3"/>
  <c r="CZ104" i="3"/>
  <c r="DA104" i="3"/>
  <c r="DB104" i="3"/>
  <c r="DC104" i="3"/>
  <c r="A105" i="3"/>
  <c r="CY105" i="3"/>
  <c r="CZ105" i="3"/>
  <c r="DB105" i="3" s="1"/>
  <c r="DA105" i="3"/>
  <c r="DC105" i="3"/>
  <c r="A106" i="3"/>
  <c r="CY106" i="3"/>
  <c r="CZ106" i="3"/>
  <c r="DB106" i="3" s="1"/>
  <c r="DA106" i="3"/>
  <c r="DC106" i="3"/>
  <c r="A107" i="3"/>
  <c r="CY107" i="3"/>
  <c r="CZ107" i="3"/>
  <c r="DB107" i="3" s="1"/>
  <c r="DA107" i="3"/>
  <c r="DC107" i="3"/>
  <c r="A108" i="3"/>
  <c r="CX108" i="3"/>
  <c r="CY108" i="3"/>
  <c r="CZ108" i="3"/>
  <c r="DB108" i="3" s="1"/>
  <c r="DA108" i="3"/>
  <c r="DC108" i="3"/>
  <c r="A109" i="3"/>
  <c r="CX109" i="3"/>
  <c r="CY109" i="3"/>
  <c r="CZ109" i="3"/>
  <c r="DB109" i="3" s="1"/>
  <c r="DA109" i="3"/>
  <c r="DC109" i="3"/>
  <c r="A110" i="3"/>
  <c r="CX110" i="3"/>
  <c r="CY110" i="3"/>
  <c r="CZ110" i="3"/>
  <c r="DB110" i="3" s="1"/>
  <c r="DA110" i="3"/>
  <c r="DC110" i="3"/>
  <c r="A111" i="3"/>
  <c r="CX111" i="3"/>
  <c r="CY111" i="3"/>
  <c r="CZ111" i="3"/>
  <c r="DB111" i="3" s="1"/>
  <c r="DA111" i="3"/>
  <c r="DC111" i="3"/>
  <c r="A112" i="3"/>
  <c r="CX112" i="3"/>
  <c r="CY112" i="3"/>
  <c r="CZ112" i="3"/>
  <c r="DB112" i="3" s="1"/>
  <c r="DA112" i="3"/>
  <c r="DC112" i="3"/>
  <c r="A113" i="3"/>
  <c r="CX113" i="3"/>
  <c r="CY113" i="3"/>
  <c r="CZ113" i="3"/>
  <c r="DB113" i="3" s="1"/>
  <c r="DA113" i="3"/>
  <c r="DC113" i="3"/>
  <c r="A114" i="3"/>
  <c r="CX114" i="3"/>
  <c r="CY114" i="3"/>
  <c r="CZ114" i="3"/>
  <c r="DB114" i="3" s="1"/>
  <c r="DA114" i="3"/>
  <c r="DC114" i="3"/>
  <c r="A115" i="3"/>
  <c r="CX115" i="3"/>
  <c r="CY115" i="3"/>
  <c r="CZ115" i="3"/>
  <c r="DB115" i="3" s="1"/>
  <c r="DA115" i="3"/>
  <c r="DC115" i="3"/>
  <c r="A116" i="3"/>
  <c r="CX116" i="3"/>
  <c r="CY116" i="3"/>
  <c r="CZ116" i="3"/>
  <c r="DB116" i="3" s="1"/>
  <c r="DA116" i="3"/>
  <c r="DC116" i="3"/>
  <c r="A117" i="3"/>
  <c r="CX117" i="3"/>
  <c r="CY117" i="3"/>
  <c r="CZ117" i="3"/>
  <c r="DB117" i="3" s="1"/>
  <c r="DA117" i="3"/>
  <c r="DC117" i="3"/>
  <c r="A118" i="3"/>
  <c r="CX118" i="3"/>
  <c r="CY118" i="3"/>
  <c r="CZ118" i="3"/>
  <c r="DB118" i="3" s="1"/>
  <c r="DA118" i="3"/>
  <c r="DC118" i="3"/>
  <c r="A119" i="3"/>
  <c r="CX119" i="3"/>
  <c r="CY119" i="3"/>
  <c r="CZ119" i="3"/>
  <c r="DB119" i="3" s="1"/>
  <c r="DA119" i="3"/>
  <c r="DC119" i="3"/>
  <c r="A120" i="3"/>
  <c r="CX120" i="3"/>
  <c r="CY120" i="3"/>
  <c r="CZ120" i="3"/>
  <c r="DB120" i="3" s="1"/>
  <c r="DA120" i="3"/>
  <c r="DC120" i="3"/>
  <c r="A121" i="3"/>
  <c r="CX121" i="3"/>
  <c r="CY121" i="3"/>
  <c r="CZ121" i="3"/>
  <c r="DB121" i="3" s="1"/>
  <c r="DA121" i="3"/>
  <c r="DC121" i="3"/>
  <c r="A122" i="3"/>
  <c r="CX122" i="3"/>
  <c r="CY122" i="3"/>
  <c r="CZ122" i="3"/>
  <c r="DA122" i="3"/>
  <c r="DB122" i="3"/>
  <c r="L83" i="8" s="1"/>
  <c r="DC122" i="3"/>
  <c r="Q83" i="8" s="1"/>
  <c r="A123" i="3"/>
  <c r="CY123" i="3"/>
  <c r="CZ123" i="3"/>
  <c r="DB123" i="3" s="1"/>
  <c r="DA123" i="3"/>
  <c r="DC123" i="3"/>
  <c r="A124" i="3"/>
  <c r="CY124" i="3"/>
  <c r="CZ124" i="3"/>
  <c r="DB124" i="3" s="1"/>
  <c r="L88" i="8" s="1"/>
  <c r="DA124" i="3"/>
  <c r="DC124" i="3"/>
  <c r="Q88" i="8" s="1"/>
  <c r="A125" i="3"/>
  <c r="CY125" i="3"/>
  <c r="CZ125" i="3"/>
  <c r="DB125" i="3" s="1"/>
  <c r="L87" i="8" s="1"/>
  <c r="DA125" i="3"/>
  <c r="DC125" i="3"/>
  <c r="Q87" i="8" s="1"/>
  <c r="A126" i="3"/>
  <c r="CY126" i="3"/>
  <c r="CZ126" i="3"/>
  <c r="DB126" i="3" s="1"/>
  <c r="L86" i="8" s="1"/>
  <c r="DA126" i="3"/>
  <c r="DC126" i="3"/>
  <c r="Q86" i="8" s="1"/>
  <c r="A127" i="3"/>
  <c r="CY127" i="3"/>
  <c r="CZ127" i="3"/>
  <c r="DB127" i="3" s="1"/>
  <c r="L85" i="8" s="1"/>
  <c r="DA127" i="3"/>
  <c r="DC127" i="3"/>
  <c r="Q85" i="8" s="1"/>
  <c r="A128" i="3"/>
  <c r="CX128" i="3"/>
  <c r="CY128" i="3"/>
  <c r="CZ128" i="3"/>
  <c r="DA128" i="3"/>
  <c r="DB128" i="3"/>
  <c r="DC128" i="3"/>
  <c r="A129" i="3"/>
  <c r="CX129" i="3"/>
  <c r="CY129" i="3"/>
  <c r="CZ129" i="3"/>
  <c r="DA129" i="3"/>
  <c r="DB129" i="3"/>
  <c r="L92" i="8" s="1"/>
  <c r="M92" i="8" s="1"/>
  <c r="DC129" i="3"/>
  <c r="Q92" i="8" s="1"/>
  <c r="A130" i="3"/>
  <c r="CX130" i="3"/>
  <c r="CY130" i="3"/>
  <c r="CZ130" i="3"/>
  <c r="DB130" i="3" s="1"/>
  <c r="L91" i="8" s="1"/>
  <c r="DA130" i="3"/>
  <c r="DC130" i="3"/>
  <c r="Q91" i="8" s="1"/>
  <c r="T91" i="8" s="1"/>
  <c r="A131" i="3"/>
  <c r="CX131" i="3"/>
  <c r="CY131" i="3"/>
  <c r="CZ131" i="3"/>
  <c r="DB131" i="3" s="1"/>
  <c r="L90" i="8" s="1"/>
  <c r="M90" i="8" s="1"/>
  <c r="F64" i="7" s="1"/>
  <c r="DA131" i="3"/>
  <c r="DC131" i="3"/>
  <c r="Q90" i="8" s="1"/>
  <c r="A132" i="3"/>
  <c r="CY132" i="3"/>
  <c r="CZ132" i="3"/>
  <c r="DB132" i="3" s="1"/>
  <c r="DA132" i="3"/>
  <c r="DC132" i="3"/>
  <c r="A133" i="3"/>
  <c r="CY133" i="3"/>
  <c r="CZ133" i="3"/>
  <c r="DB133" i="3" s="1"/>
  <c r="L99" i="8" s="1"/>
  <c r="DA133" i="3"/>
  <c r="DC133" i="3"/>
  <c r="Q99" i="8" s="1"/>
  <c r="A134" i="3"/>
  <c r="CY134" i="3"/>
  <c r="CZ134" i="3"/>
  <c r="DA134" i="3"/>
  <c r="DB134" i="3"/>
  <c r="L98" i="8" s="1"/>
  <c r="DC134" i="3"/>
  <c r="Q98" i="8" s="1"/>
  <c r="A135" i="3"/>
  <c r="CY135" i="3"/>
  <c r="CZ135" i="3"/>
  <c r="DB135" i="3" s="1"/>
  <c r="L97" i="8" s="1"/>
  <c r="DA135" i="3"/>
  <c r="DC135" i="3"/>
  <c r="Q97" i="8" s="1"/>
  <c r="A136" i="3"/>
  <c r="CY136" i="3"/>
  <c r="CZ136" i="3"/>
  <c r="DB136" i="3" s="1"/>
  <c r="L96" i="8" s="1"/>
  <c r="DA136" i="3"/>
  <c r="DC136" i="3"/>
  <c r="Q96" i="8" s="1"/>
  <c r="A137" i="3"/>
  <c r="CY137" i="3"/>
  <c r="CZ137" i="3"/>
  <c r="DB137" i="3" s="1"/>
  <c r="L95" i="8" s="1"/>
  <c r="DA137" i="3"/>
  <c r="DC137" i="3"/>
  <c r="Q95" i="8" s="1"/>
  <c r="A138" i="3"/>
  <c r="CY138" i="3"/>
  <c r="CZ138" i="3"/>
  <c r="DB138" i="3" s="1"/>
  <c r="L94" i="8" s="1"/>
  <c r="DA138" i="3"/>
  <c r="DC138" i="3"/>
  <c r="Q94" i="8" s="1"/>
  <c r="A139" i="3"/>
  <c r="CY139" i="3"/>
  <c r="CZ139" i="3"/>
  <c r="DB139" i="3" s="1"/>
  <c r="DA139" i="3"/>
  <c r="DC139" i="3"/>
  <c r="A140" i="3"/>
  <c r="CY140" i="3"/>
  <c r="CZ140" i="3"/>
  <c r="DB140" i="3" s="1"/>
  <c r="L93" i="8" s="1"/>
  <c r="DA140" i="3"/>
  <c r="DC140" i="3"/>
  <c r="Q93" i="8" s="1"/>
  <c r="A141" i="3"/>
  <c r="CX141" i="3"/>
  <c r="CY141" i="3"/>
  <c r="CZ141" i="3"/>
  <c r="DB141" i="3" s="1"/>
  <c r="DA141" i="3"/>
  <c r="DC141" i="3"/>
  <c r="A142" i="3"/>
  <c r="CX142" i="3"/>
  <c r="CY142" i="3"/>
  <c r="CZ142" i="3"/>
  <c r="DB142" i="3" s="1"/>
  <c r="DA142" i="3"/>
  <c r="DC142" i="3"/>
  <c r="A143" i="3"/>
  <c r="CX143" i="3"/>
  <c r="CY143" i="3"/>
  <c r="CZ143" i="3"/>
  <c r="DB143" i="3" s="1"/>
  <c r="DA143" i="3"/>
  <c r="DC143" i="3"/>
  <c r="A144" i="3"/>
  <c r="CX144" i="3"/>
  <c r="CY144" i="3"/>
  <c r="CZ144" i="3"/>
  <c r="DB144" i="3" s="1"/>
  <c r="DA144" i="3"/>
  <c r="DC144" i="3"/>
  <c r="A145" i="3"/>
  <c r="CX145" i="3"/>
  <c r="CY145" i="3"/>
  <c r="CZ145" i="3"/>
  <c r="DB145" i="3" s="1"/>
  <c r="DA145" i="3"/>
  <c r="DC145" i="3"/>
  <c r="A146" i="3"/>
  <c r="CX146" i="3"/>
  <c r="CY146" i="3"/>
  <c r="CZ146" i="3"/>
  <c r="DB146" i="3" s="1"/>
  <c r="DA146" i="3"/>
  <c r="DC146" i="3"/>
  <c r="A147" i="3"/>
  <c r="CX147" i="3"/>
  <c r="CY147" i="3"/>
  <c r="CZ147" i="3"/>
  <c r="DB147" i="3" s="1"/>
  <c r="DA147" i="3"/>
  <c r="DC147" i="3"/>
  <c r="A148" i="3"/>
  <c r="CX148" i="3"/>
  <c r="CY148" i="3"/>
  <c r="CZ148" i="3"/>
  <c r="DB148" i="3" s="1"/>
  <c r="DA148" i="3"/>
  <c r="DC148" i="3"/>
  <c r="A149" i="3"/>
  <c r="CX149" i="3"/>
  <c r="CY149" i="3"/>
  <c r="CZ149" i="3"/>
  <c r="DB149" i="3" s="1"/>
  <c r="DA149" i="3"/>
  <c r="DC149" i="3"/>
  <c r="A150" i="3"/>
  <c r="CX150" i="3"/>
  <c r="CY150" i="3"/>
  <c r="CZ150" i="3"/>
  <c r="DB150" i="3" s="1"/>
  <c r="DA150" i="3"/>
  <c r="DC150" i="3"/>
  <c r="A151" i="3"/>
  <c r="CX151" i="3"/>
  <c r="CY151" i="3"/>
  <c r="CZ151" i="3"/>
  <c r="DB151" i="3" s="1"/>
  <c r="DA151" i="3"/>
  <c r="DC151" i="3"/>
  <c r="A152" i="3"/>
  <c r="CX152" i="3"/>
  <c r="CY152" i="3"/>
  <c r="CZ152" i="3"/>
  <c r="DA152" i="3"/>
  <c r="DB152" i="3"/>
  <c r="DC152" i="3"/>
  <c r="A153" i="3"/>
  <c r="CX153" i="3"/>
  <c r="CY153" i="3"/>
  <c r="CZ153" i="3"/>
  <c r="DB153" i="3" s="1"/>
  <c r="DA153" i="3"/>
  <c r="DC153" i="3"/>
  <c r="A154" i="3"/>
  <c r="CY154" i="3"/>
  <c r="CZ154" i="3"/>
  <c r="DB154" i="3" s="1"/>
  <c r="DA154" i="3"/>
  <c r="DC154" i="3"/>
  <c r="A155" i="3"/>
  <c r="CY155" i="3"/>
  <c r="CZ155" i="3"/>
  <c r="DB155" i="3" s="1"/>
  <c r="L105" i="8" s="1"/>
  <c r="DA155" i="3"/>
  <c r="DC155" i="3"/>
  <c r="Q105" i="8" s="1"/>
  <c r="A156" i="3"/>
  <c r="CY156" i="3"/>
  <c r="CZ156" i="3"/>
  <c r="DB156" i="3" s="1"/>
  <c r="L104" i="8" s="1"/>
  <c r="DA156" i="3"/>
  <c r="DC156" i="3"/>
  <c r="Q104" i="8" s="1"/>
  <c r="A157" i="3"/>
  <c r="CY157" i="3"/>
  <c r="CZ157" i="3"/>
  <c r="DB157" i="3" s="1"/>
  <c r="L103" i="8" s="1"/>
  <c r="DA157" i="3"/>
  <c r="DC157" i="3"/>
  <c r="Q103" i="8" s="1"/>
  <c r="A158" i="3"/>
  <c r="CY158" i="3"/>
  <c r="CZ158" i="3"/>
  <c r="DB158" i="3" s="1"/>
  <c r="L102" i="8" s="1"/>
  <c r="DA158" i="3"/>
  <c r="DC158" i="3"/>
  <c r="Q102" i="8" s="1"/>
  <c r="A159" i="3"/>
  <c r="CY159" i="3"/>
  <c r="CZ159" i="3"/>
  <c r="DB159" i="3" s="1"/>
  <c r="L101" i="8" s="1"/>
  <c r="DA159" i="3"/>
  <c r="DC159" i="3"/>
  <c r="Q101" i="8" s="1"/>
  <c r="A160" i="3"/>
  <c r="CY160" i="3"/>
  <c r="CZ160" i="3"/>
  <c r="DB160" i="3" s="1"/>
  <c r="DA160" i="3"/>
  <c r="DC160" i="3"/>
  <c r="A161" i="3"/>
  <c r="CY161" i="3"/>
  <c r="CZ161" i="3"/>
  <c r="DB161" i="3" s="1"/>
  <c r="DA161" i="3"/>
  <c r="DC161" i="3"/>
  <c r="A162" i="3"/>
  <c r="CY162" i="3"/>
  <c r="CZ162" i="3"/>
  <c r="DB162" i="3" s="1"/>
  <c r="DA162" i="3"/>
  <c r="DC162" i="3"/>
  <c r="A163" i="3"/>
  <c r="CY163" i="3"/>
  <c r="CZ163" i="3"/>
  <c r="DB163" i="3" s="1"/>
  <c r="DA163" i="3"/>
  <c r="DC163" i="3"/>
  <c r="A164" i="3"/>
  <c r="CY164" i="3"/>
  <c r="CZ164" i="3"/>
  <c r="DB164" i="3" s="1"/>
  <c r="DA164" i="3"/>
  <c r="DC164" i="3"/>
  <c r="A165" i="3"/>
  <c r="CY165" i="3"/>
  <c r="CZ165" i="3"/>
  <c r="DB165" i="3" s="1"/>
  <c r="L100" i="8" s="1"/>
  <c r="DA165" i="3"/>
  <c r="DC165" i="3"/>
  <c r="Q100" i="8" s="1"/>
  <c r="A166" i="3"/>
  <c r="CY166" i="3"/>
  <c r="CZ166" i="3"/>
  <c r="DB166" i="3" s="1"/>
  <c r="DA166" i="3"/>
  <c r="DC166" i="3"/>
  <c r="A167" i="3"/>
  <c r="CY167" i="3"/>
  <c r="CZ167" i="3"/>
  <c r="DB167" i="3" s="1"/>
  <c r="DA167" i="3"/>
  <c r="DC167" i="3"/>
  <c r="A168" i="3"/>
  <c r="CY168" i="3"/>
  <c r="CZ168" i="3"/>
  <c r="DB168" i="3" s="1"/>
  <c r="DA168" i="3"/>
  <c r="DC168" i="3"/>
  <c r="A169" i="3"/>
  <c r="CY169" i="3"/>
  <c r="CZ169" i="3"/>
  <c r="DB169" i="3" s="1"/>
  <c r="L112" i="8" s="1"/>
  <c r="DA169" i="3"/>
  <c r="DC169" i="3"/>
  <c r="Q112" i="8" s="1"/>
  <c r="A170" i="3"/>
  <c r="CY170" i="3"/>
  <c r="CZ170" i="3"/>
  <c r="DA170" i="3"/>
  <c r="DB170" i="3"/>
  <c r="L111" i="8" s="1"/>
  <c r="DC170" i="3"/>
  <c r="Q111" i="8" s="1"/>
  <c r="A171" i="3"/>
  <c r="CY171" i="3"/>
  <c r="CZ171" i="3"/>
  <c r="DB171" i="3" s="1"/>
  <c r="L110" i="8" s="1"/>
  <c r="DA171" i="3"/>
  <c r="DC171" i="3"/>
  <c r="Q110" i="8" s="1"/>
  <c r="A172" i="3"/>
  <c r="CY172" i="3"/>
  <c r="CZ172" i="3"/>
  <c r="DB172" i="3" s="1"/>
  <c r="L109" i="8" s="1"/>
  <c r="DA172" i="3"/>
  <c r="DC172" i="3"/>
  <c r="Q109" i="8" s="1"/>
  <c r="A173" i="3"/>
  <c r="CY173" i="3"/>
  <c r="CZ173" i="3"/>
  <c r="DB173" i="3" s="1"/>
  <c r="L108" i="8" s="1"/>
  <c r="DA173" i="3"/>
  <c r="DC173" i="3"/>
  <c r="Q108" i="8" s="1"/>
  <c r="A174" i="3"/>
  <c r="CY174" i="3"/>
  <c r="CZ174" i="3"/>
  <c r="DB174" i="3" s="1"/>
  <c r="L107" i="8" s="1"/>
  <c r="DA174" i="3"/>
  <c r="DC174" i="3"/>
  <c r="Q107" i="8" s="1"/>
  <c r="A175" i="3"/>
  <c r="CY175" i="3"/>
  <c r="CZ175" i="3"/>
  <c r="DB175" i="3" s="1"/>
  <c r="DA175" i="3"/>
  <c r="DC175" i="3"/>
  <c r="A176" i="3"/>
  <c r="CY176" i="3"/>
  <c r="CZ176" i="3"/>
  <c r="DB176" i="3" s="1"/>
  <c r="DA176" i="3"/>
  <c r="DC176" i="3"/>
  <c r="A177" i="3"/>
  <c r="CX177" i="3"/>
  <c r="CY177" i="3"/>
  <c r="CZ177" i="3"/>
  <c r="DB177" i="3" s="1"/>
  <c r="DA177" i="3"/>
  <c r="DC177" i="3"/>
  <c r="A178" i="3"/>
  <c r="CX178" i="3"/>
  <c r="CY178" i="3"/>
  <c r="CZ178" i="3"/>
  <c r="DB178" i="3" s="1"/>
  <c r="DA178" i="3"/>
  <c r="DC178" i="3"/>
  <c r="A179" i="3"/>
  <c r="CX179" i="3"/>
  <c r="CY179" i="3"/>
  <c r="CZ179" i="3"/>
  <c r="DB179" i="3" s="1"/>
  <c r="DA179" i="3"/>
  <c r="DC179" i="3"/>
  <c r="A180" i="3"/>
  <c r="CX180" i="3"/>
  <c r="CY180" i="3"/>
  <c r="CZ180" i="3"/>
  <c r="DB180" i="3" s="1"/>
  <c r="DA180" i="3"/>
  <c r="DC180" i="3"/>
  <c r="A181" i="3"/>
  <c r="CX181" i="3"/>
  <c r="CY181" i="3"/>
  <c r="CZ181" i="3"/>
  <c r="DB181" i="3" s="1"/>
  <c r="DA181" i="3"/>
  <c r="DC181" i="3"/>
  <c r="A182" i="3"/>
  <c r="CX182" i="3"/>
  <c r="CY182" i="3"/>
  <c r="CZ182" i="3"/>
  <c r="DA182" i="3"/>
  <c r="DB182" i="3"/>
  <c r="DC182" i="3"/>
  <c r="A183" i="3"/>
  <c r="CX183" i="3"/>
  <c r="CY183" i="3"/>
  <c r="CZ183" i="3"/>
  <c r="DB183" i="3" s="1"/>
  <c r="DA183" i="3"/>
  <c r="DC183" i="3"/>
  <c r="A184" i="3"/>
  <c r="CX184" i="3"/>
  <c r="CY184" i="3"/>
  <c r="CZ184" i="3"/>
  <c r="DB184" i="3" s="1"/>
  <c r="DA184" i="3"/>
  <c r="DC184" i="3"/>
  <c r="A185" i="3"/>
  <c r="CX185" i="3"/>
  <c r="CY185" i="3"/>
  <c r="CZ185" i="3"/>
  <c r="DB185" i="3" s="1"/>
  <c r="DA185" i="3"/>
  <c r="DC185" i="3"/>
  <c r="A186" i="3"/>
  <c r="CY186" i="3"/>
  <c r="CZ186" i="3"/>
  <c r="DA186" i="3"/>
  <c r="DB186" i="3"/>
  <c r="DC186" i="3"/>
  <c r="A187" i="3"/>
  <c r="CY187" i="3"/>
  <c r="CZ187" i="3"/>
  <c r="DB187" i="3" s="1"/>
  <c r="L115" i="8" s="1"/>
  <c r="DA187" i="3"/>
  <c r="DC187" i="3"/>
  <c r="Q115" i="8" s="1"/>
  <c r="A188" i="3"/>
  <c r="CY188" i="3"/>
  <c r="CZ188" i="3"/>
  <c r="DA188" i="3"/>
  <c r="DB188" i="3"/>
  <c r="L114" i="8" s="1"/>
  <c r="DC188" i="3"/>
  <c r="Q114" i="8" s="1"/>
  <c r="A189" i="3"/>
  <c r="CY189" i="3"/>
  <c r="CZ189" i="3"/>
  <c r="DB189" i="3" s="1"/>
  <c r="DA189" i="3"/>
  <c r="DC189" i="3"/>
  <c r="A190" i="3"/>
  <c r="CY190" i="3"/>
  <c r="CZ190" i="3"/>
  <c r="DB190" i="3" s="1"/>
  <c r="L116" i="8" s="1"/>
  <c r="DA190" i="3"/>
  <c r="DC190" i="3"/>
  <c r="Q116" i="8" s="1"/>
  <c r="A191" i="3"/>
  <c r="CX191" i="3"/>
  <c r="CY191" i="3"/>
  <c r="CZ191" i="3"/>
  <c r="DB191" i="3" s="1"/>
  <c r="DA191" i="3"/>
  <c r="DC191" i="3"/>
  <c r="A192" i="3"/>
  <c r="CX192" i="3"/>
  <c r="CY192" i="3"/>
  <c r="CZ192" i="3"/>
  <c r="DB192" i="3" s="1"/>
  <c r="DA192" i="3"/>
  <c r="DC192" i="3"/>
  <c r="A193" i="3"/>
  <c r="CX193" i="3"/>
  <c r="CY193" i="3"/>
  <c r="CZ193" i="3"/>
  <c r="DB193" i="3" s="1"/>
  <c r="DA193" i="3"/>
  <c r="DC193" i="3"/>
  <c r="A194" i="3"/>
  <c r="CX194" i="3"/>
  <c r="CY194" i="3"/>
  <c r="CZ194" i="3"/>
  <c r="DA194" i="3"/>
  <c r="DB194" i="3"/>
  <c r="DC194" i="3"/>
  <c r="A195" i="3"/>
  <c r="CX195" i="3"/>
  <c r="CY195" i="3"/>
  <c r="CZ195" i="3"/>
  <c r="DB195" i="3" s="1"/>
  <c r="DA195" i="3"/>
  <c r="DC195" i="3"/>
  <c r="A196" i="3"/>
  <c r="CX196" i="3"/>
  <c r="CY196" i="3"/>
  <c r="CZ196" i="3"/>
  <c r="DB196" i="3" s="1"/>
  <c r="DA196" i="3"/>
  <c r="DC196" i="3"/>
  <c r="A197" i="3"/>
  <c r="CX197" i="3"/>
  <c r="CY197" i="3"/>
  <c r="CZ197" i="3"/>
  <c r="DB197" i="3" s="1"/>
  <c r="DA197" i="3"/>
  <c r="DC197" i="3"/>
  <c r="A198" i="3"/>
  <c r="CX198" i="3"/>
  <c r="CY198" i="3"/>
  <c r="CZ198" i="3"/>
  <c r="DB198" i="3" s="1"/>
  <c r="DA198" i="3"/>
  <c r="DC198" i="3"/>
  <c r="A199" i="3"/>
  <c r="CX199" i="3"/>
  <c r="CY199" i="3"/>
  <c r="CZ199" i="3"/>
  <c r="DB199" i="3" s="1"/>
  <c r="DA199" i="3"/>
  <c r="DC199" i="3"/>
  <c r="A200" i="3"/>
  <c r="CX200" i="3"/>
  <c r="CY200" i="3"/>
  <c r="CZ200" i="3"/>
  <c r="DB200" i="3" s="1"/>
  <c r="DA200" i="3"/>
  <c r="DC200" i="3"/>
  <c r="A201" i="3"/>
  <c r="CX201" i="3"/>
  <c r="CY201" i="3"/>
  <c r="CZ201" i="3"/>
  <c r="DB201" i="3" s="1"/>
  <c r="DA201" i="3"/>
  <c r="DC201" i="3"/>
  <c r="A202" i="3"/>
  <c r="CX202" i="3"/>
  <c r="CY202" i="3"/>
  <c r="CZ202" i="3"/>
  <c r="DB202" i="3" s="1"/>
  <c r="DA202" i="3"/>
  <c r="DC202" i="3"/>
  <c r="A203" i="3"/>
  <c r="CX203" i="3"/>
  <c r="CY203" i="3"/>
  <c r="CZ203" i="3"/>
  <c r="DB203" i="3" s="1"/>
  <c r="DA203" i="3"/>
  <c r="DC203" i="3"/>
  <c r="A204" i="3"/>
  <c r="CX204" i="3"/>
  <c r="CY204" i="3"/>
  <c r="CZ204" i="3"/>
  <c r="DB204" i="3" s="1"/>
  <c r="DA204" i="3"/>
  <c r="DC204" i="3"/>
  <c r="A205" i="3"/>
  <c r="CX205" i="3"/>
  <c r="CY205" i="3"/>
  <c r="CZ205" i="3"/>
  <c r="DB205" i="3" s="1"/>
  <c r="L120" i="8" s="1"/>
  <c r="M120" i="8" s="1"/>
  <c r="F37" i="7" s="1"/>
  <c r="DA205" i="3"/>
  <c r="DC205" i="3"/>
  <c r="Q120" i="8" s="1"/>
  <c r="A206" i="3"/>
  <c r="CX206" i="3"/>
  <c r="CY206" i="3"/>
  <c r="CZ206" i="3"/>
  <c r="DB206" i="3" s="1"/>
  <c r="L119" i="8" s="1"/>
  <c r="DA206" i="3"/>
  <c r="DC206" i="3"/>
  <c r="Q119" i="8" s="1"/>
  <c r="A207" i="3"/>
  <c r="CX207" i="3"/>
  <c r="CY207" i="3"/>
  <c r="CZ207" i="3"/>
  <c r="DB207" i="3" s="1"/>
  <c r="L118" i="8" s="1"/>
  <c r="DA207" i="3"/>
  <c r="DC207" i="3"/>
  <c r="Q118" i="8" s="1"/>
  <c r="A208" i="3"/>
  <c r="CX208" i="3"/>
  <c r="CY208" i="3"/>
  <c r="CZ208" i="3"/>
  <c r="DB208" i="3" s="1"/>
  <c r="L117" i="8" s="1"/>
  <c r="DA208" i="3"/>
  <c r="DC208" i="3"/>
  <c r="Q117" i="8" s="1"/>
  <c r="A209" i="3"/>
  <c r="CX209" i="3"/>
  <c r="CY209" i="3"/>
  <c r="CZ209" i="3"/>
  <c r="DB209" i="3" s="1"/>
  <c r="DA209" i="3"/>
  <c r="DC209" i="3"/>
  <c r="A210" i="3"/>
  <c r="CX210" i="3"/>
  <c r="CY210" i="3"/>
  <c r="CZ210" i="3"/>
  <c r="DA210" i="3"/>
  <c r="DB210" i="3"/>
  <c r="DC210" i="3"/>
  <c r="A211" i="3"/>
  <c r="CX211" i="3"/>
  <c r="CY211" i="3"/>
  <c r="CZ211" i="3"/>
  <c r="DB211" i="3" s="1"/>
  <c r="DA211" i="3"/>
  <c r="DC211" i="3"/>
  <c r="A212" i="3"/>
  <c r="CX212" i="3"/>
  <c r="CY212" i="3"/>
  <c r="CZ212" i="3"/>
  <c r="DB212" i="3" s="1"/>
  <c r="DA212" i="3"/>
  <c r="DC212" i="3"/>
  <c r="A213" i="3"/>
  <c r="CX213" i="3"/>
  <c r="CY213" i="3"/>
  <c r="CZ213" i="3"/>
  <c r="DB213" i="3" s="1"/>
  <c r="DA213" i="3"/>
  <c r="DC213" i="3"/>
  <c r="A214" i="3"/>
  <c r="CX214" i="3"/>
  <c r="CY214" i="3"/>
  <c r="CZ214" i="3"/>
  <c r="DB214" i="3" s="1"/>
  <c r="DA214" i="3"/>
  <c r="DC214" i="3"/>
  <c r="A215" i="3"/>
  <c r="CX215" i="3"/>
  <c r="CY215" i="3"/>
  <c r="CZ215" i="3"/>
  <c r="DB215" i="3" s="1"/>
  <c r="DA215" i="3"/>
  <c r="DC215" i="3"/>
  <c r="A216" i="3"/>
  <c r="CX216" i="3"/>
  <c r="CY216" i="3"/>
  <c r="CZ216" i="3"/>
  <c r="DB216" i="3" s="1"/>
  <c r="DA216" i="3"/>
  <c r="DC216" i="3"/>
  <c r="A217" i="3"/>
  <c r="CX217" i="3"/>
  <c r="CY217" i="3"/>
  <c r="CZ217" i="3"/>
  <c r="DB217" i="3" s="1"/>
  <c r="DA217" i="3"/>
  <c r="DC217" i="3"/>
  <c r="A218" i="3"/>
  <c r="CX218" i="3"/>
  <c r="CY218" i="3"/>
  <c r="CZ218" i="3"/>
  <c r="DB218" i="3" s="1"/>
  <c r="DA218" i="3"/>
  <c r="DC218" i="3"/>
  <c r="A219" i="3"/>
  <c r="CX219" i="3"/>
  <c r="CY219" i="3"/>
  <c r="CZ219" i="3"/>
  <c r="DB219" i="3" s="1"/>
  <c r="DA219" i="3"/>
  <c r="DC219" i="3"/>
  <c r="A220" i="3"/>
  <c r="CY220" i="3"/>
  <c r="CZ220" i="3"/>
  <c r="DB220" i="3" s="1"/>
  <c r="DA220" i="3"/>
  <c r="DC220" i="3"/>
  <c r="A221" i="3"/>
  <c r="CY221" i="3"/>
  <c r="CZ221" i="3"/>
  <c r="DB221" i="3" s="1"/>
  <c r="L121" i="8" s="1"/>
  <c r="DA221" i="3"/>
  <c r="DC221" i="3"/>
  <c r="Q121" i="8" s="1"/>
  <c r="A222" i="3"/>
  <c r="CX222" i="3"/>
  <c r="CY222" i="3"/>
  <c r="CZ222" i="3"/>
  <c r="DB222" i="3" s="1"/>
  <c r="DA222" i="3"/>
  <c r="DC222" i="3"/>
  <c r="A223" i="3"/>
  <c r="CX223" i="3"/>
  <c r="CY223" i="3"/>
  <c r="CZ223" i="3"/>
  <c r="DB223" i="3" s="1"/>
  <c r="L124" i="8" s="1"/>
  <c r="DA223" i="3"/>
  <c r="DC223" i="3"/>
  <c r="Q124" i="8" s="1"/>
  <c r="A224" i="3"/>
  <c r="CX224" i="3"/>
  <c r="CY224" i="3"/>
  <c r="CZ224" i="3"/>
  <c r="DB224" i="3" s="1"/>
  <c r="L123" i="8" s="1"/>
  <c r="DA224" i="3"/>
  <c r="DC224" i="3"/>
  <c r="Q123" i="8" s="1"/>
  <c r="T123" i="8" s="1"/>
  <c r="A225" i="3"/>
  <c r="CX225" i="3"/>
  <c r="CY225" i="3"/>
  <c r="CZ225" i="3"/>
  <c r="DB225" i="3" s="1"/>
  <c r="L122" i="8" s="1"/>
  <c r="DA225" i="3"/>
  <c r="DC225" i="3"/>
  <c r="Q122" i="8" s="1"/>
  <c r="R122" i="8" s="1"/>
  <c r="A226" i="3"/>
  <c r="CY226" i="3"/>
  <c r="CZ226" i="3"/>
  <c r="DB226" i="3" s="1"/>
  <c r="DA226" i="3"/>
  <c r="DC226" i="3"/>
  <c r="A227" i="3"/>
  <c r="CY227" i="3"/>
  <c r="CZ227" i="3"/>
  <c r="DB227" i="3" s="1"/>
  <c r="L134" i="8" s="1"/>
  <c r="DA227" i="3"/>
  <c r="DC227" i="3"/>
  <c r="Q134" i="8" s="1"/>
  <c r="A228" i="3"/>
  <c r="CY228" i="3"/>
  <c r="CZ228" i="3"/>
  <c r="DB228" i="3" s="1"/>
  <c r="L133" i="8" s="1"/>
  <c r="DA228" i="3"/>
  <c r="DC228" i="3"/>
  <c r="Q133" i="8" s="1"/>
  <c r="A229" i="3"/>
  <c r="CY229" i="3"/>
  <c r="CZ229" i="3"/>
  <c r="DB229" i="3" s="1"/>
  <c r="L132" i="8" s="1"/>
  <c r="DA229" i="3"/>
  <c r="DC229" i="3"/>
  <c r="Q132" i="8" s="1"/>
  <c r="A230" i="3"/>
  <c r="CY230" i="3"/>
  <c r="CZ230" i="3"/>
  <c r="DA230" i="3"/>
  <c r="DB230" i="3"/>
  <c r="L131" i="8" s="1"/>
  <c r="DC230" i="3"/>
  <c r="Q131" i="8" s="1"/>
  <c r="A231" i="3"/>
  <c r="CY231" i="3"/>
  <c r="CZ231" i="3"/>
  <c r="DB231" i="3" s="1"/>
  <c r="L130" i="8" s="1"/>
  <c r="DA231" i="3"/>
  <c r="DC231" i="3"/>
  <c r="Q130" i="8" s="1"/>
  <c r="A232" i="3"/>
  <c r="CY232" i="3"/>
  <c r="CZ232" i="3"/>
  <c r="DB232" i="3" s="1"/>
  <c r="L129" i="8" s="1"/>
  <c r="DA232" i="3"/>
  <c r="DC232" i="3"/>
  <c r="Q129" i="8" s="1"/>
  <c r="A233" i="3"/>
  <c r="CY233" i="3"/>
  <c r="CZ233" i="3"/>
  <c r="DB233" i="3" s="1"/>
  <c r="L128" i="8" s="1"/>
  <c r="DA233" i="3"/>
  <c r="DC233" i="3"/>
  <c r="Q128" i="8" s="1"/>
  <c r="A234" i="3"/>
  <c r="CY234" i="3"/>
  <c r="CZ234" i="3"/>
  <c r="DB234" i="3" s="1"/>
  <c r="DA234" i="3"/>
  <c r="DC234" i="3"/>
  <c r="A235" i="3"/>
  <c r="CY235" i="3"/>
  <c r="CZ235" i="3"/>
  <c r="DB235" i="3" s="1"/>
  <c r="DA235" i="3"/>
  <c r="DC235" i="3"/>
  <c r="A236" i="3"/>
  <c r="CX236" i="3"/>
  <c r="CY236" i="3"/>
  <c r="CZ236" i="3"/>
  <c r="DB236" i="3" s="1"/>
  <c r="DA236" i="3"/>
  <c r="DC236" i="3"/>
  <c r="A237" i="3"/>
  <c r="CX237" i="3"/>
  <c r="CY237" i="3"/>
  <c r="CZ237" i="3"/>
  <c r="DB237" i="3" s="1"/>
  <c r="DA237" i="3"/>
  <c r="DC237" i="3"/>
  <c r="A238" i="3"/>
  <c r="CX238" i="3"/>
  <c r="CY238" i="3"/>
  <c r="CZ238" i="3"/>
  <c r="DB238" i="3" s="1"/>
  <c r="DA238" i="3"/>
  <c r="DC238" i="3"/>
  <c r="A239" i="3"/>
  <c r="CX239" i="3"/>
  <c r="CY239" i="3"/>
  <c r="CZ239" i="3"/>
  <c r="DB239" i="3" s="1"/>
  <c r="DA239" i="3"/>
  <c r="DC239" i="3"/>
  <c r="A240" i="3"/>
  <c r="CX240" i="3"/>
  <c r="CY240" i="3"/>
  <c r="CZ240" i="3"/>
  <c r="DB240" i="3" s="1"/>
  <c r="DA240" i="3"/>
  <c r="DC240" i="3"/>
  <c r="A241" i="3"/>
  <c r="CX241" i="3"/>
  <c r="CY241" i="3"/>
  <c r="CZ241" i="3"/>
  <c r="DB241" i="3" s="1"/>
  <c r="DA241" i="3"/>
  <c r="DC241" i="3"/>
  <c r="A242" i="3"/>
  <c r="CX242" i="3"/>
  <c r="CY242" i="3"/>
  <c r="CZ242" i="3"/>
  <c r="DB242" i="3" s="1"/>
  <c r="DA242" i="3"/>
  <c r="DC242" i="3"/>
  <c r="A243" i="3"/>
  <c r="CX243" i="3"/>
  <c r="CY243" i="3"/>
  <c r="CZ243" i="3"/>
  <c r="DB243" i="3" s="1"/>
  <c r="DA243" i="3"/>
  <c r="DC243" i="3"/>
  <c r="A244" i="3"/>
  <c r="CX244" i="3"/>
  <c r="CY244" i="3"/>
  <c r="CZ244" i="3"/>
  <c r="DB244" i="3" s="1"/>
  <c r="DA244" i="3"/>
  <c r="DC244" i="3"/>
  <c r="A245" i="3"/>
  <c r="CX245" i="3"/>
  <c r="CY245" i="3"/>
  <c r="CZ245" i="3"/>
  <c r="DB245" i="3" s="1"/>
  <c r="DA245" i="3"/>
  <c r="DC245" i="3"/>
  <c r="A246" i="3"/>
  <c r="CX246" i="3"/>
  <c r="CY246" i="3"/>
  <c r="CZ246" i="3"/>
  <c r="DB246" i="3" s="1"/>
  <c r="DA246" i="3"/>
  <c r="DC246" i="3"/>
  <c r="A247" i="3"/>
  <c r="CX247" i="3"/>
  <c r="CY247" i="3"/>
  <c r="CZ247" i="3"/>
  <c r="DB247" i="3" s="1"/>
  <c r="DA247" i="3"/>
  <c r="DC247" i="3"/>
  <c r="A248" i="3"/>
  <c r="CX248" i="3"/>
  <c r="CY248" i="3"/>
  <c r="CZ248" i="3"/>
  <c r="DA248" i="3"/>
  <c r="DB248" i="3"/>
  <c r="DC248" i="3"/>
  <c r="A249" i="3"/>
  <c r="CX249" i="3"/>
  <c r="CY249" i="3"/>
  <c r="CZ249" i="3"/>
  <c r="DB249" i="3" s="1"/>
  <c r="DA249" i="3"/>
  <c r="DC249" i="3"/>
  <c r="A250" i="3"/>
  <c r="CX250" i="3"/>
  <c r="CY250" i="3"/>
  <c r="CZ250" i="3"/>
  <c r="DB250" i="3" s="1"/>
  <c r="DA250" i="3"/>
  <c r="DC250" i="3"/>
  <c r="A251" i="3"/>
  <c r="CX251" i="3"/>
  <c r="CY251" i="3"/>
  <c r="CZ251" i="3"/>
  <c r="DB251" i="3" s="1"/>
  <c r="DA251" i="3"/>
  <c r="DC251" i="3"/>
  <c r="A252" i="3"/>
  <c r="CX252" i="3"/>
  <c r="CY252" i="3"/>
  <c r="CZ252" i="3"/>
  <c r="DB252" i="3" s="1"/>
  <c r="DA252" i="3"/>
  <c r="DC252" i="3"/>
  <c r="A253" i="3"/>
  <c r="CX253" i="3"/>
  <c r="CY253" i="3"/>
  <c r="CZ253" i="3"/>
  <c r="DB253" i="3" s="1"/>
  <c r="DA253" i="3"/>
  <c r="DC253" i="3"/>
  <c r="A254" i="3"/>
  <c r="CX254" i="3"/>
  <c r="CY254" i="3"/>
  <c r="CZ254" i="3"/>
  <c r="DB254" i="3" s="1"/>
  <c r="DA254" i="3"/>
  <c r="DC254" i="3"/>
  <c r="A255" i="3"/>
  <c r="CX255" i="3"/>
  <c r="CY255" i="3"/>
  <c r="CZ255" i="3"/>
  <c r="DB255" i="3" s="1"/>
  <c r="DA255" i="3"/>
  <c r="DC255" i="3"/>
  <c r="A256" i="3"/>
  <c r="CX256" i="3"/>
  <c r="CY256" i="3"/>
  <c r="CZ256" i="3"/>
  <c r="DB256" i="3" s="1"/>
  <c r="DA256" i="3"/>
  <c r="DC256" i="3"/>
  <c r="A257" i="3"/>
  <c r="CX257" i="3"/>
  <c r="CY257" i="3"/>
  <c r="CZ257" i="3"/>
  <c r="DB257" i="3" s="1"/>
  <c r="DA257" i="3"/>
  <c r="DC257" i="3"/>
  <c r="A258" i="3"/>
  <c r="CX258" i="3"/>
  <c r="CY258" i="3"/>
  <c r="CZ258" i="3"/>
  <c r="DB258" i="3" s="1"/>
  <c r="DA258" i="3"/>
  <c r="DC258" i="3"/>
  <c r="A259" i="3"/>
  <c r="CX259" i="3"/>
  <c r="CY259" i="3"/>
  <c r="CZ259" i="3"/>
  <c r="DB259" i="3" s="1"/>
  <c r="DA259" i="3"/>
  <c r="DC259" i="3"/>
  <c r="A260" i="3"/>
  <c r="CX260" i="3"/>
  <c r="CY260" i="3"/>
  <c r="CZ260" i="3"/>
  <c r="DB260" i="3" s="1"/>
  <c r="DA260" i="3"/>
  <c r="DC260" i="3"/>
  <c r="A261" i="3"/>
  <c r="CX261" i="3"/>
  <c r="CY261" i="3"/>
  <c r="CZ261" i="3"/>
  <c r="DA261" i="3"/>
  <c r="DB261" i="3"/>
  <c r="DC261" i="3"/>
  <c r="A262" i="3"/>
  <c r="CX262" i="3"/>
  <c r="CY262" i="3"/>
  <c r="CZ262" i="3"/>
  <c r="DB262" i="3" s="1"/>
  <c r="DA262" i="3"/>
  <c r="DC262" i="3"/>
  <c r="A263" i="3"/>
  <c r="CX263" i="3"/>
  <c r="CY263" i="3"/>
  <c r="CZ263" i="3"/>
  <c r="DB263" i="3" s="1"/>
  <c r="DA263" i="3"/>
  <c r="DC263" i="3"/>
  <c r="A264" i="3"/>
  <c r="CX264" i="3"/>
  <c r="CY264" i="3"/>
  <c r="CZ264" i="3"/>
  <c r="DB264" i="3" s="1"/>
  <c r="DA264" i="3"/>
  <c r="DC264" i="3"/>
  <c r="A265" i="3"/>
  <c r="CX265" i="3"/>
  <c r="CY265" i="3"/>
  <c r="CZ265" i="3"/>
  <c r="DB265" i="3" s="1"/>
  <c r="DA265" i="3"/>
  <c r="DC265" i="3"/>
  <c r="A266" i="3"/>
  <c r="CX266" i="3"/>
  <c r="CY266" i="3"/>
  <c r="CZ266" i="3"/>
  <c r="DA266" i="3"/>
  <c r="DB266" i="3"/>
  <c r="DC266" i="3"/>
  <c r="A267" i="3"/>
  <c r="CX267" i="3"/>
  <c r="CY267" i="3"/>
  <c r="CZ267" i="3"/>
  <c r="DB267" i="3" s="1"/>
  <c r="DA267" i="3"/>
  <c r="DC267" i="3"/>
  <c r="A268" i="3"/>
  <c r="CX268" i="3"/>
  <c r="CY268" i="3"/>
  <c r="CZ268" i="3"/>
  <c r="DB268" i="3" s="1"/>
  <c r="DA268" i="3"/>
  <c r="DC268" i="3"/>
  <c r="A269" i="3"/>
  <c r="CX269" i="3"/>
  <c r="CY269" i="3"/>
  <c r="CZ269" i="3"/>
  <c r="DA269" i="3"/>
  <c r="DB269" i="3"/>
  <c r="DC269" i="3"/>
  <c r="D12" i="1"/>
  <c r="E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D20" i="1"/>
  <c r="E22" i="1"/>
  <c r="Z22" i="1"/>
  <c r="AA22" i="1"/>
  <c r="AM22" i="1"/>
  <c r="AN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C24" i="1"/>
  <c r="D24" i="1"/>
  <c r="AC24" i="1"/>
  <c r="AE24" i="1"/>
  <c r="AF24" i="1"/>
  <c r="AG24" i="1"/>
  <c r="CU24" i="1" s="1"/>
  <c r="T24" i="1" s="1"/>
  <c r="AH24" i="1"/>
  <c r="CV24" i="1" s="1"/>
  <c r="U24" i="1" s="1"/>
  <c r="K41" i="5" s="1"/>
  <c r="AI24" i="1"/>
  <c r="AJ24" i="1"/>
  <c r="CW24" i="1"/>
  <c r="V24" i="1" s="1"/>
  <c r="CX24" i="1"/>
  <c r="W24" i="1" s="1"/>
  <c r="FR24" i="1"/>
  <c r="GL24" i="1"/>
  <c r="GN24" i="1"/>
  <c r="GO24" i="1"/>
  <c r="GV24" i="1"/>
  <c r="HC24" i="1" s="1"/>
  <c r="GX24" i="1" s="1"/>
  <c r="C25" i="1"/>
  <c r="D25" i="1"/>
  <c r="AC25" i="1"/>
  <c r="CQ25" i="1" s="1"/>
  <c r="P25" i="1" s="1"/>
  <c r="J47" i="5" s="1"/>
  <c r="AE25" i="1"/>
  <c r="AF25" i="1"/>
  <c r="AG25" i="1"/>
  <c r="AH25" i="1"/>
  <c r="AI25" i="1"/>
  <c r="CW25" i="1" s="1"/>
  <c r="V25" i="1" s="1"/>
  <c r="AJ25" i="1"/>
  <c r="CX25" i="1" s="1"/>
  <c r="W25" i="1" s="1"/>
  <c r="CU25" i="1"/>
  <c r="T25" i="1" s="1"/>
  <c r="CV25" i="1"/>
  <c r="U25" i="1" s="1"/>
  <c r="K51" i="5" s="1"/>
  <c r="FR25" i="1"/>
  <c r="GL25" i="1"/>
  <c r="GN25" i="1"/>
  <c r="GO25" i="1"/>
  <c r="GV25" i="1"/>
  <c r="HC25" i="1"/>
  <c r="GX25" i="1" s="1"/>
  <c r="C26" i="1"/>
  <c r="D26" i="1"/>
  <c r="V26" i="1"/>
  <c r="AC26" i="1"/>
  <c r="CQ26" i="1" s="1"/>
  <c r="P26" i="1" s="1"/>
  <c r="J57" i="5" s="1"/>
  <c r="AE26" i="1"/>
  <c r="AF26" i="1"/>
  <c r="AG26" i="1"/>
  <c r="AH26" i="1"/>
  <c r="AI26" i="1"/>
  <c r="AJ26" i="1"/>
  <c r="CX26" i="1" s="1"/>
  <c r="W26" i="1" s="1"/>
  <c r="CU26" i="1"/>
  <c r="T26" i="1" s="1"/>
  <c r="CV26" i="1"/>
  <c r="U26" i="1" s="1"/>
  <c r="K64" i="5" s="1"/>
  <c r="CW26" i="1"/>
  <c r="FR26" i="1"/>
  <c r="GL26" i="1"/>
  <c r="GN26" i="1"/>
  <c r="GO26" i="1"/>
  <c r="GV26" i="1"/>
  <c r="HC26" i="1" s="1"/>
  <c r="GX26" i="1" s="1"/>
  <c r="I27" i="1"/>
  <c r="AC27" i="1"/>
  <c r="AE27" i="1"/>
  <c r="AD27" i="1" s="1"/>
  <c r="AF27" i="1"/>
  <c r="AG27" i="1"/>
  <c r="CU27" i="1" s="1"/>
  <c r="T27" i="1" s="1"/>
  <c r="AH27" i="1"/>
  <c r="CV27" i="1" s="1"/>
  <c r="AI27" i="1"/>
  <c r="CW27" i="1" s="1"/>
  <c r="AJ27" i="1"/>
  <c r="CX27" i="1" s="1"/>
  <c r="CT27" i="1"/>
  <c r="S27" i="1" s="1"/>
  <c r="FR27" i="1"/>
  <c r="GL27" i="1"/>
  <c r="GN27" i="1"/>
  <c r="GO27" i="1"/>
  <c r="GV27" i="1"/>
  <c r="HC27" i="1" s="1"/>
  <c r="GX27" i="1"/>
  <c r="I28" i="1"/>
  <c r="AC28" i="1"/>
  <c r="AE28" i="1"/>
  <c r="AD28" i="1" s="1"/>
  <c r="AF28" i="1"/>
  <c r="AG28" i="1"/>
  <c r="CU28" i="1" s="1"/>
  <c r="AH28" i="1"/>
  <c r="AI28" i="1"/>
  <c r="AJ28" i="1"/>
  <c r="CX28" i="1" s="1"/>
  <c r="CQ28" i="1"/>
  <c r="CV28" i="1"/>
  <c r="CW28" i="1"/>
  <c r="FR28" i="1"/>
  <c r="GL28" i="1"/>
  <c r="GN28" i="1"/>
  <c r="GO28" i="1"/>
  <c r="GV28" i="1"/>
  <c r="HC28" i="1" s="1"/>
  <c r="I29" i="1"/>
  <c r="AC29" i="1"/>
  <c r="AE29" i="1"/>
  <c r="CR29" i="1" s="1"/>
  <c r="Q29" i="1" s="1"/>
  <c r="AF29" i="1"/>
  <c r="CT29" i="1" s="1"/>
  <c r="S29" i="1" s="1"/>
  <c r="AG29" i="1"/>
  <c r="AH29" i="1"/>
  <c r="AI29" i="1"/>
  <c r="AJ29" i="1"/>
  <c r="CX29" i="1" s="1"/>
  <c r="W29" i="1" s="1"/>
  <c r="CU29" i="1"/>
  <c r="CV29" i="1"/>
  <c r="U29" i="1" s="1"/>
  <c r="CW29" i="1"/>
  <c r="V29" i="1" s="1"/>
  <c r="FR29" i="1"/>
  <c r="GL29" i="1"/>
  <c r="GN29" i="1"/>
  <c r="GO29" i="1"/>
  <c r="GV29" i="1"/>
  <c r="HC29" i="1" s="1"/>
  <c r="GX29" i="1" s="1"/>
  <c r="I30" i="1"/>
  <c r="AC30" i="1"/>
  <c r="AD30" i="1"/>
  <c r="AE30" i="1"/>
  <c r="AF30" i="1"/>
  <c r="AG30" i="1"/>
  <c r="CU30" i="1" s="1"/>
  <c r="T30" i="1" s="1"/>
  <c r="AH30" i="1"/>
  <c r="CV30" i="1" s="1"/>
  <c r="U30" i="1" s="1"/>
  <c r="AI30" i="1"/>
  <c r="AJ30" i="1"/>
  <c r="CX30" i="1" s="1"/>
  <c r="CQ30" i="1"/>
  <c r="P30" i="1" s="1"/>
  <c r="CT30" i="1"/>
  <c r="S30" i="1" s="1"/>
  <c r="CW30" i="1"/>
  <c r="V30" i="1" s="1"/>
  <c r="FR30" i="1"/>
  <c r="GL30" i="1"/>
  <c r="GN30" i="1"/>
  <c r="GO30" i="1"/>
  <c r="GV30" i="1"/>
  <c r="HC30" i="1" s="1"/>
  <c r="GX30" i="1" s="1"/>
  <c r="C31" i="1"/>
  <c r="D31" i="1"/>
  <c r="AC31" i="1"/>
  <c r="AE31" i="1"/>
  <c r="U66" i="5" s="1"/>
  <c r="AF31" i="1"/>
  <c r="AG31" i="1"/>
  <c r="CU31" i="1" s="1"/>
  <c r="T31" i="1" s="1"/>
  <c r="AH31" i="1"/>
  <c r="CV31" i="1" s="1"/>
  <c r="U31" i="1" s="1"/>
  <c r="K76" i="5" s="1"/>
  <c r="AI31" i="1"/>
  <c r="CW31" i="1" s="1"/>
  <c r="V31" i="1" s="1"/>
  <c r="AJ31" i="1"/>
  <c r="CX31" i="1" s="1"/>
  <c r="W31" i="1" s="1"/>
  <c r="CT31" i="1"/>
  <c r="S31" i="1" s="1"/>
  <c r="FR31" i="1"/>
  <c r="GL31" i="1"/>
  <c r="GN31" i="1"/>
  <c r="GO31" i="1"/>
  <c r="GV31" i="1"/>
  <c r="HC31" i="1" s="1"/>
  <c r="GX31" i="1" s="1"/>
  <c r="I32" i="1"/>
  <c r="AC32" i="1"/>
  <c r="AE32" i="1"/>
  <c r="AF32" i="1"/>
  <c r="AG32" i="1"/>
  <c r="CU32" i="1" s="1"/>
  <c r="T32" i="1" s="1"/>
  <c r="AH32" i="1"/>
  <c r="CV32" i="1" s="1"/>
  <c r="AI32" i="1"/>
  <c r="CW32" i="1" s="1"/>
  <c r="AJ32" i="1"/>
  <c r="CX32" i="1" s="1"/>
  <c r="CT32" i="1"/>
  <c r="S32" i="1" s="1"/>
  <c r="CY32" i="1" s="1"/>
  <c r="X32" i="1" s="1"/>
  <c r="R71" i="5" s="1"/>
  <c r="FR32" i="1"/>
  <c r="GL32" i="1"/>
  <c r="GN32" i="1"/>
  <c r="GO32" i="1"/>
  <c r="GV32" i="1"/>
  <c r="HC32" i="1" s="1"/>
  <c r="I33" i="1"/>
  <c r="AC33" i="1"/>
  <c r="AE33" i="1"/>
  <c r="AF33" i="1"/>
  <c r="AG33" i="1"/>
  <c r="CU33" i="1" s="1"/>
  <c r="AH33" i="1"/>
  <c r="CV33" i="1" s="1"/>
  <c r="AI33" i="1"/>
  <c r="CW33" i="1" s="1"/>
  <c r="AJ33" i="1"/>
  <c r="CX33" i="1" s="1"/>
  <c r="CT33" i="1"/>
  <c r="S33" i="1" s="1"/>
  <c r="CY33" i="1" s="1"/>
  <c r="X33" i="1" s="1"/>
  <c r="R72" i="5" s="1"/>
  <c r="FR33" i="1"/>
  <c r="GL33" i="1"/>
  <c r="GN33" i="1"/>
  <c r="GO33" i="1"/>
  <c r="GV33" i="1"/>
  <c r="HC33" i="1" s="1"/>
  <c r="C34" i="1"/>
  <c r="D34" i="1"/>
  <c r="I34" i="1"/>
  <c r="K34" i="1"/>
  <c r="AC34" i="1"/>
  <c r="CQ34" i="1" s="1"/>
  <c r="P34" i="1" s="1"/>
  <c r="J83" i="5" s="1"/>
  <c r="AE34" i="1"/>
  <c r="CS34" i="1" s="1"/>
  <c r="AF34" i="1"/>
  <c r="AG34" i="1"/>
  <c r="CU34" i="1" s="1"/>
  <c r="T34" i="1" s="1"/>
  <c r="AH34" i="1"/>
  <c r="CV34" i="1" s="1"/>
  <c r="U34" i="1" s="1"/>
  <c r="K92" i="5" s="1"/>
  <c r="AI34" i="1"/>
  <c r="AJ34" i="1"/>
  <c r="CW34" i="1"/>
  <c r="V34" i="1" s="1"/>
  <c r="CX34" i="1"/>
  <c r="W34" i="1" s="1"/>
  <c r="FR34" i="1"/>
  <c r="GL34" i="1"/>
  <c r="GN34" i="1"/>
  <c r="GO34" i="1"/>
  <c r="GV34" i="1"/>
  <c r="HC34" i="1" s="1"/>
  <c r="I35" i="1"/>
  <c r="W35" i="1"/>
  <c r="AC35" i="1"/>
  <c r="AE35" i="1"/>
  <c r="CS35" i="1" s="1"/>
  <c r="AF35" i="1"/>
  <c r="AG35" i="1"/>
  <c r="CU35" i="1" s="1"/>
  <c r="T35" i="1" s="1"/>
  <c r="AH35" i="1"/>
  <c r="CV35" i="1" s="1"/>
  <c r="AI35" i="1"/>
  <c r="AJ35" i="1"/>
  <c r="CQ35" i="1"/>
  <c r="P35" i="1" s="1"/>
  <c r="CW35" i="1"/>
  <c r="CX35" i="1"/>
  <c r="FR35" i="1"/>
  <c r="GL35" i="1"/>
  <c r="GN35" i="1"/>
  <c r="GO35" i="1"/>
  <c r="GV35" i="1"/>
  <c r="HC35" i="1" s="1"/>
  <c r="GX35" i="1" s="1"/>
  <c r="I36" i="1"/>
  <c r="AC36" i="1"/>
  <c r="CQ36" i="1" s="1"/>
  <c r="P36" i="1" s="1"/>
  <c r="AE36" i="1"/>
  <c r="AF36" i="1"/>
  <c r="AG36" i="1"/>
  <c r="CU36" i="1" s="1"/>
  <c r="T36" i="1" s="1"/>
  <c r="AH36" i="1"/>
  <c r="CV36" i="1" s="1"/>
  <c r="AI36" i="1"/>
  <c r="CW36" i="1" s="1"/>
  <c r="AJ36" i="1"/>
  <c r="CX36" i="1" s="1"/>
  <c r="FR36" i="1"/>
  <c r="GL36" i="1"/>
  <c r="GN36" i="1"/>
  <c r="GO36" i="1"/>
  <c r="GV36" i="1"/>
  <c r="HC36" i="1" s="1"/>
  <c r="GX36" i="1"/>
  <c r="I37" i="1"/>
  <c r="AC37" i="1"/>
  <c r="AE37" i="1"/>
  <c r="AF37" i="1"/>
  <c r="AG37" i="1"/>
  <c r="CU37" i="1" s="1"/>
  <c r="AH37" i="1"/>
  <c r="CV37" i="1" s="1"/>
  <c r="U37" i="1" s="1"/>
  <c r="AI37" i="1"/>
  <c r="CW37" i="1" s="1"/>
  <c r="V37" i="1" s="1"/>
  <c r="AJ37" i="1"/>
  <c r="CX37" i="1" s="1"/>
  <c r="W37" i="1" s="1"/>
  <c r="FR37" i="1"/>
  <c r="GL37" i="1"/>
  <c r="GN37" i="1"/>
  <c r="GO37" i="1"/>
  <c r="GV37" i="1"/>
  <c r="HC37" i="1" s="1"/>
  <c r="I38" i="1"/>
  <c r="GX38" i="1" s="1"/>
  <c r="AC38" i="1"/>
  <c r="CQ38" i="1" s="1"/>
  <c r="AE38" i="1"/>
  <c r="AF38" i="1"/>
  <c r="AG38" i="1"/>
  <c r="CU38" i="1" s="1"/>
  <c r="T38" i="1" s="1"/>
  <c r="AH38" i="1"/>
  <c r="CV38" i="1" s="1"/>
  <c r="AI38" i="1"/>
  <c r="AJ38" i="1"/>
  <c r="CX38" i="1" s="1"/>
  <c r="CW38" i="1"/>
  <c r="FR38" i="1"/>
  <c r="GL38" i="1"/>
  <c r="GN38" i="1"/>
  <c r="GO38" i="1"/>
  <c r="GV38" i="1"/>
  <c r="HC38" i="1" s="1"/>
  <c r="I39" i="1"/>
  <c r="AC39" i="1"/>
  <c r="CQ39" i="1" s="1"/>
  <c r="AE39" i="1"/>
  <c r="AF39" i="1"/>
  <c r="AG39" i="1"/>
  <c r="CU39" i="1" s="1"/>
  <c r="T39" i="1" s="1"/>
  <c r="AH39" i="1"/>
  <c r="CV39" i="1" s="1"/>
  <c r="U39" i="1" s="1"/>
  <c r="AI39" i="1"/>
  <c r="CW39" i="1" s="1"/>
  <c r="AJ39" i="1"/>
  <c r="CX39" i="1" s="1"/>
  <c r="CS39" i="1"/>
  <c r="FR39" i="1"/>
  <c r="GL39" i="1"/>
  <c r="GN39" i="1"/>
  <c r="GO39" i="1"/>
  <c r="GV39" i="1"/>
  <c r="HC39" i="1" s="1"/>
  <c r="C40" i="1"/>
  <c r="D40" i="1"/>
  <c r="I40" i="1"/>
  <c r="K40" i="1"/>
  <c r="AC40" i="1"/>
  <c r="CQ40" i="1" s="1"/>
  <c r="P40" i="1" s="1"/>
  <c r="J97" i="5" s="1"/>
  <c r="AE40" i="1"/>
  <c r="AF40" i="1"/>
  <c r="AG40" i="1"/>
  <c r="CU40" i="1" s="1"/>
  <c r="T40" i="1" s="1"/>
  <c r="AH40" i="1"/>
  <c r="CV40" i="1" s="1"/>
  <c r="AI40" i="1"/>
  <c r="AJ40" i="1"/>
  <c r="CX40" i="1" s="1"/>
  <c r="W40" i="1" s="1"/>
  <c r="CW40" i="1"/>
  <c r="FR40" i="1"/>
  <c r="GL40" i="1"/>
  <c r="GN40" i="1"/>
  <c r="GO40" i="1"/>
  <c r="GV40" i="1"/>
  <c r="HC40" i="1" s="1"/>
  <c r="GX40" i="1" s="1"/>
  <c r="AC41" i="1"/>
  <c r="AE41" i="1"/>
  <c r="AF41" i="1"/>
  <c r="AG41" i="1"/>
  <c r="CU41" i="1" s="1"/>
  <c r="AH41" i="1"/>
  <c r="CV41" i="1" s="1"/>
  <c r="AI41" i="1"/>
  <c r="CW41" i="1" s="1"/>
  <c r="AJ41" i="1"/>
  <c r="CX41" i="1"/>
  <c r="FR41" i="1"/>
  <c r="GL41" i="1"/>
  <c r="GN41" i="1"/>
  <c r="GO41" i="1"/>
  <c r="GV41" i="1"/>
  <c r="HC41" i="1" s="1"/>
  <c r="AC42" i="1"/>
  <c r="CQ42" i="1" s="1"/>
  <c r="AE42" i="1"/>
  <c r="AF42" i="1"/>
  <c r="AG42" i="1"/>
  <c r="CU42" i="1" s="1"/>
  <c r="AH42" i="1"/>
  <c r="CV42" i="1" s="1"/>
  <c r="AI42" i="1"/>
  <c r="AJ42" i="1"/>
  <c r="CX42" i="1" s="1"/>
  <c r="CT42" i="1"/>
  <c r="CW42" i="1"/>
  <c r="FR42" i="1"/>
  <c r="GL42" i="1"/>
  <c r="GN42" i="1"/>
  <c r="GO42" i="1"/>
  <c r="GV42" i="1"/>
  <c r="HC42" i="1" s="1"/>
  <c r="I43" i="1"/>
  <c r="AC43" i="1"/>
  <c r="AE43" i="1"/>
  <c r="AF43" i="1"/>
  <c r="AG43" i="1"/>
  <c r="CU43" i="1" s="1"/>
  <c r="AH43" i="1"/>
  <c r="CV43" i="1" s="1"/>
  <c r="AI43" i="1"/>
  <c r="AJ43" i="1"/>
  <c r="CX43" i="1" s="1"/>
  <c r="CW43" i="1"/>
  <c r="FR43" i="1"/>
  <c r="GL43" i="1"/>
  <c r="GN43" i="1"/>
  <c r="GO43" i="1"/>
  <c r="GV43" i="1"/>
  <c r="HC43" i="1"/>
  <c r="AC44" i="1"/>
  <c r="AE44" i="1"/>
  <c r="AF44" i="1"/>
  <c r="CT44" i="1" s="1"/>
  <c r="AG44" i="1"/>
  <c r="CU44" i="1" s="1"/>
  <c r="AH44" i="1"/>
  <c r="CV44" i="1" s="1"/>
  <c r="AI44" i="1"/>
  <c r="CW44" i="1" s="1"/>
  <c r="AJ44" i="1"/>
  <c r="CX44" i="1"/>
  <c r="FR44" i="1"/>
  <c r="GL44" i="1"/>
  <c r="GN44" i="1"/>
  <c r="GO44" i="1"/>
  <c r="GV44" i="1"/>
  <c r="HC44" i="1" s="1"/>
  <c r="I45" i="1"/>
  <c r="AC45" i="1"/>
  <c r="CQ45" i="1" s="1"/>
  <c r="AE45" i="1"/>
  <c r="AF45" i="1"/>
  <c r="CT45" i="1" s="1"/>
  <c r="AG45" i="1"/>
  <c r="CU45" i="1" s="1"/>
  <c r="T45" i="1" s="1"/>
  <c r="AH45" i="1"/>
  <c r="CV45" i="1" s="1"/>
  <c r="AI45" i="1"/>
  <c r="CW45" i="1" s="1"/>
  <c r="AJ45" i="1"/>
  <c r="CX45" i="1" s="1"/>
  <c r="CS45" i="1"/>
  <c r="FR45" i="1"/>
  <c r="GL45" i="1"/>
  <c r="GN45" i="1"/>
  <c r="GO45" i="1"/>
  <c r="GV45" i="1"/>
  <c r="HC45" i="1" s="1"/>
  <c r="AC46" i="1"/>
  <c r="AE46" i="1"/>
  <c r="AF46" i="1"/>
  <c r="AG46" i="1"/>
  <c r="CU46" i="1" s="1"/>
  <c r="AH46" i="1"/>
  <c r="CV46" i="1" s="1"/>
  <c r="AI46" i="1"/>
  <c r="AJ46" i="1"/>
  <c r="CR46" i="1"/>
  <c r="CT46" i="1"/>
  <c r="CW46" i="1"/>
  <c r="CX46" i="1"/>
  <c r="FR46" i="1"/>
  <c r="GL46" i="1"/>
  <c r="GN46" i="1"/>
  <c r="GO46" i="1"/>
  <c r="GV46" i="1"/>
  <c r="HC46" i="1" s="1"/>
  <c r="I47" i="1"/>
  <c r="AC47" i="1"/>
  <c r="AE47" i="1"/>
  <c r="AD47" i="1" s="1"/>
  <c r="AF47" i="1"/>
  <c r="CT47" i="1" s="1"/>
  <c r="AG47" i="1"/>
  <c r="CU47" i="1" s="1"/>
  <c r="T47" i="1" s="1"/>
  <c r="AH47" i="1"/>
  <c r="AI47" i="1"/>
  <c r="CW47" i="1" s="1"/>
  <c r="AJ47" i="1"/>
  <c r="CQ47" i="1"/>
  <c r="P47" i="1" s="1"/>
  <c r="CR47" i="1"/>
  <c r="CS47" i="1"/>
  <c r="CV47" i="1"/>
  <c r="CX47" i="1"/>
  <c r="W47" i="1" s="1"/>
  <c r="FR47" i="1"/>
  <c r="GL47" i="1"/>
  <c r="GN47" i="1"/>
  <c r="GO47" i="1"/>
  <c r="GV47" i="1"/>
  <c r="HC47" i="1" s="1"/>
  <c r="C48" i="1"/>
  <c r="D48" i="1"/>
  <c r="V48" i="1"/>
  <c r="AC48" i="1"/>
  <c r="AE48" i="1"/>
  <c r="CS48" i="1" s="1"/>
  <c r="R48" i="1" s="1"/>
  <c r="GK48" i="1" s="1"/>
  <c r="AF48" i="1"/>
  <c r="CT48" i="1" s="1"/>
  <c r="S48" i="1" s="1"/>
  <c r="AG48" i="1"/>
  <c r="CU48" i="1" s="1"/>
  <c r="T48" i="1" s="1"/>
  <c r="AH48" i="1"/>
  <c r="CV48" i="1" s="1"/>
  <c r="U48" i="1" s="1"/>
  <c r="AI48" i="1"/>
  <c r="CW48" i="1" s="1"/>
  <c r="AJ48" i="1"/>
  <c r="CX48" i="1" s="1"/>
  <c r="W48" i="1" s="1"/>
  <c r="CQ48" i="1"/>
  <c r="P48" i="1" s="1"/>
  <c r="FR48" i="1"/>
  <c r="GL48" i="1"/>
  <c r="GN48" i="1"/>
  <c r="GO48" i="1"/>
  <c r="GV48" i="1"/>
  <c r="HC48" i="1" s="1"/>
  <c r="GX48" i="1" s="1"/>
  <c r="I49" i="1"/>
  <c r="AC49" i="1"/>
  <c r="CQ49" i="1" s="1"/>
  <c r="P49" i="1" s="1"/>
  <c r="AE49" i="1"/>
  <c r="AF49" i="1"/>
  <c r="CT49" i="1" s="1"/>
  <c r="AG49" i="1"/>
  <c r="AH49" i="1"/>
  <c r="CV49" i="1" s="1"/>
  <c r="U49" i="1" s="1"/>
  <c r="AI49" i="1"/>
  <c r="CW49" i="1" s="1"/>
  <c r="V49" i="1" s="1"/>
  <c r="AJ49" i="1"/>
  <c r="CX49" i="1" s="1"/>
  <c r="CU49" i="1"/>
  <c r="T49" i="1" s="1"/>
  <c r="FR49" i="1"/>
  <c r="GL49" i="1"/>
  <c r="GN49" i="1"/>
  <c r="GO49" i="1"/>
  <c r="GV49" i="1"/>
  <c r="HC49" i="1" s="1"/>
  <c r="I50" i="1"/>
  <c r="AC50" i="1"/>
  <c r="CQ50" i="1" s="1"/>
  <c r="P50" i="1" s="1"/>
  <c r="AE50" i="1"/>
  <c r="AF50" i="1"/>
  <c r="CT50" i="1" s="1"/>
  <c r="S50" i="1" s="1"/>
  <c r="CZ50" i="1" s="1"/>
  <c r="Y50" i="1" s="1"/>
  <c r="AG50" i="1"/>
  <c r="CU50" i="1" s="1"/>
  <c r="T50" i="1" s="1"/>
  <c r="AH50" i="1"/>
  <c r="CV50" i="1" s="1"/>
  <c r="AI50" i="1"/>
  <c r="CW50" i="1" s="1"/>
  <c r="V50" i="1" s="1"/>
  <c r="AJ50" i="1"/>
  <c r="CX50" i="1" s="1"/>
  <c r="W50" i="1" s="1"/>
  <c r="FR50" i="1"/>
  <c r="GL50" i="1"/>
  <c r="GN50" i="1"/>
  <c r="GO50" i="1"/>
  <c r="GV50" i="1"/>
  <c r="HC50" i="1" s="1"/>
  <c r="C51" i="1"/>
  <c r="D51" i="1"/>
  <c r="AC51" i="1"/>
  <c r="AE51" i="1"/>
  <c r="AF51" i="1"/>
  <c r="CT51" i="1" s="1"/>
  <c r="S51" i="1" s="1"/>
  <c r="AG51" i="1"/>
  <c r="AH51" i="1"/>
  <c r="CV51" i="1" s="1"/>
  <c r="U51" i="1" s="1"/>
  <c r="AI51" i="1"/>
  <c r="CW51" i="1" s="1"/>
  <c r="V51" i="1" s="1"/>
  <c r="AJ51" i="1"/>
  <c r="CX51" i="1" s="1"/>
  <c r="W51" i="1" s="1"/>
  <c r="CU51" i="1"/>
  <c r="T51" i="1" s="1"/>
  <c r="FR51" i="1"/>
  <c r="GL51" i="1"/>
  <c r="GN51" i="1"/>
  <c r="GO51" i="1"/>
  <c r="GV51" i="1"/>
  <c r="HC51" i="1" s="1"/>
  <c r="GX51" i="1" s="1"/>
  <c r="I52" i="1"/>
  <c r="AC52" i="1"/>
  <c r="CQ52" i="1" s="1"/>
  <c r="AD52" i="1"/>
  <c r="AB52" i="1" s="1"/>
  <c r="AE52" i="1"/>
  <c r="AF52" i="1"/>
  <c r="AG52" i="1"/>
  <c r="AH52" i="1"/>
  <c r="CV52" i="1" s="1"/>
  <c r="U52" i="1" s="1"/>
  <c r="AI52" i="1"/>
  <c r="CW52" i="1" s="1"/>
  <c r="V52" i="1" s="1"/>
  <c r="AJ52" i="1"/>
  <c r="CX52" i="1" s="1"/>
  <c r="CT52" i="1"/>
  <c r="S52" i="1" s="1"/>
  <c r="CY52" i="1" s="1"/>
  <c r="X52" i="1" s="1"/>
  <c r="CU52" i="1"/>
  <c r="T52" i="1" s="1"/>
  <c r="FR52" i="1"/>
  <c r="GL52" i="1"/>
  <c r="GN52" i="1"/>
  <c r="GO52" i="1"/>
  <c r="GV52" i="1"/>
  <c r="HC52" i="1" s="1"/>
  <c r="GX52" i="1" s="1"/>
  <c r="I53" i="1"/>
  <c r="AC53" i="1"/>
  <c r="CQ53" i="1" s="1"/>
  <c r="P53" i="1" s="1"/>
  <c r="AE53" i="1"/>
  <c r="AF53" i="1"/>
  <c r="AG53" i="1"/>
  <c r="CU53" i="1" s="1"/>
  <c r="AH53" i="1"/>
  <c r="CV53" i="1" s="1"/>
  <c r="AI53" i="1"/>
  <c r="AJ53" i="1"/>
  <c r="CX53" i="1" s="1"/>
  <c r="CT53" i="1"/>
  <c r="CW53" i="1"/>
  <c r="FR53" i="1"/>
  <c r="GL53" i="1"/>
  <c r="GN53" i="1"/>
  <c r="GO53" i="1"/>
  <c r="GV53" i="1"/>
  <c r="HC53" i="1" s="1"/>
  <c r="I54" i="1"/>
  <c r="AC54" i="1"/>
  <c r="AD54" i="1"/>
  <c r="AE54" i="1"/>
  <c r="CR54" i="1" s="1"/>
  <c r="AF54" i="1"/>
  <c r="CT54" i="1" s="1"/>
  <c r="AG54" i="1"/>
  <c r="CU54" i="1" s="1"/>
  <c r="AH54" i="1"/>
  <c r="CV54" i="1" s="1"/>
  <c r="AI54" i="1"/>
  <c r="CW54" i="1" s="1"/>
  <c r="AJ54" i="1"/>
  <c r="CX54" i="1" s="1"/>
  <c r="CQ54" i="1"/>
  <c r="CS54" i="1"/>
  <c r="FR54" i="1"/>
  <c r="GL54" i="1"/>
  <c r="GN54" i="1"/>
  <c r="GO54" i="1"/>
  <c r="GV54" i="1"/>
  <c r="HC54" i="1" s="1"/>
  <c r="C55" i="1"/>
  <c r="D55" i="1"/>
  <c r="AC55" i="1"/>
  <c r="CQ55" i="1" s="1"/>
  <c r="P55" i="1" s="1"/>
  <c r="AE55" i="1"/>
  <c r="U107" i="5" s="1"/>
  <c r="AF55" i="1"/>
  <c r="CT55" i="1" s="1"/>
  <c r="S55" i="1" s="1"/>
  <c r="AG55" i="1"/>
  <c r="CU55" i="1" s="1"/>
  <c r="T55" i="1" s="1"/>
  <c r="AH55" i="1"/>
  <c r="AI55" i="1"/>
  <c r="CW55" i="1" s="1"/>
  <c r="V55" i="1" s="1"/>
  <c r="AJ55" i="1"/>
  <c r="CX55" i="1" s="1"/>
  <c r="W55" i="1" s="1"/>
  <c r="CV55" i="1"/>
  <c r="U55" i="1" s="1"/>
  <c r="K115" i="5" s="1"/>
  <c r="FR55" i="1"/>
  <c r="GL55" i="1"/>
  <c r="GN55" i="1"/>
  <c r="GO55" i="1"/>
  <c r="GV55" i="1"/>
  <c r="HC55" i="1" s="1"/>
  <c r="GX55" i="1" s="1"/>
  <c r="I56" i="1"/>
  <c r="AC56" i="1"/>
  <c r="AE56" i="1"/>
  <c r="AF56" i="1"/>
  <c r="AG56" i="1"/>
  <c r="CU56" i="1" s="1"/>
  <c r="AH56" i="1"/>
  <c r="CV56" i="1" s="1"/>
  <c r="U56" i="1" s="1"/>
  <c r="AI56" i="1"/>
  <c r="CW56" i="1" s="1"/>
  <c r="V56" i="1" s="1"/>
  <c r="AJ56" i="1"/>
  <c r="CX56" i="1" s="1"/>
  <c r="W56" i="1" s="1"/>
  <c r="FR56" i="1"/>
  <c r="GL56" i="1"/>
  <c r="GN56" i="1"/>
  <c r="GO56" i="1"/>
  <c r="GV56" i="1"/>
  <c r="HC56" i="1"/>
  <c r="I57" i="1"/>
  <c r="AC57" i="1"/>
  <c r="CQ57" i="1" s="1"/>
  <c r="AE57" i="1"/>
  <c r="CS57" i="1" s="1"/>
  <c r="AF57" i="1"/>
  <c r="CT57" i="1" s="1"/>
  <c r="AG57" i="1"/>
  <c r="AH57" i="1"/>
  <c r="CV57" i="1" s="1"/>
  <c r="AI57" i="1"/>
  <c r="CW57" i="1" s="1"/>
  <c r="AJ57" i="1"/>
  <c r="CX57" i="1" s="1"/>
  <c r="CU57" i="1"/>
  <c r="FR57" i="1"/>
  <c r="GL57" i="1"/>
  <c r="GN57" i="1"/>
  <c r="GO57" i="1"/>
  <c r="GV57" i="1"/>
  <c r="HC57" i="1" s="1"/>
  <c r="C58" i="1"/>
  <c r="D58" i="1"/>
  <c r="AC58" i="1"/>
  <c r="CQ58" i="1" s="1"/>
  <c r="P58" i="1" s="1"/>
  <c r="AE58" i="1"/>
  <c r="AF58" i="1"/>
  <c r="AG58" i="1"/>
  <c r="CU58" i="1" s="1"/>
  <c r="T58" i="1" s="1"/>
  <c r="AH58" i="1"/>
  <c r="CV58" i="1" s="1"/>
  <c r="U58" i="1" s="1"/>
  <c r="K122" i="5" s="1"/>
  <c r="AI58" i="1"/>
  <c r="CW58" i="1" s="1"/>
  <c r="V58" i="1" s="1"/>
  <c r="AJ58" i="1"/>
  <c r="CX58" i="1" s="1"/>
  <c r="W58" i="1" s="1"/>
  <c r="CS58" i="1"/>
  <c r="V117" i="5" s="1"/>
  <c r="FR58" i="1"/>
  <c r="GL58" i="1"/>
  <c r="GN58" i="1"/>
  <c r="GO58" i="1"/>
  <c r="GV58" i="1"/>
  <c r="HC58" i="1"/>
  <c r="GX58" i="1" s="1"/>
  <c r="I59" i="1"/>
  <c r="AC59" i="1"/>
  <c r="AE59" i="1"/>
  <c r="AF59" i="1"/>
  <c r="AG59" i="1"/>
  <c r="CU59" i="1" s="1"/>
  <c r="AH59" i="1"/>
  <c r="CV59" i="1" s="1"/>
  <c r="AI59" i="1"/>
  <c r="CW59" i="1" s="1"/>
  <c r="V59" i="1" s="1"/>
  <c r="AJ59" i="1"/>
  <c r="CX59" i="1" s="1"/>
  <c r="W59" i="1" s="1"/>
  <c r="CQ59" i="1"/>
  <c r="CS59" i="1"/>
  <c r="FR59" i="1"/>
  <c r="GL59" i="1"/>
  <c r="GN59" i="1"/>
  <c r="GO59" i="1"/>
  <c r="GV59" i="1"/>
  <c r="HC59" i="1" s="1"/>
  <c r="C60" i="1"/>
  <c r="D60" i="1"/>
  <c r="I60" i="1"/>
  <c r="K60" i="1"/>
  <c r="AC60" i="1"/>
  <c r="AE60" i="1"/>
  <c r="CR60" i="1" s="1"/>
  <c r="AF60" i="1"/>
  <c r="CT60" i="1" s="1"/>
  <c r="S60" i="1" s="1"/>
  <c r="AG60" i="1"/>
  <c r="CU60" i="1" s="1"/>
  <c r="AH60" i="1"/>
  <c r="CV60" i="1" s="1"/>
  <c r="AI60" i="1"/>
  <c r="CW60" i="1" s="1"/>
  <c r="AJ60" i="1"/>
  <c r="CX60" i="1" s="1"/>
  <c r="FR60" i="1"/>
  <c r="GL60" i="1"/>
  <c r="GN60" i="1"/>
  <c r="GO60" i="1"/>
  <c r="GV60" i="1"/>
  <c r="HC60" i="1" s="1"/>
  <c r="AC61" i="1"/>
  <c r="AE61" i="1"/>
  <c r="AF61" i="1"/>
  <c r="AG61" i="1"/>
  <c r="CU61" i="1" s="1"/>
  <c r="AH61" i="1"/>
  <c r="CV61" i="1" s="1"/>
  <c r="AI61" i="1"/>
  <c r="AJ61" i="1"/>
  <c r="CX61" i="1" s="1"/>
  <c r="CQ61" i="1"/>
  <c r="CS61" i="1"/>
  <c r="CW61" i="1"/>
  <c r="FR61" i="1"/>
  <c r="GL61" i="1"/>
  <c r="GN61" i="1"/>
  <c r="GO61" i="1"/>
  <c r="GV61" i="1"/>
  <c r="HC61" i="1"/>
  <c r="C62" i="1"/>
  <c r="D62" i="1"/>
  <c r="I62" i="1"/>
  <c r="K62" i="1"/>
  <c r="AC62" i="1"/>
  <c r="AE62" i="1"/>
  <c r="AF62" i="1"/>
  <c r="CT62" i="1" s="1"/>
  <c r="S62" i="1" s="1"/>
  <c r="CZ62" i="1" s="1"/>
  <c r="Y62" i="1" s="1"/>
  <c r="T136" i="5" s="1"/>
  <c r="AG62" i="1"/>
  <c r="CU62" i="1" s="1"/>
  <c r="T62" i="1" s="1"/>
  <c r="AH62" i="1"/>
  <c r="AI62" i="1"/>
  <c r="CW62" i="1" s="1"/>
  <c r="V62" i="1" s="1"/>
  <c r="AJ62" i="1"/>
  <c r="CX62" i="1" s="1"/>
  <c r="W62" i="1" s="1"/>
  <c r="CV62" i="1"/>
  <c r="U62" i="1" s="1"/>
  <c r="K142" i="5" s="1"/>
  <c r="FR62" i="1"/>
  <c r="GL62" i="1"/>
  <c r="GN62" i="1"/>
  <c r="GO62" i="1"/>
  <c r="GV62" i="1"/>
  <c r="HC62" i="1" s="1"/>
  <c r="GX62" i="1" s="1"/>
  <c r="AC63" i="1"/>
  <c r="AE63" i="1"/>
  <c r="AF63" i="1"/>
  <c r="AG63" i="1"/>
  <c r="CU63" i="1" s="1"/>
  <c r="AH63" i="1"/>
  <c r="CV63" i="1" s="1"/>
  <c r="AI63" i="1"/>
  <c r="CW63" i="1" s="1"/>
  <c r="AJ63" i="1"/>
  <c r="CX63" i="1" s="1"/>
  <c r="CT63" i="1"/>
  <c r="FR63" i="1"/>
  <c r="GL63" i="1"/>
  <c r="GN63" i="1"/>
  <c r="GO63" i="1"/>
  <c r="GV63" i="1"/>
  <c r="HC63" i="1" s="1"/>
  <c r="AC64" i="1"/>
  <c r="AE64" i="1"/>
  <c r="AF64" i="1"/>
  <c r="CT64" i="1" s="1"/>
  <c r="AG64" i="1"/>
  <c r="CU64" i="1" s="1"/>
  <c r="AH64" i="1"/>
  <c r="CV64" i="1" s="1"/>
  <c r="AI64" i="1"/>
  <c r="CW64" i="1" s="1"/>
  <c r="AJ64" i="1"/>
  <c r="CX64" i="1" s="1"/>
  <c r="FR64" i="1"/>
  <c r="GL64" i="1"/>
  <c r="GN64" i="1"/>
  <c r="GO64" i="1"/>
  <c r="GV64" i="1"/>
  <c r="HC64" i="1" s="1"/>
  <c r="C65" i="1"/>
  <c r="D65" i="1"/>
  <c r="I65" i="1"/>
  <c r="K65" i="1"/>
  <c r="AC65" i="1"/>
  <c r="CQ65" i="1" s="1"/>
  <c r="P65" i="1" s="1"/>
  <c r="J149" i="5" s="1"/>
  <c r="AE65" i="1"/>
  <c r="U144" i="5" s="1"/>
  <c r="AF65" i="1"/>
  <c r="AG65" i="1"/>
  <c r="CU65" i="1" s="1"/>
  <c r="T65" i="1" s="1"/>
  <c r="AH65" i="1"/>
  <c r="CV65" i="1" s="1"/>
  <c r="AI65" i="1"/>
  <c r="AJ65" i="1"/>
  <c r="CX65" i="1" s="1"/>
  <c r="CS65" i="1"/>
  <c r="CW65" i="1"/>
  <c r="V65" i="1" s="1"/>
  <c r="FR65" i="1"/>
  <c r="GL65" i="1"/>
  <c r="GN65" i="1"/>
  <c r="GO65" i="1"/>
  <c r="GV65" i="1"/>
  <c r="HC65" i="1"/>
  <c r="GX65" i="1" s="1"/>
  <c r="AC66" i="1"/>
  <c r="CQ66" i="1" s="1"/>
  <c r="AE66" i="1"/>
  <c r="AF66" i="1"/>
  <c r="AG66" i="1"/>
  <c r="CU66" i="1" s="1"/>
  <c r="AH66" i="1"/>
  <c r="CV66" i="1" s="1"/>
  <c r="AI66" i="1"/>
  <c r="CW66" i="1" s="1"/>
  <c r="AJ66" i="1"/>
  <c r="CX66" i="1" s="1"/>
  <c r="CS66" i="1"/>
  <c r="FR66" i="1"/>
  <c r="GL66" i="1"/>
  <c r="GN66" i="1"/>
  <c r="GO66" i="1"/>
  <c r="GV66" i="1"/>
  <c r="HC66" i="1"/>
  <c r="I67" i="1"/>
  <c r="AC67" i="1"/>
  <c r="CQ67" i="1" s="1"/>
  <c r="AE67" i="1"/>
  <c r="AD67" i="1" s="1"/>
  <c r="AF67" i="1"/>
  <c r="CT67" i="1" s="1"/>
  <c r="S67" i="1" s="1"/>
  <c r="AG67" i="1"/>
  <c r="CU67" i="1" s="1"/>
  <c r="T67" i="1" s="1"/>
  <c r="AH67" i="1"/>
  <c r="CV67" i="1" s="1"/>
  <c r="AI67" i="1"/>
  <c r="CW67" i="1" s="1"/>
  <c r="AJ67" i="1"/>
  <c r="CX67" i="1" s="1"/>
  <c r="CS67" i="1"/>
  <c r="R67" i="1" s="1"/>
  <c r="GK67" i="1" s="1"/>
  <c r="FR67" i="1"/>
  <c r="GL67" i="1"/>
  <c r="GN67" i="1"/>
  <c r="GO67" i="1"/>
  <c r="GV67" i="1"/>
  <c r="HC67" i="1" s="1"/>
  <c r="GX67" i="1" s="1"/>
  <c r="AC68" i="1"/>
  <c r="CQ68" i="1" s="1"/>
  <c r="AE68" i="1"/>
  <c r="AD68" i="1" s="1"/>
  <c r="AF68" i="1"/>
  <c r="CT68" i="1" s="1"/>
  <c r="AG68" i="1"/>
  <c r="CU68" i="1" s="1"/>
  <c r="AH68" i="1"/>
  <c r="CV68" i="1" s="1"/>
  <c r="AI68" i="1"/>
  <c r="CW68" i="1" s="1"/>
  <c r="AJ68" i="1"/>
  <c r="CX68" i="1" s="1"/>
  <c r="CS68" i="1"/>
  <c r="FR68" i="1"/>
  <c r="GL68" i="1"/>
  <c r="GN68" i="1"/>
  <c r="GO68" i="1"/>
  <c r="GV68" i="1"/>
  <c r="HC68" i="1"/>
  <c r="I69" i="1"/>
  <c r="AC69" i="1"/>
  <c r="AE69" i="1"/>
  <c r="AF69" i="1"/>
  <c r="CT69" i="1" s="1"/>
  <c r="AG69" i="1"/>
  <c r="CU69" i="1" s="1"/>
  <c r="AH69" i="1"/>
  <c r="CV69" i="1" s="1"/>
  <c r="AI69" i="1"/>
  <c r="AJ69" i="1"/>
  <c r="CX69" i="1" s="1"/>
  <c r="CQ69" i="1"/>
  <c r="CW69" i="1"/>
  <c r="FR69" i="1"/>
  <c r="GL69" i="1"/>
  <c r="GN69" i="1"/>
  <c r="GO69" i="1"/>
  <c r="GV69" i="1"/>
  <c r="HC69" i="1" s="1"/>
  <c r="AC70" i="1"/>
  <c r="AD70" i="1"/>
  <c r="AE70" i="1"/>
  <c r="AF70" i="1"/>
  <c r="CT70" i="1" s="1"/>
  <c r="AG70" i="1"/>
  <c r="CU70" i="1" s="1"/>
  <c r="AH70" i="1"/>
  <c r="CV70" i="1" s="1"/>
  <c r="AI70" i="1"/>
  <c r="AJ70" i="1"/>
  <c r="CQ70" i="1"/>
  <c r="CR70" i="1"/>
  <c r="CS70" i="1"/>
  <c r="CW70" i="1"/>
  <c r="CX70" i="1"/>
  <c r="FR70" i="1"/>
  <c r="GL70" i="1"/>
  <c r="GN70" i="1"/>
  <c r="GO70" i="1"/>
  <c r="GV70" i="1"/>
  <c r="HC70" i="1" s="1"/>
  <c r="I71" i="1"/>
  <c r="AC71" i="1"/>
  <c r="CQ71" i="1" s="1"/>
  <c r="P71" i="1" s="1"/>
  <c r="AE71" i="1"/>
  <c r="AF71" i="1"/>
  <c r="AG71" i="1"/>
  <c r="CU71" i="1" s="1"/>
  <c r="AH71" i="1"/>
  <c r="CV71" i="1" s="1"/>
  <c r="AI71" i="1"/>
  <c r="AJ71" i="1"/>
  <c r="CX71" i="1" s="1"/>
  <c r="CS71" i="1"/>
  <c r="CW71" i="1"/>
  <c r="FR71" i="1"/>
  <c r="GL71" i="1"/>
  <c r="GN71" i="1"/>
  <c r="GO71" i="1"/>
  <c r="GV71" i="1"/>
  <c r="HC71" i="1"/>
  <c r="GX71" i="1" s="1"/>
  <c r="AC72" i="1"/>
  <c r="CQ72" i="1" s="1"/>
  <c r="AE72" i="1"/>
  <c r="AF72" i="1"/>
  <c r="AG72" i="1"/>
  <c r="CU72" i="1" s="1"/>
  <c r="AH72" i="1"/>
  <c r="CV72" i="1" s="1"/>
  <c r="AI72" i="1"/>
  <c r="CW72" i="1" s="1"/>
  <c r="AJ72" i="1"/>
  <c r="CX72" i="1" s="1"/>
  <c r="CS72" i="1"/>
  <c r="FR72" i="1"/>
  <c r="GL72" i="1"/>
  <c r="GN72" i="1"/>
  <c r="GO72" i="1"/>
  <c r="GV72" i="1"/>
  <c r="HC72" i="1"/>
  <c r="I73" i="1"/>
  <c r="AC73" i="1"/>
  <c r="AE73" i="1"/>
  <c r="AF73" i="1"/>
  <c r="AG73" i="1"/>
  <c r="CU73" i="1" s="1"/>
  <c r="AH73" i="1"/>
  <c r="CV73" i="1" s="1"/>
  <c r="AI73" i="1"/>
  <c r="AJ73" i="1"/>
  <c r="CX73" i="1" s="1"/>
  <c r="CQ73" i="1"/>
  <c r="CS73" i="1"/>
  <c r="CW73" i="1"/>
  <c r="FR73" i="1"/>
  <c r="GL73" i="1"/>
  <c r="GN73" i="1"/>
  <c r="GO73" i="1"/>
  <c r="GV73" i="1"/>
  <c r="HC73" i="1" s="1"/>
  <c r="AC74" i="1"/>
  <c r="AD74" i="1"/>
  <c r="AB74" i="1" s="1"/>
  <c r="AE74" i="1"/>
  <c r="AF74" i="1"/>
  <c r="AG74" i="1"/>
  <c r="CU74" i="1" s="1"/>
  <c r="AH74" i="1"/>
  <c r="CV74" i="1" s="1"/>
  <c r="AI74" i="1"/>
  <c r="AJ74" i="1"/>
  <c r="CQ74" i="1"/>
  <c r="CR74" i="1"/>
  <c r="CS74" i="1"/>
  <c r="CW74" i="1"/>
  <c r="CX74" i="1"/>
  <c r="FR74" i="1"/>
  <c r="GL74" i="1"/>
  <c r="GN74" i="1"/>
  <c r="GO74" i="1"/>
  <c r="GV74" i="1"/>
  <c r="HC74" i="1" s="1"/>
  <c r="I75" i="1"/>
  <c r="AC75" i="1"/>
  <c r="CQ75" i="1" s="1"/>
  <c r="P75" i="1" s="1"/>
  <c r="AE75" i="1"/>
  <c r="U155" i="5" s="1"/>
  <c r="AF75" i="1"/>
  <c r="AG75" i="1"/>
  <c r="CU75" i="1" s="1"/>
  <c r="AH75" i="1"/>
  <c r="CV75" i="1" s="1"/>
  <c r="AI75" i="1"/>
  <c r="AJ75" i="1"/>
  <c r="CX75" i="1" s="1"/>
  <c r="CW75" i="1"/>
  <c r="FR75" i="1"/>
  <c r="GL75" i="1"/>
  <c r="GN75" i="1"/>
  <c r="GO75" i="1"/>
  <c r="GV75" i="1"/>
  <c r="HC75" i="1"/>
  <c r="GX75" i="1" s="1"/>
  <c r="AC76" i="1"/>
  <c r="CQ76" i="1" s="1"/>
  <c r="AE76" i="1"/>
  <c r="AF76" i="1"/>
  <c r="AG76" i="1"/>
  <c r="AH76" i="1"/>
  <c r="CV76" i="1" s="1"/>
  <c r="AI76" i="1"/>
  <c r="CW76" i="1" s="1"/>
  <c r="AJ76" i="1"/>
  <c r="CX76" i="1" s="1"/>
  <c r="CS76" i="1"/>
  <c r="CU76" i="1"/>
  <c r="FR76" i="1"/>
  <c r="GL76" i="1"/>
  <c r="GN76" i="1"/>
  <c r="GO76" i="1"/>
  <c r="GV76" i="1"/>
  <c r="HC76" i="1"/>
  <c r="I77" i="1"/>
  <c r="AC77" i="1"/>
  <c r="AE77" i="1"/>
  <c r="AF77" i="1"/>
  <c r="AG77" i="1"/>
  <c r="CU77" i="1" s="1"/>
  <c r="AH77" i="1"/>
  <c r="CV77" i="1" s="1"/>
  <c r="AI77" i="1"/>
  <c r="CW77" i="1" s="1"/>
  <c r="AJ77" i="1"/>
  <c r="CX77" i="1" s="1"/>
  <c r="CQ77" i="1"/>
  <c r="CS77" i="1"/>
  <c r="FR77" i="1"/>
  <c r="GL77" i="1"/>
  <c r="GN77" i="1"/>
  <c r="GO77" i="1"/>
  <c r="GV77" i="1"/>
  <c r="HC77" i="1"/>
  <c r="C78" i="1"/>
  <c r="D78" i="1"/>
  <c r="I78" i="1"/>
  <c r="K78" i="1"/>
  <c r="AC78" i="1"/>
  <c r="AE78" i="1"/>
  <c r="AF78" i="1"/>
  <c r="AG78" i="1"/>
  <c r="CU78" i="1" s="1"/>
  <c r="AH78" i="1"/>
  <c r="AI78" i="1"/>
  <c r="CW78" i="1" s="1"/>
  <c r="AJ78" i="1"/>
  <c r="CX78" i="1" s="1"/>
  <c r="W78" i="1" s="1"/>
  <c r="CT78" i="1"/>
  <c r="CV78" i="1"/>
  <c r="U78" i="1" s="1"/>
  <c r="K171" i="5" s="1"/>
  <c r="FR78" i="1"/>
  <c r="GL78" i="1"/>
  <c r="GN78" i="1"/>
  <c r="GO78" i="1"/>
  <c r="GV78" i="1"/>
  <c r="HC78" i="1" s="1"/>
  <c r="AC79" i="1"/>
  <c r="AE79" i="1"/>
  <c r="AF79" i="1"/>
  <c r="AG79" i="1"/>
  <c r="CU79" i="1" s="1"/>
  <c r="AH79" i="1"/>
  <c r="CV79" i="1" s="1"/>
  <c r="AI79" i="1"/>
  <c r="CW79" i="1" s="1"/>
  <c r="AJ79" i="1"/>
  <c r="CX79" i="1" s="1"/>
  <c r="FR79" i="1"/>
  <c r="GL79" i="1"/>
  <c r="GN79" i="1"/>
  <c r="GO79" i="1"/>
  <c r="GV79" i="1"/>
  <c r="HC79" i="1" s="1"/>
  <c r="AC80" i="1"/>
  <c r="AE80" i="1"/>
  <c r="AF80" i="1"/>
  <c r="AG80" i="1"/>
  <c r="AH80" i="1"/>
  <c r="CV80" i="1" s="1"/>
  <c r="AI80" i="1"/>
  <c r="CW80" i="1" s="1"/>
  <c r="AJ80" i="1"/>
  <c r="CX80" i="1" s="1"/>
  <c r="CT80" i="1"/>
  <c r="CU80" i="1"/>
  <c r="FR80" i="1"/>
  <c r="GL80" i="1"/>
  <c r="GN80" i="1"/>
  <c r="GO80" i="1"/>
  <c r="GV80" i="1"/>
  <c r="HC80" i="1"/>
  <c r="C81" i="1"/>
  <c r="D81" i="1"/>
  <c r="I81" i="1"/>
  <c r="I87" i="1" s="1"/>
  <c r="T87" i="1" s="1"/>
  <c r="K81" i="1"/>
  <c r="AC81" i="1"/>
  <c r="AE81" i="1"/>
  <c r="AD81" i="1" s="1"/>
  <c r="AF81" i="1"/>
  <c r="AG81" i="1"/>
  <c r="CU81" i="1" s="1"/>
  <c r="T81" i="1" s="1"/>
  <c r="AH81" i="1"/>
  <c r="CV81" i="1" s="1"/>
  <c r="AI81" i="1"/>
  <c r="AJ81" i="1"/>
  <c r="CQ81" i="1"/>
  <c r="P81" i="1" s="1"/>
  <c r="J176" i="5" s="1"/>
  <c r="CS81" i="1"/>
  <c r="CW81" i="1"/>
  <c r="V81" i="1" s="1"/>
  <c r="CX81" i="1"/>
  <c r="FR81" i="1"/>
  <c r="GL81" i="1"/>
  <c r="GN81" i="1"/>
  <c r="GO81" i="1"/>
  <c r="GV81" i="1"/>
  <c r="HC81" i="1"/>
  <c r="GX81" i="1" s="1"/>
  <c r="I82" i="1"/>
  <c r="AC82" i="1"/>
  <c r="AE82" i="1"/>
  <c r="AF82" i="1"/>
  <c r="AG82" i="1"/>
  <c r="AH82" i="1"/>
  <c r="CV82" i="1" s="1"/>
  <c r="AI82" i="1"/>
  <c r="CW82" i="1" s="1"/>
  <c r="AJ82" i="1"/>
  <c r="CX82" i="1" s="1"/>
  <c r="CU82" i="1"/>
  <c r="T82" i="1" s="1"/>
  <c r="FR82" i="1"/>
  <c r="GL82" i="1"/>
  <c r="GN82" i="1"/>
  <c r="GO82" i="1"/>
  <c r="GV82" i="1"/>
  <c r="HC82" i="1" s="1"/>
  <c r="AC83" i="1"/>
  <c r="CQ83" i="1" s="1"/>
  <c r="AE83" i="1"/>
  <c r="CS83" i="1" s="1"/>
  <c r="AF83" i="1"/>
  <c r="AG83" i="1"/>
  <c r="CU83" i="1" s="1"/>
  <c r="AH83" i="1"/>
  <c r="CV83" i="1" s="1"/>
  <c r="AI83" i="1"/>
  <c r="AJ83" i="1"/>
  <c r="CX83" i="1" s="1"/>
  <c r="CW83" i="1"/>
  <c r="FR83" i="1"/>
  <c r="GL83" i="1"/>
  <c r="GN83" i="1"/>
  <c r="GO83" i="1"/>
  <c r="GV83" i="1"/>
  <c r="HC83" i="1" s="1"/>
  <c r="AC84" i="1"/>
  <c r="AD84" i="1"/>
  <c r="AE84" i="1"/>
  <c r="AF84" i="1"/>
  <c r="CT84" i="1" s="1"/>
  <c r="AG84" i="1"/>
  <c r="CU84" i="1" s="1"/>
  <c r="AH84" i="1"/>
  <c r="CV84" i="1" s="1"/>
  <c r="AI84" i="1"/>
  <c r="CW84" i="1" s="1"/>
  <c r="AJ84" i="1"/>
  <c r="CQ84" i="1"/>
  <c r="CR84" i="1"/>
  <c r="CS84" i="1"/>
  <c r="CX84" i="1"/>
  <c r="FR84" i="1"/>
  <c r="GL84" i="1"/>
  <c r="GN84" i="1"/>
  <c r="GO84" i="1"/>
  <c r="GV84" i="1"/>
  <c r="HC84" i="1" s="1"/>
  <c r="AC85" i="1"/>
  <c r="CQ85" i="1" s="1"/>
  <c r="AE85" i="1"/>
  <c r="AD85" i="1" s="1"/>
  <c r="AF85" i="1"/>
  <c r="CT85" i="1" s="1"/>
  <c r="AG85" i="1"/>
  <c r="CU85" i="1" s="1"/>
  <c r="AH85" i="1"/>
  <c r="CV85" i="1" s="1"/>
  <c r="AI85" i="1"/>
  <c r="AJ85" i="1"/>
  <c r="CX85" i="1" s="1"/>
  <c r="CS85" i="1"/>
  <c r="CW85" i="1"/>
  <c r="FR85" i="1"/>
  <c r="GL85" i="1"/>
  <c r="GN85" i="1"/>
  <c r="GO85" i="1"/>
  <c r="GV85" i="1"/>
  <c r="HC85" i="1"/>
  <c r="AC86" i="1"/>
  <c r="AE86" i="1"/>
  <c r="AF86" i="1"/>
  <c r="AG86" i="1"/>
  <c r="CU86" i="1" s="1"/>
  <c r="AH86" i="1"/>
  <c r="CV86" i="1" s="1"/>
  <c r="AI86" i="1"/>
  <c r="AJ86" i="1"/>
  <c r="CR86" i="1"/>
  <c r="CS86" i="1"/>
  <c r="CW86" i="1"/>
  <c r="CX86" i="1"/>
  <c r="FR86" i="1"/>
  <c r="GL86" i="1"/>
  <c r="GN86" i="1"/>
  <c r="GO86" i="1"/>
  <c r="GV86" i="1"/>
  <c r="HC86" i="1"/>
  <c r="AC87" i="1"/>
  <c r="CQ87" i="1" s="1"/>
  <c r="AE87" i="1"/>
  <c r="U180" i="5" s="1"/>
  <c r="AF87" i="1"/>
  <c r="AG87" i="1"/>
  <c r="CU87" i="1" s="1"/>
  <c r="AH87" i="1"/>
  <c r="CV87" i="1" s="1"/>
  <c r="AI87" i="1"/>
  <c r="CW87" i="1" s="1"/>
  <c r="V87" i="1" s="1"/>
  <c r="AJ87" i="1"/>
  <c r="CX87" i="1" s="1"/>
  <c r="FR87" i="1"/>
  <c r="GL87" i="1"/>
  <c r="GN87" i="1"/>
  <c r="GO87" i="1"/>
  <c r="GV87" i="1"/>
  <c r="HC87" i="1" s="1"/>
  <c r="GX87" i="1" s="1"/>
  <c r="I88" i="1"/>
  <c r="AC88" i="1"/>
  <c r="AE88" i="1"/>
  <c r="AF88" i="1"/>
  <c r="AG88" i="1"/>
  <c r="CU88" i="1" s="1"/>
  <c r="T88" i="1" s="1"/>
  <c r="AH88" i="1"/>
  <c r="CV88" i="1" s="1"/>
  <c r="AI88" i="1"/>
  <c r="CW88" i="1" s="1"/>
  <c r="AJ88" i="1"/>
  <c r="CX88" i="1" s="1"/>
  <c r="W88" i="1" s="1"/>
  <c r="CQ88" i="1"/>
  <c r="FR88" i="1"/>
  <c r="GL88" i="1"/>
  <c r="GN88" i="1"/>
  <c r="GO88" i="1"/>
  <c r="GV88" i="1"/>
  <c r="HC88" i="1" s="1"/>
  <c r="GX88" i="1" s="1"/>
  <c r="C89" i="1"/>
  <c r="D89" i="1"/>
  <c r="AC89" i="1"/>
  <c r="CQ89" i="1" s="1"/>
  <c r="P89" i="1" s="1"/>
  <c r="AE89" i="1"/>
  <c r="CR89" i="1" s="1"/>
  <c r="Q89" i="1" s="1"/>
  <c r="AF89" i="1"/>
  <c r="CT89" i="1" s="1"/>
  <c r="S89" i="1" s="1"/>
  <c r="AG89" i="1"/>
  <c r="CU89" i="1" s="1"/>
  <c r="T89" i="1" s="1"/>
  <c r="AH89" i="1"/>
  <c r="CV89" i="1" s="1"/>
  <c r="U89" i="1" s="1"/>
  <c r="AI89" i="1"/>
  <c r="CW89" i="1" s="1"/>
  <c r="V89" i="1" s="1"/>
  <c r="AJ89" i="1"/>
  <c r="CX89" i="1" s="1"/>
  <c r="W89" i="1" s="1"/>
  <c r="FR89" i="1"/>
  <c r="GL89" i="1"/>
  <c r="GN89" i="1"/>
  <c r="GO89" i="1"/>
  <c r="GV89" i="1"/>
  <c r="HC89" i="1" s="1"/>
  <c r="GX89" i="1" s="1"/>
  <c r="C90" i="1"/>
  <c r="D90" i="1"/>
  <c r="AC90" i="1"/>
  <c r="CQ90" i="1" s="1"/>
  <c r="P90" i="1" s="1"/>
  <c r="AE90" i="1"/>
  <c r="AF90" i="1"/>
  <c r="AG90" i="1"/>
  <c r="CU90" i="1" s="1"/>
  <c r="T90" i="1" s="1"/>
  <c r="AH90" i="1"/>
  <c r="CV90" i="1" s="1"/>
  <c r="U90" i="1" s="1"/>
  <c r="K194" i="5" s="1"/>
  <c r="AI90" i="1"/>
  <c r="CW90" i="1" s="1"/>
  <c r="V90" i="1" s="1"/>
  <c r="AJ90" i="1"/>
  <c r="CX90" i="1" s="1"/>
  <c r="W90" i="1" s="1"/>
  <c r="FR90" i="1"/>
  <c r="GL90" i="1"/>
  <c r="GN90" i="1"/>
  <c r="GO90" i="1"/>
  <c r="GV90" i="1"/>
  <c r="HC90" i="1" s="1"/>
  <c r="GX90" i="1" s="1"/>
  <c r="I91" i="1"/>
  <c r="AC91" i="1"/>
  <c r="AE91" i="1"/>
  <c r="AD91" i="1" s="1"/>
  <c r="AF91" i="1"/>
  <c r="AG91" i="1"/>
  <c r="AH91" i="1"/>
  <c r="CV91" i="1" s="1"/>
  <c r="AI91" i="1"/>
  <c r="AJ91" i="1"/>
  <c r="CX91" i="1" s="1"/>
  <c r="W91" i="1" s="1"/>
  <c r="CQ91" i="1"/>
  <c r="CU91" i="1"/>
  <c r="CW91" i="1"/>
  <c r="V91" i="1" s="1"/>
  <c r="FR91" i="1"/>
  <c r="GL91" i="1"/>
  <c r="GN91" i="1"/>
  <c r="GO91" i="1"/>
  <c r="GV91" i="1"/>
  <c r="HC91" i="1" s="1"/>
  <c r="GX91" i="1" s="1"/>
  <c r="C92" i="1"/>
  <c r="D92" i="1"/>
  <c r="I92" i="1"/>
  <c r="K92" i="1"/>
  <c r="AC92" i="1"/>
  <c r="CQ92" i="1" s="1"/>
  <c r="AE92" i="1"/>
  <c r="AF92" i="1"/>
  <c r="AG92" i="1"/>
  <c r="CU92" i="1" s="1"/>
  <c r="T92" i="1" s="1"/>
  <c r="AH92" i="1"/>
  <c r="CV92" i="1" s="1"/>
  <c r="AI92" i="1"/>
  <c r="CW92" i="1" s="1"/>
  <c r="AJ92" i="1"/>
  <c r="CX92" i="1" s="1"/>
  <c r="CT92" i="1"/>
  <c r="S92" i="1" s="1"/>
  <c r="J198" i="5" s="1"/>
  <c r="FR92" i="1"/>
  <c r="GL92" i="1"/>
  <c r="GN92" i="1"/>
  <c r="GO92" i="1"/>
  <c r="GV92" i="1"/>
  <c r="HC92" i="1"/>
  <c r="GX92" i="1" s="1"/>
  <c r="AC93" i="1"/>
  <c r="AE93" i="1"/>
  <c r="AF93" i="1"/>
  <c r="AG93" i="1"/>
  <c r="CU93" i="1" s="1"/>
  <c r="AH93" i="1"/>
  <c r="CV93" i="1" s="1"/>
  <c r="AI93" i="1"/>
  <c r="CW93" i="1" s="1"/>
  <c r="AJ93" i="1"/>
  <c r="CX93" i="1" s="1"/>
  <c r="CR93" i="1"/>
  <c r="CT93" i="1"/>
  <c r="FR93" i="1"/>
  <c r="GL93" i="1"/>
  <c r="GN93" i="1"/>
  <c r="GO93" i="1"/>
  <c r="GV93" i="1"/>
  <c r="HC93" i="1"/>
  <c r="C94" i="1"/>
  <c r="D94" i="1"/>
  <c r="AC94" i="1"/>
  <c r="AE94" i="1"/>
  <c r="U208" i="5" s="1"/>
  <c r="AF94" i="1"/>
  <c r="AG94" i="1"/>
  <c r="CU94" i="1" s="1"/>
  <c r="T94" i="1" s="1"/>
  <c r="AH94" i="1"/>
  <c r="CV94" i="1" s="1"/>
  <c r="U94" i="1" s="1"/>
  <c r="K216" i="5" s="1"/>
  <c r="AI94" i="1"/>
  <c r="CW94" i="1" s="1"/>
  <c r="V94" i="1" s="1"/>
  <c r="AJ94" i="1"/>
  <c r="CX94" i="1" s="1"/>
  <c r="W94" i="1" s="1"/>
  <c r="CQ94" i="1"/>
  <c r="P94" i="1" s="1"/>
  <c r="J212" i="5" s="1"/>
  <c r="FR94" i="1"/>
  <c r="GL94" i="1"/>
  <c r="GN94" i="1"/>
  <c r="GO94" i="1"/>
  <c r="GV94" i="1"/>
  <c r="HC94" i="1" s="1"/>
  <c r="GX94" i="1" s="1"/>
  <c r="C95" i="1"/>
  <c r="D95" i="1"/>
  <c r="I95" i="1"/>
  <c r="K95" i="1"/>
  <c r="V95" i="1"/>
  <c r="AC95" i="1"/>
  <c r="AE95" i="1"/>
  <c r="AF95" i="1"/>
  <c r="AG95" i="1"/>
  <c r="AH95" i="1"/>
  <c r="AI95" i="1"/>
  <c r="CW95" i="1" s="1"/>
  <c r="AJ95" i="1"/>
  <c r="CX95" i="1" s="1"/>
  <c r="W95" i="1" s="1"/>
  <c r="CU95" i="1"/>
  <c r="CV95" i="1"/>
  <c r="U95" i="1" s="1"/>
  <c r="K228" i="5" s="1"/>
  <c r="FR95" i="1"/>
  <c r="GL95" i="1"/>
  <c r="GN95" i="1"/>
  <c r="GO95" i="1"/>
  <c r="GV95" i="1"/>
  <c r="HC95" i="1"/>
  <c r="GX95" i="1" s="1"/>
  <c r="AC96" i="1"/>
  <c r="AE96" i="1"/>
  <c r="AF96" i="1"/>
  <c r="AG96" i="1"/>
  <c r="CU96" i="1" s="1"/>
  <c r="AH96" i="1"/>
  <c r="AI96" i="1"/>
  <c r="CW96" i="1" s="1"/>
  <c r="AJ96" i="1"/>
  <c r="CX96" i="1" s="1"/>
  <c r="CV96" i="1"/>
  <c r="FR96" i="1"/>
  <c r="GL96" i="1"/>
  <c r="GN96" i="1"/>
  <c r="GO96" i="1"/>
  <c r="GV96" i="1"/>
  <c r="HC96" i="1" s="1"/>
  <c r="C97" i="1"/>
  <c r="D97" i="1"/>
  <c r="AC97" i="1"/>
  <c r="AE97" i="1"/>
  <c r="AF97" i="1"/>
  <c r="CT97" i="1" s="1"/>
  <c r="S97" i="1" s="1"/>
  <c r="CZ97" i="1" s="1"/>
  <c r="Y97" i="1" s="1"/>
  <c r="AG97" i="1"/>
  <c r="CU97" i="1" s="1"/>
  <c r="T97" i="1" s="1"/>
  <c r="AH97" i="1"/>
  <c r="CV97" i="1" s="1"/>
  <c r="U97" i="1" s="1"/>
  <c r="AI97" i="1"/>
  <c r="CW97" i="1" s="1"/>
  <c r="V97" i="1" s="1"/>
  <c r="AJ97" i="1"/>
  <c r="CX97" i="1" s="1"/>
  <c r="W97" i="1" s="1"/>
  <c r="CQ97" i="1"/>
  <c r="P97" i="1" s="1"/>
  <c r="CY97" i="1"/>
  <c r="X97" i="1" s="1"/>
  <c r="FR97" i="1"/>
  <c r="GL97" i="1"/>
  <c r="GN97" i="1"/>
  <c r="GO97" i="1"/>
  <c r="GV97" i="1"/>
  <c r="HC97" i="1" s="1"/>
  <c r="GX97" i="1" s="1"/>
  <c r="I98" i="1"/>
  <c r="AC98" i="1"/>
  <c r="AE98" i="1"/>
  <c r="AD98" i="1" s="1"/>
  <c r="AF98" i="1"/>
  <c r="CT98" i="1" s="1"/>
  <c r="S98" i="1" s="1"/>
  <c r="CZ98" i="1" s="1"/>
  <c r="Y98" i="1" s="1"/>
  <c r="AG98" i="1"/>
  <c r="CU98" i="1" s="1"/>
  <c r="T98" i="1" s="1"/>
  <c r="AH98" i="1"/>
  <c r="CV98" i="1" s="1"/>
  <c r="U98" i="1" s="1"/>
  <c r="AI98" i="1"/>
  <c r="CW98" i="1" s="1"/>
  <c r="V98" i="1" s="1"/>
  <c r="AJ98" i="1"/>
  <c r="CX98" i="1" s="1"/>
  <c r="CY98" i="1"/>
  <c r="X98" i="1" s="1"/>
  <c r="FR98" i="1"/>
  <c r="GL98" i="1"/>
  <c r="GN98" i="1"/>
  <c r="GO98" i="1"/>
  <c r="GV98" i="1"/>
  <c r="HC98" i="1" s="1"/>
  <c r="GX98" i="1" s="1"/>
  <c r="I99" i="1"/>
  <c r="AC99" i="1"/>
  <c r="CQ99" i="1" s="1"/>
  <c r="P99" i="1" s="1"/>
  <c r="AD99" i="1"/>
  <c r="AE99" i="1"/>
  <c r="AF99" i="1"/>
  <c r="CT99" i="1" s="1"/>
  <c r="AG99" i="1"/>
  <c r="CU99" i="1" s="1"/>
  <c r="AH99" i="1"/>
  <c r="CV99" i="1" s="1"/>
  <c r="U99" i="1" s="1"/>
  <c r="AI99" i="1"/>
  <c r="AJ99" i="1"/>
  <c r="CX99" i="1" s="1"/>
  <c r="CR99" i="1"/>
  <c r="Q99" i="1" s="1"/>
  <c r="CS99" i="1"/>
  <c r="CW99" i="1"/>
  <c r="V99" i="1" s="1"/>
  <c r="FR99" i="1"/>
  <c r="GL99" i="1"/>
  <c r="GN99" i="1"/>
  <c r="GO99" i="1"/>
  <c r="GV99" i="1"/>
  <c r="HC99" i="1" s="1"/>
  <c r="I100" i="1"/>
  <c r="AC100" i="1"/>
  <c r="AD100" i="1"/>
  <c r="AE100" i="1"/>
  <c r="CR100" i="1" s="1"/>
  <c r="AF100" i="1"/>
  <c r="CT100" i="1" s="1"/>
  <c r="S100" i="1" s="1"/>
  <c r="CZ100" i="1" s="1"/>
  <c r="Y100" i="1" s="1"/>
  <c r="AG100" i="1"/>
  <c r="CU100" i="1" s="1"/>
  <c r="AH100" i="1"/>
  <c r="AI100" i="1"/>
  <c r="AJ100" i="1"/>
  <c r="CX100" i="1" s="1"/>
  <c r="W100" i="1" s="1"/>
  <c r="CS100" i="1"/>
  <c r="CV100" i="1"/>
  <c r="U100" i="1" s="1"/>
  <c r="CW100" i="1"/>
  <c r="FR100" i="1"/>
  <c r="GL100" i="1"/>
  <c r="GN100" i="1"/>
  <c r="GO100" i="1"/>
  <c r="GV100" i="1"/>
  <c r="HC100" i="1" s="1"/>
  <c r="GX100" i="1" s="1"/>
  <c r="I101" i="1"/>
  <c r="AC101" i="1"/>
  <c r="AE101" i="1"/>
  <c r="AD101" i="1" s="1"/>
  <c r="AF101" i="1"/>
  <c r="AG101" i="1"/>
  <c r="CU101" i="1" s="1"/>
  <c r="T101" i="1" s="1"/>
  <c r="AH101" i="1"/>
  <c r="CV101" i="1" s="1"/>
  <c r="AI101" i="1"/>
  <c r="CW101" i="1" s="1"/>
  <c r="AJ101" i="1"/>
  <c r="CX101" i="1" s="1"/>
  <c r="CQ101" i="1"/>
  <c r="P101" i="1" s="1"/>
  <c r="FR101" i="1"/>
  <c r="GL101" i="1"/>
  <c r="GN101" i="1"/>
  <c r="GO101" i="1"/>
  <c r="GV101" i="1"/>
  <c r="HC101" i="1"/>
  <c r="GX101" i="1" s="1"/>
  <c r="I102" i="1"/>
  <c r="AC102" i="1"/>
  <c r="CQ102" i="1" s="1"/>
  <c r="P102" i="1" s="1"/>
  <c r="AE102" i="1"/>
  <c r="AD102" i="1" s="1"/>
  <c r="AF102" i="1"/>
  <c r="CT102" i="1" s="1"/>
  <c r="S102" i="1" s="1"/>
  <c r="CZ102" i="1" s="1"/>
  <c r="Y102" i="1" s="1"/>
  <c r="AG102" i="1"/>
  <c r="AH102" i="1"/>
  <c r="CV102" i="1" s="1"/>
  <c r="AI102" i="1"/>
  <c r="CW102" i="1" s="1"/>
  <c r="V102" i="1" s="1"/>
  <c r="AJ102" i="1"/>
  <c r="CX102" i="1" s="1"/>
  <c r="W102" i="1" s="1"/>
  <c r="CS102" i="1"/>
  <c r="R102" i="1" s="1"/>
  <c r="GK102" i="1" s="1"/>
  <c r="CU102" i="1"/>
  <c r="T102" i="1" s="1"/>
  <c r="FR102" i="1"/>
  <c r="GL102" i="1"/>
  <c r="GN102" i="1"/>
  <c r="GO102" i="1"/>
  <c r="GV102" i="1"/>
  <c r="HC102" i="1" s="1"/>
  <c r="GX102" i="1" s="1"/>
  <c r="I103" i="1"/>
  <c r="AC103" i="1"/>
  <c r="AE103" i="1"/>
  <c r="CR103" i="1" s="1"/>
  <c r="AF103" i="1"/>
  <c r="CT103" i="1" s="1"/>
  <c r="AG103" i="1"/>
  <c r="CU103" i="1" s="1"/>
  <c r="T103" i="1" s="1"/>
  <c r="AH103" i="1"/>
  <c r="CV103" i="1" s="1"/>
  <c r="U103" i="1" s="1"/>
  <c r="AI103" i="1"/>
  <c r="AJ103" i="1"/>
  <c r="CX103" i="1" s="1"/>
  <c r="CW103" i="1"/>
  <c r="FR103" i="1"/>
  <c r="GL103" i="1"/>
  <c r="GN103" i="1"/>
  <c r="GO103" i="1"/>
  <c r="GV103" i="1"/>
  <c r="HC103" i="1"/>
  <c r="GX103" i="1" s="1"/>
  <c r="I104" i="1"/>
  <c r="AC104" i="1"/>
  <c r="AE104" i="1"/>
  <c r="AD104" i="1" s="1"/>
  <c r="AF104" i="1"/>
  <c r="CT104" i="1" s="1"/>
  <c r="AG104" i="1"/>
  <c r="CU104" i="1" s="1"/>
  <c r="T104" i="1" s="1"/>
  <c r="AH104" i="1"/>
  <c r="CV104" i="1" s="1"/>
  <c r="AI104" i="1"/>
  <c r="CW104" i="1" s="1"/>
  <c r="AJ104" i="1"/>
  <c r="CX104" i="1" s="1"/>
  <c r="CQ104" i="1"/>
  <c r="P104" i="1" s="1"/>
  <c r="CS104" i="1"/>
  <c r="FR104" i="1"/>
  <c r="GL104" i="1"/>
  <c r="GN104" i="1"/>
  <c r="GO104" i="1"/>
  <c r="GV104" i="1"/>
  <c r="HC104" i="1" s="1"/>
  <c r="C105" i="1"/>
  <c r="D105" i="1"/>
  <c r="I105" i="1"/>
  <c r="K105" i="1"/>
  <c r="AC105" i="1"/>
  <c r="AE105" i="1"/>
  <c r="AF105" i="1"/>
  <c r="AG105" i="1"/>
  <c r="CU105" i="1" s="1"/>
  <c r="AH105" i="1"/>
  <c r="AI105" i="1"/>
  <c r="CW105" i="1" s="1"/>
  <c r="AJ105" i="1"/>
  <c r="CX105" i="1" s="1"/>
  <c r="CV105" i="1"/>
  <c r="FR105" i="1"/>
  <c r="GL105" i="1"/>
  <c r="GN105" i="1"/>
  <c r="GO105" i="1"/>
  <c r="GV105" i="1"/>
  <c r="HC105" i="1" s="1"/>
  <c r="AC106" i="1"/>
  <c r="AE106" i="1"/>
  <c r="AF106" i="1"/>
  <c r="CT106" i="1" s="1"/>
  <c r="AG106" i="1"/>
  <c r="CU106" i="1" s="1"/>
  <c r="AH106" i="1"/>
  <c r="AI106" i="1"/>
  <c r="CW106" i="1" s="1"/>
  <c r="AJ106" i="1"/>
  <c r="CX106" i="1" s="1"/>
  <c r="CV106" i="1"/>
  <c r="FR106" i="1"/>
  <c r="GL106" i="1"/>
  <c r="GN106" i="1"/>
  <c r="GO106" i="1"/>
  <c r="GV106" i="1"/>
  <c r="HC106" i="1" s="1"/>
  <c r="AC107" i="1"/>
  <c r="AE107" i="1"/>
  <c r="AF107" i="1"/>
  <c r="CT107" i="1" s="1"/>
  <c r="AG107" i="1"/>
  <c r="CU107" i="1" s="1"/>
  <c r="AH107" i="1"/>
  <c r="AI107" i="1"/>
  <c r="CW107" i="1" s="1"/>
  <c r="AJ107" i="1"/>
  <c r="CX107" i="1" s="1"/>
  <c r="CV107" i="1"/>
  <c r="FR107" i="1"/>
  <c r="GL107" i="1"/>
  <c r="GN107" i="1"/>
  <c r="GO107" i="1"/>
  <c r="GV107" i="1"/>
  <c r="HC107" i="1" s="1"/>
  <c r="AC108" i="1"/>
  <c r="AE108" i="1"/>
  <c r="AF108" i="1"/>
  <c r="AG108" i="1"/>
  <c r="CU108" i="1" s="1"/>
  <c r="AH108" i="1"/>
  <c r="AI108" i="1"/>
  <c r="CW108" i="1" s="1"/>
  <c r="AJ108" i="1"/>
  <c r="CT108" i="1"/>
  <c r="CV108" i="1"/>
  <c r="CX108" i="1"/>
  <c r="FR108" i="1"/>
  <c r="GL108" i="1"/>
  <c r="GN108" i="1"/>
  <c r="GO108" i="1"/>
  <c r="GV108" i="1"/>
  <c r="HC108" i="1" s="1"/>
  <c r="AC109" i="1"/>
  <c r="AE109" i="1"/>
  <c r="AF109" i="1"/>
  <c r="AG109" i="1"/>
  <c r="CU109" i="1" s="1"/>
  <c r="AH109" i="1"/>
  <c r="CV109" i="1" s="1"/>
  <c r="AI109" i="1"/>
  <c r="CW109" i="1" s="1"/>
  <c r="AJ109" i="1"/>
  <c r="CX109" i="1" s="1"/>
  <c r="FR109" i="1"/>
  <c r="GL109" i="1"/>
  <c r="GN109" i="1"/>
  <c r="GO109" i="1"/>
  <c r="GV109" i="1"/>
  <c r="HC109" i="1" s="1"/>
  <c r="AC110" i="1"/>
  <c r="AE110" i="1"/>
  <c r="AF110" i="1"/>
  <c r="AG110" i="1"/>
  <c r="CU110" i="1" s="1"/>
  <c r="AH110" i="1"/>
  <c r="AI110" i="1"/>
  <c r="CW110" i="1" s="1"/>
  <c r="AJ110" i="1"/>
  <c r="CX110" i="1" s="1"/>
  <c r="CT110" i="1"/>
  <c r="CV110" i="1"/>
  <c r="FR110" i="1"/>
  <c r="GL110" i="1"/>
  <c r="GN110" i="1"/>
  <c r="GO110" i="1"/>
  <c r="GV110" i="1"/>
  <c r="HC110" i="1" s="1"/>
  <c r="C111" i="1"/>
  <c r="D111" i="1"/>
  <c r="I111" i="1"/>
  <c r="I112" i="1" s="1"/>
  <c r="K111" i="1"/>
  <c r="AC111" i="1"/>
  <c r="CQ111" i="1" s="1"/>
  <c r="P111" i="1" s="1"/>
  <c r="AE111" i="1"/>
  <c r="U246" i="5" s="1"/>
  <c r="AF111" i="1"/>
  <c r="AG111" i="1"/>
  <c r="AH111" i="1"/>
  <c r="CV111" i="1" s="1"/>
  <c r="U111" i="1" s="1"/>
  <c r="K252" i="5" s="1"/>
  <c r="AI111" i="1"/>
  <c r="CW111" i="1" s="1"/>
  <c r="V111" i="1" s="1"/>
  <c r="AJ111" i="1"/>
  <c r="CX111" i="1" s="1"/>
  <c r="W111" i="1" s="1"/>
  <c r="CS111" i="1"/>
  <c r="CU111" i="1"/>
  <c r="T111" i="1" s="1"/>
  <c r="FR111" i="1"/>
  <c r="GL111" i="1"/>
  <c r="GN111" i="1"/>
  <c r="GO111" i="1"/>
  <c r="GV111" i="1"/>
  <c r="HC111" i="1" s="1"/>
  <c r="GX111" i="1" s="1"/>
  <c r="AC112" i="1"/>
  <c r="AE112" i="1"/>
  <c r="CR112" i="1" s="1"/>
  <c r="AF112" i="1"/>
  <c r="AG112" i="1"/>
  <c r="CU112" i="1" s="1"/>
  <c r="AH112" i="1"/>
  <c r="CV112" i="1" s="1"/>
  <c r="AI112" i="1"/>
  <c r="AJ112" i="1"/>
  <c r="CX112" i="1" s="1"/>
  <c r="CW112" i="1"/>
  <c r="FR112" i="1"/>
  <c r="GL112" i="1"/>
  <c r="GN112" i="1"/>
  <c r="GO112" i="1"/>
  <c r="GV112" i="1"/>
  <c r="HC112" i="1"/>
  <c r="C113" i="1"/>
  <c r="D113" i="1"/>
  <c r="I113" i="1"/>
  <c r="K113" i="1"/>
  <c r="AC113" i="1"/>
  <c r="AE113" i="1"/>
  <c r="U254" i="5" s="1"/>
  <c r="AF113" i="1"/>
  <c r="AG113" i="1"/>
  <c r="CU113" i="1" s="1"/>
  <c r="AH113" i="1"/>
  <c r="CV113" i="1" s="1"/>
  <c r="U113" i="1" s="1"/>
  <c r="K262" i="5" s="1"/>
  <c r="AI113" i="1"/>
  <c r="CW113" i="1" s="1"/>
  <c r="AJ113" i="1"/>
  <c r="CX113" i="1"/>
  <c r="W113" i="1" s="1"/>
  <c r="FR113" i="1"/>
  <c r="GL113" i="1"/>
  <c r="GN113" i="1"/>
  <c r="GO113" i="1"/>
  <c r="GV113" i="1"/>
  <c r="HC113" i="1" s="1"/>
  <c r="GX113" i="1" s="1"/>
  <c r="AC114" i="1"/>
  <c r="AE114" i="1"/>
  <c r="AF114" i="1"/>
  <c r="AG114" i="1"/>
  <c r="CU114" i="1" s="1"/>
  <c r="AH114" i="1"/>
  <c r="AI114" i="1"/>
  <c r="CW114" i="1" s="1"/>
  <c r="AJ114" i="1"/>
  <c r="CX114" i="1" s="1"/>
  <c r="CV114" i="1"/>
  <c r="FR114" i="1"/>
  <c r="GL114" i="1"/>
  <c r="GN114" i="1"/>
  <c r="GO114" i="1"/>
  <c r="GV114" i="1"/>
  <c r="HC114" i="1" s="1"/>
  <c r="AC115" i="1"/>
  <c r="AE115" i="1"/>
  <c r="AF115" i="1"/>
  <c r="AG115" i="1"/>
  <c r="CU115" i="1" s="1"/>
  <c r="AH115" i="1"/>
  <c r="AI115" i="1"/>
  <c r="CW115" i="1" s="1"/>
  <c r="AJ115" i="1"/>
  <c r="CV115" i="1"/>
  <c r="CX115" i="1"/>
  <c r="FR115" i="1"/>
  <c r="GL115" i="1"/>
  <c r="GN115" i="1"/>
  <c r="GO115" i="1"/>
  <c r="GV115" i="1"/>
  <c r="HC115" i="1" s="1"/>
  <c r="C116" i="1"/>
  <c r="D116" i="1"/>
  <c r="AC116" i="1"/>
  <c r="AD116" i="1"/>
  <c r="AE116" i="1"/>
  <c r="AF116" i="1"/>
  <c r="CT116" i="1" s="1"/>
  <c r="S116" i="1" s="1"/>
  <c r="AG116" i="1"/>
  <c r="CU116" i="1" s="1"/>
  <c r="T116" i="1" s="1"/>
  <c r="AH116" i="1"/>
  <c r="CV116" i="1" s="1"/>
  <c r="U116" i="1" s="1"/>
  <c r="AI116" i="1"/>
  <c r="AJ116" i="1"/>
  <c r="CX116" i="1" s="1"/>
  <c r="W116" i="1" s="1"/>
  <c r="CQ116" i="1"/>
  <c r="P116" i="1" s="1"/>
  <c r="CR116" i="1"/>
  <c r="Q116" i="1" s="1"/>
  <c r="CS116" i="1"/>
  <c r="R116" i="1" s="1"/>
  <c r="GK116" i="1" s="1"/>
  <c r="CW116" i="1"/>
  <c r="V116" i="1" s="1"/>
  <c r="FR116" i="1"/>
  <c r="GL116" i="1"/>
  <c r="GN116" i="1"/>
  <c r="GO116" i="1"/>
  <c r="GV116" i="1"/>
  <c r="HC116" i="1" s="1"/>
  <c r="GX116" i="1" s="1"/>
  <c r="C117" i="1"/>
  <c r="D117" i="1"/>
  <c r="AC117" i="1"/>
  <c r="AE117" i="1"/>
  <c r="AF117" i="1"/>
  <c r="CT117" i="1" s="1"/>
  <c r="S117" i="1" s="1"/>
  <c r="AG117" i="1"/>
  <c r="CU117" i="1" s="1"/>
  <c r="T117" i="1" s="1"/>
  <c r="AH117" i="1"/>
  <c r="AI117" i="1"/>
  <c r="CW117" i="1" s="1"/>
  <c r="V117" i="1" s="1"/>
  <c r="AJ117" i="1"/>
  <c r="CX117" i="1" s="1"/>
  <c r="W117" i="1" s="1"/>
  <c r="CV117" i="1"/>
  <c r="U117" i="1" s="1"/>
  <c r="FR117" i="1"/>
  <c r="GL117" i="1"/>
  <c r="GN117" i="1"/>
  <c r="GO117" i="1"/>
  <c r="GV117" i="1"/>
  <c r="HC117" i="1" s="1"/>
  <c r="GX117" i="1" s="1"/>
  <c r="C118" i="1"/>
  <c r="D118" i="1"/>
  <c r="AC118" i="1"/>
  <c r="AE118" i="1"/>
  <c r="AD118" i="1" s="1"/>
  <c r="AB118" i="1" s="1"/>
  <c r="AF118" i="1"/>
  <c r="CT118" i="1" s="1"/>
  <c r="S118" i="1" s="1"/>
  <c r="CZ118" i="1" s="1"/>
  <c r="Y118" i="1" s="1"/>
  <c r="AG118" i="1"/>
  <c r="CU118" i="1" s="1"/>
  <c r="T118" i="1" s="1"/>
  <c r="AH118" i="1"/>
  <c r="CV118" i="1" s="1"/>
  <c r="U118" i="1" s="1"/>
  <c r="AI118" i="1"/>
  <c r="CW118" i="1" s="1"/>
  <c r="V118" i="1" s="1"/>
  <c r="AJ118" i="1"/>
  <c r="CX118" i="1" s="1"/>
  <c r="W118" i="1" s="1"/>
  <c r="CQ118" i="1"/>
  <c r="P118" i="1" s="1"/>
  <c r="CY118" i="1"/>
  <c r="X118" i="1" s="1"/>
  <c r="FR118" i="1"/>
  <c r="GL118" i="1"/>
  <c r="GN118" i="1"/>
  <c r="GO118" i="1"/>
  <c r="GV118" i="1"/>
  <c r="HC118" i="1" s="1"/>
  <c r="GX118" i="1" s="1"/>
  <c r="C119" i="1"/>
  <c r="D119" i="1"/>
  <c r="AC119" i="1"/>
  <c r="AE119" i="1"/>
  <c r="CR119" i="1" s="1"/>
  <c r="Q119" i="1" s="1"/>
  <c r="AF119" i="1"/>
  <c r="CT119" i="1" s="1"/>
  <c r="S119" i="1" s="1"/>
  <c r="AG119" i="1"/>
  <c r="CU119" i="1" s="1"/>
  <c r="T119" i="1" s="1"/>
  <c r="AH119" i="1"/>
  <c r="CV119" i="1" s="1"/>
  <c r="U119" i="1" s="1"/>
  <c r="AI119" i="1"/>
  <c r="CW119" i="1" s="1"/>
  <c r="V119" i="1" s="1"/>
  <c r="AJ119" i="1"/>
  <c r="CX119" i="1"/>
  <c r="W119" i="1" s="1"/>
  <c r="FR119" i="1"/>
  <c r="GL119" i="1"/>
  <c r="GN119" i="1"/>
  <c r="GO119" i="1"/>
  <c r="GV119" i="1"/>
  <c r="HC119" i="1" s="1"/>
  <c r="GX119" i="1"/>
  <c r="C120" i="1"/>
  <c r="D120" i="1"/>
  <c r="I120" i="1"/>
  <c r="K120" i="1"/>
  <c r="AC120" i="1"/>
  <c r="AD120" i="1"/>
  <c r="AE120" i="1"/>
  <c r="U264" i="5" s="1"/>
  <c r="AF120" i="1"/>
  <c r="AG120" i="1"/>
  <c r="CU120" i="1" s="1"/>
  <c r="T120" i="1" s="1"/>
  <c r="AH120" i="1"/>
  <c r="CV120" i="1" s="1"/>
  <c r="U120" i="1" s="1"/>
  <c r="K273" i="5" s="1"/>
  <c r="AI120" i="1"/>
  <c r="AJ120" i="1"/>
  <c r="CX120" i="1" s="1"/>
  <c r="W120" i="1" s="1"/>
  <c r="CR120" i="1"/>
  <c r="Q120" i="1" s="1"/>
  <c r="J267" i="5" s="1"/>
  <c r="CS120" i="1"/>
  <c r="V264" i="5" s="1"/>
  <c r="J272" i="5" s="1"/>
  <c r="CW120" i="1"/>
  <c r="V120" i="1" s="1"/>
  <c r="FR120" i="1"/>
  <c r="GL120" i="1"/>
  <c r="GN120" i="1"/>
  <c r="GO120" i="1"/>
  <c r="GV120" i="1"/>
  <c r="HC120" i="1" s="1"/>
  <c r="GX120" i="1" s="1"/>
  <c r="C121" i="1"/>
  <c r="D121" i="1"/>
  <c r="I121" i="1"/>
  <c r="K121" i="1"/>
  <c r="AC121" i="1"/>
  <c r="CQ121" i="1" s="1"/>
  <c r="P121" i="1" s="1"/>
  <c r="AE121" i="1"/>
  <c r="CR121" i="1" s="1"/>
  <c r="Q121" i="1" s="1"/>
  <c r="J278" i="5" s="1"/>
  <c r="AF121" i="1"/>
  <c r="AG121" i="1"/>
  <c r="CU121" i="1" s="1"/>
  <c r="T121" i="1" s="1"/>
  <c r="AH121" i="1"/>
  <c r="AI121" i="1"/>
  <c r="CW121" i="1" s="1"/>
  <c r="V121" i="1" s="1"/>
  <c r="AJ121" i="1"/>
  <c r="CV121" i="1"/>
  <c r="U121" i="1" s="1"/>
  <c r="K281" i="5" s="1"/>
  <c r="CX121" i="1"/>
  <c r="W121" i="1" s="1"/>
  <c r="FR121" i="1"/>
  <c r="GL121" i="1"/>
  <c r="GN121" i="1"/>
  <c r="GO121" i="1"/>
  <c r="GV121" i="1"/>
  <c r="HC121" i="1" s="1"/>
  <c r="GX121" i="1" s="1"/>
  <c r="C122" i="1"/>
  <c r="D122" i="1"/>
  <c r="AC122" i="1"/>
  <c r="AE122" i="1"/>
  <c r="AD122" i="1" s="1"/>
  <c r="AF122" i="1"/>
  <c r="CT122" i="1" s="1"/>
  <c r="S122" i="1" s="1"/>
  <c r="CZ122" i="1" s="1"/>
  <c r="Y122" i="1" s="1"/>
  <c r="AG122" i="1"/>
  <c r="CU122" i="1" s="1"/>
  <c r="T122" i="1" s="1"/>
  <c r="AH122" i="1"/>
  <c r="AI122" i="1"/>
  <c r="CW122" i="1" s="1"/>
  <c r="V122" i="1" s="1"/>
  <c r="AJ122" i="1"/>
  <c r="CX122" i="1" s="1"/>
  <c r="W122" i="1" s="1"/>
  <c r="CQ122" i="1"/>
  <c r="P122" i="1" s="1"/>
  <c r="CV122" i="1"/>
  <c r="U122" i="1" s="1"/>
  <c r="CY122" i="1"/>
  <c r="X122" i="1" s="1"/>
  <c r="FR122" i="1"/>
  <c r="GL122" i="1"/>
  <c r="GN122" i="1"/>
  <c r="GO122" i="1"/>
  <c r="GV122" i="1"/>
  <c r="HC122" i="1" s="1"/>
  <c r="GX122" i="1" s="1"/>
  <c r="C123" i="1"/>
  <c r="D123" i="1"/>
  <c r="AC123" i="1"/>
  <c r="CQ123" i="1" s="1"/>
  <c r="P123" i="1" s="1"/>
  <c r="AE123" i="1"/>
  <c r="AD123" i="1" s="1"/>
  <c r="AF123" i="1"/>
  <c r="CT123" i="1" s="1"/>
  <c r="S123" i="1" s="1"/>
  <c r="CY123" i="1" s="1"/>
  <c r="X123" i="1" s="1"/>
  <c r="AG123" i="1"/>
  <c r="CU123" i="1" s="1"/>
  <c r="T123" i="1" s="1"/>
  <c r="AH123" i="1"/>
  <c r="CV123" i="1" s="1"/>
  <c r="U123" i="1" s="1"/>
  <c r="AI123" i="1"/>
  <c r="AJ123" i="1"/>
  <c r="CX123" i="1" s="1"/>
  <c r="W123" i="1" s="1"/>
  <c r="CS123" i="1"/>
  <c r="R123" i="1" s="1"/>
  <c r="GK123" i="1" s="1"/>
  <c r="CW123" i="1"/>
  <c r="V123" i="1" s="1"/>
  <c r="FR123" i="1"/>
  <c r="GL123" i="1"/>
  <c r="GN123" i="1"/>
  <c r="GO123" i="1"/>
  <c r="GV123" i="1"/>
  <c r="HC123" i="1"/>
  <c r="GX123" i="1" s="1"/>
  <c r="C124" i="1"/>
  <c r="D124" i="1"/>
  <c r="AC124" i="1"/>
  <c r="CQ124" i="1" s="1"/>
  <c r="P124" i="1" s="1"/>
  <c r="AE124" i="1"/>
  <c r="CS124" i="1" s="1"/>
  <c r="R124" i="1" s="1"/>
  <c r="GK124" i="1" s="1"/>
  <c r="AF124" i="1"/>
  <c r="CT124" i="1" s="1"/>
  <c r="S124" i="1" s="1"/>
  <c r="AG124" i="1"/>
  <c r="CU124" i="1" s="1"/>
  <c r="T124" i="1" s="1"/>
  <c r="AH124" i="1"/>
  <c r="AI124" i="1"/>
  <c r="CW124" i="1" s="1"/>
  <c r="V124" i="1" s="1"/>
  <c r="AJ124" i="1"/>
  <c r="CX124" i="1" s="1"/>
  <c r="W124" i="1" s="1"/>
  <c r="CV124" i="1"/>
  <c r="U124" i="1" s="1"/>
  <c r="FR124" i="1"/>
  <c r="GL124" i="1"/>
  <c r="GN124" i="1"/>
  <c r="GO124" i="1"/>
  <c r="GV124" i="1"/>
  <c r="HC124" i="1" s="1"/>
  <c r="GX124" i="1"/>
  <c r="C125" i="1"/>
  <c r="D125" i="1"/>
  <c r="AC125" i="1"/>
  <c r="AE125" i="1"/>
  <c r="AD125" i="1" s="1"/>
  <c r="AB125" i="1" s="1"/>
  <c r="AF125" i="1"/>
  <c r="CT125" i="1" s="1"/>
  <c r="S125" i="1" s="1"/>
  <c r="CZ125" i="1" s="1"/>
  <c r="Y125" i="1" s="1"/>
  <c r="AG125" i="1"/>
  <c r="CU125" i="1" s="1"/>
  <c r="T125" i="1" s="1"/>
  <c r="AH125" i="1"/>
  <c r="AI125" i="1"/>
  <c r="CW125" i="1" s="1"/>
  <c r="V125" i="1" s="1"/>
  <c r="AJ125" i="1"/>
  <c r="CX125" i="1" s="1"/>
  <c r="W125" i="1" s="1"/>
  <c r="CQ125" i="1"/>
  <c r="P125" i="1" s="1"/>
  <c r="CV125" i="1"/>
  <c r="U125" i="1" s="1"/>
  <c r="FR125" i="1"/>
  <c r="GL125" i="1"/>
  <c r="GN125" i="1"/>
  <c r="GO125" i="1"/>
  <c r="GV125" i="1"/>
  <c r="HC125" i="1"/>
  <c r="GX125" i="1" s="1"/>
  <c r="C126" i="1"/>
  <c r="D126" i="1"/>
  <c r="AC126" i="1"/>
  <c r="AD126" i="1"/>
  <c r="AE126" i="1"/>
  <c r="U283" i="5" s="1"/>
  <c r="AF126" i="1"/>
  <c r="CT126" i="1" s="1"/>
  <c r="S126" i="1" s="1"/>
  <c r="J284" i="5" s="1"/>
  <c r="AG126" i="1"/>
  <c r="AH126" i="1"/>
  <c r="CV126" i="1" s="1"/>
  <c r="U126" i="1" s="1"/>
  <c r="K288" i="5" s="1"/>
  <c r="AI126" i="1"/>
  <c r="AJ126" i="1"/>
  <c r="CX126" i="1" s="1"/>
  <c r="W126" i="1" s="1"/>
  <c r="CU126" i="1"/>
  <c r="T126" i="1" s="1"/>
  <c r="CW126" i="1"/>
  <c r="V126" i="1" s="1"/>
  <c r="FR126" i="1"/>
  <c r="GL126" i="1"/>
  <c r="GN126" i="1"/>
  <c r="GO126" i="1"/>
  <c r="GV126" i="1"/>
  <c r="HC126" i="1" s="1"/>
  <c r="GX126" i="1" s="1"/>
  <c r="C127" i="1"/>
  <c r="D127" i="1"/>
  <c r="Q127" i="1"/>
  <c r="AC127" i="1"/>
  <c r="CQ127" i="1" s="1"/>
  <c r="P127" i="1" s="1"/>
  <c r="AE127" i="1"/>
  <c r="CR127" i="1" s="1"/>
  <c r="AF127" i="1"/>
  <c r="CT127" i="1" s="1"/>
  <c r="S127" i="1" s="1"/>
  <c r="CY127" i="1" s="1"/>
  <c r="X127" i="1" s="1"/>
  <c r="AG127" i="1"/>
  <c r="AH127" i="1"/>
  <c r="CV127" i="1" s="1"/>
  <c r="U127" i="1" s="1"/>
  <c r="AI127" i="1"/>
  <c r="CW127" i="1" s="1"/>
  <c r="V127" i="1" s="1"/>
  <c r="AJ127" i="1"/>
  <c r="CX127" i="1" s="1"/>
  <c r="W127" i="1" s="1"/>
  <c r="CU127" i="1"/>
  <c r="T127" i="1" s="1"/>
  <c r="FR127" i="1"/>
  <c r="GL127" i="1"/>
  <c r="GN127" i="1"/>
  <c r="GO127" i="1"/>
  <c r="GV127" i="1"/>
  <c r="HC127" i="1" s="1"/>
  <c r="GX127" i="1" s="1"/>
  <c r="C128" i="1"/>
  <c r="D128" i="1"/>
  <c r="AC128" i="1"/>
  <c r="CQ128" i="1" s="1"/>
  <c r="P128" i="1" s="1"/>
  <c r="AE128" i="1"/>
  <c r="AD128" i="1" s="1"/>
  <c r="AF128" i="1"/>
  <c r="CT128" i="1" s="1"/>
  <c r="S128" i="1" s="1"/>
  <c r="AG128" i="1"/>
  <c r="CU128" i="1" s="1"/>
  <c r="T128" i="1" s="1"/>
  <c r="AH128" i="1"/>
  <c r="CV128" i="1" s="1"/>
  <c r="U128" i="1" s="1"/>
  <c r="AI128" i="1"/>
  <c r="CW128" i="1" s="1"/>
  <c r="V128" i="1" s="1"/>
  <c r="AJ128" i="1"/>
  <c r="CX128" i="1" s="1"/>
  <c r="W128" i="1" s="1"/>
  <c r="CR128" i="1"/>
  <c r="Q128" i="1" s="1"/>
  <c r="FR128" i="1"/>
  <c r="GL128" i="1"/>
  <c r="GN128" i="1"/>
  <c r="GO128" i="1"/>
  <c r="GV128" i="1"/>
  <c r="HC128" i="1" s="1"/>
  <c r="GX128" i="1" s="1"/>
  <c r="C129" i="1"/>
  <c r="D129" i="1"/>
  <c r="I129" i="1"/>
  <c r="K129" i="1"/>
  <c r="AC129" i="1"/>
  <c r="AE129" i="1"/>
  <c r="AF129" i="1"/>
  <c r="AG129" i="1"/>
  <c r="AH129" i="1"/>
  <c r="CV129" i="1" s="1"/>
  <c r="U129" i="1" s="1"/>
  <c r="K296" i="5" s="1"/>
  <c r="AI129" i="1"/>
  <c r="CW129" i="1" s="1"/>
  <c r="AJ129" i="1"/>
  <c r="CX129" i="1" s="1"/>
  <c r="CS129" i="1"/>
  <c r="CU129" i="1"/>
  <c r="T129" i="1" s="1"/>
  <c r="FR129" i="1"/>
  <c r="GL129" i="1"/>
  <c r="GN129" i="1"/>
  <c r="GO129" i="1"/>
  <c r="GV129" i="1"/>
  <c r="HC129" i="1"/>
  <c r="C130" i="1"/>
  <c r="D130" i="1"/>
  <c r="AC130" i="1"/>
  <c r="CQ130" i="1" s="1"/>
  <c r="P130" i="1" s="1"/>
  <c r="J302" i="5" s="1"/>
  <c r="AE130" i="1"/>
  <c r="CS130" i="1" s="1"/>
  <c r="AF130" i="1"/>
  <c r="AG130" i="1"/>
  <c r="CU130" i="1" s="1"/>
  <c r="T130" i="1" s="1"/>
  <c r="AH130" i="1"/>
  <c r="CV130" i="1" s="1"/>
  <c r="U130" i="1" s="1"/>
  <c r="K309" i="5" s="1"/>
  <c r="AI130" i="1"/>
  <c r="CW130" i="1" s="1"/>
  <c r="V130" i="1" s="1"/>
  <c r="AJ130" i="1"/>
  <c r="CX130" i="1" s="1"/>
  <c r="W130" i="1" s="1"/>
  <c r="CT130" i="1"/>
  <c r="S130" i="1" s="1"/>
  <c r="FR130" i="1"/>
  <c r="GL130" i="1"/>
  <c r="GN130" i="1"/>
  <c r="GO130" i="1"/>
  <c r="GV130" i="1"/>
  <c r="HC130" i="1" s="1"/>
  <c r="GX130" i="1" s="1"/>
  <c r="I131" i="1"/>
  <c r="AC131" i="1"/>
  <c r="AE131" i="1"/>
  <c r="CS131" i="1" s="1"/>
  <c r="AF131" i="1"/>
  <c r="CT131" i="1" s="1"/>
  <c r="AG131" i="1"/>
  <c r="CU131" i="1" s="1"/>
  <c r="T131" i="1" s="1"/>
  <c r="AH131" i="1"/>
  <c r="CV131" i="1" s="1"/>
  <c r="U131" i="1" s="1"/>
  <c r="AI131" i="1"/>
  <c r="CW131" i="1" s="1"/>
  <c r="AJ131" i="1"/>
  <c r="CX131" i="1"/>
  <c r="FR131" i="1"/>
  <c r="GL131" i="1"/>
  <c r="GN131" i="1"/>
  <c r="GO131" i="1"/>
  <c r="GV131" i="1"/>
  <c r="HC131" i="1"/>
  <c r="I132" i="1"/>
  <c r="AC132" i="1"/>
  <c r="AE132" i="1"/>
  <c r="AF132" i="1"/>
  <c r="CT132" i="1" s="1"/>
  <c r="AG132" i="1"/>
  <c r="CU132" i="1" s="1"/>
  <c r="T132" i="1" s="1"/>
  <c r="AH132" i="1"/>
  <c r="CV132" i="1" s="1"/>
  <c r="AI132" i="1"/>
  <c r="CW132" i="1" s="1"/>
  <c r="AJ132" i="1"/>
  <c r="CR132" i="1"/>
  <c r="Q132" i="1" s="1"/>
  <c r="CX132" i="1"/>
  <c r="FR132" i="1"/>
  <c r="GL132" i="1"/>
  <c r="GN132" i="1"/>
  <c r="GO132" i="1"/>
  <c r="GV132" i="1"/>
  <c r="HC132" i="1" s="1"/>
  <c r="I133" i="1"/>
  <c r="AC133" i="1"/>
  <c r="AE133" i="1"/>
  <c r="CR133" i="1" s="1"/>
  <c r="Q133" i="1" s="1"/>
  <c r="AF133" i="1"/>
  <c r="AG133" i="1"/>
  <c r="CU133" i="1" s="1"/>
  <c r="T133" i="1" s="1"/>
  <c r="AH133" i="1"/>
  <c r="CV133" i="1" s="1"/>
  <c r="AI133" i="1"/>
  <c r="CW133" i="1" s="1"/>
  <c r="V133" i="1" s="1"/>
  <c r="AJ133" i="1"/>
  <c r="CT133" i="1"/>
  <c r="CX133" i="1"/>
  <c r="FR133" i="1"/>
  <c r="GL133" i="1"/>
  <c r="GN133" i="1"/>
  <c r="GO133" i="1"/>
  <c r="GV133" i="1"/>
  <c r="HC133" i="1" s="1"/>
  <c r="I134" i="1"/>
  <c r="AC134" i="1"/>
  <c r="CQ134" i="1" s="1"/>
  <c r="AE134" i="1"/>
  <c r="AD134" i="1" s="1"/>
  <c r="AF134" i="1"/>
  <c r="CT134" i="1" s="1"/>
  <c r="AG134" i="1"/>
  <c r="CU134" i="1" s="1"/>
  <c r="T134" i="1" s="1"/>
  <c r="AH134" i="1"/>
  <c r="CV134" i="1" s="1"/>
  <c r="AI134" i="1"/>
  <c r="CW134" i="1" s="1"/>
  <c r="AJ134" i="1"/>
  <c r="CX134" i="1"/>
  <c r="FR134" i="1"/>
  <c r="GL134" i="1"/>
  <c r="GN134" i="1"/>
  <c r="GO134" i="1"/>
  <c r="GV134" i="1"/>
  <c r="HC134" i="1" s="1"/>
  <c r="C135" i="1"/>
  <c r="D135" i="1"/>
  <c r="I135" i="1"/>
  <c r="K135" i="1"/>
  <c r="AC135" i="1"/>
  <c r="CQ135" i="1" s="1"/>
  <c r="AE135" i="1"/>
  <c r="U311" i="5" s="1"/>
  <c r="AF135" i="1"/>
  <c r="AG135" i="1"/>
  <c r="CU135" i="1" s="1"/>
  <c r="AH135" i="1"/>
  <c r="AI135" i="1"/>
  <c r="CW135" i="1" s="1"/>
  <c r="V135" i="1" s="1"/>
  <c r="AJ135" i="1"/>
  <c r="CX135" i="1" s="1"/>
  <c r="CV135" i="1"/>
  <c r="FR135" i="1"/>
  <c r="GL135" i="1"/>
  <c r="GN135" i="1"/>
  <c r="GO135" i="1"/>
  <c r="GV135" i="1"/>
  <c r="HC135" i="1" s="1"/>
  <c r="I136" i="1"/>
  <c r="AC136" i="1"/>
  <c r="AE136" i="1"/>
  <c r="AF136" i="1"/>
  <c r="AG136" i="1"/>
  <c r="AH136" i="1"/>
  <c r="AI136" i="1"/>
  <c r="AJ136" i="1"/>
  <c r="CX136" i="1" s="1"/>
  <c r="W136" i="1" s="1"/>
  <c r="CU136" i="1"/>
  <c r="CV136" i="1"/>
  <c r="CW136" i="1"/>
  <c r="FR136" i="1"/>
  <c r="GL136" i="1"/>
  <c r="GN136" i="1"/>
  <c r="GO136" i="1"/>
  <c r="GV136" i="1"/>
  <c r="HC136" i="1" s="1"/>
  <c r="AC137" i="1"/>
  <c r="AE137" i="1"/>
  <c r="AF137" i="1"/>
  <c r="CT137" i="1" s="1"/>
  <c r="AG137" i="1"/>
  <c r="CU137" i="1" s="1"/>
  <c r="AH137" i="1"/>
  <c r="AI137" i="1"/>
  <c r="AJ137" i="1"/>
  <c r="CX137" i="1" s="1"/>
  <c r="CQ137" i="1"/>
  <c r="CV137" i="1"/>
  <c r="CW137" i="1"/>
  <c r="FR137" i="1"/>
  <c r="GL137" i="1"/>
  <c r="GN137" i="1"/>
  <c r="GO137" i="1"/>
  <c r="GV137" i="1"/>
  <c r="HC137" i="1" s="1"/>
  <c r="AC138" i="1"/>
  <c r="CQ138" i="1" s="1"/>
  <c r="AE138" i="1"/>
  <c r="AF138" i="1"/>
  <c r="CT138" i="1" s="1"/>
  <c r="AG138" i="1"/>
  <c r="AH138" i="1"/>
  <c r="CV138" i="1" s="1"/>
  <c r="AI138" i="1"/>
  <c r="AJ138" i="1"/>
  <c r="CX138" i="1" s="1"/>
  <c r="CU138" i="1"/>
  <c r="CW138" i="1"/>
  <c r="FR138" i="1"/>
  <c r="GL138" i="1"/>
  <c r="GN138" i="1"/>
  <c r="GO138" i="1"/>
  <c r="GV138" i="1"/>
  <c r="HC138" i="1" s="1"/>
  <c r="C139" i="1"/>
  <c r="D139" i="1"/>
  <c r="V139" i="1"/>
  <c r="AC139" i="1"/>
  <c r="CQ139" i="1" s="1"/>
  <c r="P139" i="1" s="1"/>
  <c r="AE139" i="1"/>
  <c r="AF139" i="1"/>
  <c r="CT139" i="1" s="1"/>
  <c r="S139" i="1" s="1"/>
  <c r="AG139" i="1"/>
  <c r="CU139" i="1" s="1"/>
  <c r="T139" i="1" s="1"/>
  <c r="AH139" i="1"/>
  <c r="AI139" i="1"/>
  <c r="CW139" i="1" s="1"/>
  <c r="AJ139" i="1"/>
  <c r="CX139" i="1" s="1"/>
  <c r="W139" i="1" s="1"/>
  <c r="CV139" i="1"/>
  <c r="U139" i="1" s="1"/>
  <c r="FR139" i="1"/>
  <c r="GL139" i="1"/>
  <c r="GN139" i="1"/>
  <c r="GO139" i="1"/>
  <c r="GV139" i="1"/>
  <c r="HC139" i="1" s="1"/>
  <c r="GX139" i="1" s="1"/>
  <c r="C140" i="1"/>
  <c r="D140" i="1"/>
  <c r="V140" i="1"/>
  <c r="AC140" i="1"/>
  <c r="AD140" i="1"/>
  <c r="AE140" i="1"/>
  <c r="CR140" i="1" s="1"/>
  <c r="Q140" i="1" s="1"/>
  <c r="AF140" i="1"/>
  <c r="CT140" i="1" s="1"/>
  <c r="S140" i="1" s="1"/>
  <c r="AG140" i="1"/>
  <c r="CU140" i="1" s="1"/>
  <c r="T140" i="1" s="1"/>
  <c r="AH140" i="1"/>
  <c r="CV140" i="1" s="1"/>
  <c r="U140" i="1" s="1"/>
  <c r="AI140" i="1"/>
  <c r="CW140" i="1" s="1"/>
  <c r="AJ140" i="1"/>
  <c r="CX140" i="1" s="1"/>
  <c r="W140" i="1" s="1"/>
  <c r="CS140" i="1"/>
  <c r="R140" i="1" s="1"/>
  <c r="GK140" i="1" s="1"/>
  <c r="FR140" i="1"/>
  <c r="GL140" i="1"/>
  <c r="GN140" i="1"/>
  <c r="GO140" i="1"/>
  <c r="GV140" i="1"/>
  <c r="HC140" i="1" s="1"/>
  <c r="GX140" i="1" s="1"/>
  <c r="C141" i="1"/>
  <c r="D141" i="1"/>
  <c r="AC141" i="1"/>
  <c r="CQ141" i="1" s="1"/>
  <c r="P141" i="1" s="1"/>
  <c r="AE141" i="1"/>
  <c r="AD141" i="1" s="1"/>
  <c r="AF141" i="1"/>
  <c r="AG141" i="1"/>
  <c r="CU141" i="1" s="1"/>
  <c r="T141" i="1" s="1"/>
  <c r="AH141" i="1"/>
  <c r="CV141" i="1" s="1"/>
  <c r="U141" i="1" s="1"/>
  <c r="AI141" i="1"/>
  <c r="CW141" i="1" s="1"/>
  <c r="V141" i="1" s="1"/>
  <c r="AJ141" i="1"/>
  <c r="CT141" i="1"/>
  <c r="S141" i="1" s="1"/>
  <c r="CY141" i="1" s="1"/>
  <c r="X141" i="1" s="1"/>
  <c r="CX141" i="1"/>
  <c r="W141" i="1" s="1"/>
  <c r="FR141" i="1"/>
  <c r="GL141" i="1"/>
  <c r="GN141" i="1"/>
  <c r="GO141" i="1"/>
  <c r="GV141" i="1"/>
  <c r="HC141" i="1" s="1"/>
  <c r="GX141" i="1" s="1"/>
  <c r="C142" i="1"/>
  <c r="D142" i="1"/>
  <c r="AC142" i="1"/>
  <c r="AB142" i="1" s="1"/>
  <c r="AE142" i="1"/>
  <c r="AD142" i="1" s="1"/>
  <c r="AF142" i="1"/>
  <c r="CT142" i="1" s="1"/>
  <c r="S142" i="1" s="1"/>
  <c r="AG142" i="1"/>
  <c r="CU142" i="1" s="1"/>
  <c r="T142" i="1" s="1"/>
  <c r="AH142" i="1"/>
  <c r="CV142" i="1" s="1"/>
  <c r="U142" i="1" s="1"/>
  <c r="AI142" i="1"/>
  <c r="AJ142" i="1"/>
  <c r="CX142" i="1" s="1"/>
  <c r="W142" i="1" s="1"/>
  <c r="CW142" i="1"/>
  <c r="V142" i="1" s="1"/>
  <c r="FR142" i="1"/>
  <c r="GL142" i="1"/>
  <c r="GN142" i="1"/>
  <c r="GO142" i="1"/>
  <c r="GV142" i="1"/>
  <c r="HC142" i="1"/>
  <c r="GX142" i="1" s="1"/>
  <c r="I143" i="1"/>
  <c r="AC143" i="1"/>
  <c r="AB143" i="1" s="1"/>
  <c r="AE143" i="1"/>
  <c r="AD143" i="1" s="1"/>
  <c r="AF143" i="1"/>
  <c r="CT143" i="1" s="1"/>
  <c r="S143" i="1" s="1"/>
  <c r="AG143" i="1"/>
  <c r="CU143" i="1" s="1"/>
  <c r="AH143" i="1"/>
  <c r="CV143" i="1" s="1"/>
  <c r="AI143" i="1"/>
  <c r="AJ143" i="1"/>
  <c r="CX143" i="1" s="1"/>
  <c r="W143" i="1" s="1"/>
  <c r="CW143" i="1"/>
  <c r="FR143" i="1"/>
  <c r="GL143" i="1"/>
  <c r="GN143" i="1"/>
  <c r="GO143" i="1"/>
  <c r="GV143" i="1"/>
  <c r="HC143" i="1"/>
  <c r="I144" i="1"/>
  <c r="AC144" i="1"/>
  <c r="AB144" i="1" s="1"/>
  <c r="AE144" i="1"/>
  <c r="AD144" i="1" s="1"/>
  <c r="AF144" i="1"/>
  <c r="CT144" i="1" s="1"/>
  <c r="S144" i="1" s="1"/>
  <c r="AG144" i="1"/>
  <c r="CU144" i="1" s="1"/>
  <c r="AH144" i="1"/>
  <c r="CV144" i="1" s="1"/>
  <c r="AI144" i="1"/>
  <c r="AJ144" i="1"/>
  <c r="CX144" i="1" s="1"/>
  <c r="W144" i="1" s="1"/>
  <c r="CW144" i="1"/>
  <c r="FR144" i="1"/>
  <c r="GL144" i="1"/>
  <c r="GN144" i="1"/>
  <c r="GO144" i="1"/>
  <c r="GV144" i="1"/>
  <c r="HC144" i="1"/>
  <c r="I145" i="1"/>
  <c r="AC145" i="1"/>
  <c r="AB145" i="1" s="1"/>
  <c r="AE145" i="1"/>
  <c r="AD145" i="1" s="1"/>
  <c r="AF145" i="1"/>
  <c r="CT145" i="1" s="1"/>
  <c r="S145" i="1" s="1"/>
  <c r="AG145" i="1"/>
  <c r="CU145" i="1" s="1"/>
  <c r="AH145" i="1"/>
  <c r="CV145" i="1" s="1"/>
  <c r="AI145" i="1"/>
  <c r="AJ145" i="1"/>
  <c r="CX145" i="1" s="1"/>
  <c r="W145" i="1" s="1"/>
  <c r="CW145" i="1"/>
  <c r="FR145" i="1"/>
  <c r="GL145" i="1"/>
  <c r="GN145" i="1"/>
  <c r="GO145" i="1"/>
  <c r="GV145" i="1"/>
  <c r="HC145" i="1"/>
  <c r="I146" i="1"/>
  <c r="AC146" i="1"/>
  <c r="AB146" i="1" s="1"/>
  <c r="AE146" i="1"/>
  <c r="AD146" i="1" s="1"/>
  <c r="AF146" i="1"/>
  <c r="CT146" i="1" s="1"/>
  <c r="S146" i="1" s="1"/>
  <c r="AG146" i="1"/>
  <c r="CU146" i="1" s="1"/>
  <c r="AH146" i="1"/>
  <c r="CV146" i="1" s="1"/>
  <c r="AI146" i="1"/>
  <c r="AJ146" i="1"/>
  <c r="CX146" i="1" s="1"/>
  <c r="W146" i="1" s="1"/>
  <c r="CW146" i="1"/>
  <c r="FR146" i="1"/>
  <c r="GL146" i="1"/>
  <c r="GN146" i="1"/>
  <c r="GO146" i="1"/>
  <c r="GV146" i="1"/>
  <c r="HC146" i="1"/>
  <c r="I147" i="1"/>
  <c r="AC147" i="1"/>
  <c r="AB147" i="1" s="1"/>
  <c r="AE147" i="1"/>
  <c r="AD147" i="1" s="1"/>
  <c r="AF147" i="1"/>
  <c r="CT147" i="1" s="1"/>
  <c r="S147" i="1" s="1"/>
  <c r="AG147" i="1"/>
  <c r="CU147" i="1" s="1"/>
  <c r="AH147" i="1"/>
  <c r="CV147" i="1" s="1"/>
  <c r="AI147" i="1"/>
  <c r="AJ147" i="1"/>
  <c r="CX147" i="1" s="1"/>
  <c r="W147" i="1" s="1"/>
  <c r="CW147" i="1"/>
  <c r="FR147" i="1"/>
  <c r="GL147" i="1"/>
  <c r="GN147" i="1"/>
  <c r="GO147" i="1"/>
  <c r="GV147" i="1"/>
  <c r="HC147" i="1"/>
  <c r="I148" i="1"/>
  <c r="AC148" i="1"/>
  <c r="AB148" i="1" s="1"/>
  <c r="AE148" i="1"/>
  <c r="AD148" i="1" s="1"/>
  <c r="AF148" i="1"/>
  <c r="CT148" i="1" s="1"/>
  <c r="S148" i="1" s="1"/>
  <c r="AG148" i="1"/>
  <c r="CU148" i="1" s="1"/>
  <c r="AH148" i="1"/>
  <c r="CV148" i="1" s="1"/>
  <c r="AI148" i="1"/>
  <c r="AJ148" i="1"/>
  <c r="CX148" i="1" s="1"/>
  <c r="W148" i="1" s="1"/>
  <c r="CW148" i="1"/>
  <c r="FR148" i="1"/>
  <c r="GL148" i="1"/>
  <c r="GN148" i="1"/>
  <c r="GO148" i="1"/>
  <c r="GV148" i="1"/>
  <c r="HC148" i="1"/>
  <c r="I149" i="1"/>
  <c r="AC149" i="1"/>
  <c r="AB149" i="1" s="1"/>
  <c r="AE149" i="1"/>
  <c r="AD149" i="1" s="1"/>
  <c r="AF149" i="1"/>
  <c r="CT149" i="1" s="1"/>
  <c r="S149" i="1" s="1"/>
  <c r="AG149" i="1"/>
  <c r="CU149" i="1" s="1"/>
  <c r="AH149" i="1"/>
  <c r="CV149" i="1" s="1"/>
  <c r="AI149" i="1"/>
  <c r="AJ149" i="1"/>
  <c r="CX149" i="1" s="1"/>
  <c r="W149" i="1" s="1"/>
  <c r="CW149" i="1"/>
  <c r="FR149" i="1"/>
  <c r="GL149" i="1"/>
  <c r="GN149" i="1"/>
  <c r="GO149" i="1"/>
  <c r="GV149" i="1"/>
  <c r="HC149" i="1"/>
  <c r="I150" i="1"/>
  <c r="AC150" i="1"/>
  <c r="AB150" i="1" s="1"/>
  <c r="AE150" i="1"/>
  <c r="AD150" i="1" s="1"/>
  <c r="AF150" i="1"/>
  <c r="CT150" i="1" s="1"/>
  <c r="S150" i="1" s="1"/>
  <c r="AG150" i="1"/>
  <c r="CU150" i="1" s="1"/>
  <c r="AH150" i="1"/>
  <c r="CV150" i="1" s="1"/>
  <c r="AI150" i="1"/>
  <c r="AJ150" i="1"/>
  <c r="CX150" i="1" s="1"/>
  <c r="W150" i="1" s="1"/>
  <c r="CW150" i="1"/>
  <c r="FR150" i="1"/>
  <c r="GL150" i="1"/>
  <c r="GN150" i="1"/>
  <c r="GO150" i="1"/>
  <c r="GV150" i="1"/>
  <c r="HC150" i="1"/>
  <c r="AC151" i="1"/>
  <c r="CQ151" i="1" s="1"/>
  <c r="P151" i="1" s="1"/>
  <c r="AE151" i="1"/>
  <c r="AF151" i="1"/>
  <c r="AG151" i="1"/>
  <c r="CU151" i="1" s="1"/>
  <c r="T151" i="1" s="1"/>
  <c r="AH151" i="1"/>
  <c r="CV151" i="1" s="1"/>
  <c r="U151" i="1" s="1"/>
  <c r="AI151" i="1"/>
  <c r="CW151" i="1" s="1"/>
  <c r="V151" i="1" s="1"/>
  <c r="AJ151" i="1"/>
  <c r="CX151" i="1" s="1"/>
  <c r="W151" i="1" s="1"/>
  <c r="FR151" i="1"/>
  <c r="GL151" i="1"/>
  <c r="GN151" i="1"/>
  <c r="GO151" i="1"/>
  <c r="GV151" i="1"/>
  <c r="HC151" i="1"/>
  <c r="GX151" i="1" s="1"/>
  <c r="C152" i="1"/>
  <c r="D152" i="1"/>
  <c r="AC152" i="1"/>
  <c r="CQ152" i="1" s="1"/>
  <c r="P152" i="1" s="1"/>
  <c r="AE152" i="1"/>
  <c r="AD152" i="1" s="1"/>
  <c r="AF152" i="1"/>
  <c r="CT152" i="1" s="1"/>
  <c r="S152" i="1" s="1"/>
  <c r="CZ152" i="1" s="1"/>
  <c r="Y152" i="1" s="1"/>
  <c r="AG152" i="1"/>
  <c r="CU152" i="1" s="1"/>
  <c r="T152" i="1" s="1"/>
  <c r="AH152" i="1"/>
  <c r="AI152" i="1"/>
  <c r="CW152" i="1" s="1"/>
  <c r="V152" i="1" s="1"/>
  <c r="AJ152" i="1"/>
  <c r="CV152" i="1"/>
  <c r="U152" i="1" s="1"/>
  <c r="CX152" i="1"/>
  <c r="W152" i="1" s="1"/>
  <c r="FR152" i="1"/>
  <c r="GL152" i="1"/>
  <c r="GN152" i="1"/>
  <c r="GO152" i="1"/>
  <c r="GV152" i="1"/>
  <c r="HC152" i="1" s="1"/>
  <c r="GX152" i="1" s="1"/>
  <c r="C153" i="1"/>
  <c r="D153" i="1"/>
  <c r="AC153" i="1"/>
  <c r="CQ153" i="1" s="1"/>
  <c r="P153" i="1" s="1"/>
  <c r="AE153" i="1"/>
  <c r="CS153" i="1" s="1"/>
  <c r="R153" i="1" s="1"/>
  <c r="AF153" i="1"/>
  <c r="CT153" i="1" s="1"/>
  <c r="S153" i="1" s="1"/>
  <c r="AG153" i="1"/>
  <c r="CU153" i="1" s="1"/>
  <c r="T153" i="1" s="1"/>
  <c r="AH153" i="1"/>
  <c r="AI153" i="1"/>
  <c r="AJ153" i="1"/>
  <c r="CX153" i="1" s="1"/>
  <c r="W153" i="1" s="1"/>
  <c r="CV153" i="1"/>
  <c r="U153" i="1" s="1"/>
  <c r="CW153" i="1"/>
  <c r="V153" i="1" s="1"/>
  <c r="FR153" i="1"/>
  <c r="GL153" i="1"/>
  <c r="GN153" i="1"/>
  <c r="GO153" i="1"/>
  <c r="GV153" i="1"/>
  <c r="HC153" i="1" s="1"/>
  <c r="GX153" i="1" s="1"/>
  <c r="C154" i="1"/>
  <c r="D154" i="1"/>
  <c r="AC154" i="1"/>
  <c r="AE154" i="1"/>
  <c r="CS154" i="1" s="1"/>
  <c r="R154" i="1" s="1"/>
  <c r="AF154" i="1"/>
  <c r="CT154" i="1" s="1"/>
  <c r="S154" i="1" s="1"/>
  <c r="AG154" i="1"/>
  <c r="CU154" i="1" s="1"/>
  <c r="T154" i="1" s="1"/>
  <c r="AH154" i="1"/>
  <c r="AI154" i="1"/>
  <c r="AJ154" i="1"/>
  <c r="CX154" i="1" s="1"/>
  <c r="W154" i="1" s="1"/>
  <c r="CQ154" i="1"/>
  <c r="P154" i="1" s="1"/>
  <c r="CV154" i="1"/>
  <c r="U154" i="1" s="1"/>
  <c r="CW154" i="1"/>
  <c r="V154" i="1" s="1"/>
  <c r="FR154" i="1"/>
  <c r="GL154" i="1"/>
  <c r="GN154" i="1"/>
  <c r="GO154" i="1"/>
  <c r="GV154" i="1"/>
  <c r="HC154" i="1" s="1"/>
  <c r="GX154" i="1" s="1"/>
  <c r="B156" i="1"/>
  <c r="B22" i="1" s="1"/>
  <c r="C156" i="1"/>
  <c r="C22" i="1" s="1"/>
  <c r="D156" i="1"/>
  <c r="D22" i="1" s="1"/>
  <c r="F156" i="1"/>
  <c r="F22" i="1" s="1"/>
  <c r="G156" i="1"/>
  <c r="BX156" i="1"/>
  <c r="BX22" i="1" s="1"/>
  <c r="CK156" i="1"/>
  <c r="CK22" i="1" s="1"/>
  <c r="CL156" i="1"/>
  <c r="CL22" i="1" s="1"/>
  <c r="CM156" i="1"/>
  <c r="CM22" i="1" s="1"/>
  <c r="B186" i="1"/>
  <c r="B18" i="1" s="1"/>
  <c r="C186" i="1"/>
  <c r="C18" i="1" s="1"/>
  <c r="D186" i="1"/>
  <c r="D18" i="1" s="1"/>
  <c r="F186" i="1"/>
  <c r="F18" i="1" s="1"/>
  <c r="G186" i="1"/>
  <c r="B337" i="10" l="1"/>
  <c r="AG337" i="10"/>
  <c r="Q212" i="10"/>
  <c r="Q98" i="10"/>
  <c r="L315" i="10"/>
  <c r="L111" i="10"/>
  <c r="L82" i="10"/>
  <c r="L140" i="10"/>
  <c r="L177" i="10"/>
  <c r="Q167" i="10"/>
  <c r="J334" i="10" s="1"/>
  <c r="Q112" i="1"/>
  <c r="V112" i="1"/>
  <c r="AO156" i="1"/>
  <c r="AO22" i="1" s="1"/>
  <c r="T150" i="1"/>
  <c r="T149" i="1"/>
  <c r="T148" i="1"/>
  <c r="T147" i="1"/>
  <c r="T146" i="1"/>
  <c r="T145" i="1"/>
  <c r="T144" i="1"/>
  <c r="T143" i="1"/>
  <c r="GX135" i="1"/>
  <c r="U133" i="1"/>
  <c r="CS122" i="1"/>
  <c r="R122" i="1" s="1"/>
  <c r="GK122" i="1" s="1"/>
  <c r="AB116" i="1"/>
  <c r="CS112" i="1"/>
  <c r="U112" i="1"/>
  <c r="AD112" i="1"/>
  <c r="CS103" i="1"/>
  <c r="R103" i="1" s="1"/>
  <c r="GK103" i="1" s="1"/>
  <c r="AD103" i="1"/>
  <c r="AB102" i="1"/>
  <c r="R100" i="1"/>
  <c r="GK100" i="1" s="1"/>
  <c r="AB91" i="1"/>
  <c r="GX82" i="1"/>
  <c r="AD59" i="1"/>
  <c r="CR59" i="1"/>
  <c r="Q59" i="1" s="1"/>
  <c r="S57" i="1"/>
  <c r="AB104" i="1"/>
  <c r="CR113" i="1"/>
  <c r="Q113" i="1" s="1"/>
  <c r="T112" i="1"/>
  <c r="AB103" i="1"/>
  <c r="V101" i="1"/>
  <c r="CR97" i="1"/>
  <c r="Q97" i="1" s="1"/>
  <c r="CP97" i="1" s="1"/>
  <c r="O97" i="1" s="1"/>
  <c r="AD97" i="1"/>
  <c r="AB97" i="1" s="1"/>
  <c r="CS97" i="1"/>
  <c r="R97" i="1" s="1"/>
  <c r="GK97" i="1" s="1"/>
  <c r="V69" i="1"/>
  <c r="AD69" i="1"/>
  <c r="CR69" i="1"/>
  <c r="Q69" i="1" s="1"/>
  <c r="U117" i="5"/>
  <c r="CR58" i="1"/>
  <c r="Q58" i="1" s="1"/>
  <c r="V57" i="1"/>
  <c r="R57" i="1"/>
  <c r="GK57" i="1" s="1"/>
  <c r="CZ123" i="1"/>
  <c r="Y123" i="1" s="1"/>
  <c r="CR134" i="1"/>
  <c r="Q134" i="1" s="1"/>
  <c r="V136" i="1"/>
  <c r="U135" i="1"/>
  <c r="K321" i="5" s="1"/>
  <c r="P135" i="1"/>
  <c r="J316" i="5" s="1"/>
  <c r="V131" i="1"/>
  <c r="V303" i="5"/>
  <c r="V129" i="1"/>
  <c r="CS128" i="1"/>
  <c r="R128" i="1" s="1"/>
  <c r="GK128" i="1" s="1"/>
  <c r="W112" i="1"/>
  <c r="CR104" i="1"/>
  <c r="Q104" i="1" s="1"/>
  <c r="U104" i="1"/>
  <c r="CS101" i="1"/>
  <c r="V100" i="1"/>
  <c r="Q100" i="1"/>
  <c r="CR98" i="1"/>
  <c r="Q98" i="1" s="1"/>
  <c r="AB81" i="1"/>
  <c r="V157" i="5"/>
  <c r="CS75" i="1"/>
  <c r="U153" i="5"/>
  <c r="AD73" i="1"/>
  <c r="CR73" i="1"/>
  <c r="Q73" i="1" s="1"/>
  <c r="AB70" i="1"/>
  <c r="CS69" i="1"/>
  <c r="V67" i="1"/>
  <c r="AD58" i="1"/>
  <c r="W45" i="1"/>
  <c r="CR24" i="1"/>
  <c r="Q24" i="1" s="1"/>
  <c r="J35" i="5" s="1"/>
  <c r="CS24" i="1"/>
  <c r="U53" i="1"/>
  <c r="U47" i="1"/>
  <c r="S47" i="1"/>
  <c r="CY47" i="1" s="1"/>
  <c r="X47" i="1" s="1"/>
  <c r="GX45" i="1"/>
  <c r="V28" i="1"/>
  <c r="BZ156" i="1"/>
  <c r="BZ22" i="1" s="1"/>
  <c r="O124" i="8"/>
  <c r="T91" i="1"/>
  <c r="U91" i="1"/>
  <c r="V88" i="1"/>
  <c r="U181" i="5"/>
  <c r="AB84" i="1"/>
  <c r="W82" i="1"/>
  <c r="GX73" i="1"/>
  <c r="GX69" i="1"/>
  <c r="AB68" i="1"/>
  <c r="BY156" i="1"/>
  <c r="BY22" i="1" s="1"/>
  <c r="U59" i="1"/>
  <c r="T57" i="1"/>
  <c r="U57" i="1"/>
  <c r="U54" i="1"/>
  <c r="GX39" i="1"/>
  <c r="W39" i="1"/>
  <c r="W38" i="1"/>
  <c r="V35" i="1"/>
  <c r="U28" i="1"/>
  <c r="V27" i="1"/>
  <c r="T100" i="1"/>
  <c r="AB100" i="1"/>
  <c r="U92" i="1"/>
  <c r="K206" i="5" s="1"/>
  <c r="P91" i="1"/>
  <c r="CS88" i="1"/>
  <c r="V181" i="5" s="1"/>
  <c r="U88" i="1"/>
  <c r="AB85" i="1"/>
  <c r="CR81" i="1"/>
  <c r="U163" i="5"/>
  <c r="U157" i="5"/>
  <c r="P73" i="1"/>
  <c r="T73" i="1"/>
  <c r="U151" i="5"/>
  <c r="P69" i="1"/>
  <c r="P67" i="1"/>
  <c r="T60" i="1"/>
  <c r="GX59" i="1"/>
  <c r="P59" i="1"/>
  <c r="T59" i="1"/>
  <c r="U45" i="1"/>
  <c r="P45" i="1"/>
  <c r="V39" i="1"/>
  <c r="U33" i="1"/>
  <c r="W32" i="1"/>
  <c r="U27" i="1"/>
  <c r="CZ128" i="1"/>
  <c r="Y128" i="1" s="1"/>
  <c r="CY128" i="1"/>
  <c r="X128" i="1" s="1"/>
  <c r="CY60" i="1"/>
  <c r="X60" i="1" s="1"/>
  <c r="R124" i="5" s="1"/>
  <c r="J126" i="5"/>
  <c r="CY117" i="1"/>
  <c r="X117" i="1" s="1"/>
  <c r="CZ117" i="1"/>
  <c r="Y117" i="1" s="1"/>
  <c r="R130" i="1"/>
  <c r="V298" i="5"/>
  <c r="CZ55" i="1"/>
  <c r="Y55" i="1" s="1"/>
  <c r="T107" i="5" s="1"/>
  <c r="J108" i="5"/>
  <c r="CY55" i="1"/>
  <c r="X55" i="1" s="1"/>
  <c r="R107" i="5" s="1"/>
  <c r="CT151" i="1"/>
  <c r="S151" i="1" s="1"/>
  <c r="S323" i="5"/>
  <c r="Q323" i="5"/>
  <c r="I135" i="8"/>
  <c r="D90" i="7" s="1"/>
  <c r="D94" i="6"/>
  <c r="E317" i="5"/>
  <c r="CT129" i="1"/>
  <c r="S129" i="1" s="1"/>
  <c r="S290" i="5"/>
  <c r="Q290" i="5"/>
  <c r="N106" i="8"/>
  <c r="K106" i="8"/>
  <c r="R111" i="1"/>
  <c r="GK111" i="1" s="1"/>
  <c r="V246" i="5"/>
  <c r="GX104" i="1"/>
  <c r="N89" i="8"/>
  <c r="K89" i="8"/>
  <c r="AD92" i="1"/>
  <c r="U196" i="5"/>
  <c r="CP89" i="1"/>
  <c r="O89" i="1" s="1"/>
  <c r="CT83" i="1"/>
  <c r="S177" i="5"/>
  <c r="Q177" i="5"/>
  <c r="CT76" i="1"/>
  <c r="CT65" i="1"/>
  <c r="S65" i="1" s="1"/>
  <c r="J146" i="5" s="1"/>
  <c r="S144" i="5"/>
  <c r="Q144" i="5"/>
  <c r="CR51" i="1"/>
  <c r="Q51" i="1" s="1"/>
  <c r="CS51" i="1"/>
  <c r="R51" i="1" s="1"/>
  <c r="GK51" i="1" s="1"/>
  <c r="O130" i="8"/>
  <c r="M130" i="8"/>
  <c r="F33" i="7" s="1"/>
  <c r="R108" i="8"/>
  <c r="T108" i="8"/>
  <c r="T98" i="8"/>
  <c r="R98" i="8"/>
  <c r="O99" i="8"/>
  <c r="M99" i="8"/>
  <c r="T90" i="8"/>
  <c r="R90" i="8"/>
  <c r="O91" i="8"/>
  <c r="M91" i="8"/>
  <c r="T92" i="8"/>
  <c r="R92" i="8"/>
  <c r="O85" i="8"/>
  <c r="M85" i="8"/>
  <c r="F29" i="7" s="1"/>
  <c r="T87" i="8"/>
  <c r="R87" i="8"/>
  <c r="O69" i="8"/>
  <c r="M69" i="8"/>
  <c r="T71" i="8"/>
  <c r="R71" i="8"/>
  <c r="O54" i="8"/>
  <c r="M54" i="8"/>
  <c r="F21" i="7" s="1"/>
  <c r="R55" i="8"/>
  <c r="T55" i="8"/>
  <c r="M56" i="8"/>
  <c r="F10" i="7" s="1"/>
  <c r="O56" i="8"/>
  <c r="M28" i="8"/>
  <c r="O28" i="8"/>
  <c r="O29" i="8"/>
  <c r="M29" i="8"/>
  <c r="M12" i="8"/>
  <c r="O12" i="8"/>
  <c r="T13" i="8"/>
  <c r="R13" i="8"/>
  <c r="O9" i="8"/>
  <c r="M9" i="8"/>
  <c r="M10" i="8"/>
  <c r="O10" i="8"/>
  <c r="CY130" i="1"/>
  <c r="X130" i="1" s="1"/>
  <c r="R298" i="5" s="1"/>
  <c r="J299" i="5"/>
  <c r="CS118" i="1"/>
  <c r="R118" i="1" s="1"/>
  <c r="GK118" i="1" s="1"/>
  <c r="CQ103" i="1"/>
  <c r="P103" i="1" s="1"/>
  <c r="S218" i="5"/>
  <c r="Q218" i="5"/>
  <c r="CS94" i="1"/>
  <c r="CQ86" i="1"/>
  <c r="I81" i="8"/>
  <c r="D51" i="7" s="1"/>
  <c r="D62" i="6"/>
  <c r="E177" i="5"/>
  <c r="S111" i="5"/>
  <c r="Q111" i="5"/>
  <c r="V101" i="5"/>
  <c r="R45" i="1"/>
  <c r="GK45" i="1" s="1"/>
  <c r="S49" i="8"/>
  <c r="P49" i="8"/>
  <c r="CS41" i="1"/>
  <c r="N35" i="8"/>
  <c r="K35" i="8"/>
  <c r="AB152" i="1"/>
  <c r="U150" i="1"/>
  <c r="U146" i="1"/>
  <c r="U143" i="1"/>
  <c r="S135" i="8"/>
  <c r="P135" i="8"/>
  <c r="R135" i="8" s="1"/>
  <c r="U317" i="5"/>
  <c r="T135" i="1"/>
  <c r="CS133" i="1"/>
  <c r="V305" i="5" s="1"/>
  <c r="CQ133" i="1"/>
  <c r="P133" i="1" s="1"/>
  <c r="N127" i="8"/>
  <c r="K127" i="8"/>
  <c r="CQ131" i="1"/>
  <c r="P131" i="1" s="1"/>
  <c r="K125" i="8"/>
  <c r="N125" i="8"/>
  <c r="R129" i="1"/>
  <c r="GK129" i="1" s="1"/>
  <c r="V290" i="5"/>
  <c r="AD129" i="1"/>
  <c r="AB129" i="1" s="1"/>
  <c r="U290" i="5"/>
  <c r="R120" i="1"/>
  <c r="CR118" i="1"/>
  <c r="Q118" i="1" s="1"/>
  <c r="S113" i="8"/>
  <c r="P113" i="8"/>
  <c r="S254" i="5"/>
  <c r="Q254" i="5"/>
  <c r="CT112" i="1"/>
  <c r="S112" i="1" s="1"/>
  <c r="S249" i="5"/>
  <c r="Q249" i="5"/>
  <c r="CR111" i="1"/>
  <c r="Q111" i="1" s="1"/>
  <c r="AD111" i="1"/>
  <c r="AB111" i="1" s="1"/>
  <c r="U230" i="5"/>
  <c r="V104" i="1"/>
  <c r="T99" i="1"/>
  <c r="CS96" i="1"/>
  <c r="T95" i="1"/>
  <c r="CS95" i="1"/>
  <c r="U218" i="5"/>
  <c r="CR94" i="1"/>
  <c r="Q94" i="1" s="1"/>
  <c r="J210" i="5" s="1"/>
  <c r="AD94" i="1"/>
  <c r="AB94" i="1" s="1"/>
  <c r="CS92" i="1"/>
  <c r="V196" i="5" s="1"/>
  <c r="N84" i="8"/>
  <c r="K84" i="8"/>
  <c r="Q186" i="5"/>
  <c r="S186" i="5"/>
  <c r="CR88" i="1"/>
  <c r="Q88" i="1" s="1"/>
  <c r="AD88" i="1"/>
  <c r="AB88" i="1" s="1"/>
  <c r="P88" i="1"/>
  <c r="E181" i="5"/>
  <c r="D66" i="6"/>
  <c r="CR87" i="1"/>
  <c r="U87" i="1"/>
  <c r="AD87" i="1"/>
  <c r="AB87" i="1" s="1"/>
  <c r="CT86" i="1"/>
  <c r="P82" i="8"/>
  <c r="S82" i="8"/>
  <c r="CT82" i="1"/>
  <c r="S82" i="1" s="1"/>
  <c r="P81" i="8"/>
  <c r="S81" i="8"/>
  <c r="U177" i="5"/>
  <c r="CT81" i="1"/>
  <c r="S81" i="1" s="1"/>
  <c r="J175" i="5" s="1"/>
  <c r="S173" i="5"/>
  <c r="Q173" i="5"/>
  <c r="I83" i="1"/>
  <c r="G113" i="9"/>
  <c r="G117" i="9"/>
  <c r="G115" i="9"/>
  <c r="C114" i="9"/>
  <c r="I80" i="8"/>
  <c r="D36" i="7" s="1"/>
  <c r="D61" i="6"/>
  <c r="E173" i="5"/>
  <c r="C174" i="5"/>
  <c r="G116" i="9"/>
  <c r="S79" i="8"/>
  <c r="P79" i="8"/>
  <c r="G104" i="9"/>
  <c r="G112" i="9"/>
  <c r="G110" i="9"/>
  <c r="G108" i="9"/>
  <c r="G106" i="9"/>
  <c r="G111" i="9"/>
  <c r="I76" i="8"/>
  <c r="I73" i="8"/>
  <c r="C105" i="9"/>
  <c r="G107" i="9"/>
  <c r="I77" i="8"/>
  <c r="I74" i="8"/>
  <c r="G109" i="9"/>
  <c r="I75" i="8"/>
  <c r="I78" i="8"/>
  <c r="D58" i="6"/>
  <c r="E163" i="5"/>
  <c r="C164" i="5"/>
  <c r="CR77" i="1"/>
  <c r="AD77" i="1"/>
  <c r="R75" i="1"/>
  <c r="GK75" i="1" s="1"/>
  <c r="V155" i="5"/>
  <c r="V75" i="1"/>
  <c r="D55" i="6"/>
  <c r="E155" i="5"/>
  <c r="R71" i="1"/>
  <c r="GK71" i="1" s="1"/>
  <c r="V151" i="5"/>
  <c r="V71" i="1"/>
  <c r="E151" i="5"/>
  <c r="D51" i="6"/>
  <c r="T69" i="1"/>
  <c r="P72" i="8"/>
  <c r="S72" i="8"/>
  <c r="R65" i="1"/>
  <c r="V144" i="5"/>
  <c r="S136" i="5"/>
  <c r="Q136" i="5"/>
  <c r="Q60" i="1"/>
  <c r="J127" i="5" s="1"/>
  <c r="K58" i="8"/>
  <c r="N58" i="8"/>
  <c r="AD57" i="1"/>
  <c r="AD56" i="1"/>
  <c r="S57" i="8"/>
  <c r="P57" i="8"/>
  <c r="U111" i="5"/>
  <c r="I57" i="8"/>
  <c r="D79" i="7" s="1"/>
  <c r="D42" i="6"/>
  <c r="E111" i="5"/>
  <c r="Q54" i="1"/>
  <c r="AD51" i="1"/>
  <c r="U43" i="1"/>
  <c r="I50" i="8"/>
  <c r="D39" i="7" s="1"/>
  <c r="D37" i="6"/>
  <c r="E99" i="5"/>
  <c r="CT26" i="1"/>
  <c r="S26" i="1" s="1"/>
  <c r="J54" i="5" s="1"/>
  <c r="S53" i="5"/>
  <c r="Q53" i="5"/>
  <c r="CS25" i="1"/>
  <c r="U43" i="5"/>
  <c r="T117" i="8"/>
  <c r="R117" i="8"/>
  <c r="O118" i="8"/>
  <c r="M118" i="8"/>
  <c r="F62" i="7" s="1"/>
  <c r="O107" i="8"/>
  <c r="M107" i="8"/>
  <c r="R103" i="8"/>
  <c r="T103" i="8"/>
  <c r="R93" i="8"/>
  <c r="T93" i="8"/>
  <c r="T95" i="8"/>
  <c r="R95" i="8"/>
  <c r="M97" i="8"/>
  <c r="O97" i="8"/>
  <c r="R75" i="8"/>
  <c r="O67" i="8"/>
  <c r="M67" i="8"/>
  <c r="T38" i="8"/>
  <c r="R38" i="8"/>
  <c r="M40" i="8"/>
  <c r="F25" i="7" s="1"/>
  <c r="O40" i="8"/>
  <c r="T42" i="8"/>
  <c r="R42" i="8"/>
  <c r="O43" i="8"/>
  <c r="M43" i="8"/>
  <c r="F13" i="7" s="1"/>
  <c r="CT136" i="1"/>
  <c r="S136" i="1" s="1"/>
  <c r="S317" i="5"/>
  <c r="Q317" i="5"/>
  <c r="G199" i="9"/>
  <c r="G197" i="9"/>
  <c r="G195" i="9"/>
  <c r="G193" i="9"/>
  <c r="C191" i="9"/>
  <c r="G190" i="9"/>
  <c r="I130" i="8"/>
  <c r="D33" i="7" s="1"/>
  <c r="G200" i="9"/>
  <c r="G198" i="9"/>
  <c r="G196" i="9"/>
  <c r="G194" i="9"/>
  <c r="G192" i="9"/>
  <c r="I134" i="8"/>
  <c r="D12" i="7" s="1"/>
  <c r="I133" i="8"/>
  <c r="I131" i="8"/>
  <c r="D31" i="7" s="1"/>
  <c r="I132" i="8"/>
  <c r="D22" i="7" s="1"/>
  <c r="I129" i="8"/>
  <c r="D34" i="7" s="1"/>
  <c r="I128" i="8"/>
  <c r="D46" i="7" s="1"/>
  <c r="E311" i="5"/>
  <c r="D93" i="6"/>
  <c r="C312" i="5"/>
  <c r="GX134" i="1"/>
  <c r="AD131" i="1"/>
  <c r="S125" i="8"/>
  <c r="T125" i="8" s="1"/>
  <c r="P125" i="8"/>
  <c r="U303" i="5"/>
  <c r="AD130" i="1"/>
  <c r="U298" i="5"/>
  <c r="G150" i="9"/>
  <c r="G148" i="9"/>
  <c r="G146" i="9"/>
  <c r="C144" i="9"/>
  <c r="I104" i="8"/>
  <c r="G143" i="9"/>
  <c r="G151" i="9"/>
  <c r="G149" i="9"/>
  <c r="G147" i="9"/>
  <c r="G145" i="9"/>
  <c r="I105" i="8"/>
  <c r="I102" i="8"/>
  <c r="I100" i="8"/>
  <c r="I103" i="8"/>
  <c r="I101" i="8"/>
  <c r="D47" i="7" s="1"/>
  <c r="E230" i="5"/>
  <c r="D74" i="6"/>
  <c r="C231" i="5"/>
  <c r="N66" i="8"/>
  <c r="K66" i="8"/>
  <c r="CT61" i="1"/>
  <c r="N52" i="8"/>
  <c r="K52" i="8"/>
  <c r="CR44" i="1"/>
  <c r="S51" i="8"/>
  <c r="P51" i="8"/>
  <c r="R128" i="8"/>
  <c r="T128" i="8"/>
  <c r="M104" i="8"/>
  <c r="O104" i="8"/>
  <c r="U145" i="1"/>
  <c r="CS141" i="1"/>
  <c r="R141" i="1" s="1"/>
  <c r="GK141" i="1" s="1"/>
  <c r="U136" i="1"/>
  <c r="CS149" i="1"/>
  <c r="CS148" i="1"/>
  <c r="CS147" i="1"/>
  <c r="CS146" i="1"/>
  <c r="CS145" i="1"/>
  <c r="CS144" i="1"/>
  <c r="CS143" i="1"/>
  <c r="CS142" i="1"/>
  <c r="R142" i="1" s="1"/>
  <c r="GK142" i="1" s="1"/>
  <c r="CR141" i="1"/>
  <c r="Q141" i="1" s="1"/>
  <c r="CP141" i="1" s="1"/>
  <c r="O141" i="1" s="1"/>
  <c r="AB141" i="1"/>
  <c r="I138" i="1"/>
  <c r="GX136" i="1"/>
  <c r="T136" i="1"/>
  <c r="K135" i="8"/>
  <c r="N135" i="8"/>
  <c r="O135" i="8" s="1"/>
  <c r="W135" i="1"/>
  <c r="V134" i="1"/>
  <c r="GX133" i="1"/>
  <c r="I127" i="8"/>
  <c r="D89" i="7" s="1"/>
  <c r="D92" i="6"/>
  <c r="E305" i="5"/>
  <c r="V132" i="1"/>
  <c r="AD132" i="1"/>
  <c r="P126" i="8"/>
  <c r="S126" i="8"/>
  <c r="U304" i="5"/>
  <c r="CR131" i="1"/>
  <c r="Q131" i="1" s="1"/>
  <c r="GX131" i="1"/>
  <c r="I125" i="8"/>
  <c r="D87" i="7" s="1"/>
  <c r="D90" i="6"/>
  <c r="E303" i="5"/>
  <c r="CZ130" i="1"/>
  <c r="Y130" i="1" s="1"/>
  <c r="T298" i="5" s="1"/>
  <c r="CR130" i="1"/>
  <c r="Q130" i="1" s="1"/>
  <c r="J300" i="5" s="1"/>
  <c r="CC156" i="1"/>
  <c r="CR129" i="1"/>
  <c r="CS127" i="1"/>
  <c r="R127" i="1" s="1"/>
  <c r="GK127" i="1" s="1"/>
  <c r="Q283" i="5"/>
  <c r="S283" i="5"/>
  <c r="CT120" i="1"/>
  <c r="S120" i="1" s="1"/>
  <c r="S264" i="5"/>
  <c r="Q264" i="5"/>
  <c r="CB156" i="1"/>
  <c r="CP118" i="1"/>
  <c r="O118" i="1" s="1"/>
  <c r="CT115" i="1"/>
  <c r="CT114" i="1"/>
  <c r="N113" i="8"/>
  <c r="K113" i="8"/>
  <c r="G164" i="9"/>
  <c r="G162" i="9"/>
  <c r="G160" i="9"/>
  <c r="G158" i="9"/>
  <c r="I111" i="8"/>
  <c r="D63" i="7" s="1"/>
  <c r="G165" i="9"/>
  <c r="G163" i="9"/>
  <c r="G161" i="9"/>
  <c r="G159" i="9"/>
  <c r="C157" i="9"/>
  <c r="G156" i="9"/>
  <c r="I112" i="8"/>
  <c r="I108" i="8"/>
  <c r="I110" i="8"/>
  <c r="I109" i="8"/>
  <c r="I107" i="8"/>
  <c r="C255" i="5"/>
  <c r="D82" i="6"/>
  <c r="E254" i="5"/>
  <c r="R112" i="1"/>
  <c r="GK112" i="1" s="1"/>
  <c r="V249" i="5"/>
  <c r="S106" i="8"/>
  <c r="P106" i="8"/>
  <c r="U249" i="5"/>
  <c r="GX112" i="1"/>
  <c r="I106" i="8"/>
  <c r="D81" i="6"/>
  <c r="E249" i="5"/>
  <c r="G155" i="9"/>
  <c r="C153" i="9"/>
  <c r="G152" i="9"/>
  <c r="G154" i="9"/>
  <c r="E246" i="5"/>
  <c r="D80" i="6"/>
  <c r="C247" i="5"/>
  <c r="U105" i="1"/>
  <c r="K244" i="5" s="1"/>
  <c r="S104" i="1"/>
  <c r="V103" i="1"/>
  <c r="CY102" i="1"/>
  <c r="X102" i="1" s="1"/>
  <c r="CR102" i="1"/>
  <c r="Q102" i="1" s="1"/>
  <c r="U102" i="1"/>
  <c r="CR101" i="1"/>
  <c r="Q101" i="1" s="1"/>
  <c r="U101" i="1"/>
  <c r="W99" i="1"/>
  <c r="AB99" i="1"/>
  <c r="CT96" i="1"/>
  <c r="AD96" i="1"/>
  <c r="CT95" i="1"/>
  <c r="S95" i="1" s="1"/>
  <c r="AD95" i="1"/>
  <c r="CR92" i="1"/>
  <c r="Q92" i="1" s="1"/>
  <c r="J199" i="5" s="1"/>
  <c r="CT91" i="1"/>
  <c r="S91" i="1" s="1"/>
  <c r="S190" i="5"/>
  <c r="Q190" i="5"/>
  <c r="CR90" i="1"/>
  <c r="Q90" i="1" s="1"/>
  <c r="J188" i="5" s="1"/>
  <c r="U186" i="5"/>
  <c r="W87" i="1"/>
  <c r="P87" i="1"/>
  <c r="CR85" i="1"/>
  <c r="I85" i="1"/>
  <c r="W85" i="1" s="1"/>
  <c r="CR83" i="1"/>
  <c r="Q83" i="1" s="1"/>
  <c r="U83" i="1"/>
  <c r="AD83" i="1"/>
  <c r="CS82" i="1"/>
  <c r="V177" i="5" s="1"/>
  <c r="U82" i="1"/>
  <c r="AD82" i="1"/>
  <c r="AB82" i="1" s="1"/>
  <c r="R81" i="1"/>
  <c r="GK81" i="1" s="1"/>
  <c r="V173" i="5"/>
  <c r="U173" i="5"/>
  <c r="N79" i="8"/>
  <c r="K79" i="8"/>
  <c r="S78" i="1"/>
  <c r="T78" i="1"/>
  <c r="CR76" i="1"/>
  <c r="AD76" i="1"/>
  <c r="AB76" i="1" s="1"/>
  <c r="CR75" i="1"/>
  <c r="Q75" i="1" s="1"/>
  <c r="AD75" i="1"/>
  <c r="CT74" i="1"/>
  <c r="CT73" i="1"/>
  <c r="S73" i="1" s="1"/>
  <c r="CP73" i="1" s="1"/>
  <c r="O73" i="1" s="1"/>
  <c r="J153" i="5" s="1"/>
  <c r="S153" i="5"/>
  <c r="Q153" i="5"/>
  <c r="CR72" i="1"/>
  <c r="AD72" i="1"/>
  <c r="AB72" i="1" s="1"/>
  <c r="CR71" i="1"/>
  <c r="Q71" i="1" s="1"/>
  <c r="AD71" i="1"/>
  <c r="S69" i="1"/>
  <c r="CR66" i="1"/>
  <c r="AD66" i="1"/>
  <c r="AB66" i="1" s="1"/>
  <c r="CR65" i="1"/>
  <c r="AD65" i="1"/>
  <c r="AD62" i="1"/>
  <c r="U136" i="5"/>
  <c r="CX74" i="3"/>
  <c r="C94" i="9"/>
  <c r="G93" i="9"/>
  <c r="G95" i="9"/>
  <c r="D47" i="6"/>
  <c r="E136" i="5"/>
  <c r="C137" i="5"/>
  <c r="CR61" i="1"/>
  <c r="AD61" i="1"/>
  <c r="S124" i="5"/>
  <c r="Q124" i="5"/>
  <c r="CT59" i="1"/>
  <c r="S59" i="1" s="1"/>
  <c r="CY59" i="1" s="1"/>
  <c r="X59" i="1" s="1"/>
  <c r="R119" i="5" s="1"/>
  <c r="S119" i="5"/>
  <c r="Q119" i="5"/>
  <c r="AB58" i="1"/>
  <c r="S117" i="5"/>
  <c r="Q117" i="5"/>
  <c r="GX57" i="1"/>
  <c r="CR57" i="1"/>
  <c r="Q57" i="1" s="1"/>
  <c r="P57" i="1"/>
  <c r="GX56" i="1"/>
  <c r="CT56" i="1"/>
  <c r="CQ56" i="1"/>
  <c r="K57" i="8"/>
  <c r="N57" i="8"/>
  <c r="GX54" i="1"/>
  <c r="AB54" i="1"/>
  <c r="S49" i="1"/>
  <c r="I52" i="8"/>
  <c r="D41" i="7" s="1"/>
  <c r="D39" i="6"/>
  <c r="E101" i="5"/>
  <c r="W43" i="1"/>
  <c r="CY31" i="1"/>
  <c r="X31" i="1" s="1"/>
  <c r="R66" i="5" s="1"/>
  <c r="J73" i="5" s="1"/>
  <c r="J67" i="5"/>
  <c r="P28" i="1"/>
  <c r="T28" i="1"/>
  <c r="N24" i="8"/>
  <c r="K24" i="8"/>
  <c r="O121" i="8"/>
  <c r="M121" i="8"/>
  <c r="F75" i="7" s="1"/>
  <c r="T100" i="8"/>
  <c r="T101" i="8"/>
  <c r="R101" i="8"/>
  <c r="M102" i="8"/>
  <c r="O102" i="8"/>
  <c r="R104" i="8"/>
  <c r="O93" i="8"/>
  <c r="M87" i="8"/>
  <c r="O74" i="8"/>
  <c r="T76" i="8"/>
  <c r="O78" i="8"/>
  <c r="M78" i="8"/>
  <c r="M71" i="8"/>
  <c r="R60" i="8"/>
  <c r="O62" i="8"/>
  <c r="M62" i="8"/>
  <c r="M63" i="8"/>
  <c r="O63" i="8"/>
  <c r="O65" i="8"/>
  <c r="M65" i="8"/>
  <c r="R37" i="8"/>
  <c r="T37" i="8"/>
  <c r="M19" i="8"/>
  <c r="O19" i="8"/>
  <c r="O20" i="8"/>
  <c r="M20" i="8"/>
  <c r="F24" i="7" s="1"/>
  <c r="AD133" i="1"/>
  <c r="S127" i="8"/>
  <c r="T127" i="8" s="1"/>
  <c r="P127" i="8"/>
  <c r="R127" i="8" s="1"/>
  <c r="U305" i="5"/>
  <c r="GX132" i="1"/>
  <c r="I126" i="8"/>
  <c r="D88" i="7" s="1"/>
  <c r="D91" i="6"/>
  <c r="E304" i="5"/>
  <c r="AD121" i="1"/>
  <c r="U275" i="5"/>
  <c r="CQ112" i="1"/>
  <c r="P112" i="1" s="1"/>
  <c r="CP112" i="1" s="1"/>
  <c r="O112" i="1" s="1"/>
  <c r="J249" i="5" s="1"/>
  <c r="Q230" i="5"/>
  <c r="S230" i="5"/>
  <c r="G141" i="9"/>
  <c r="G139" i="9"/>
  <c r="G137" i="9"/>
  <c r="G135" i="9"/>
  <c r="I93" i="8"/>
  <c r="G142" i="9"/>
  <c r="G140" i="9"/>
  <c r="G138" i="9"/>
  <c r="G136" i="9"/>
  <c r="C134" i="9"/>
  <c r="I97" i="8"/>
  <c r="I99" i="8"/>
  <c r="I94" i="8"/>
  <c r="G133" i="9"/>
  <c r="I98" i="8"/>
  <c r="I96" i="8"/>
  <c r="I95" i="8"/>
  <c r="E218" i="5"/>
  <c r="D72" i="6"/>
  <c r="C219" i="5"/>
  <c r="R88" i="1"/>
  <c r="GK88" i="1" s="1"/>
  <c r="CS87" i="1"/>
  <c r="D65" i="6"/>
  <c r="E180" i="5"/>
  <c r="V85" i="1"/>
  <c r="CT75" i="1"/>
  <c r="S75" i="1" s="1"/>
  <c r="S155" i="5"/>
  <c r="Q155" i="5"/>
  <c r="CT72" i="1"/>
  <c r="CT71" i="1"/>
  <c r="S71" i="1" s="1"/>
  <c r="S151" i="5"/>
  <c r="Q151" i="5"/>
  <c r="CT66" i="1"/>
  <c r="CY62" i="1"/>
  <c r="X62" i="1" s="1"/>
  <c r="R136" i="5" s="1"/>
  <c r="J138" i="5"/>
  <c r="G83" i="9"/>
  <c r="G91" i="9"/>
  <c r="G89" i="9"/>
  <c r="G87" i="9"/>
  <c r="G85" i="9"/>
  <c r="G90" i="9"/>
  <c r="I65" i="8"/>
  <c r="I60" i="8"/>
  <c r="G92" i="9"/>
  <c r="C84" i="9"/>
  <c r="G86" i="9"/>
  <c r="I63" i="8"/>
  <c r="I62" i="8"/>
  <c r="D35" i="7" s="1"/>
  <c r="I61" i="8"/>
  <c r="D48" i="7" s="1"/>
  <c r="I64" i="8"/>
  <c r="I59" i="8"/>
  <c r="G88" i="9"/>
  <c r="D45" i="6"/>
  <c r="E124" i="5"/>
  <c r="C125" i="5"/>
  <c r="Q46" i="1"/>
  <c r="S46" i="8"/>
  <c r="P46" i="8"/>
  <c r="U86" i="5"/>
  <c r="CS37" i="1"/>
  <c r="T134" i="8"/>
  <c r="O110" i="8"/>
  <c r="M110" i="8"/>
  <c r="G22" i="1"/>
  <c r="A8" i="7" s="1"/>
  <c r="A329" i="5"/>
  <c r="AD151" i="1"/>
  <c r="P136" i="8"/>
  <c r="R136" i="8" s="1"/>
  <c r="S136" i="8"/>
  <c r="T136" i="8" s="1"/>
  <c r="U323" i="5"/>
  <c r="U149" i="1"/>
  <c r="U148" i="1"/>
  <c r="U147" i="1"/>
  <c r="U144" i="1"/>
  <c r="I137" i="1"/>
  <c r="W137" i="1" s="1"/>
  <c r="S304" i="5"/>
  <c r="Q304" i="5"/>
  <c r="CS151" i="1"/>
  <c r="CS150" i="1"/>
  <c r="CR154" i="1"/>
  <c r="Q154" i="1" s="1"/>
  <c r="AD154" i="1"/>
  <c r="AB154" i="1" s="1"/>
  <c r="CR153" i="1"/>
  <c r="Q153" i="1" s="1"/>
  <c r="CP153" i="1" s="1"/>
  <c r="O153" i="1" s="1"/>
  <c r="AD153" i="1"/>
  <c r="AB153" i="1" s="1"/>
  <c r="CR151" i="1"/>
  <c r="Q151" i="1" s="1"/>
  <c r="J324" i="5" s="1"/>
  <c r="CQ150" i="1"/>
  <c r="CQ149" i="1"/>
  <c r="CQ148" i="1"/>
  <c r="CQ147" i="1"/>
  <c r="CQ146" i="1"/>
  <c r="CQ145" i="1"/>
  <c r="CQ144" i="1"/>
  <c r="CQ143" i="1"/>
  <c r="CQ142" i="1"/>
  <c r="P142" i="1" s="1"/>
  <c r="CQ136" i="1"/>
  <c r="P136" i="1" s="1"/>
  <c r="CT135" i="1"/>
  <c r="S135" i="1" s="1"/>
  <c r="J313" i="5" s="1"/>
  <c r="S311" i="5"/>
  <c r="Q311" i="5"/>
  <c r="CS134" i="1"/>
  <c r="U134" i="1"/>
  <c r="P134" i="1"/>
  <c r="Q305" i="5"/>
  <c r="S305" i="5"/>
  <c r="CS132" i="1"/>
  <c r="V304" i="5" s="1"/>
  <c r="U132" i="1"/>
  <c r="CQ132" i="1"/>
  <c r="P132" i="1" s="1"/>
  <c r="N126" i="8"/>
  <c r="K126" i="8"/>
  <c r="Q303" i="5"/>
  <c r="S303" i="5"/>
  <c r="Q298" i="5"/>
  <c r="S298" i="5"/>
  <c r="CQ129" i="1"/>
  <c r="P129" i="1" s="1"/>
  <c r="J293" i="5" s="1"/>
  <c r="G181" i="9"/>
  <c r="G183" i="9"/>
  <c r="I121" i="8"/>
  <c r="D75" i="7" s="1"/>
  <c r="G184" i="9"/>
  <c r="D88" i="6"/>
  <c r="C182" i="9"/>
  <c r="E290" i="5"/>
  <c r="C291" i="5"/>
  <c r="CR123" i="1"/>
  <c r="Q123" i="1" s="1"/>
  <c r="CP123" i="1" s="1"/>
  <c r="O123" i="1" s="1"/>
  <c r="CR122" i="1"/>
  <c r="Q122" i="1" s="1"/>
  <c r="Q275" i="5"/>
  <c r="S275" i="5"/>
  <c r="G174" i="9"/>
  <c r="C172" i="9"/>
  <c r="G171" i="9"/>
  <c r="G173" i="9"/>
  <c r="I116" i="8"/>
  <c r="E275" i="5"/>
  <c r="D86" i="6"/>
  <c r="C276" i="5"/>
  <c r="G169" i="9"/>
  <c r="C167" i="9"/>
  <c r="I115" i="8"/>
  <c r="G166" i="9"/>
  <c r="G170" i="9"/>
  <c r="G168" i="9"/>
  <c r="I114" i="8"/>
  <c r="D73" i="7" s="1"/>
  <c r="D85" i="6"/>
  <c r="C265" i="5"/>
  <c r="E264" i="5"/>
  <c r="CR115" i="1"/>
  <c r="CR114" i="1"/>
  <c r="CT113" i="1"/>
  <c r="S113" i="1" s="1"/>
  <c r="J256" i="5" s="1"/>
  <c r="AB112" i="1"/>
  <c r="CT111" i="1"/>
  <c r="S111" i="1" s="1"/>
  <c r="J248" i="5" s="1"/>
  <c r="Q246" i="5"/>
  <c r="S246" i="5"/>
  <c r="CT109" i="1"/>
  <c r="CT105" i="1"/>
  <c r="S105" i="1" s="1"/>
  <c r="J232" i="5" s="1"/>
  <c r="T105" i="1"/>
  <c r="R104" i="1"/>
  <c r="GK104" i="1" s="1"/>
  <c r="R101" i="1"/>
  <c r="GK101" i="1" s="1"/>
  <c r="S99" i="1"/>
  <c r="CS98" i="1"/>
  <c r="R98" i="1" s="1"/>
  <c r="GK98" i="1" s="1"/>
  <c r="CR96" i="1"/>
  <c r="CR95" i="1"/>
  <c r="Q95" i="1" s="1"/>
  <c r="J221" i="5" s="1"/>
  <c r="CT94" i="1"/>
  <c r="S94" i="1" s="1"/>
  <c r="J209" i="5" s="1"/>
  <c r="Q208" i="5"/>
  <c r="S208" i="5"/>
  <c r="AD93" i="1"/>
  <c r="P89" i="8"/>
  <c r="S89" i="8"/>
  <c r="S196" i="5"/>
  <c r="Q196" i="5"/>
  <c r="G127" i="9"/>
  <c r="G125" i="9"/>
  <c r="G123" i="9"/>
  <c r="G126" i="9"/>
  <c r="G124" i="9"/>
  <c r="C122" i="9"/>
  <c r="G121" i="9"/>
  <c r="I88" i="8"/>
  <c r="I87" i="8"/>
  <c r="I86" i="8"/>
  <c r="D20" i="7" s="1"/>
  <c r="I85" i="8"/>
  <c r="D29" i="7" s="1"/>
  <c r="D69" i="6"/>
  <c r="C197" i="5"/>
  <c r="E196" i="5"/>
  <c r="CR91" i="1"/>
  <c r="S84" i="8"/>
  <c r="P84" i="8"/>
  <c r="U190" i="5"/>
  <c r="Q91" i="1"/>
  <c r="CP91" i="1" s="1"/>
  <c r="O91" i="1" s="1"/>
  <c r="J190" i="5" s="1"/>
  <c r="I84" i="8"/>
  <c r="D85" i="7" s="1"/>
  <c r="E190" i="5"/>
  <c r="D68" i="6"/>
  <c r="CS90" i="1"/>
  <c r="AD90" i="1"/>
  <c r="CT88" i="1"/>
  <c r="S88" i="1" s="1"/>
  <c r="S181" i="5"/>
  <c r="Q181" i="5"/>
  <c r="CT87" i="1"/>
  <c r="S87" i="1" s="1"/>
  <c r="S180" i="5"/>
  <c r="Q180" i="5"/>
  <c r="AD86" i="1"/>
  <c r="AB86" i="1" s="1"/>
  <c r="I86" i="1"/>
  <c r="GX86" i="1" s="1"/>
  <c r="P85" i="1"/>
  <c r="T85" i="1"/>
  <c r="R84" i="1"/>
  <c r="GK84" i="1" s="1"/>
  <c r="I84" i="1"/>
  <c r="T84" i="1" s="1"/>
  <c r="P83" i="1"/>
  <c r="T83" i="1"/>
  <c r="N82" i="8"/>
  <c r="K82" i="8"/>
  <c r="CR82" i="1"/>
  <c r="CQ82" i="1"/>
  <c r="K81" i="8"/>
  <c r="N81" i="8"/>
  <c r="O81" i="8" s="1"/>
  <c r="U81" i="1"/>
  <c r="K184" i="5" s="1"/>
  <c r="CS80" i="1"/>
  <c r="CT79" i="1"/>
  <c r="GX78" i="1"/>
  <c r="S163" i="5"/>
  <c r="Q163" i="5"/>
  <c r="S157" i="5"/>
  <c r="Q157" i="5"/>
  <c r="D57" i="6"/>
  <c r="E157" i="5"/>
  <c r="T75" i="1"/>
  <c r="R73" i="1"/>
  <c r="GK73" i="1" s="1"/>
  <c r="V153" i="5"/>
  <c r="V73" i="1"/>
  <c r="D53" i="6"/>
  <c r="E153" i="5"/>
  <c r="T71" i="1"/>
  <c r="R69" i="1"/>
  <c r="GK69" i="1" s="1"/>
  <c r="CR68" i="1"/>
  <c r="CR67" i="1"/>
  <c r="Q67" i="1" s="1"/>
  <c r="N72" i="8"/>
  <c r="K72" i="8"/>
  <c r="G103" i="9"/>
  <c r="G101" i="9"/>
  <c r="G99" i="9"/>
  <c r="C97" i="9"/>
  <c r="G96" i="9"/>
  <c r="I71" i="8"/>
  <c r="I70" i="8"/>
  <c r="G98" i="9"/>
  <c r="G100" i="9"/>
  <c r="I68" i="8"/>
  <c r="D38" i="7" s="1"/>
  <c r="I67" i="8"/>
  <c r="D74" i="7" s="1"/>
  <c r="I69" i="8"/>
  <c r="D49" i="6"/>
  <c r="G102" i="9"/>
  <c r="E144" i="5"/>
  <c r="C145" i="5"/>
  <c r="S66" i="8"/>
  <c r="P66" i="8"/>
  <c r="V60" i="1"/>
  <c r="CS60" i="1"/>
  <c r="U124" i="5"/>
  <c r="R59" i="1"/>
  <c r="GK59" i="1" s="1"/>
  <c r="V119" i="5"/>
  <c r="S58" i="8"/>
  <c r="P58" i="8"/>
  <c r="R58" i="8" s="1"/>
  <c r="U119" i="5"/>
  <c r="I58" i="8"/>
  <c r="D80" i="7" s="1"/>
  <c r="E119" i="5"/>
  <c r="D44" i="6"/>
  <c r="CT58" i="1"/>
  <c r="S58" i="1" s="1"/>
  <c r="CP58" i="1" s="1"/>
  <c r="O58" i="1" s="1"/>
  <c r="R58" i="1"/>
  <c r="GK58" i="1" s="1"/>
  <c r="W57" i="1"/>
  <c r="CS56" i="1"/>
  <c r="T56" i="1"/>
  <c r="AB56" i="1"/>
  <c r="S107" i="5"/>
  <c r="Q107" i="5"/>
  <c r="P54" i="1"/>
  <c r="CR53" i="1"/>
  <c r="Q53" i="1" s="1"/>
  <c r="AD53" i="1"/>
  <c r="AB53" i="1" s="1"/>
  <c r="CS53" i="1"/>
  <c r="CR52" i="1"/>
  <c r="CS52" i="1"/>
  <c r="R52" i="1" s="1"/>
  <c r="GK52" i="1" s="1"/>
  <c r="GX47" i="1"/>
  <c r="S46" i="1"/>
  <c r="CQ46" i="1"/>
  <c r="K53" i="8"/>
  <c r="N53" i="8"/>
  <c r="S45" i="1"/>
  <c r="G73" i="9"/>
  <c r="G71" i="9"/>
  <c r="G69" i="9"/>
  <c r="C67" i="9"/>
  <c r="G66" i="9"/>
  <c r="G74" i="9"/>
  <c r="G68" i="9"/>
  <c r="G70" i="9"/>
  <c r="G72" i="9"/>
  <c r="I48" i="8"/>
  <c r="D32" i="7" s="1"/>
  <c r="D35" i="6"/>
  <c r="C95" i="5"/>
  <c r="E94" i="5"/>
  <c r="I44" i="1"/>
  <c r="I46" i="1"/>
  <c r="GX46" i="1" s="1"/>
  <c r="I41" i="1"/>
  <c r="U98" i="5" s="1"/>
  <c r="I42" i="1"/>
  <c r="P42" i="1" s="1"/>
  <c r="CT39" i="1"/>
  <c r="S39" i="1" s="1"/>
  <c r="CY39" i="1" s="1"/>
  <c r="X39" i="1" s="1"/>
  <c r="R88" i="5" s="1"/>
  <c r="S88" i="5"/>
  <c r="Q88" i="5"/>
  <c r="I24" i="8"/>
  <c r="D77" i="7" s="1"/>
  <c r="E59" i="5"/>
  <c r="D24" i="6"/>
  <c r="O129" i="8"/>
  <c r="R131" i="8"/>
  <c r="T131" i="8"/>
  <c r="O132" i="8"/>
  <c r="M132" i="8"/>
  <c r="F22" i="7" s="1"/>
  <c r="O133" i="8"/>
  <c r="M133" i="8"/>
  <c r="O122" i="8"/>
  <c r="M122" i="8"/>
  <c r="M123" i="8"/>
  <c r="O123" i="8"/>
  <c r="O119" i="8"/>
  <c r="M119" i="8"/>
  <c r="F61" i="7" s="1"/>
  <c r="T120" i="8"/>
  <c r="R120" i="8"/>
  <c r="T114" i="8"/>
  <c r="R114" i="8"/>
  <c r="M115" i="8"/>
  <c r="O115" i="8"/>
  <c r="R111" i="8"/>
  <c r="T111" i="8"/>
  <c r="M112" i="8"/>
  <c r="O112" i="8"/>
  <c r="O100" i="8"/>
  <c r="M100" i="8"/>
  <c r="O101" i="8"/>
  <c r="M88" i="8"/>
  <c r="T83" i="8"/>
  <c r="R83" i="8"/>
  <c r="R80" i="8"/>
  <c r="O73" i="8"/>
  <c r="M73" i="8"/>
  <c r="F69" i="7" s="1"/>
  <c r="O75" i="8"/>
  <c r="M75" i="8"/>
  <c r="T77" i="8"/>
  <c r="R77" i="8"/>
  <c r="T61" i="8"/>
  <c r="R61" i="8"/>
  <c r="O36" i="8"/>
  <c r="M36" i="8"/>
  <c r="F59" i="7" s="1"/>
  <c r="CQ44" i="1"/>
  <c r="K51" i="8"/>
  <c r="N51" i="8"/>
  <c r="CT43" i="1"/>
  <c r="S99" i="5"/>
  <c r="Q99" i="5"/>
  <c r="GX42" i="1"/>
  <c r="CQ41" i="1"/>
  <c r="P41" i="1" s="1"/>
  <c r="N49" i="8"/>
  <c r="K49" i="8"/>
  <c r="Q94" i="5"/>
  <c r="S94" i="5"/>
  <c r="R39" i="1"/>
  <c r="GK39" i="1" s="1"/>
  <c r="V88" i="5"/>
  <c r="AD39" i="1"/>
  <c r="AB39" i="1" s="1"/>
  <c r="U88" i="5"/>
  <c r="CT38" i="1"/>
  <c r="S38" i="1" s="1"/>
  <c r="Q87" i="5"/>
  <c r="S87" i="5"/>
  <c r="I47" i="8"/>
  <c r="D56" i="7" s="1"/>
  <c r="D33" i="6"/>
  <c r="E87" i="5"/>
  <c r="N46" i="8"/>
  <c r="K46" i="8"/>
  <c r="CT36" i="1"/>
  <c r="S36" i="1" s="1"/>
  <c r="CZ36" i="1" s="1"/>
  <c r="Y36" i="1" s="1"/>
  <c r="T85" i="5" s="1"/>
  <c r="S85" i="5"/>
  <c r="Q85" i="5"/>
  <c r="W36" i="1"/>
  <c r="I45" i="8"/>
  <c r="D54" i="7" s="1"/>
  <c r="D31" i="6"/>
  <c r="E85" i="5"/>
  <c r="CT35" i="1"/>
  <c r="S35" i="1" s="1"/>
  <c r="S84" i="5"/>
  <c r="Q84" i="5"/>
  <c r="I44" i="8"/>
  <c r="D57" i="7" s="1"/>
  <c r="D30" i="6"/>
  <c r="E84" i="5"/>
  <c r="CT34" i="1"/>
  <c r="S34" i="1" s="1"/>
  <c r="Q78" i="5"/>
  <c r="S78" i="5"/>
  <c r="T33" i="1"/>
  <c r="D28" i="6"/>
  <c r="E72" i="5"/>
  <c r="I35" i="8"/>
  <c r="S71" i="5"/>
  <c r="Q71" i="5"/>
  <c r="I34" i="8"/>
  <c r="D78" i="7" s="1"/>
  <c r="E71" i="5"/>
  <c r="D27" i="6"/>
  <c r="Q66" i="5"/>
  <c r="S66" i="5"/>
  <c r="N25" i="8"/>
  <c r="K25" i="8"/>
  <c r="W28" i="1"/>
  <c r="S59" i="5"/>
  <c r="Q59" i="5"/>
  <c r="N23" i="8"/>
  <c r="K23" i="8"/>
  <c r="CR26" i="1"/>
  <c r="Q26" i="1" s="1"/>
  <c r="J55" i="5" s="1"/>
  <c r="U53" i="5"/>
  <c r="CT24" i="1"/>
  <c r="S24" i="1" s="1"/>
  <c r="J34" i="5" s="1"/>
  <c r="S33" i="5"/>
  <c r="Q33" i="5"/>
  <c r="T129" i="8"/>
  <c r="R129" i="8"/>
  <c r="O131" i="8"/>
  <c r="M131" i="8"/>
  <c r="F31" i="7" s="1"/>
  <c r="T124" i="8"/>
  <c r="R124" i="8"/>
  <c r="R119" i="8"/>
  <c r="T119" i="8"/>
  <c r="R116" i="8"/>
  <c r="T116" i="8"/>
  <c r="M114" i="8"/>
  <c r="F73" i="7" s="1"/>
  <c r="O114" i="8"/>
  <c r="T109" i="8"/>
  <c r="R109" i="8"/>
  <c r="O111" i="8"/>
  <c r="M111" i="8"/>
  <c r="O105" i="8"/>
  <c r="M105" i="8"/>
  <c r="M94" i="8"/>
  <c r="O94" i="8"/>
  <c r="R96" i="8"/>
  <c r="T96" i="8"/>
  <c r="M98" i="8"/>
  <c r="O86" i="8"/>
  <c r="M86" i="8"/>
  <c r="F20" i="7" s="1"/>
  <c r="T88" i="8"/>
  <c r="R88" i="8"/>
  <c r="O83" i="8"/>
  <c r="M83" i="8"/>
  <c r="O80" i="8"/>
  <c r="M80" i="8"/>
  <c r="F36" i="7" s="1"/>
  <c r="T74" i="8"/>
  <c r="R74" i="8"/>
  <c r="M76" i="8"/>
  <c r="O76" i="8"/>
  <c r="R78" i="8"/>
  <c r="R67" i="8"/>
  <c r="T67" i="8"/>
  <c r="T68" i="8"/>
  <c r="R68" i="8"/>
  <c r="O70" i="8"/>
  <c r="M70" i="8"/>
  <c r="R59" i="8"/>
  <c r="M60" i="8"/>
  <c r="O60" i="8"/>
  <c r="R62" i="8"/>
  <c r="T62" i="8"/>
  <c r="T64" i="8"/>
  <c r="R64" i="8"/>
  <c r="T54" i="8"/>
  <c r="R54" i="8"/>
  <c r="M48" i="8"/>
  <c r="F32" i="7" s="1"/>
  <c r="O48" i="8"/>
  <c r="R39" i="8"/>
  <c r="T39" i="8"/>
  <c r="M41" i="8"/>
  <c r="F18" i="7" s="1"/>
  <c r="O41" i="8"/>
  <c r="O42" i="8"/>
  <c r="M42" i="8"/>
  <c r="F14" i="7" s="1"/>
  <c r="O26" i="8"/>
  <c r="M26" i="8"/>
  <c r="R27" i="8"/>
  <c r="T27" i="8"/>
  <c r="R32" i="8"/>
  <c r="T32" i="8"/>
  <c r="M33" i="8"/>
  <c r="O33" i="8"/>
  <c r="M15" i="8"/>
  <c r="O15" i="8"/>
  <c r="O17" i="8"/>
  <c r="M17" i="8"/>
  <c r="R18" i="8"/>
  <c r="T18" i="8"/>
  <c r="O11" i="8"/>
  <c r="O14" i="8"/>
  <c r="O7" i="8"/>
  <c r="M7" i="8"/>
  <c r="R123" i="8"/>
  <c r="M124" i="8"/>
  <c r="O120" i="8"/>
  <c r="O92" i="8"/>
  <c r="T21" i="8"/>
  <c r="O90" i="8"/>
  <c r="T59" i="8"/>
  <c r="M14" i="8"/>
  <c r="T104" i="8"/>
  <c r="R91" i="8"/>
  <c r="O88" i="8"/>
  <c r="R22" i="8"/>
  <c r="T15" i="8"/>
  <c r="R134" i="8"/>
  <c r="M101" i="8"/>
  <c r="F47" i="7" s="1"/>
  <c r="M32" i="8"/>
  <c r="GX53" i="1"/>
  <c r="P52" i="1"/>
  <c r="U50" i="1"/>
  <c r="GX49" i="1"/>
  <c r="R47" i="1"/>
  <c r="GK47" i="1" s="1"/>
  <c r="V47" i="1"/>
  <c r="W46" i="1"/>
  <c r="S102" i="5"/>
  <c r="Q102" i="5"/>
  <c r="S101" i="5"/>
  <c r="Q101" i="5"/>
  <c r="S50" i="8"/>
  <c r="T50" i="8" s="1"/>
  <c r="P50" i="8"/>
  <c r="R50" i="8" s="1"/>
  <c r="U99" i="5"/>
  <c r="W42" i="1"/>
  <c r="V40" i="1"/>
  <c r="U94" i="5"/>
  <c r="CR39" i="1"/>
  <c r="Q39" i="1" s="1"/>
  <c r="AD38" i="1"/>
  <c r="AB38" i="1" s="1"/>
  <c r="P47" i="8"/>
  <c r="R47" i="8" s="1"/>
  <c r="S47" i="8"/>
  <c r="U87" i="5"/>
  <c r="GX37" i="1"/>
  <c r="CQ37" i="1"/>
  <c r="T37" i="1"/>
  <c r="P45" i="8"/>
  <c r="R45" i="8" s="1"/>
  <c r="S45" i="8"/>
  <c r="T45" i="8" s="1"/>
  <c r="U85" i="5"/>
  <c r="S44" i="8"/>
  <c r="T44" i="8" s="1"/>
  <c r="P44" i="8"/>
  <c r="R44" i="8" s="1"/>
  <c r="U84" i="5"/>
  <c r="GX34" i="1"/>
  <c r="U78" i="5"/>
  <c r="GX33" i="1"/>
  <c r="W33" i="1"/>
  <c r="S72" i="5"/>
  <c r="Q72" i="5"/>
  <c r="GX32" i="1"/>
  <c r="V32" i="1"/>
  <c r="P34" i="8"/>
  <c r="R34" i="8" s="1"/>
  <c r="U71" i="5"/>
  <c r="S34" i="8"/>
  <c r="T34" i="8" s="1"/>
  <c r="W30" i="1"/>
  <c r="S60" i="5"/>
  <c r="Q60" i="5"/>
  <c r="AD29" i="1"/>
  <c r="GX28" i="1"/>
  <c r="CR28" i="1"/>
  <c r="Q28" i="1" s="1"/>
  <c r="S24" i="8"/>
  <c r="T24" i="8" s="1"/>
  <c r="P24" i="8"/>
  <c r="R24" i="8" s="1"/>
  <c r="U59" i="5"/>
  <c r="W27" i="1"/>
  <c r="Q58" i="5"/>
  <c r="S58" i="5"/>
  <c r="AD26" i="1"/>
  <c r="AD24" i="1"/>
  <c r="U33" i="5"/>
  <c r="O128" i="8"/>
  <c r="M128" i="8"/>
  <c r="T130" i="8"/>
  <c r="R130" i="8"/>
  <c r="T132" i="8"/>
  <c r="T121" i="8"/>
  <c r="R121" i="8"/>
  <c r="M117" i="8"/>
  <c r="F71" i="7" s="1"/>
  <c r="O117" i="8"/>
  <c r="T118" i="8"/>
  <c r="R118" i="8"/>
  <c r="R115" i="8"/>
  <c r="T115" i="8"/>
  <c r="R107" i="8"/>
  <c r="T107" i="8"/>
  <c r="M108" i="8"/>
  <c r="O108" i="8"/>
  <c r="T110" i="8"/>
  <c r="R110" i="8"/>
  <c r="T112" i="8"/>
  <c r="R102" i="8"/>
  <c r="T102" i="8"/>
  <c r="M103" i="8"/>
  <c r="O103" i="8"/>
  <c r="M95" i="8"/>
  <c r="O95" i="8"/>
  <c r="R97" i="8"/>
  <c r="T97" i="8"/>
  <c r="T99" i="8"/>
  <c r="R99" i="8"/>
  <c r="T85" i="8"/>
  <c r="R85" i="8"/>
  <c r="O77" i="8"/>
  <c r="T69" i="8"/>
  <c r="R69" i="8"/>
  <c r="O61" i="8"/>
  <c r="M61" i="8"/>
  <c r="F48" i="7" s="1"/>
  <c r="R65" i="8"/>
  <c r="T65" i="8"/>
  <c r="O55" i="8"/>
  <c r="M55" i="8"/>
  <c r="F11" i="7" s="1"/>
  <c r="T56" i="8"/>
  <c r="R56" i="8"/>
  <c r="R36" i="8"/>
  <c r="T36" i="8"/>
  <c r="M37" i="8"/>
  <c r="F58" i="7" s="1"/>
  <c r="O37" i="8"/>
  <c r="M38" i="8"/>
  <c r="F44" i="7" s="1"/>
  <c r="R40" i="8"/>
  <c r="R43" i="8"/>
  <c r="T43" i="8"/>
  <c r="R29" i="8"/>
  <c r="T29" i="8"/>
  <c r="T20" i="8"/>
  <c r="R20" i="8"/>
  <c r="T10" i="8"/>
  <c r="R10" i="8"/>
  <c r="R132" i="8"/>
  <c r="O98" i="8"/>
  <c r="R76" i="8"/>
  <c r="O87" i="8"/>
  <c r="T33" i="8"/>
  <c r="O22" i="8"/>
  <c r="M93" i="8"/>
  <c r="T80" i="8"/>
  <c r="T75" i="8"/>
  <c r="O71" i="8"/>
  <c r="O13" i="8"/>
  <c r="T78" i="8"/>
  <c r="GX50" i="1"/>
  <c r="W49" i="1"/>
  <c r="Q47" i="1"/>
  <c r="AD46" i="1"/>
  <c r="AB46" i="1" s="1"/>
  <c r="S53" i="8"/>
  <c r="P53" i="8"/>
  <c r="U102" i="5"/>
  <c r="V45" i="1"/>
  <c r="AD45" i="1"/>
  <c r="AB45" i="1" s="1"/>
  <c r="S52" i="8"/>
  <c r="T52" i="8" s="1"/>
  <c r="P52" i="8"/>
  <c r="R52" i="8" s="1"/>
  <c r="U101" i="5"/>
  <c r="Q100" i="5"/>
  <c r="S100" i="5"/>
  <c r="V43" i="1"/>
  <c r="CQ43" i="1"/>
  <c r="P43" i="1" s="1"/>
  <c r="N50" i="8"/>
  <c r="O50" i="8" s="1"/>
  <c r="K50" i="8"/>
  <c r="V42" i="1"/>
  <c r="GX41" i="1"/>
  <c r="CT41" i="1"/>
  <c r="S41" i="1" s="1"/>
  <c r="Q98" i="5"/>
  <c r="S98" i="5"/>
  <c r="CT40" i="1"/>
  <c r="S40" i="1" s="1"/>
  <c r="U40" i="1"/>
  <c r="K105" i="5" s="1"/>
  <c r="D34" i="6"/>
  <c r="E88" i="5"/>
  <c r="K47" i="8"/>
  <c r="N47" i="8"/>
  <c r="O47" i="8" s="1"/>
  <c r="CT37" i="1"/>
  <c r="S86" i="5"/>
  <c r="Q86" i="5"/>
  <c r="I46" i="8"/>
  <c r="D55" i="7" s="1"/>
  <c r="E86" i="5"/>
  <c r="D32" i="6"/>
  <c r="V36" i="1"/>
  <c r="U36" i="1"/>
  <c r="N45" i="8"/>
  <c r="O45" i="8" s="1"/>
  <c r="K45" i="8"/>
  <c r="R35" i="1"/>
  <c r="GK35" i="1" s="1"/>
  <c r="V84" i="5"/>
  <c r="N44" i="8"/>
  <c r="O44" i="8" s="1"/>
  <c r="K44" i="8"/>
  <c r="R34" i="1"/>
  <c r="V78" i="5"/>
  <c r="G64" i="9"/>
  <c r="G62" i="9"/>
  <c r="G60" i="9"/>
  <c r="G58" i="9"/>
  <c r="G56" i="9"/>
  <c r="G54" i="9"/>
  <c r="C52" i="9"/>
  <c r="G51" i="9"/>
  <c r="G59" i="9"/>
  <c r="G61" i="9"/>
  <c r="G53" i="9"/>
  <c r="G63" i="9"/>
  <c r="G55" i="9"/>
  <c r="I43" i="8"/>
  <c r="D13" i="7" s="1"/>
  <c r="I42" i="8"/>
  <c r="D14" i="7" s="1"/>
  <c r="I39" i="8"/>
  <c r="D43" i="7" s="1"/>
  <c r="I36" i="8"/>
  <c r="D59" i="7" s="1"/>
  <c r="I40" i="8"/>
  <c r="D25" i="7" s="1"/>
  <c r="G65" i="9"/>
  <c r="I41" i="8"/>
  <c r="D18" i="7" s="1"/>
  <c r="I38" i="8"/>
  <c r="D44" i="7" s="1"/>
  <c r="D29" i="6"/>
  <c r="I37" i="8"/>
  <c r="D58" i="7" s="1"/>
  <c r="G57" i="9"/>
  <c r="C79" i="5"/>
  <c r="E78" i="5"/>
  <c r="CZ33" i="1"/>
  <c r="Y33" i="1" s="1"/>
  <c r="T72" i="5" s="1"/>
  <c r="V33" i="1"/>
  <c r="P35" i="8"/>
  <c r="S35" i="8"/>
  <c r="T35" i="8" s="1"/>
  <c r="U72" i="5"/>
  <c r="U32" i="1"/>
  <c r="N34" i="8"/>
  <c r="O34" i="8" s="1"/>
  <c r="K34" i="8"/>
  <c r="CR30" i="1"/>
  <c r="Q30" i="1" s="1"/>
  <c r="P25" i="8"/>
  <c r="R25" i="8" s="1"/>
  <c r="S25" i="8"/>
  <c r="U60" i="5"/>
  <c r="I25" i="8"/>
  <c r="D60" i="7" s="1"/>
  <c r="D25" i="6"/>
  <c r="E60" i="5"/>
  <c r="T29" i="1"/>
  <c r="CT28" i="1"/>
  <c r="S28" i="1" s="1"/>
  <c r="CR27" i="1"/>
  <c r="Q27" i="1" s="1"/>
  <c r="P23" i="8"/>
  <c r="S23" i="8"/>
  <c r="U58" i="5"/>
  <c r="I23" i="8"/>
  <c r="D76" i="7" s="1"/>
  <c r="D23" i="6"/>
  <c r="E58" i="5"/>
  <c r="CT25" i="1"/>
  <c r="S25" i="1" s="1"/>
  <c r="J44" i="5" s="1"/>
  <c r="S43" i="5"/>
  <c r="Q43" i="5"/>
  <c r="M129" i="8"/>
  <c r="F34" i="7" s="1"/>
  <c r="T133" i="8"/>
  <c r="R133" i="8"/>
  <c r="O134" i="8"/>
  <c r="M134" i="8"/>
  <c r="M116" i="8"/>
  <c r="O116" i="8"/>
  <c r="M109" i="8"/>
  <c r="R100" i="8"/>
  <c r="T105" i="8"/>
  <c r="R105" i="8"/>
  <c r="R94" i="8"/>
  <c r="T94" i="8"/>
  <c r="O96" i="8"/>
  <c r="M96" i="8"/>
  <c r="R86" i="8"/>
  <c r="T86" i="8"/>
  <c r="T73" i="8"/>
  <c r="R73" i="8"/>
  <c r="M68" i="8"/>
  <c r="F38" i="7" s="1"/>
  <c r="O68" i="8"/>
  <c r="R70" i="8"/>
  <c r="T70" i="8"/>
  <c r="O59" i="8"/>
  <c r="M59" i="8"/>
  <c r="T60" i="8"/>
  <c r="T63" i="8"/>
  <c r="R63" i="8"/>
  <c r="O64" i="8"/>
  <c r="R48" i="8"/>
  <c r="T48" i="8"/>
  <c r="O39" i="8"/>
  <c r="T41" i="8"/>
  <c r="R26" i="8"/>
  <c r="T26" i="8"/>
  <c r="M27" i="8"/>
  <c r="O27" i="8"/>
  <c r="T28" i="8"/>
  <c r="R28" i="8"/>
  <c r="O30" i="8"/>
  <c r="M30" i="8"/>
  <c r="M16" i="8"/>
  <c r="O16" i="8"/>
  <c r="R17" i="8"/>
  <c r="T17" i="8"/>
  <c r="M18" i="8"/>
  <c r="O18" i="8"/>
  <c r="T19" i="8"/>
  <c r="R19" i="8"/>
  <c r="O21" i="8"/>
  <c r="M21" i="8"/>
  <c r="R11" i="8"/>
  <c r="T11" i="8"/>
  <c r="R14" i="8"/>
  <c r="T14" i="8"/>
  <c r="R7" i="8"/>
  <c r="T7" i="8"/>
  <c r="M8" i="8"/>
  <c r="O8" i="8"/>
  <c r="R9" i="8"/>
  <c r="T9" i="8"/>
  <c r="R112" i="8"/>
  <c r="M64" i="8"/>
  <c r="T40" i="8"/>
  <c r="O31" i="8"/>
  <c r="R8" i="8"/>
  <c r="R31" i="8"/>
  <c r="T12" i="8"/>
  <c r="M74" i="8"/>
  <c r="R41" i="8"/>
  <c r="O109" i="8"/>
  <c r="T122" i="8"/>
  <c r="T30" i="8"/>
  <c r="M11" i="8"/>
  <c r="M77" i="8"/>
  <c r="F63" i="7" s="1"/>
  <c r="O38" i="8"/>
  <c r="R16" i="8"/>
  <c r="M39" i="8"/>
  <c r="F43" i="7" s="1"/>
  <c r="G18" i="1"/>
  <c r="AF332" i="5"/>
  <c r="A332" i="5"/>
  <c r="F15" i="7"/>
  <c r="CZ149" i="1"/>
  <c r="Y149" i="1" s="1"/>
  <c r="CY149" i="1"/>
  <c r="X149" i="1" s="1"/>
  <c r="CZ143" i="1"/>
  <c r="Y143" i="1" s="1"/>
  <c r="CY143" i="1"/>
  <c r="X143" i="1" s="1"/>
  <c r="CY154" i="1"/>
  <c r="X154" i="1" s="1"/>
  <c r="CZ154" i="1"/>
  <c r="Y154" i="1" s="1"/>
  <c r="CY140" i="1"/>
  <c r="X140" i="1" s="1"/>
  <c r="CZ140" i="1"/>
  <c r="Y140" i="1" s="1"/>
  <c r="CZ146" i="1"/>
  <c r="Y146" i="1" s="1"/>
  <c r="CY146" i="1"/>
  <c r="X146" i="1" s="1"/>
  <c r="CC22" i="1"/>
  <c r="AT156" i="1"/>
  <c r="CY151" i="1"/>
  <c r="X151" i="1" s="1"/>
  <c r="R323" i="5" s="1"/>
  <c r="CZ151" i="1"/>
  <c r="Y151" i="1" s="1"/>
  <c r="T323" i="5" s="1"/>
  <c r="CZ148" i="1"/>
  <c r="Y148" i="1" s="1"/>
  <c r="CY148" i="1"/>
  <c r="X148" i="1" s="1"/>
  <c r="CZ145" i="1"/>
  <c r="Y145" i="1" s="1"/>
  <c r="CY145" i="1"/>
  <c r="X145" i="1" s="1"/>
  <c r="CZ142" i="1"/>
  <c r="Y142" i="1" s="1"/>
  <c r="CY142" i="1"/>
  <c r="X142" i="1" s="1"/>
  <c r="CP151" i="1"/>
  <c r="O151" i="1" s="1"/>
  <c r="CZ150" i="1"/>
  <c r="Y150" i="1" s="1"/>
  <c r="CY150" i="1"/>
  <c r="X150" i="1" s="1"/>
  <c r="CZ147" i="1"/>
  <c r="Y147" i="1" s="1"/>
  <c r="CY147" i="1"/>
  <c r="X147" i="1" s="1"/>
  <c r="CZ144" i="1"/>
  <c r="Y144" i="1" s="1"/>
  <c r="CY144" i="1"/>
  <c r="X144" i="1" s="1"/>
  <c r="CB22" i="1"/>
  <c r="AS156" i="1"/>
  <c r="R149" i="1"/>
  <c r="GK149" i="1" s="1"/>
  <c r="R148" i="1"/>
  <c r="GK148" i="1" s="1"/>
  <c r="R146" i="1"/>
  <c r="GK146" i="1" s="1"/>
  <c r="R145" i="1"/>
  <c r="GK145" i="1" s="1"/>
  <c r="CY135" i="1"/>
  <c r="X135" i="1" s="1"/>
  <c r="R311" i="5" s="1"/>
  <c r="CZ135" i="1"/>
  <c r="Y135" i="1" s="1"/>
  <c r="T311" i="5" s="1"/>
  <c r="AB134" i="1"/>
  <c r="AB133" i="1"/>
  <c r="AB132" i="1"/>
  <c r="AB131" i="1"/>
  <c r="CP130" i="1"/>
  <c r="O130" i="1" s="1"/>
  <c r="CT121" i="1"/>
  <c r="S121" i="1" s="1"/>
  <c r="J277" i="5" s="1"/>
  <c r="AB121" i="1"/>
  <c r="CS119" i="1"/>
  <c r="R119" i="1" s="1"/>
  <c r="GK119" i="1" s="1"/>
  <c r="AD119" i="1"/>
  <c r="CS106" i="1"/>
  <c r="AD106" i="1"/>
  <c r="CR106" i="1"/>
  <c r="CT101" i="1"/>
  <c r="S101" i="1" s="1"/>
  <c r="CP101" i="1" s="1"/>
  <c r="O101" i="1" s="1"/>
  <c r="AB101" i="1"/>
  <c r="F160" i="1"/>
  <c r="CS152" i="1"/>
  <c r="R152" i="1" s="1"/>
  <c r="GK152" i="1" s="1"/>
  <c r="CR150" i="1"/>
  <c r="Q150" i="1" s="1"/>
  <c r="CR149" i="1"/>
  <c r="Q149" i="1" s="1"/>
  <c r="CR148" i="1"/>
  <c r="Q148" i="1" s="1"/>
  <c r="CR147" i="1"/>
  <c r="Q147" i="1" s="1"/>
  <c r="CR146" i="1"/>
  <c r="Q146" i="1" s="1"/>
  <c r="CR145" i="1"/>
  <c r="Q145" i="1" s="1"/>
  <c r="CR144" i="1"/>
  <c r="Q144" i="1" s="1"/>
  <c r="CR143" i="1"/>
  <c r="Q143" i="1" s="1"/>
  <c r="CR142" i="1"/>
  <c r="Q142" i="1" s="1"/>
  <c r="CP142" i="1" s="1"/>
  <c r="O142" i="1" s="1"/>
  <c r="CR138" i="1"/>
  <c r="Q138" i="1" s="1"/>
  <c r="CS138" i="1"/>
  <c r="R138" i="1" s="1"/>
  <c r="GK138" i="1" s="1"/>
  <c r="AD138" i="1"/>
  <c r="AB138" i="1" s="1"/>
  <c r="CR137" i="1"/>
  <c r="Q137" i="1" s="1"/>
  <c r="CS137" i="1"/>
  <c r="R137" i="1" s="1"/>
  <c r="GK137" i="1" s="1"/>
  <c r="AD137" i="1"/>
  <c r="CR136" i="1"/>
  <c r="Q136" i="1" s="1"/>
  <c r="CP136" i="1" s="1"/>
  <c r="O136" i="1" s="1"/>
  <c r="J317" i="5" s="1"/>
  <c r="CS136" i="1"/>
  <c r="AD136" i="1"/>
  <c r="AB136" i="1" s="1"/>
  <c r="CR135" i="1"/>
  <c r="Q135" i="1" s="1"/>
  <c r="CS135" i="1"/>
  <c r="AD135" i="1"/>
  <c r="W134" i="1"/>
  <c r="W133" i="1"/>
  <c r="W132" i="1"/>
  <c r="W131" i="1"/>
  <c r="AB130" i="1"/>
  <c r="GX129" i="1"/>
  <c r="CP127" i="1"/>
  <c r="O127" i="1" s="1"/>
  <c r="CP122" i="1"/>
  <c r="O122" i="1" s="1"/>
  <c r="CQ106" i="1"/>
  <c r="AB106" i="1"/>
  <c r="V84" i="1"/>
  <c r="U84" i="1"/>
  <c r="AB151" i="1"/>
  <c r="R144" i="1"/>
  <c r="GK144" i="1" s="1"/>
  <c r="CI156" i="1"/>
  <c r="CY153" i="1"/>
  <c r="X153" i="1" s="1"/>
  <c r="CZ153" i="1"/>
  <c r="Y153" i="1" s="1"/>
  <c r="CR152" i="1"/>
  <c r="Q152" i="1" s="1"/>
  <c r="CP152" i="1" s="1"/>
  <c r="O152" i="1" s="1"/>
  <c r="P150" i="1"/>
  <c r="CP150" i="1" s="1"/>
  <c r="O150" i="1" s="1"/>
  <c r="P149" i="1"/>
  <c r="P148" i="1"/>
  <c r="P147" i="1"/>
  <c r="P146" i="1"/>
  <c r="P145" i="1"/>
  <c r="P144" i="1"/>
  <c r="CP144" i="1" s="1"/>
  <c r="O144" i="1" s="1"/>
  <c r="P143" i="1"/>
  <c r="CZ141" i="1"/>
  <c r="Y141" i="1" s="1"/>
  <c r="AB137" i="1"/>
  <c r="AB135" i="1"/>
  <c r="S134" i="1"/>
  <c r="CP134" i="1" s="1"/>
  <c r="O134" i="1" s="1"/>
  <c r="S133" i="1"/>
  <c r="CP133" i="1" s="1"/>
  <c r="O133" i="1" s="1"/>
  <c r="J305" i="5" s="1"/>
  <c r="S132" i="1"/>
  <c r="S131" i="1"/>
  <c r="CZ129" i="1"/>
  <c r="Y129" i="1" s="1"/>
  <c r="T290" i="5" s="1"/>
  <c r="J295" i="5" s="1"/>
  <c r="CX221" i="3"/>
  <c r="CX220" i="3"/>
  <c r="Q129" i="1"/>
  <c r="CP129" i="1" s="1"/>
  <c r="O129" i="1" s="1"/>
  <c r="CZ127" i="1"/>
  <c r="Y127" i="1" s="1"/>
  <c r="CY126" i="1"/>
  <c r="X126" i="1" s="1"/>
  <c r="R283" i="5" s="1"/>
  <c r="J286" i="5" s="1"/>
  <c r="CZ126" i="1"/>
  <c r="Y126" i="1" s="1"/>
  <c r="T283" i="5" s="1"/>
  <c r="J287" i="5" s="1"/>
  <c r="CY113" i="1"/>
  <c r="X113" i="1" s="1"/>
  <c r="R254" i="5" s="1"/>
  <c r="CZ113" i="1"/>
  <c r="Y113" i="1" s="1"/>
  <c r="T254" i="5" s="1"/>
  <c r="CP154" i="1"/>
  <c r="O154" i="1" s="1"/>
  <c r="CR139" i="1"/>
  <c r="Q139" i="1" s="1"/>
  <c r="CP139" i="1" s="1"/>
  <c r="O139" i="1" s="1"/>
  <c r="CS139" i="1"/>
  <c r="R139" i="1" s="1"/>
  <c r="GK139" i="1" s="1"/>
  <c r="GX77" i="1"/>
  <c r="V77" i="1"/>
  <c r="GX150" i="1"/>
  <c r="GX147" i="1"/>
  <c r="GX143" i="1"/>
  <c r="AO186" i="1"/>
  <c r="BD156" i="1"/>
  <c r="BC156" i="1"/>
  <c r="AQ156" i="1"/>
  <c r="CY152" i="1"/>
  <c r="X152" i="1" s="1"/>
  <c r="R134" i="1"/>
  <c r="GK134" i="1" s="1"/>
  <c r="R133" i="1"/>
  <c r="GK133" i="1" s="1"/>
  <c r="R132" i="1"/>
  <c r="GK132" i="1" s="1"/>
  <c r="R131" i="1"/>
  <c r="GK131" i="1" s="1"/>
  <c r="W129" i="1"/>
  <c r="CS108" i="1"/>
  <c r="AD108" i="1"/>
  <c r="AB108" i="1" s="1"/>
  <c r="CR108" i="1"/>
  <c r="CY105" i="1"/>
  <c r="X105" i="1" s="1"/>
  <c r="R230" i="5" s="1"/>
  <c r="CZ105" i="1"/>
  <c r="Y105" i="1" s="1"/>
  <c r="T230" i="5" s="1"/>
  <c r="CY99" i="1"/>
  <c r="X99" i="1" s="1"/>
  <c r="CZ99" i="1"/>
  <c r="Y99" i="1" s="1"/>
  <c r="CP132" i="1"/>
  <c r="O132" i="1" s="1"/>
  <c r="J304" i="5" s="1"/>
  <c r="CP128" i="1"/>
  <c r="O128" i="1" s="1"/>
  <c r="R150" i="1"/>
  <c r="GK150" i="1" s="1"/>
  <c r="GX149" i="1"/>
  <c r="GX148" i="1"/>
  <c r="R147" i="1"/>
  <c r="GK147" i="1" s="1"/>
  <c r="GX146" i="1"/>
  <c r="GX145" i="1"/>
  <c r="GX144" i="1"/>
  <c r="R143" i="1"/>
  <c r="GK143" i="1" s="1"/>
  <c r="AD139" i="1"/>
  <c r="AB139" i="1" s="1"/>
  <c r="CY136" i="1"/>
  <c r="X136" i="1" s="1"/>
  <c r="R317" i="5" s="1"/>
  <c r="CZ136" i="1"/>
  <c r="Y136" i="1" s="1"/>
  <c r="T317" i="5" s="1"/>
  <c r="CG156" i="1"/>
  <c r="BB156" i="1"/>
  <c r="AP156" i="1"/>
  <c r="V150" i="1"/>
  <c r="V149" i="1"/>
  <c r="V148" i="1"/>
  <c r="V147" i="1"/>
  <c r="V146" i="1"/>
  <c r="V145" i="1"/>
  <c r="V144" i="1"/>
  <c r="V143" i="1"/>
  <c r="CQ140" i="1"/>
  <c r="P140" i="1" s="1"/>
  <c r="CP140" i="1" s="1"/>
  <c r="O140" i="1" s="1"/>
  <c r="AB140" i="1"/>
  <c r="CY139" i="1"/>
  <c r="X139" i="1" s="1"/>
  <c r="CZ139" i="1"/>
  <c r="Y139" i="1" s="1"/>
  <c r="CS126" i="1"/>
  <c r="CR126" i="1"/>
  <c r="Q126" i="1" s="1"/>
  <c r="CR125" i="1"/>
  <c r="Q125" i="1" s="1"/>
  <c r="CP125" i="1" s="1"/>
  <c r="O125" i="1" s="1"/>
  <c r="CS125" i="1"/>
  <c r="R125" i="1" s="1"/>
  <c r="GK125" i="1" s="1"/>
  <c r="CY124" i="1"/>
  <c r="X124" i="1" s="1"/>
  <c r="CZ124" i="1"/>
  <c r="Y124" i="1" s="1"/>
  <c r="CP99" i="1"/>
  <c r="O99" i="1" s="1"/>
  <c r="AB126" i="1"/>
  <c r="AB122" i="1"/>
  <c r="AB120" i="1"/>
  <c r="CQ120" i="1"/>
  <c r="P120" i="1" s="1"/>
  <c r="CX173" i="3"/>
  <c r="CX168" i="3"/>
  <c r="CX174" i="3"/>
  <c r="CX169" i="3"/>
  <c r="CX170" i="3"/>
  <c r="CX176" i="3"/>
  <c r="CX171" i="3"/>
  <c r="CX172" i="3"/>
  <c r="CX175" i="3"/>
  <c r="I114" i="1"/>
  <c r="S258" i="5" s="1"/>
  <c r="I115" i="1"/>
  <c r="U259" i="5" s="1"/>
  <c r="CS110" i="1"/>
  <c r="AD110" i="1"/>
  <c r="AB110" i="1" s="1"/>
  <c r="CR110" i="1"/>
  <c r="CQ108" i="1"/>
  <c r="CS105" i="1"/>
  <c r="AD105" i="1"/>
  <c r="AB105" i="1" s="1"/>
  <c r="CR105" i="1"/>
  <c r="Q105" i="1" s="1"/>
  <c r="J233" i="5" s="1"/>
  <c r="CX155" i="3"/>
  <c r="CX161" i="3"/>
  <c r="CX156" i="3"/>
  <c r="CX162" i="3"/>
  <c r="CX157" i="3"/>
  <c r="CX163" i="3"/>
  <c r="CX158" i="3"/>
  <c r="CX164" i="3"/>
  <c r="CX159" i="3"/>
  <c r="CX165" i="3"/>
  <c r="CX154" i="3"/>
  <c r="CX160" i="3"/>
  <c r="I106" i="1"/>
  <c r="Q236" i="5" s="1"/>
  <c r="I107" i="1"/>
  <c r="U237" i="5" s="1"/>
  <c r="I108" i="1"/>
  <c r="S238" i="5" s="1"/>
  <c r="I109" i="1"/>
  <c r="U239" i="5" s="1"/>
  <c r="I110" i="1"/>
  <c r="CQ93" i="1"/>
  <c r="AB93" i="1"/>
  <c r="GM118" i="1"/>
  <c r="GP118" i="1"/>
  <c r="CQ110" i="1"/>
  <c r="P110" i="1" s="1"/>
  <c r="CS107" i="1"/>
  <c r="AD107" i="1"/>
  <c r="CR107" i="1"/>
  <c r="CZ104" i="1"/>
  <c r="Y104" i="1" s="1"/>
  <c r="CY104" i="1"/>
  <c r="X104" i="1" s="1"/>
  <c r="CP104" i="1"/>
  <c r="O104" i="1" s="1"/>
  <c r="AB98" i="1"/>
  <c r="CQ98" i="1"/>
  <c r="P98" i="1" s="1"/>
  <c r="CP98" i="1" s="1"/>
  <c r="O98" i="1" s="1"/>
  <c r="CT90" i="1"/>
  <c r="S90" i="1" s="1"/>
  <c r="J187" i="5" s="1"/>
  <c r="AB90" i="1"/>
  <c r="AD127" i="1"/>
  <c r="AB127" i="1" s="1"/>
  <c r="CY125" i="1"/>
  <c r="X125" i="1" s="1"/>
  <c r="AD124" i="1"/>
  <c r="AB124" i="1" s="1"/>
  <c r="CR124" i="1"/>
  <c r="Q124" i="1" s="1"/>
  <c r="CP124" i="1" s="1"/>
  <c r="O124" i="1" s="1"/>
  <c r="AB123" i="1"/>
  <c r="AD117" i="1"/>
  <c r="AB117" i="1" s="1"/>
  <c r="CS117" i="1"/>
  <c r="R117" i="1" s="1"/>
  <c r="GK117" i="1" s="1"/>
  <c r="CR117" i="1"/>
  <c r="Q117" i="1" s="1"/>
  <c r="CZ116" i="1"/>
  <c r="Y116" i="1" s="1"/>
  <c r="CY116" i="1"/>
  <c r="X116" i="1" s="1"/>
  <c r="CP116" i="1"/>
  <c r="O116" i="1" s="1"/>
  <c r="CS114" i="1"/>
  <c r="AD114" i="1"/>
  <c r="V113" i="1"/>
  <c r="CS109" i="1"/>
  <c r="AD109" i="1"/>
  <c r="AB109" i="1" s="1"/>
  <c r="CR109" i="1"/>
  <c r="U106" i="1"/>
  <c r="W105" i="1"/>
  <c r="CY100" i="1"/>
  <c r="X100" i="1" s="1"/>
  <c r="CX227" i="3"/>
  <c r="CX233" i="3"/>
  <c r="CX228" i="3"/>
  <c r="CX234" i="3"/>
  <c r="CX230" i="3"/>
  <c r="CX231" i="3"/>
  <c r="CX226" i="3"/>
  <c r="CX232" i="3"/>
  <c r="CX235" i="3"/>
  <c r="CX229" i="3"/>
  <c r="AB128" i="1"/>
  <c r="CQ126" i="1"/>
  <c r="P126" i="1" s="1"/>
  <c r="CY119" i="1"/>
  <c r="X119" i="1" s="1"/>
  <c r="CZ119" i="1"/>
  <c r="Y119" i="1" s="1"/>
  <c r="CQ117" i="1"/>
  <c r="P117" i="1" s="1"/>
  <c r="CP117" i="1" s="1"/>
  <c r="O117" i="1" s="1"/>
  <c r="CZ111" i="1"/>
  <c r="Y111" i="1" s="1"/>
  <c r="T246" i="5" s="1"/>
  <c r="CY111" i="1"/>
  <c r="X111" i="1" s="1"/>
  <c r="R246" i="5" s="1"/>
  <c r="CP111" i="1"/>
  <c r="O111" i="1" s="1"/>
  <c r="S106" i="1"/>
  <c r="GX105" i="1"/>
  <c r="CY92" i="1"/>
  <c r="X92" i="1" s="1"/>
  <c r="R196" i="5" s="1"/>
  <c r="CZ92" i="1"/>
  <c r="Y92" i="1" s="1"/>
  <c r="T196" i="5" s="1"/>
  <c r="CX189" i="3"/>
  <c r="CX190" i="3"/>
  <c r="AB119" i="1"/>
  <c r="CQ119" i="1"/>
  <c r="P119" i="1" s="1"/>
  <c r="CP119" i="1" s="1"/>
  <c r="O119" i="1" s="1"/>
  <c r="CQ114" i="1"/>
  <c r="AB114" i="1"/>
  <c r="T113" i="1"/>
  <c r="V110" i="1"/>
  <c r="V106" i="1"/>
  <c r="Q103" i="1"/>
  <c r="CP103" i="1" s="1"/>
  <c r="O103" i="1" s="1"/>
  <c r="S103" i="1"/>
  <c r="W101" i="1"/>
  <c r="CQ100" i="1"/>
  <c r="P100" i="1" s="1"/>
  <c r="CP100" i="1" s="1"/>
  <c r="O100" i="1" s="1"/>
  <c r="CZ94" i="1"/>
  <c r="Y94" i="1" s="1"/>
  <c r="T208" i="5" s="1"/>
  <c r="J214" i="5" s="1"/>
  <c r="CY94" i="1"/>
  <c r="X94" i="1" s="1"/>
  <c r="R208" i="5" s="1"/>
  <c r="J213" i="5" s="1"/>
  <c r="CX125" i="3"/>
  <c r="CX126" i="3"/>
  <c r="CX127" i="3"/>
  <c r="CX123" i="3"/>
  <c r="CX124" i="3"/>
  <c r="I93" i="1"/>
  <c r="S84" i="1"/>
  <c r="CS78" i="1"/>
  <c r="AD78" i="1"/>
  <c r="AB78" i="1" s="1"/>
  <c r="CR78" i="1"/>
  <c r="Q78" i="1" s="1"/>
  <c r="CP67" i="1"/>
  <c r="O67" i="1" s="1"/>
  <c r="CZ88" i="1"/>
  <c r="Y88" i="1" s="1"/>
  <c r="T181" i="5" s="1"/>
  <c r="CY88" i="1"/>
  <c r="X88" i="1" s="1"/>
  <c r="R181" i="5" s="1"/>
  <c r="CP88" i="1"/>
  <c r="O88" i="1" s="1"/>
  <c r="J181" i="5" s="1"/>
  <c r="CY82" i="1"/>
  <c r="X82" i="1" s="1"/>
  <c r="R177" i="5" s="1"/>
  <c r="CZ82" i="1"/>
  <c r="Y82" i="1" s="1"/>
  <c r="T177" i="5" s="1"/>
  <c r="P77" i="1"/>
  <c r="CZ67" i="1"/>
  <c r="Y67" i="1" s="1"/>
  <c r="CY67" i="1"/>
  <c r="X67" i="1" s="1"/>
  <c r="CS115" i="1"/>
  <c r="AD115" i="1"/>
  <c r="CS113" i="1"/>
  <c r="AD113" i="1"/>
  <c r="AB113" i="1" s="1"/>
  <c r="T110" i="1"/>
  <c r="CQ109" i="1"/>
  <c r="CQ107" i="1"/>
  <c r="AB107" i="1"/>
  <c r="T106" i="1"/>
  <c r="CQ105" i="1"/>
  <c r="P105" i="1" s="1"/>
  <c r="W103" i="1"/>
  <c r="CP102" i="1"/>
  <c r="O102" i="1" s="1"/>
  <c r="GX99" i="1"/>
  <c r="R99" i="1"/>
  <c r="GK99" i="1" s="1"/>
  <c r="CS79" i="1"/>
  <c r="CR79" i="1"/>
  <c r="AD79" i="1"/>
  <c r="AB79" i="1" s="1"/>
  <c r="CS121" i="1"/>
  <c r="CQ115" i="1"/>
  <c r="AB115" i="1"/>
  <c r="CQ113" i="1"/>
  <c r="P113" i="1" s="1"/>
  <c r="V105" i="1"/>
  <c r="W104" i="1"/>
  <c r="W92" i="1"/>
  <c r="CZ91" i="1"/>
  <c r="Y91" i="1" s="1"/>
  <c r="T190" i="5" s="1"/>
  <c r="CY91" i="1"/>
  <c r="X91" i="1" s="1"/>
  <c r="CY89" i="1"/>
  <c r="X89" i="1" s="1"/>
  <c r="GM89" i="1" s="1"/>
  <c r="CZ89" i="1"/>
  <c r="Y89" i="1" s="1"/>
  <c r="GX84" i="1"/>
  <c r="CX167" i="3"/>
  <c r="CX166" i="3"/>
  <c r="CP94" i="1"/>
  <c r="O94" i="1" s="1"/>
  <c r="R92" i="1"/>
  <c r="W86" i="1"/>
  <c r="V82" i="1"/>
  <c r="P82" i="1"/>
  <c r="CZ81" i="1"/>
  <c r="Y81" i="1" s="1"/>
  <c r="T173" i="5" s="1"/>
  <c r="CY81" i="1"/>
  <c r="X81" i="1" s="1"/>
  <c r="R173" i="5" s="1"/>
  <c r="CZ78" i="1"/>
  <c r="Y78" i="1" s="1"/>
  <c r="T163" i="5" s="1"/>
  <c r="CX95" i="3"/>
  <c r="CX96" i="3"/>
  <c r="CX97" i="3"/>
  <c r="CX92" i="3"/>
  <c r="CX98" i="3"/>
  <c r="CX93" i="3"/>
  <c r="CX99" i="3"/>
  <c r="CX94" i="3"/>
  <c r="I79" i="1"/>
  <c r="U79" i="1" s="1"/>
  <c r="I80" i="1"/>
  <c r="T80" i="1" s="1"/>
  <c r="CZ71" i="1"/>
  <c r="Y71" i="1" s="1"/>
  <c r="T151" i="5" s="1"/>
  <c r="CY71" i="1"/>
  <c r="X71" i="1" s="1"/>
  <c r="AD89" i="1"/>
  <c r="AB89" i="1" s="1"/>
  <c r="CS89" i="1"/>
  <c r="R89" i="1" s="1"/>
  <c r="GK89" i="1" s="1"/>
  <c r="Q84" i="1"/>
  <c r="CQ80" i="1"/>
  <c r="P80" i="1" s="1"/>
  <c r="CQ79" i="1"/>
  <c r="CX186" i="3"/>
  <c r="CX188" i="3"/>
  <c r="CX187" i="3"/>
  <c r="W98" i="1"/>
  <c r="AB96" i="1"/>
  <c r="CQ96" i="1"/>
  <c r="CZ95" i="1"/>
  <c r="Y95" i="1" s="1"/>
  <c r="T218" i="5" s="1"/>
  <c r="CX137" i="3"/>
  <c r="CX132" i="3"/>
  <c r="CX138" i="3"/>
  <c r="CX133" i="3"/>
  <c r="CX139" i="3"/>
  <c r="CX134" i="3"/>
  <c r="CX140" i="3"/>
  <c r="CX135" i="3"/>
  <c r="CX136" i="3"/>
  <c r="I96" i="1"/>
  <c r="V93" i="1"/>
  <c r="Q85" i="1"/>
  <c r="P84" i="1"/>
  <c r="V80" i="1"/>
  <c r="V78" i="1"/>
  <c r="R77" i="1"/>
  <c r="GK77" i="1" s="1"/>
  <c r="T77" i="1"/>
  <c r="CZ75" i="1"/>
  <c r="Y75" i="1" s="1"/>
  <c r="CY75" i="1"/>
  <c r="X75" i="1" s="1"/>
  <c r="R155" i="5" s="1"/>
  <c r="CZ69" i="1"/>
  <c r="Y69" i="1" s="1"/>
  <c r="CY69" i="1"/>
  <c r="X69" i="1" s="1"/>
  <c r="CP69" i="1"/>
  <c r="O69" i="1" s="1"/>
  <c r="CZ65" i="1"/>
  <c r="Y65" i="1" s="1"/>
  <c r="T144" i="5" s="1"/>
  <c r="CY65" i="1"/>
  <c r="X65" i="1" s="1"/>
  <c r="R144" i="5" s="1"/>
  <c r="GX93" i="1"/>
  <c r="P92" i="1"/>
  <c r="Q86" i="1"/>
  <c r="R82" i="1"/>
  <c r="GK82" i="1" s="1"/>
  <c r="Q77" i="1"/>
  <c r="CT77" i="1"/>
  <c r="S77" i="1" s="1"/>
  <c r="AB77" i="1"/>
  <c r="AB95" i="1"/>
  <c r="CQ95" i="1"/>
  <c r="P95" i="1" s="1"/>
  <c r="CS93" i="1"/>
  <c r="V202" i="5" s="1"/>
  <c r="V92" i="1"/>
  <c r="AB92" i="1"/>
  <c r="CS91" i="1"/>
  <c r="Q87" i="1"/>
  <c r="CP87" i="1" s="1"/>
  <c r="O87" i="1" s="1"/>
  <c r="J180" i="5" s="1"/>
  <c r="P86" i="1"/>
  <c r="W84" i="1"/>
  <c r="AB83" i="1"/>
  <c r="CZ73" i="1"/>
  <c r="Y73" i="1" s="1"/>
  <c r="T153" i="5" s="1"/>
  <c r="CY73" i="1"/>
  <c r="X73" i="1" s="1"/>
  <c r="W81" i="1"/>
  <c r="AD80" i="1"/>
  <c r="AB80" i="1" s="1"/>
  <c r="U77" i="1"/>
  <c r="U75" i="1"/>
  <c r="AB75" i="1"/>
  <c r="U73" i="1"/>
  <c r="AB73" i="1"/>
  <c r="U71" i="1"/>
  <c r="AB71" i="1"/>
  <c r="U69" i="1"/>
  <c r="AB69" i="1"/>
  <c r="U67" i="1"/>
  <c r="AB67" i="1"/>
  <c r="U65" i="1"/>
  <c r="K161" i="5" s="1"/>
  <c r="AB65" i="1"/>
  <c r="U60" i="1"/>
  <c r="K134" i="5" s="1"/>
  <c r="R54" i="1"/>
  <c r="GK54" i="1" s="1"/>
  <c r="S54" i="1"/>
  <c r="T54" i="1"/>
  <c r="R53" i="1"/>
  <c r="GK53" i="1" s="1"/>
  <c r="CY45" i="1"/>
  <c r="X45" i="1" s="1"/>
  <c r="R101" i="5" s="1"/>
  <c r="CZ45" i="1"/>
  <c r="Y45" i="1" s="1"/>
  <c r="T101" i="5" s="1"/>
  <c r="CR64" i="1"/>
  <c r="CS64" i="1"/>
  <c r="AB62" i="1"/>
  <c r="CQ62" i="1"/>
  <c r="P62" i="1" s="1"/>
  <c r="CP54" i="1"/>
  <c r="O54" i="1" s="1"/>
  <c r="CP53" i="1"/>
  <c r="O53" i="1" s="1"/>
  <c r="CZ51" i="1"/>
  <c r="Y51" i="1" s="1"/>
  <c r="CY51" i="1"/>
  <c r="X51" i="1" s="1"/>
  <c r="Q65" i="1"/>
  <c r="AD64" i="1"/>
  <c r="AB64" i="1" s="1"/>
  <c r="CZ58" i="1"/>
  <c r="Y58" i="1" s="1"/>
  <c r="AB57" i="1"/>
  <c r="W54" i="1"/>
  <c r="CX77" i="3"/>
  <c r="CX83" i="3"/>
  <c r="CX89" i="3"/>
  <c r="CX78" i="3"/>
  <c r="CX84" i="3"/>
  <c r="CX90" i="3"/>
  <c r="CX79" i="3"/>
  <c r="CX85" i="3"/>
  <c r="CX91" i="3"/>
  <c r="CX80" i="3"/>
  <c r="CX86" i="3"/>
  <c r="CX75" i="3"/>
  <c r="CX81" i="3"/>
  <c r="CX87" i="3"/>
  <c r="CX76" i="3"/>
  <c r="CX82" i="3"/>
  <c r="CX88" i="3"/>
  <c r="CQ64" i="1"/>
  <c r="CR63" i="1"/>
  <c r="CS63" i="1"/>
  <c r="AD49" i="1"/>
  <c r="AB49" i="1" s="1"/>
  <c r="CR49" i="1"/>
  <c r="Q49" i="1" s="1"/>
  <c r="CP49" i="1" s="1"/>
  <c r="O49" i="1" s="1"/>
  <c r="CS49" i="1"/>
  <c r="R49" i="1" s="1"/>
  <c r="GK49" i="1" s="1"/>
  <c r="CZ48" i="1"/>
  <c r="Y48" i="1" s="1"/>
  <c r="CY48" i="1"/>
  <c r="X48" i="1" s="1"/>
  <c r="CY41" i="1"/>
  <c r="X41" i="1" s="1"/>
  <c r="R98" i="5" s="1"/>
  <c r="CZ41" i="1"/>
  <c r="Y41" i="1" s="1"/>
  <c r="T98" i="5" s="1"/>
  <c r="Q81" i="1"/>
  <c r="CP81" i="1" s="1"/>
  <c r="O81" i="1" s="1"/>
  <c r="CR80" i="1"/>
  <c r="W77" i="1"/>
  <c r="W75" i="1"/>
  <c r="W73" i="1"/>
  <c r="W71" i="1"/>
  <c r="W69" i="1"/>
  <c r="W67" i="1"/>
  <c r="W65" i="1"/>
  <c r="AD63" i="1"/>
  <c r="GX60" i="1"/>
  <c r="W60" i="1"/>
  <c r="CQ60" i="1"/>
  <c r="P60" i="1" s="1"/>
  <c r="CZ59" i="1"/>
  <c r="Y59" i="1" s="1"/>
  <c r="S56" i="1"/>
  <c r="V54" i="1"/>
  <c r="T53" i="1"/>
  <c r="AB51" i="1"/>
  <c r="CQ51" i="1"/>
  <c r="P51" i="1" s="1"/>
  <c r="CP51" i="1" s="1"/>
  <c r="O51" i="1" s="1"/>
  <c r="Q82" i="1"/>
  <c r="CX101" i="3"/>
  <c r="CX107" i="3"/>
  <c r="CX102" i="3"/>
  <c r="CX103" i="3"/>
  <c r="CX104" i="3"/>
  <c r="CX105" i="3"/>
  <c r="CX100" i="3"/>
  <c r="CX106" i="3"/>
  <c r="R80" i="1"/>
  <c r="GK80" i="1" s="1"/>
  <c r="CQ78" i="1"/>
  <c r="P78" i="1" s="1"/>
  <c r="I76" i="1"/>
  <c r="U156" i="5" s="1"/>
  <c r="I74" i="1"/>
  <c r="U154" i="5" s="1"/>
  <c r="I72" i="1"/>
  <c r="V152" i="5" s="1"/>
  <c r="I70" i="1"/>
  <c r="GX70" i="1" s="1"/>
  <c r="I68" i="1"/>
  <c r="V68" i="1" s="1"/>
  <c r="I66" i="1"/>
  <c r="V150" i="5" s="1"/>
  <c r="AB63" i="1"/>
  <c r="CQ63" i="1"/>
  <c r="CR62" i="1"/>
  <c r="Q62" i="1" s="1"/>
  <c r="CS62" i="1"/>
  <c r="T61" i="1"/>
  <c r="CZ60" i="1"/>
  <c r="Y60" i="1" s="1"/>
  <c r="T124" i="5" s="1"/>
  <c r="CX65" i="3"/>
  <c r="CX71" i="3"/>
  <c r="CX66" i="3"/>
  <c r="CX72" i="3"/>
  <c r="CX67" i="3"/>
  <c r="CX73" i="3"/>
  <c r="CX68" i="3"/>
  <c r="CX69" i="3"/>
  <c r="CX70" i="3"/>
  <c r="I61" i="1"/>
  <c r="V130" i="5" s="1"/>
  <c r="AB59" i="1"/>
  <c r="CY57" i="1"/>
  <c r="X57" i="1" s="1"/>
  <c r="CZ57" i="1"/>
  <c r="Y57" i="1" s="1"/>
  <c r="AD55" i="1"/>
  <c r="AB55" i="1" s="1"/>
  <c r="CS55" i="1"/>
  <c r="CR55" i="1"/>
  <c r="Q55" i="1" s="1"/>
  <c r="S53" i="1"/>
  <c r="V53" i="1"/>
  <c r="AB61" i="1"/>
  <c r="AD60" i="1"/>
  <c r="AB60" i="1" s="1"/>
  <c r="P56" i="1"/>
  <c r="CY50" i="1"/>
  <c r="X50" i="1" s="1"/>
  <c r="AD50" i="1"/>
  <c r="AB50" i="1" s="1"/>
  <c r="CS50" i="1"/>
  <c r="R50" i="1" s="1"/>
  <c r="GK50" i="1" s="1"/>
  <c r="CR48" i="1"/>
  <c r="Q48" i="1" s="1"/>
  <c r="CP48" i="1" s="1"/>
  <c r="O48" i="1" s="1"/>
  <c r="CS46" i="1"/>
  <c r="T46" i="1"/>
  <c r="S43" i="1"/>
  <c r="T43" i="1"/>
  <c r="CQ31" i="1"/>
  <c r="P31" i="1" s="1"/>
  <c r="J70" i="5" s="1"/>
  <c r="AD44" i="1"/>
  <c r="AB44" i="1" s="1"/>
  <c r="CS44" i="1"/>
  <c r="AD43" i="1"/>
  <c r="CR43" i="1"/>
  <c r="Q43" i="1" s="1"/>
  <c r="CZ38" i="1"/>
  <c r="Y38" i="1" s="1"/>
  <c r="T87" i="5" s="1"/>
  <c r="CY38" i="1"/>
  <c r="X38" i="1" s="1"/>
  <c r="R87" i="5" s="1"/>
  <c r="CY30" i="1"/>
  <c r="X30" i="1" s="1"/>
  <c r="R60" i="5" s="1"/>
  <c r="CZ30" i="1"/>
  <c r="Y30" i="1" s="1"/>
  <c r="T60" i="5" s="1"/>
  <c r="AB27" i="1"/>
  <c r="CQ27" i="1"/>
  <c r="P27" i="1" s="1"/>
  <c r="AB43" i="1"/>
  <c r="CQ32" i="1"/>
  <c r="P32" i="1" s="1"/>
  <c r="CY29" i="1"/>
  <c r="X29" i="1" s="1"/>
  <c r="CZ29" i="1"/>
  <c r="Y29" i="1" s="1"/>
  <c r="AD48" i="1"/>
  <c r="AB48" i="1" s="1"/>
  <c r="CZ47" i="1"/>
  <c r="Y47" i="1" s="1"/>
  <c r="CP47" i="1"/>
  <c r="O47" i="1" s="1"/>
  <c r="V41" i="1"/>
  <c r="CY40" i="1"/>
  <c r="X40" i="1" s="1"/>
  <c r="R94" i="5" s="1"/>
  <c r="CZ39" i="1"/>
  <c r="Y39" i="1" s="1"/>
  <c r="T88" i="5" s="1"/>
  <c r="I64" i="1"/>
  <c r="I63" i="1"/>
  <c r="T63" i="1" s="1"/>
  <c r="CR56" i="1"/>
  <c r="Q56" i="1" s="1"/>
  <c r="W53" i="1"/>
  <c r="CZ52" i="1"/>
  <c r="Y52" i="1" s="1"/>
  <c r="Q52" i="1"/>
  <c r="CP52" i="1" s="1"/>
  <c r="O52" i="1" s="1"/>
  <c r="CR50" i="1"/>
  <c r="Q50" i="1" s="1"/>
  <c r="CP50" i="1" s="1"/>
  <c r="O50" i="1" s="1"/>
  <c r="AB47" i="1"/>
  <c r="V46" i="1"/>
  <c r="AD42" i="1"/>
  <c r="AB42" i="1" s="1"/>
  <c r="CR42" i="1"/>
  <c r="Q42" i="1" s="1"/>
  <c r="CS42" i="1"/>
  <c r="R42" i="1" s="1"/>
  <c r="GK42" i="1" s="1"/>
  <c r="T41" i="1"/>
  <c r="AD33" i="1"/>
  <c r="AB33" i="1" s="1"/>
  <c r="CR33" i="1"/>
  <c r="Q33" i="1" s="1"/>
  <c r="CS33" i="1"/>
  <c r="CY26" i="1"/>
  <c r="X26" i="1" s="1"/>
  <c r="R53" i="5" s="1"/>
  <c r="CZ26" i="1"/>
  <c r="Y26" i="1" s="1"/>
  <c r="T53" i="5" s="1"/>
  <c r="W52" i="1"/>
  <c r="GX43" i="1"/>
  <c r="CS43" i="1"/>
  <c r="AD40" i="1"/>
  <c r="AB40" i="1" s="1"/>
  <c r="CR40" i="1"/>
  <c r="Q40" i="1" s="1"/>
  <c r="CP40" i="1" s="1"/>
  <c r="O40" i="1" s="1"/>
  <c r="CR38" i="1"/>
  <c r="Q38" i="1" s="1"/>
  <c r="AD32" i="1"/>
  <c r="AB32" i="1" s="1"/>
  <c r="CR32" i="1"/>
  <c r="Q32" i="1" s="1"/>
  <c r="CS32" i="1"/>
  <c r="AD31" i="1"/>
  <c r="AB31" i="1" s="1"/>
  <c r="CR31" i="1"/>
  <c r="Q31" i="1" s="1"/>
  <c r="J68" i="5" s="1"/>
  <c r="CS31" i="1"/>
  <c r="CQ33" i="1"/>
  <c r="P33" i="1" s="1"/>
  <c r="CZ32" i="1"/>
  <c r="Y32" i="1" s="1"/>
  <c r="T71" i="5" s="1"/>
  <c r="CZ31" i="1"/>
  <c r="Y31" i="1" s="1"/>
  <c r="T66" i="5" s="1"/>
  <c r="CP30" i="1"/>
  <c r="O30" i="1" s="1"/>
  <c r="J60" i="5" s="1"/>
  <c r="CY25" i="1"/>
  <c r="X25" i="1" s="1"/>
  <c r="R43" i="5" s="1"/>
  <c r="J48" i="5" s="1"/>
  <c r="CZ25" i="1"/>
  <c r="Y25" i="1" s="1"/>
  <c r="T43" i="5" s="1"/>
  <c r="J49" i="5" s="1"/>
  <c r="CZ35" i="1"/>
  <c r="Y35" i="1" s="1"/>
  <c r="T84" i="5" s="1"/>
  <c r="CY35" i="1"/>
  <c r="X35" i="1" s="1"/>
  <c r="R84" i="5" s="1"/>
  <c r="CR45" i="1"/>
  <c r="Q45" i="1" s="1"/>
  <c r="CP45" i="1" s="1"/>
  <c r="O45" i="1" s="1"/>
  <c r="J101" i="5" s="1"/>
  <c r="AD41" i="1"/>
  <c r="AB41" i="1" s="1"/>
  <c r="CR41" i="1"/>
  <c r="Q41" i="1" s="1"/>
  <c r="CP41" i="1" s="1"/>
  <c r="O41" i="1" s="1"/>
  <c r="J98" i="5" s="1"/>
  <c r="CS40" i="1"/>
  <c r="V38" i="1"/>
  <c r="CR37" i="1"/>
  <c r="Q37" i="1" s="1"/>
  <c r="AD37" i="1"/>
  <c r="AB37" i="1" s="1"/>
  <c r="CR36" i="1"/>
  <c r="Q36" i="1" s="1"/>
  <c r="CP36" i="1" s="1"/>
  <c r="O36" i="1" s="1"/>
  <c r="J85" i="5" s="1"/>
  <c r="AD36" i="1"/>
  <c r="AB36" i="1" s="1"/>
  <c r="CS36" i="1"/>
  <c r="AB30" i="1"/>
  <c r="AB29" i="1"/>
  <c r="CQ29" i="1"/>
  <c r="P29" i="1" s="1"/>
  <c r="CP29" i="1" s="1"/>
  <c r="O29" i="1" s="1"/>
  <c r="CY27" i="1"/>
  <c r="X27" i="1" s="1"/>
  <c r="R58" i="5" s="1"/>
  <c r="CZ27" i="1"/>
  <c r="Y27" i="1" s="1"/>
  <c r="T58" i="5" s="1"/>
  <c r="CZ24" i="1"/>
  <c r="Y24" i="1" s="1"/>
  <c r="T33" i="5" s="1"/>
  <c r="J39" i="5" s="1"/>
  <c r="CY24" i="1"/>
  <c r="X24" i="1" s="1"/>
  <c r="R33" i="5" s="1"/>
  <c r="J38" i="5" s="1"/>
  <c r="CS38" i="1"/>
  <c r="U38" i="1"/>
  <c r="CY36" i="1"/>
  <c r="X36" i="1" s="1"/>
  <c r="R85" i="5" s="1"/>
  <c r="CR34" i="1"/>
  <c r="Q34" i="1" s="1"/>
  <c r="AD34" i="1"/>
  <c r="AB34" i="1" s="1"/>
  <c r="CP26" i="1"/>
  <c r="O26" i="1" s="1"/>
  <c r="P39" i="1"/>
  <c r="CP39" i="1" s="1"/>
  <c r="O39" i="1" s="1"/>
  <c r="J88" i="5" s="1"/>
  <c r="CR35" i="1"/>
  <c r="Q35" i="1" s="1"/>
  <c r="CP35" i="1" s="1"/>
  <c r="O35" i="1" s="1"/>
  <c r="J84" i="5" s="1"/>
  <c r="AD35" i="1"/>
  <c r="AB35" i="1" s="1"/>
  <c r="AB28" i="1"/>
  <c r="CR25" i="1"/>
  <c r="Q25" i="1" s="1"/>
  <c r="J45" i="5" s="1"/>
  <c r="AB26" i="1"/>
  <c r="AB24" i="1"/>
  <c r="CQ24" i="1"/>
  <c r="P24" i="1" s="1"/>
  <c r="J37" i="5" s="1"/>
  <c r="P38" i="1"/>
  <c r="P37" i="1"/>
  <c r="S37" i="1"/>
  <c r="U35" i="1"/>
  <c r="AD25" i="1"/>
  <c r="AB25" i="1" s="1"/>
  <c r="CX47" i="3"/>
  <c r="CX53" i="3"/>
  <c r="CX48" i="3"/>
  <c r="CX49" i="3"/>
  <c r="CX50" i="3"/>
  <c r="CX45" i="3"/>
  <c r="CX51" i="3"/>
  <c r="CX46" i="3"/>
  <c r="CX52" i="3"/>
  <c r="CS30" i="1"/>
  <c r="CS29" i="1"/>
  <c r="R29" i="1" s="1"/>
  <c r="GK29" i="1" s="1"/>
  <c r="CS28" i="1"/>
  <c r="CS27" i="1"/>
  <c r="CS26" i="1"/>
  <c r="CX35" i="3"/>
  <c r="CX41" i="3"/>
  <c r="CX36" i="3"/>
  <c r="CX42" i="3"/>
  <c r="CX31" i="3"/>
  <c r="CX37" i="3"/>
  <c r="CX43" i="3"/>
  <c r="CX32" i="3"/>
  <c r="CX38" i="3"/>
  <c r="CX44" i="3"/>
  <c r="CX33" i="3"/>
  <c r="CX39" i="3"/>
  <c r="CX34" i="3"/>
  <c r="CX40" i="3"/>
  <c r="J337" i="10" l="1"/>
  <c r="GM97" i="1"/>
  <c r="GP97" i="1"/>
  <c r="T109" i="1"/>
  <c r="F19" i="7"/>
  <c r="V33" i="5"/>
  <c r="J40" i="5" s="1"/>
  <c r="R24" i="1"/>
  <c r="U61" i="1"/>
  <c r="U66" i="1"/>
  <c r="V139" i="5"/>
  <c r="P61" i="1"/>
  <c r="W79" i="1"/>
  <c r="S109" i="1"/>
  <c r="CP145" i="1"/>
  <c r="O145" i="1" s="1"/>
  <c r="CP149" i="1"/>
  <c r="O149" i="1" s="1"/>
  <c r="F52" i="7"/>
  <c r="U41" i="1"/>
  <c r="T58" i="8"/>
  <c r="F65" i="7"/>
  <c r="U179" i="5"/>
  <c r="GP141" i="1"/>
  <c r="V109" i="1"/>
  <c r="Q109" i="1"/>
  <c r="F12" i="7"/>
  <c r="D17" i="7"/>
  <c r="O24" i="8"/>
  <c r="D69" i="7"/>
  <c r="CP43" i="1"/>
  <c r="O43" i="1" s="1"/>
  <c r="J99" i="5" s="1"/>
  <c r="V61" i="1"/>
  <c r="P115" i="1"/>
  <c r="CP90" i="1"/>
  <c r="O90" i="1" s="1"/>
  <c r="CP38" i="1"/>
  <c r="O38" i="1" s="1"/>
  <c r="J87" i="5" s="1"/>
  <c r="CP25" i="1"/>
  <c r="O25" i="1" s="1"/>
  <c r="Q80" i="1"/>
  <c r="U80" i="1"/>
  <c r="P109" i="1"/>
  <c r="CP109" i="1" s="1"/>
  <c r="O109" i="1" s="1"/>
  <c r="J239" i="5" s="1"/>
  <c r="T25" i="8"/>
  <c r="T47" i="8"/>
  <c r="D15" i="7"/>
  <c r="GP153" i="1"/>
  <c r="CP71" i="1"/>
  <c r="O71" i="1" s="1"/>
  <c r="J151" i="5" s="1"/>
  <c r="CP75" i="1"/>
  <c r="O75" i="1" s="1"/>
  <c r="J155" i="5" s="1"/>
  <c r="T135" i="8"/>
  <c r="J319" i="5"/>
  <c r="J74" i="5"/>
  <c r="J318" i="5"/>
  <c r="GM123" i="1"/>
  <c r="GP123" i="1"/>
  <c r="R31" i="1"/>
  <c r="V66" i="5"/>
  <c r="R30" i="1"/>
  <c r="GK30" i="1" s="1"/>
  <c r="V60" i="5"/>
  <c r="Q70" i="1"/>
  <c r="Q63" i="1"/>
  <c r="GP75" i="1"/>
  <c r="T155" i="5"/>
  <c r="T96" i="1"/>
  <c r="D73" i="6"/>
  <c r="E224" i="5"/>
  <c r="W76" i="1"/>
  <c r="R79" i="1"/>
  <c r="GK79" i="1" s="1"/>
  <c r="V167" i="5"/>
  <c r="R115" i="1"/>
  <c r="GK115" i="1" s="1"/>
  <c r="V259" i="5"/>
  <c r="R109" i="1"/>
  <c r="GK109" i="1" s="1"/>
  <c r="V239" i="5"/>
  <c r="R105" i="1"/>
  <c r="V230" i="5"/>
  <c r="GM141" i="1"/>
  <c r="E76" i="7"/>
  <c r="M23" i="8"/>
  <c r="F76" i="7" s="1"/>
  <c r="CZ34" i="1"/>
  <c r="Y34" i="1" s="1"/>
  <c r="T78" i="5" s="1"/>
  <c r="J80" i="5"/>
  <c r="CY34" i="1"/>
  <c r="X34" i="1" s="1"/>
  <c r="R78" i="5" s="1"/>
  <c r="E53" i="7"/>
  <c r="O51" i="8"/>
  <c r="U44" i="1"/>
  <c r="I51" i="8"/>
  <c r="D40" i="7" s="1"/>
  <c r="D38" i="6"/>
  <c r="E100" i="5"/>
  <c r="CZ46" i="1"/>
  <c r="Y46" i="1" s="1"/>
  <c r="T102" i="5" s="1"/>
  <c r="CY46" i="1"/>
  <c r="X46" i="1" s="1"/>
  <c r="R102" i="5" s="1"/>
  <c r="R56" i="1"/>
  <c r="GK56" i="1" s="1"/>
  <c r="V111" i="5"/>
  <c r="U168" i="5"/>
  <c r="E51" i="7"/>
  <c r="M81" i="8"/>
  <c r="F51" i="7" s="1"/>
  <c r="CZ87" i="1"/>
  <c r="Y87" i="1" s="1"/>
  <c r="T180" i="5" s="1"/>
  <c r="CY87" i="1"/>
  <c r="X87" i="1" s="1"/>
  <c r="R180" i="5" s="1"/>
  <c r="T84" i="8"/>
  <c r="E88" i="7"/>
  <c r="M126" i="8"/>
  <c r="F88" i="7" s="1"/>
  <c r="Q150" i="5"/>
  <c r="Q167" i="5"/>
  <c r="S154" i="5"/>
  <c r="E83" i="7"/>
  <c r="Q237" i="5"/>
  <c r="T106" i="8"/>
  <c r="E90" i="7"/>
  <c r="M135" i="8"/>
  <c r="F90" i="7" s="1"/>
  <c r="W138" i="1"/>
  <c r="GX138" i="1"/>
  <c r="Q44" i="1"/>
  <c r="E81" i="7"/>
  <c r="S224" i="5"/>
  <c r="U238" i="5"/>
  <c r="E80" i="7"/>
  <c r="M58" i="8"/>
  <c r="F80" i="7" s="1"/>
  <c r="GK65" i="1"/>
  <c r="J148" i="5"/>
  <c r="U167" i="5"/>
  <c r="I82" i="8"/>
  <c r="D84" i="7" s="1"/>
  <c r="D63" i="6"/>
  <c r="E178" i="5"/>
  <c r="U178" i="5"/>
  <c r="R83" i="1"/>
  <c r="GK83" i="1" s="1"/>
  <c r="S86" i="1"/>
  <c r="J205" i="5"/>
  <c r="R95" i="1"/>
  <c r="V218" i="5"/>
  <c r="CZ112" i="1"/>
  <c r="Y112" i="1" s="1"/>
  <c r="T249" i="5" s="1"/>
  <c r="J251" i="5" s="1"/>
  <c r="CY112" i="1"/>
  <c r="X112" i="1" s="1"/>
  <c r="GK120" i="1"/>
  <c r="J268" i="5"/>
  <c r="E89" i="7"/>
  <c r="M127" i="8"/>
  <c r="F89" i="7" s="1"/>
  <c r="S156" i="5"/>
  <c r="Q258" i="5"/>
  <c r="CY129" i="1"/>
  <c r="X129" i="1" s="1"/>
  <c r="R290" i="5" s="1"/>
  <c r="J294" i="5" s="1"/>
  <c r="J292" i="5"/>
  <c r="P137" i="1"/>
  <c r="J308" i="5"/>
  <c r="U138" i="1"/>
  <c r="GX137" i="1"/>
  <c r="GX85" i="1"/>
  <c r="R36" i="1"/>
  <c r="GK36" i="1" s="1"/>
  <c r="V85" i="5"/>
  <c r="CP56" i="1"/>
  <c r="O56" i="1" s="1"/>
  <c r="J111" i="5" s="1"/>
  <c r="Q76" i="1"/>
  <c r="R114" i="1"/>
  <c r="GK114" i="1" s="1"/>
  <c r="V258" i="5"/>
  <c r="GX96" i="1"/>
  <c r="R135" i="1"/>
  <c r="V311" i="5"/>
  <c r="R27" i="1"/>
  <c r="GK27" i="1" s="1"/>
  <c r="V58" i="5"/>
  <c r="CP34" i="1"/>
  <c r="O34" i="1" s="1"/>
  <c r="J81" i="5"/>
  <c r="I42" i="5"/>
  <c r="R43" i="1"/>
  <c r="GK43" i="1" s="1"/>
  <c r="V99" i="5"/>
  <c r="U64" i="1"/>
  <c r="I66" i="8"/>
  <c r="D81" i="7" s="1"/>
  <c r="D48" i="6"/>
  <c r="E139" i="5"/>
  <c r="CP27" i="1"/>
  <c r="O27" i="1" s="1"/>
  <c r="J58" i="5" s="1"/>
  <c r="R44" i="1"/>
  <c r="GK44" i="1" s="1"/>
  <c r="V100" i="5"/>
  <c r="D46" i="6"/>
  <c r="E130" i="5"/>
  <c r="R62" i="1"/>
  <c r="GK62" i="1" s="1"/>
  <c r="V136" i="5"/>
  <c r="I72" i="8"/>
  <c r="D82" i="7" s="1"/>
  <c r="D50" i="6"/>
  <c r="E150" i="5"/>
  <c r="GX72" i="1"/>
  <c r="E152" i="5"/>
  <c r="D52" i="6"/>
  <c r="CP78" i="1"/>
  <c r="O78" i="1" s="1"/>
  <c r="J166" i="5"/>
  <c r="T119" i="5"/>
  <c r="GX63" i="1"/>
  <c r="U72" i="1"/>
  <c r="S63" i="1"/>
  <c r="S61" i="1"/>
  <c r="W61" i="1"/>
  <c r="R91" i="1"/>
  <c r="GK91" i="1" s="1"/>
  <c r="V190" i="5"/>
  <c r="CP95" i="1"/>
  <c r="O95" i="1" s="1"/>
  <c r="J223" i="5"/>
  <c r="CP92" i="1"/>
  <c r="O92" i="1" s="1"/>
  <c r="J201" i="5"/>
  <c r="CP84" i="1"/>
  <c r="O84" i="1" s="1"/>
  <c r="W70" i="1"/>
  <c r="P66" i="1"/>
  <c r="GX76" i="1"/>
  <c r="S80" i="1"/>
  <c r="R96" i="1"/>
  <c r="GK96" i="1" s="1"/>
  <c r="GP89" i="1"/>
  <c r="R121" i="1"/>
  <c r="GK121" i="1" s="1"/>
  <c r="V275" i="5"/>
  <c r="R78" i="1"/>
  <c r="GK78" i="1" s="1"/>
  <c r="V163" i="5"/>
  <c r="I89" i="8"/>
  <c r="D86" i="7" s="1"/>
  <c r="D70" i="6"/>
  <c r="E202" i="5"/>
  <c r="P114" i="1"/>
  <c r="W96" i="1"/>
  <c r="U115" i="1"/>
  <c r="W110" i="1"/>
  <c r="D79" i="6"/>
  <c r="E240" i="5"/>
  <c r="W106" i="1"/>
  <c r="E236" i="5"/>
  <c r="D75" i="6"/>
  <c r="GX106" i="1"/>
  <c r="R126" i="1"/>
  <c r="GK126" i="1" s="1"/>
  <c r="V283" i="5"/>
  <c r="V238" i="5"/>
  <c r="CP143" i="1"/>
  <c r="O143" i="1" s="1"/>
  <c r="CP135" i="1"/>
  <c r="O135" i="1" s="1"/>
  <c r="J314" i="5"/>
  <c r="F50" i="7"/>
  <c r="CY28" i="1"/>
  <c r="X28" i="1" s="1"/>
  <c r="R59" i="5" s="1"/>
  <c r="J61" i="5" s="1"/>
  <c r="CZ28" i="1"/>
  <c r="Y28" i="1" s="1"/>
  <c r="T59" i="5" s="1"/>
  <c r="GK34" i="1"/>
  <c r="J82" i="5"/>
  <c r="E56" i="7"/>
  <c r="M47" i="8"/>
  <c r="F56" i="7" s="1"/>
  <c r="CZ40" i="1"/>
  <c r="Y40" i="1" s="1"/>
  <c r="T94" i="5" s="1"/>
  <c r="J96" i="5"/>
  <c r="W44" i="1"/>
  <c r="F16" i="7"/>
  <c r="O23" i="8"/>
  <c r="E60" i="7"/>
  <c r="M25" i="8"/>
  <c r="F60" i="7" s="1"/>
  <c r="E40" i="7"/>
  <c r="M51" i="8"/>
  <c r="F40" i="7" s="1"/>
  <c r="F66" i="7"/>
  <c r="V124" i="5"/>
  <c r="J133" i="5" s="1"/>
  <c r="R60" i="1"/>
  <c r="T66" i="8"/>
  <c r="V168" i="5"/>
  <c r="U86" i="1"/>
  <c r="R90" i="1"/>
  <c r="V186" i="5"/>
  <c r="O126" i="8"/>
  <c r="V323" i="5"/>
  <c r="J326" i="5" s="1"/>
  <c r="R151" i="1"/>
  <c r="S137" i="1"/>
  <c r="N136" i="8"/>
  <c r="O136" i="8" s="1"/>
  <c r="K136" i="8"/>
  <c r="R46" i="8"/>
  <c r="S150" i="5"/>
  <c r="S167" i="5"/>
  <c r="F45" i="7"/>
  <c r="O57" i="8"/>
  <c r="S139" i="5"/>
  <c r="V179" i="5"/>
  <c r="CY95" i="1"/>
  <c r="X95" i="1" s="1"/>
  <c r="R218" i="5" s="1"/>
  <c r="J220" i="5"/>
  <c r="U240" i="5"/>
  <c r="T126" i="8"/>
  <c r="S138" i="1"/>
  <c r="U100" i="5"/>
  <c r="E41" i="7"/>
  <c r="M52" i="8"/>
  <c r="F41" i="7" s="1"/>
  <c r="S130" i="5"/>
  <c r="Q224" i="5"/>
  <c r="Q259" i="5"/>
  <c r="CP59" i="1"/>
  <c r="O59" i="1" s="1"/>
  <c r="GP59" i="1" s="1"/>
  <c r="U150" i="5"/>
  <c r="D45" i="7"/>
  <c r="D65" i="7"/>
  <c r="T81" i="8"/>
  <c r="T82" i="8"/>
  <c r="V86" i="1"/>
  <c r="E85" i="7"/>
  <c r="M84" i="8"/>
  <c r="F85" i="7" s="1"/>
  <c r="O125" i="8"/>
  <c r="O127" i="8"/>
  <c r="M35" i="8"/>
  <c r="S85" i="1"/>
  <c r="Q156" i="5"/>
  <c r="Q178" i="5"/>
  <c r="GX83" i="1"/>
  <c r="GK130" i="1"/>
  <c r="J301" i="5"/>
  <c r="R26" i="1"/>
  <c r="J56" i="5" s="1"/>
  <c r="V53" i="5"/>
  <c r="R38" i="1"/>
  <c r="GK38" i="1" s="1"/>
  <c r="V87" i="5"/>
  <c r="J62" i="5"/>
  <c r="R55" i="1"/>
  <c r="V107" i="5"/>
  <c r="T117" i="5"/>
  <c r="J121" i="5" s="1"/>
  <c r="W107" i="1"/>
  <c r="E237" i="5"/>
  <c r="D76" i="6"/>
  <c r="S114" i="1"/>
  <c r="I113" i="8"/>
  <c r="T113" i="8" s="1"/>
  <c r="E258" i="5"/>
  <c r="D83" i="6"/>
  <c r="V114" i="1"/>
  <c r="R28" i="1"/>
  <c r="GK28" i="1" s="1"/>
  <c r="V59" i="5"/>
  <c r="R40" i="1"/>
  <c r="GK40" i="1" s="1"/>
  <c r="V94" i="5"/>
  <c r="CP33" i="1"/>
  <c r="O33" i="1" s="1"/>
  <c r="J72" i="5" s="1"/>
  <c r="R32" i="1"/>
  <c r="GK32" i="1" s="1"/>
  <c r="V71" i="5"/>
  <c r="R33" i="1"/>
  <c r="GK33" i="1" s="1"/>
  <c r="V72" i="5"/>
  <c r="V74" i="1"/>
  <c r="D54" i="6"/>
  <c r="E154" i="5"/>
  <c r="CP60" i="1"/>
  <c r="O60" i="1" s="1"/>
  <c r="J129" i="5"/>
  <c r="GP73" i="1"/>
  <c r="R153" i="5"/>
  <c r="V70" i="1"/>
  <c r="V79" i="1"/>
  <c r="GP71" i="1"/>
  <c r="R151" i="5"/>
  <c r="W80" i="1"/>
  <c r="E168" i="5"/>
  <c r="D60" i="6"/>
  <c r="GM91" i="1"/>
  <c r="R190" i="5"/>
  <c r="CP113" i="1"/>
  <c r="O113" i="1" s="1"/>
  <c r="J257" i="5"/>
  <c r="P107" i="1"/>
  <c r="R113" i="1"/>
  <c r="GK113" i="1" s="1"/>
  <c r="V254" i="5"/>
  <c r="W72" i="1"/>
  <c r="T115" i="1"/>
  <c r="CP126" i="1"/>
  <c r="O126" i="1" s="1"/>
  <c r="J285" i="5"/>
  <c r="I289" i="5" s="1"/>
  <c r="R107" i="1"/>
  <c r="GK107" i="1" s="1"/>
  <c r="V237" i="5"/>
  <c r="D78" i="6"/>
  <c r="E239" i="5"/>
  <c r="R110" i="1"/>
  <c r="GK110" i="1" s="1"/>
  <c r="V240" i="5"/>
  <c r="V115" i="1"/>
  <c r="W115" i="1"/>
  <c r="GX109" i="1"/>
  <c r="F67" i="7"/>
  <c r="F72" i="7"/>
  <c r="T23" i="8"/>
  <c r="E78" i="7"/>
  <c r="M34" i="8"/>
  <c r="F78" i="7" s="1"/>
  <c r="E57" i="7"/>
  <c r="M44" i="8"/>
  <c r="F57" i="7" s="1"/>
  <c r="E54" i="7"/>
  <c r="M45" i="8"/>
  <c r="F54" i="7" s="1"/>
  <c r="T44" i="1"/>
  <c r="F17" i="7"/>
  <c r="F49" i="7"/>
  <c r="O25" i="8"/>
  <c r="R35" i="8"/>
  <c r="E55" i="7"/>
  <c r="M46" i="8"/>
  <c r="F55" i="7" s="1"/>
  <c r="P44" i="1"/>
  <c r="F46" i="7"/>
  <c r="W41" i="1"/>
  <c r="I49" i="8"/>
  <c r="D53" i="7" s="1"/>
  <c r="D36" i="6"/>
  <c r="E98" i="5"/>
  <c r="S44" i="1"/>
  <c r="E42" i="7"/>
  <c r="E82" i="7"/>
  <c r="M72" i="8"/>
  <c r="F82" i="7" s="1"/>
  <c r="V154" i="5"/>
  <c r="T89" i="8"/>
  <c r="T46" i="8"/>
  <c r="D72" i="7"/>
  <c r="D28" i="7"/>
  <c r="D68" i="7"/>
  <c r="Q152" i="5"/>
  <c r="V83" i="1"/>
  <c r="V180" i="5"/>
  <c r="R87" i="1"/>
  <c r="GK87" i="1" s="1"/>
  <c r="GP87" i="1" s="1"/>
  <c r="T138" i="1"/>
  <c r="F30" i="7"/>
  <c r="CP28" i="1"/>
  <c r="O28" i="1" s="1"/>
  <c r="J59" i="5" s="1"/>
  <c r="CZ49" i="1"/>
  <c r="Y49" i="1" s="1"/>
  <c r="CY49" i="1"/>
  <c r="X49" i="1" s="1"/>
  <c r="E79" i="7"/>
  <c r="M57" i="8"/>
  <c r="F79" i="7" s="1"/>
  <c r="CP57" i="1"/>
  <c r="O57" i="1" s="1"/>
  <c r="Q139" i="5"/>
  <c r="Q168" i="5"/>
  <c r="U85" i="1"/>
  <c r="S202" i="5"/>
  <c r="U236" i="5"/>
  <c r="D67" i="7"/>
  <c r="R126" i="8"/>
  <c r="V138" i="1"/>
  <c r="V137" i="1"/>
  <c r="R51" i="8"/>
  <c r="O52" i="8"/>
  <c r="Q130" i="5"/>
  <c r="T86" i="1"/>
  <c r="S259" i="5"/>
  <c r="R25" i="1"/>
  <c r="V43" i="5"/>
  <c r="J50" i="5" s="1"/>
  <c r="I52" i="5" s="1"/>
  <c r="T42" i="1"/>
  <c r="R57" i="8"/>
  <c r="T72" i="8"/>
  <c r="D66" i="7"/>
  <c r="R81" i="8"/>
  <c r="R82" i="8"/>
  <c r="Q179" i="5"/>
  <c r="O84" i="8"/>
  <c r="U224" i="5"/>
  <c r="S240" i="5"/>
  <c r="E87" i="7"/>
  <c r="M125" i="8"/>
  <c r="F87" i="7" s="1"/>
  <c r="O35" i="8"/>
  <c r="S178" i="5"/>
  <c r="Q239" i="5"/>
  <c r="E70" i="7"/>
  <c r="M106" i="8"/>
  <c r="T137" i="1"/>
  <c r="W83" i="1"/>
  <c r="R46" i="1"/>
  <c r="GK46" i="1" s="1"/>
  <c r="V102" i="5"/>
  <c r="CP55" i="1"/>
  <c r="O55" i="1" s="1"/>
  <c r="J109" i="5"/>
  <c r="GM57" i="1"/>
  <c r="P63" i="1"/>
  <c r="CP63" i="1" s="1"/>
  <c r="O63" i="1" s="1"/>
  <c r="E156" i="5"/>
  <c r="D56" i="6"/>
  <c r="R63" i="1"/>
  <c r="GK63" i="1" s="1"/>
  <c r="CP65" i="1"/>
  <c r="O65" i="1" s="1"/>
  <c r="J147" i="5"/>
  <c r="CP86" i="1"/>
  <c r="O86" i="1" s="1"/>
  <c r="J179" i="5" s="1"/>
  <c r="P96" i="1"/>
  <c r="V76" i="1"/>
  <c r="S79" i="1"/>
  <c r="CZ79" i="1" s="1"/>
  <c r="Y79" i="1" s="1"/>
  <c r="T167" i="5" s="1"/>
  <c r="I79" i="8"/>
  <c r="D83" i="7" s="1"/>
  <c r="D59" i="6"/>
  <c r="E167" i="5"/>
  <c r="GK92" i="1"/>
  <c r="GM92" i="1" s="1"/>
  <c r="J200" i="5"/>
  <c r="V107" i="1"/>
  <c r="CP105" i="1"/>
  <c r="O105" i="1" s="1"/>
  <c r="J235" i="5"/>
  <c r="W108" i="1"/>
  <c r="D77" i="6"/>
  <c r="E238" i="5"/>
  <c r="S115" i="1"/>
  <c r="CZ115" i="1" s="1"/>
  <c r="Y115" i="1" s="1"/>
  <c r="T259" i="5" s="1"/>
  <c r="E259" i="5"/>
  <c r="D84" i="6"/>
  <c r="CP120" i="1"/>
  <c r="O120" i="1" s="1"/>
  <c r="J269" i="5"/>
  <c r="GX115" i="1"/>
  <c r="R136" i="1"/>
  <c r="GK136" i="1" s="1"/>
  <c r="GM136" i="1" s="1"/>
  <c r="V317" i="5"/>
  <c r="R106" i="1"/>
  <c r="GK106" i="1" s="1"/>
  <c r="V236" i="5"/>
  <c r="R23" i="8"/>
  <c r="E39" i="7"/>
  <c r="M50" i="8"/>
  <c r="F39" i="7" s="1"/>
  <c r="F68" i="7"/>
  <c r="O46" i="8"/>
  <c r="I53" i="8"/>
  <c r="D42" i="7" s="1"/>
  <c r="E102" i="5"/>
  <c r="D40" i="6"/>
  <c r="U46" i="1"/>
  <c r="GX44" i="1"/>
  <c r="P46" i="1"/>
  <c r="CP46" i="1" s="1"/>
  <c r="O46" i="1" s="1"/>
  <c r="CY58" i="1"/>
  <c r="X58" i="1" s="1"/>
  <c r="R117" i="5" s="1"/>
  <c r="J120" i="5" s="1"/>
  <c r="J118" i="5"/>
  <c r="U139" i="5"/>
  <c r="D16" i="7"/>
  <c r="O72" i="8"/>
  <c r="E84" i="7"/>
  <c r="M82" i="8"/>
  <c r="F84" i="7" s="1"/>
  <c r="R86" i="1"/>
  <c r="GK86" i="1" s="1"/>
  <c r="E179" i="5"/>
  <c r="D64" i="6"/>
  <c r="R84" i="8"/>
  <c r="U202" i="5"/>
  <c r="Q238" i="5"/>
  <c r="I327" i="5"/>
  <c r="R37" i="1"/>
  <c r="GK37" i="1" s="1"/>
  <c r="V86" i="5"/>
  <c r="U42" i="1"/>
  <c r="D19" i="7"/>
  <c r="S152" i="5"/>
  <c r="E77" i="7"/>
  <c r="M24" i="8"/>
  <c r="F77" i="7" s="1"/>
  <c r="Q154" i="5"/>
  <c r="CY78" i="1"/>
  <c r="X78" i="1" s="1"/>
  <c r="R163" i="5" s="1"/>
  <c r="J165" i="5"/>
  <c r="S168" i="5"/>
  <c r="Q202" i="5"/>
  <c r="S237" i="5"/>
  <c r="R106" i="8"/>
  <c r="M113" i="8"/>
  <c r="CY120" i="1"/>
  <c r="X120" i="1" s="1"/>
  <c r="R264" i="5" s="1"/>
  <c r="J270" i="5" s="1"/>
  <c r="J266" i="5"/>
  <c r="CZ120" i="1"/>
  <c r="Y120" i="1" s="1"/>
  <c r="T264" i="5" s="1"/>
  <c r="J271" i="5" s="1"/>
  <c r="U137" i="1"/>
  <c r="T51" i="8"/>
  <c r="R125" i="8"/>
  <c r="F74" i="7"/>
  <c r="S42" i="1"/>
  <c r="T57" i="8"/>
  <c r="O58" i="8"/>
  <c r="U130" i="5"/>
  <c r="R72" i="8"/>
  <c r="U152" i="5"/>
  <c r="V156" i="5"/>
  <c r="V178" i="5"/>
  <c r="S179" i="5"/>
  <c r="V224" i="5"/>
  <c r="S236" i="5"/>
  <c r="Q240" i="5"/>
  <c r="U258" i="5"/>
  <c r="R41" i="1"/>
  <c r="GK41" i="1" s="1"/>
  <c r="GP41" i="1" s="1"/>
  <c r="V98" i="5"/>
  <c r="V208" i="5"/>
  <c r="J215" i="5" s="1"/>
  <c r="I217" i="5" s="1"/>
  <c r="R94" i="1"/>
  <c r="F35" i="7"/>
  <c r="F28" i="7"/>
  <c r="S83" i="1"/>
  <c r="M89" i="8"/>
  <c r="F86" i="7" s="1"/>
  <c r="E86" i="7"/>
  <c r="S239" i="5"/>
  <c r="O106" i="8"/>
  <c r="P138" i="1"/>
  <c r="CP138" i="1" s="1"/>
  <c r="O138" i="1" s="1"/>
  <c r="R85" i="1"/>
  <c r="GK85" i="1" s="1"/>
  <c r="V44" i="1"/>
  <c r="GM35" i="1"/>
  <c r="GP35" i="1"/>
  <c r="GP136" i="1"/>
  <c r="GM87" i="1"/>
  <c r="GP50" i="1"/>
  <c r="GM50" i="1"/>
  <c r="GP65" i="1"/>
  <c r="GM65" i="1"/>
  <c r="GP81" i="1"/>
  <c r="GM81" i="1"/>
  <c r="GM36" i="1"/>
  <c r="GP36" i="1"/>
  <c r="GP40" i="1"/>
  <c r="GM40" i="1"/>
  <c r="GM52" i="1"/>
  <c r="GP52" i="1"/>
  <c r="GM102" i="1"/>
  <c r="GP102" i="1"/>
  <c r="GM100" i="1"/>
  <c r="GP100" i="1"/>
  <c r="BB22" i="1"/>
  <c r="F169" i="1"/>
  <c r="BB186" i="1"/>
  <c r="GP143" i="1"/>
  <c r="GM143" i="1"/>
  <c r="GP122" i="1"/>
  <c r="GM122" i="1"/>
  <c r="GM41" i="1"/>
  <c r="U74" i="1"/>
  <c r="GX74" i="1"/>
  <c r="GM104" i="1"/>
  <c r="GP104" i="1"/>
  <c r="GP125" i="1"/>
  <c r="GM125" i="1"/>
  <c r="CG22" i="1"/>
  <c r="AX156" i="1"/>
  <c r="AQ22" i="1"/>
  <c r="AQ186" i="1"/>
  <c r="F166" i="1"/>
  <c r="S108" i="1"/>
  <c r="GM129" i="1"/>
  <c r="GP129" i="1"/>
  <c r="GP144" i="1"/>
  <c r="GM144" i="1"/>
  <c r="GP150" i="1"/>
  <c r="GM150" i="1"/>
  <c r="GM127" i="1"/>
  <c r="GP127" i="1"/>
  <c r="GP124" i="1"/>
  <c r="GM124" i="1"/>
  <c r="GM27" i="1"/>
  <c r="GP27" i="1"/>
  <c r="CY43" i="1"/>
  <c r="X43" i="1" s="1"/>
  <c r="CZ43" i="1"/>
  <c r="Y43" i="1" s="1"/>
  <c r="T99" i="5" s="1"/>
  <c r="R70" i="1"/>
  <c r="GK70" i="1" s="1"/>
  <c r="S70" i="1"/>
  <c r="T70" i="1"/>
  <c r="R76" i="1"/>
  <c r="GK76" i="1" s="1"/>
  <c r="S76" i="1"/>
  <c r="T76" i="1"/>
  <c r="P64" i="1"/>
  <c r="U76" i="1"/>
  <c r="CZ61" i="1"/>
  <c r="Y61" i="1" s="1"/>
  <c r="T130" i="5" s="1"/>
  <c r="J132" i="5" s="1"/>
  <c r="CY61" i="1"/>
  <c r="X61" i="1" s="1"/>
  <c r="R130" i="5" s="1"/>
  <c r="J131" i="5" s="1"/>
  <c r="V64" i="1"/>
  <c r="W64" i="1"/>
  <c r="GM75" i="1"/>
  <c r="GX79" i="1"/>
  <c r="P70" i="1"/>
  <c r="GP88" i="1"/>
  <c r="GM88" i="1"/>
  <c r="CZ103" i="1"/>
  <c r="Y103" i="1" s="1"/>
  <c r="CY103" i="1"/>
  <c r="X103" i="1" s="1"/>
  <c r="GX110" i="1"/>
  <c r="GM116" i="1"/>
  <c r="GP116" i="1"/>
  <c r="CZ90" i="1"/>
  <c r="Y90" i="1" s="1"/>
  <c r="T186" i="5" s="1"/>
  <c r="J192" i="5" s="1"/>
  <c r="CY90" i="1"/>
  <c r="X90" i="1" s="1"/>
  <c r="CY109" i="1"/>
  <c r="X109" i="1" s="1"/>
  <c r="R239" i="5" s="1"/>
  <c r="CZ109" i="1"/>
  <c r="Y109" i="1" s="1"/>
  <c r="T239" i="5" s="1"/>
  <c r="P93" i="1"/>
  <c r="CY115" i="1"/>
  <c r="X115" i="1" s="1"/>
  <c r="R259" i="5" s="1"/>
  <c r="GP120" i="1"/>
  <c r="S110" i="1"/>
  <c r="GP128" i="1"/>
  <c r="GM128" i="1"/>
  <c r="Q108" i="1"/>
  <c r="BC22" i="1"/>
  <c r="BC186" i="1"/>
  <c r="F172" i="1"/>
  <c r="P76" i="1"/>
  <c r="CP76" i="1" s="1"/>
  <c r="O76" i="1" s="1"/>
  <c r="J156" i="5" s="1"/>
  <c r="GM139" i="1"/>
  <c r="GP139" i="1"/>
  <c r="GP145" i="1"/>
  <c r="GM145" i="1"/>
  <c r="GP152" i="1"/>
  <c r="GM152" i="1"/>
  <c r="P106" i="1"/>
  <c r="Q115" i="1"/>
  <c r="GP130" i="1"/>
  <c r="GM130" i="1"/>
  <c r="AT22" i="1"/>
  <c r="AT186" i="1"/>
  <c r="F174" i="1"/>
  <c r="F16" i="2" s="1"/>
  <c r="F18" i="2" s="1"/>
  <c r="R74" i="1"/>
  <c r="GK74" i="1" s="1"/>
  <c r="S74" i="1"/>
  <c r="T74" i="1"/>
  <c r="GP69" i="1"/>
  <c r="GM69" i="1"/>
  <c r="GP67" i="1"/>
  <c r="GM67" i="1"/>
  <c r="GP126" i="1"/>
  <c r="GM126" i="1"/>
  <c r="CZ121" i="1"/>
  <c r="Y121" i="1" s="1"/>
  <c r="T275" i="5" s="1"/>
  <c r="J280" i="5" s="1"/>
  <c r="CY121" i="1"/>
  <c r="X121" i="1" s="1"/>
  <c r="R275" i="5" s="1"/>
  <c r="J279" i="5" s="1"/>
  <c r="CY63" i="1"/>
  <c r="X63" i="1" s="1"/>
  <c r="GM63" i="1" s="1"/>
  <c r="CZ63" i="1"/>
  <c r="Y63" i="1" s="1"/>
  <c r="CP115" i="1"/>
  <c r="O115" i="1" s="1"/>
  <c r="J259" i="5" s="1"/>
  <c r="T108" i="1"/>
  <c r="T107" i="1"/>
  <c r="GX107" i="1"/>
  <c r="T64" i="1"/>
  <c r="CY56" i="1"/>
  <c r="X56" i="1" s="1"/>
  <c r="CZ56" i="1"/>
  <c r="Y56" i="1" s="1"/>
  <c r="R64" i="1"/>
  <c r="GK64" i="1" s="1"/>
  <c r="S64" i="1"/>
  <c r="W68" i="1"/>
  <c r="P68" i="1"/>
  <c r="CZ77" i="1"/>
  <c r="Y77" i="1" s="1"/>
  <c r="T157" i="5" s="1"/>
  <c r="CY77" i="1"/>
  <c r="X77" i="1" s="1"/>
  <c r="R157" i="5" s="1"/>
  <c r="GP92" i="1"/>
  <c r="GX64" i="1"/>
  <c r="CP80" i="1"/>
  <c r="O80" i="1" s="1"/>
  <c r="J168" i="5" s="1"/>
  <c r="CY79" i="1"/>
  <c r="X79" i="1" s="1"/>
  <c r="R167" i="5" s="1"/>
  <c r="T93" i="1"/>
  <c r="S93" i="1"/>
  <c r="U93" i="1"/>
  <c r="GM71" i="1"/>
  <c r="CY106" i="1"/>
  <c r="X106" i="1" s="1"/>
  <c r="R236" i="5" s="1"/>
  <c r="CZ106" i="1"/>
  <c r="Y106" i="1" s="1"/>
  <c r="T236" i="5" s="1"/>
  <c r="GP117" i="1"/>
  <c r="GM117" i="1"/>
  <c r="GP91" i="1"/>
  <c r="P108" i="1"/>
  <c r="CY114" i="1"/>
  <c r="X114" i="1" s="1"/>
  <c r="R258" i="5" s="1"/>
  <c r="J260" i="5" s="1"/>
  <c r="CZ114" i="1"/>
  <c r="Y114" i="1" s="1"/>
  <c r="T258" i="5" s="1"/>
  <c r="J261" i="5" s="1"/>
  <c r="Q114" i="1"/>
  <c r="CP114" i="1" s="1"/>
  <c r="O114" i="1" s="1"/>
  <c r="J258" i="5" s="1"/>
  <c r="BD22" i="1"/>
  <c r="F181" i="1"/>
  <c r="BD186" i="1"/>
  <c r="GP154" i="1"/>
  <c r="GM154" i="1"/>
  <c r="CZ131" i="1"/>
  <c r="Y131" i="1" s="1"/>
  <c r="T303" i="5" s="1"/>
  <c r="CY131" i="1"/>
  <c r="X131" i="1" s="1"/>
  <c r="R303" i="5" s="1"/>
  <c r="CP146" i="1"/>
  <c r="O146" i="1" s="1"/>
  <c r="CZ101" i="1"/>
  <c r="Y101" i="1" s="1"/>
  <c r="CY101" i="1"/>
  <c r="X101" i="1" s="1"/>
  <c r="GP101" i="1" s="1"/>
  <c r="AS22" i="1"/>
  <c r="AS186" i="1"/>
  <c r="F173" i="1"/>
  <c r="E16" i="2" s="1"/>
  <c r="CP24" i="1"/>
  <c r="O24" i="1" s="1"/>
  <c r="GM30" i="1"/>
  <c r="GP30" i="1"/>
  <c r="R68" i="1"/>
  <c r="GK68" i="1" s="1"/>
  <c r="S68" i="1"/>
  <c r="T68" i="1"/>
  <c r="CP62" i="1"/>
  <c r="O62" i="1" s="1"/>
  <c r="GM58" i="1"/>
  <c r="GM99" i="1"/>
  <c r="GP99" i="1"/>
  <c r="GP149" i="1"/>
  <c r="GM149" i="1"/>
  <c r="GP39" i="1"/>
  <c r="GM39" i="1"/>
  <c r="Q74" i="1"/>
  <c r="CY80" i="1"/>
  <c r="X80" i="1" s="1"/>
  <c r="R168" i="5" s="1"/>
  <c r="CZ80" i="1"/>
  <c r="Y80" i="1" s="1"/>
  <c r="T168" i="5" s="1"/>
  <c r="S107" i="1"/>
  <c r="CP37" i="1"/>
  <c r="O37" i="1" s="1"/>
  <c r="J86" i="5" s="1"/>
  <c r="R66" i="1"/>
  <c r="GK66" i="1" s="1"/>
  <c r="S66" i="1"/>
  <c r="AF156" i="1" s="1"/>
  <c r="T66" i="1"/>
  <c r="GM78" i="1"/>
  <c r="GP78" i="1"/>
  <c r="U68" i="1"/>
  <c r="Q64" i="1"/>
  <c r="GX68" i="1"/>
  <c r="GM73" i="1"/>
  <c r="P74" i="1"/>
  <c r="U96" i="1"/>
  <c r="S96" i="1"/>
  <c r="V96" i="1"/>
  <c r="W66" i="1"/>
  <c r="CP82" i="1"/>
  <c r="O82" i="1" s="1"/>
  <c r="J177" i="5" s="1"/>
  <c r="Q93" i="1"/>
  <c r="GP113" i="1"/>
  <c r="GM113" i="1"/>
  <c r="U108" i="1"/>
  <c r="Q107" i="1"/>
  <c r="R108" i="1"/>
  <c r="GK108" i="1" s="1"/>
  <c r="AO18" i="1"/>
  <c r="F190" i="1"/>
  <c r="U114" i="1"/>
  <c r="CZ132" i="1"/>
  <c r="Y132" i="1" s="1"/>
  <c r="T304" i="5" s="1"/>
  <c r="CY132" i="1"/>
  <c r="X132" i="1" s="1"/>
  <c r="CP147" i="1"/>
  <c r="O147" i="1" s="1"/>
  <c r="GM153" i="1"/>
  <c r="W114" i="1"/>
  <c r="Q106" i="1"/>
  <c r="GP142" i="1"/>
  <c r="GM142" i="1"/>
  <c r="GM29" i="1"/>
  <c r="GP29" i="1"/>
  <c r="GP45" i="1"/>
  <c r="GM45" i="1"/>
  <c r="W74" i="1"/>
  <c r="CZ134" i="1"/>
  <c r="Y134" i="1" s="1"/>
  <c r="CY134" i="1"/>
  <c r="X134" i="1" s="1"/>
  <c r="Q68" i="1"/>
  <c r="CZ84" i="1"/>
  <c r="Y84" i="1" s="1"/>
  <c r="GM84" i="1" s="1"/>
  <c r="CY84" i="1"/>
  <c r="X84" i="1" s="1"/>
  <c r="GX108" i="1"/>
  <c r="GM140" i="1"/>
  <c r="GP140" i="1"/>
  <c r="CZ37" i="1"/>
  <c r="Y37" i="1" s="1"/>
  <c r="T86" i="5" s="1"/>
  <c r="CY37" i="1"/>
  <c r="X37" i="1" s="1"/>
  <c r="R86" i="5" s="1"/>
  <c r="GM34" i="1"/>
  <c r="GP34" i="1"/>
  <c r="GP33" i="1"/>
  <c r="GM33" i="1"/>
  <c r="GP28" i="1"/>
  <c r="CY53" i="1"/>
  <c r="X53" i="1" s="1"/>
  <c r="CZ53" i="1"/>
  <c r="Y53" i="1" s="1"/>
  <c r="R72" i="1"/>
  <c r="GK72" i="1" s="1"/>
  <c r="S72" i="1"/>
  <c r="T72" i="1"/>
  <c r="GM49" i="1"/>
  <c r="GP49" i="1"/>
  <c r="GK26" i="1"/>
  <c r="GM26" i="1" s="1"/>
  <c r="GP38" i="1"/>
  <c r="GM38" i="1"/>
  <c r="U63" i="1"/>
  <c r="V63" i="1"/>
  <c r="W63" i="1"/>
  <c r="GP47" i="1"/>
  <c r="GM47" i="1"/>
  <c r="CP32" i="1"/>
  <c r="O32" i="1" s="1"/>
  <c r="J71" i="5" s="1"/>
  <c r="CP31" i="1"/>
  <c r="O31" i="1" s="1"/>
  <c r="GP48" i="1"/>
  <c r="GM48" i="1"/>
  <c r="Q61" i="1"/>
  <c r="CP61" i="1" s="1"/>
  <c r="O61" i="1" s="1"/>
  <c r="J130" i="5" s="1"/>
  <c r="R61" i="1"/>
  <c r="GK61" i="1" s="1"/>
  <c r="GX61" i="1"/>
  <c r="Q66" i="1"/>
  <c r="Q72" i="1"/>
  <c r="GM51" i="1"/>
  <c r="GP51" i="1"/>
  <c r="U70" i="1"/>
  <c r="GP57" i="1"/>
  <c r="CY54" i="1"/>
  <c r="X54" i="1" s="1"/>
  <c r="CZ54" i="1"/>
  <c r="Y54" i="1" s="1"/>
  <c r="P72" i="1"/>
  <c r="R93" i="1"/>
  <c r="GK93" i="1" s="1"/>
  <c r="T79" i="1"/>
  <c r="V66" i="1"/>
  <c r="GX66" i="1"/>
  <c r="P79" i="1"/>
  <c r="GX80" i="1"/>
  <c r="V72" i="1"/>
  <c r="T114" i="1"/>
  <c r="Q79" i="1"/>
  <c r="CP77" i="1"/>
  <c r="O77" i="1" s="1"/>
  <c r="J157" i="5" s="1"/>
  <c r="W93" i="1"/>
  <c r="Q96" i="1"/>
  <c r="V108" i="1"/>
  <c r="GP119" i="1"/>
  <c r="GM119" i="1"/>
  <c r="GM111" i="1"/>
  <c r="GP111" i="1"/>
  <c r="GM98" i="1"/>
  <c r="GP98" i="1"/>
  <c r="W109" i="1"/>
  <c r="U109" i="1"/>
  <c r="Q110" i="1"/>
  <c r="AP22" i="1"/>
  <c r="F165" i="1"/>
  <c r="G16" i="2" s="1"/>
  <c r="G18" i="2" s="1"/>
  <c r="AP186" i="1"/>
  <c r="U110" i="1"/>
  <c r="CP131" i="1"/>
  <c r="O131" i="1" s="1"/>
  <c r="J303" i="5" s="1"/>
  <c r="GX114" i="1"/>
  <c r="CZ133" i="1"/>
  <c r="Y133" i="1" s="1"/>
  <c r="T305" i="5" s="1"/>
  <c r="CY133" i="1"/>
  <c r="X133" i="1" s="1"/>
  <c r="CP148" i="1"/>
  <c r="O148" i="1" s="1"/>
  <c r="CI22" i="1"/>
  <c r="AZ156" i="1"/>
  <c r="CP121" i="1"/>
  <c r="O121" i="1" s="1"/>
  <c r="U107" i="1"/>
  <c r="GP54" i="1" l="1"/>
  <c r="GP134" i="1"/>
  <c r="GP109" i="1"/>
  <c r="GM101" i="1"/>
  <c r="I282" i="5"/>
  <c r="GM120" i="1"/>
  <c r="GP58" i="1"/>
  <c r="J36" i="5"/>
  <c r="GK24" i="1"/>
  <c r="AD156" i="1"/>
  <c r="CP72" i="1"/>
  <c r="O72" i="1" s="1"/>
  <c r="J152" i="5" s="1"/>
  <c r="GP103" i="1"/>
  <c r="J114" i="5"/>
  <c r="I297" i="5"/>
  <c r="P297" i="5" s="1"/>
  <c r="J193" i="5"/>
  <c r="J160" i="5"/>
  <c r="J91" i="5"/>
  <c r="J307" i="5"/>
  <c r="J170" i="5"/>
  <c r="J102" i="5"/>
  <c r="GP46" i="1"/>
  <c r="P282" i="5"/>
  <c r="K282" i="5"/>
  <c r="P217" i="5"/>
  <c r="K217" i="5"/>
  <c r="P52" i="5"/>
  <c r="K52" i="5"/>
  <c r="I263" i="5"/>
  <c r="I135" i="5"/>
  <c r="CP79" i="1"/>
  <c r="O79" i="1" s="1"/>
  <c r="J167" i="5" s="1"/>
  <c r="AI156" i="1"/>
  <c r="GM132" i="1"/>
  <c r="R304" i="5"/>
  <c r="GP132" i="1"/>
  <c r="CP108" i="1"/>
  <c r="O108" i="1" s="1"/>
  <c r="J238" i="5" s="1"/>
  <c r="GP56" i="1"/>
  <c r="R111" i="5"/>
  <c r="J112" i="5" s="1"/>
  <c r="R186" i="5"/>
  <c r="J191" i="5" s="1"/>
  <c r="CZ42" i="1"/>
  <c r="Y42" i="1" s="1"/>
  <c r="CY42" i="1"/>
  <c r="X42" i="1" s="1"/>
  <c r="F70" i="7"/>
  <c r="T49" i="8"/>
  <c r="GK25" i="1"/>
  <c r="J46" i="5"/>
  <c r="M53" i="8"/>
  <c r="F42" i="7" s="1"/>
  <c r="CY138" i="1"/>
  <c r="X138" i="1" s="1"/>
  <c r="CZ138" i="1"/>
  <c r="Y138" i="1" s="1"/>
  <c r="GK151" i="1"/>
  <c r="J325" i="5"/>
  <c r="T53" i="8"/>
  <c r="K297" i="5"/>
  <c r="CZ86" i="1"/>
  <c r="Y86" i="1" s="1"/>
  <c r="T179" i="5" s="1"/>
  <c r="CY86" i="1"/>
  <c r="X86" i="1" s="1"/>
  <c r="R179" i="5" s="1"/>
  <c r="O113" i="8"/>
  <c r="M79" i="8"/>
  <c r="F83" i="7" s="1"/>
  <c r="R53" i="8"/>
  <c r="J243" i="5"/>
  <c r="GK31" i="1"/>
  <c r="GM31" i="1" s="1"/>
  <c r="J69" i="5"/>
  <c r="CP93" i="1"/>
  <c r="O93" i="1" s="1"/>
  <c r="J202" i="5" s="1"/>
  <c r="P289" i="5"/>
  <c r="K289" i="5"/>
  <c r="CP85" i="1"/>
  <c r="O85" i="1" s="1"/>
  <c r="CZ85" i="1"/>
  <c r="Y85" i="1" s="1"/>
  <c r="CY85" i="1"/>
  <c r="X85" i="1" s="1"/>
  <c r="M136" i="8"/>
  <c r="F23" i="7" s="1"/>
  <c r="E26" i="7" s="1"/>
  <c r="E23" i="7"/>
  <c r="GK90" i="1"/>
  <c r="GM90" i="1" s="1"/>
  <c r="J189" i="5"/>
  <c r="J128" i="5"/>
  <c r="GK60" i="1"/>
  <c r="K42" i="5"/>
  <c r="P42" i="5"/>
  <c r="J227" i="5"/>
  <c r="M66" i="8"/>
  <c r="F81" i="7" s="1"/>
  <c r="M49" i="8"/>
  <c r="F53" i="7" s="1"/>
  <c r="E91" i="7" s="1"/>
  <c r="J90" i="5"/>
  <c r="GK105" i="1"/>
  <c r="J234" i="5"/>
  <c r="AG156" i="1"/>
  <c r="AG22" i="1" s="1"/>
  <c r="K327" i="5"/>
  <c r="P327" i="5"/>
  <c r="GM46" i="1"/>
  <c r="GM103" i="1"/>
  <c r="CZ83" i="1"/>
  <c r="Y83" i="1" s="1"/>
  <c r="T178" i="5" s="1"/>
  <c r="CY83" i="1"/>
  <c r="X83" i="1" s="1"/>
  <c r="R178" i="5" s="1"/>
  <c r="J182" i="5" s="1"/>
  <c r="CP83" i="1"/>
  <c r="O83" i="1" s="1"/>
  <c r="J169" i="5"/>
  <c r="T79" i="8"/>
  <c r="CZ44" i="1"/>
  <c r="Y44" i="1" s="1"/>
  <c r="T100" i="5" s="1"/>
  <c r="J104" i="5" s="1"/>
  <c r="CY44" i="1"/>
  <c r="X44" i="1" s="1"/>
  <c r="R100" i="5" s="1"/>
  <c r="GM28" i="1"/>
  <c r="R49" i="8"/>
  <c r="O79" i="8"/>
  <c r="J320" i="5"/>
  <c r="I322" i="5" s="1"/>
  <c r="R113" i="8"/>
  <c r="J222" i="5"/>
  <c r="GK95" i="1"/>
  <c r="D70" i="7"/>
  <c r="AH156" i="1"/>
  <c r="AH22" i="1" s="1"/>
  <c r="GP26" i="1"/>
  <c r="GK94" i="1"/>
  <c r="J211" i="5"/>
  <c r="I274" i="5"/>
  <c r="GM133" i="1"/>
  <c r="R305" i="5"/>
  <c r="J306" i="5" s="1"/>
  <c r="I310" i="5" s="1"/>
  <c r="CP110" i="1"/>
  <c r="O110" i="1" s="1"/>
  <c r="J240" i="5" s="1"/>
  <c r="CJ156" i="1"/>
  <c r="GM54" i="1"/>
  <c r="CP66" i="1"/>
  <c r="O66" i="1" s="1"/>
  <c r="J150" i="5" s="1"/>
  <c r="AJ156" i="1"/>
  <c r="AJ22" i="1" s="1"/>
  <c r="GP53" i="1"/>
  <c r="GP84" i="1"/>
  <c r="CP107" i="1"/>
  <c r="O107" i="1" s="1"/>
  <c r="J237" i="5" s="1"/>
  <c r="GP86" i="1"/>
  <c r="GM109" i="1"/>
  <c r="GM56" i="1"/>
  <c r="T111" i="5"/>
  <c r="J113" i="5" s="1"/>
  <c r="I116" i="5" s="1"/>
  <c r="GP63" i="1"/>
  <c r="CP70" i="1"/>
  <c r="O70" i="1" s="1"/>
  <c r="GP43" i="1"/>
  <c r="R99" i="5"/>
  <c r="J103" i="5" s="1"/>
  <c r="CP42" i="1"/>
  <c r="O42" i="1" s="1"/>
  <c r="GK55" i="1"/>
  <c r="J110" i="5"/>
  <c r="J63" i="5"/>
  <c r="I65" i="5" s="1"/>
  <c r="R79" i="8"/>
  <c r="J119" i="5"/>
  <c r="I123" i="5" s="1"/>
  <c r="GM59" i="1"/>
  <c r="O66" i="8"/>
  <c r="CY137" i="1"/>
  <c r="X137" i="1" s="1"/>
  <c r="CZ137" i="1"/>
  <c r="Y137" i="1" s="1"/>
  <c r="O53" i="8"/>
  <c r="O49" i="8"/>
  <c r="GK135" i="1"/>
  <c r="J315" i="5"/>
  <c r="CP137" i="1"/>
  <c r="O137" i="1" s="1"/>
  <c r="O89" i="8"/>
  <c r="GP112" i="1"/>
  <c r="R249" i="5"/>
  <c r="J250" i="5" s="1"/>
  <c r="I253" i="5" s="1"/>
  <c r="GM112" i="1"/>
  <c r="CP44" i="1"/>
  <c r="O44" i="1" s="1"/>
  <c r="GM44" i="1" s="1"/>
  <c r="R89" i="8"/>
  <c r="O82" i="8"/>
  <c r="R66" i="8"/>
  <c r="J89" i="5"/>
  <c r="I93" i="5" s="1"/>
  <c r="J75" i="5"/>
  <c r="I77" i="5" s="1"/>
  <c r="AI22" i="1"/>
  <c r="V156" i="1"/>
  <c r="CJ22" i="1"/>
  <c r="BA156" i="1"/>
  <c r="GP61" i="1"/>
  <c r="GM61" i="1"/>
  <c r="AD22" i="1"/>
  <c r="Q156" i="1"/>
  <c r="GM24" i="1"/>
  <c r="GP24" i="1"/>
  <c r="CZ66" i="1"/>
  <c r="Y66" i="1" s="1"/>
  <c r="CY66" i="1"/>
  <c r="X66" i="1" s="1"/>
  <c r="R150" i="5" s="1"/>
  <c r="AQ18" i="1"/>
  <c r="F196" i="1"/>
  <c r="GP121" i="1"/>
  <c r="GM121" i="1"/>
  <c r="GM77" i="1"/>
  <c r="GP77" i="1"/>
  <c r="AS18" i="1"/>
  <c r="F203" i="1"/>
  <c r="I21" i="5" s="1"/>
  <c r="GP114" i="1"/>
  <c r="GM114" i="1"/>
  <c r="CP96" i="1"/>
  <c r="O96" i="1" s="1"/>
  <c r="J224" i="5" s="1"/>
  <c r="GP115" i="1"/>
  <c r="GM115" i="1"/>
  <c r="CZ74" i="1"/>
  <c r="Y74" i="1" s="1"/>
  <c r="T154" i="5" s="1"/>
  <c r="CY74" i="1"/>
  <c r="X74" i="1" s="1"/>
  <c r="R154" i="5" s="1"/>
  <c r="BC18" i="1"/>
  <c r="F202" i="1"/>
  <c r="CZ76" i="1"/>
  <c r="Y76" i="1" s="1"/>
  <c r="T156" i="5" s="1"/>
  <c r="CY76" i="1"/>
  <c r="X76" i="1" s="1"/>
  <c r="GP76" i="1" s="1"/>
  <c r="GP146" i="1"/>
  <c r="GM146" i="1"/>
  <c r="GM53" i="1"/>
  <c r="CP64" i="1"/>
  <c r="O64" i="1" s="1"/>
  <c r="GP79" i="1"/>
  <c r="GM79" i="1"/>
  <c r="CP68" i="1"/>
  <c r="O68" i="1" s="1"/>
  <c r="CZ72" i="1"/>
  <c r="Y72" i="1" s="1"/>
  <c r="T152" i="5" s="1"/>
  <c r="CY72" i="1"/>
  <c r="X72" i="1" s="1"/>
  <c r="R152" i="5" s="1"/>
  <c r="AX22" i="1"/>
  <c r="F163" i="1"/>
  <c r="AX186" i="1"/>
  <c r="GP80" i="1"/>
  <c r="GM80" i="1"/>
  <c r="AF22" i="1"/>
  <c r="S156" i="1"/>
  <c r="GP133" i="1"/>
  <c r="CY96" i="1"/>
  <c r="X96" i="1" s="1"/>
  <c r="R224" i="5" s="1"/>
  <c r="J225" i="5" s="1"/>
  <c r="CZ96" i="1"/>
  <c r="Y96" i="1" s="1"/>
  <c r="T224" i="5" s="1"/>
  <c r="J226" i="5" s="1"/>
  <c r="CY107" i="1"/>
  <c r="X107" i="1" s="1"/>
  <c r="CZ107" i="1"/>
  <c r="Y107" i="1" s="1"/>
  <c r="CZ68" i="1"/>
  <c r="Y68" i="1" s="1"/>
  <c r="CY68" i="1"/>
  <c r="X68" i="1" s="1"/>
  <c r="AZ22" i="1"/>
  <c r="AZ186" i="1"/>
  <c r="F167" i="1"/>
  <c r="GP147" i="1"/>
  <c r="GM147" i="1"/>
  <c r="CP74" i="1"/>
  <c r="O74" i="1" s="1"/>
  <c r="J154" i="5" s="1"/>
  <c r="AE156" i="1"/>
  <c r="GM134" i="1"/>
  <c r="GP82" i="1"/>
  <c r="GM82" i="1"/>
  <c r="CY93" i="1"/>
  <c r="X93" i="1" s="1"/>
  <c r="CZ93" i="1"/>
  <c r="Y93" i="1" s="1"/>
  <c r="GP90" i="1"/>
  <c r="GM43" i="1"/>
  <c r="GP31" i="1"/>
  <c r="AT18" i="1"/>
  <c r="F204" i="1"/>
  <c r="I22" i="5" s="1"/>
  <c r="GP32" i="1"/>
  <c r="GM32" i="1"/>
  <c r="E18" i="2"/>
  <c r="CY110" i="1"/>
  <c r="X110" i="1" s="1"/>
  <c r="CZ110" i="1"/>
  <c r="Y110" i="1" s="1"/>
  <c r="GP131" i="1"/>
  <c r="GM131" i="1"/>
  <c r="GM37" i="1"/>
  <c r="GP37" i="1"/>
  <c r="CY64" i="1"/>
  <c r="X64" i="1" s="1"/>
  <c r="CZ64" i="1"/>
  <c r="Y64" i="1" s="1"/>
  <c r="T139" i="5" s="1"/>
  <c r="J141" i="5" s="1"/>
  <c r="GP148" i="1"/>
  <c r="GM148" i="1"/>
  <c r="AP18" i="1"/>
  <c r="F195" i="1"/>
  <c r="I23" i="5" s="1"/>
  <c r="GM62" i="1"/>
  <c r="GP62" i="1"/>
  <c r="AC156" i="1"/>
  <c r="BD18" i="1"/>
  <c r="F211" i="1"/>
  <c r="CP106" i="1"/>
  <c r="O106" i="1" s="1"/>
  <c r="J236" i="5" s="1"/>
  <c r="CZ70" i="1"/>
  <c r="Y70" i="1" s="1"/>
  <c r="CY70" i="1"/>
  <c r="X70" i="1" s="1"/>
  <c r="CY108" i="1"/>
  <c r="X108" i="1" s="1"/>
  <c r="CZ108" i="1"/>
  <c r="Y108" i="1" s="1"/>
  <c r="T238" i="5" s="1"/>
  <c r="BB18" i="1"/>
  <c r="F199" i="1"/>
  <c r="W156" i="1" l="1"/>
  <c r="T156" i="1"/>
  <c r="GM86" i="1"/>
  <c r="GM138" i="1"/>
  <c r="I172" i="5"/>
  <c r="P172" i="5" s="1"/>
  <c r="J183" i="5"/>
  <c r="I195" i="5"/>
  <c r="P195" i="5" s="1"/>
  <c r="I229" i="5"/>
  <c r="P229" i="5" s="1"/>
  <c r="P310" i="5"/>
  <c r="K310" i="5"/>
  <c r="K322" i="5"/>
  <c r="P322" i="5"/>
  <c r="K123" i="5"/>
  <c r="P123" i="5"/>
  <c r="P116" i="5"/>
  <c r="K116" i="5"/>
  <c r="P93" i="5"/>
  <c r="K93" i="5"/>
  <c r="K172" i="5"/>
  <c r="P65" i="5"/>
  <c r="K65" i="5"/>
  <c r="GM110" i="1"/>
  <c r="T240" i="5"/>
  <c r="AB156" i="1"/>
  <c r="J139" i="5"/>
  <c r="GP94" i="1"/>
  <c r="GM94" i="1"/>
  <c r="GP151" i="1"/>
  <c r="GM151" i="1"/>
  <c r="K195" i="5"/>
  <c r="GP138" i="1"/>
  <c r="GM107" i="1"/>
  <c r="R237" i="5"/>
  <c r="GM70" i="1"/>
  <c r="GM72" i="1"/>
  <c r="GP93" i="1"/>
  <c r="R202" i="5"/>
  <c r="J203" i="5" s="1"/>
  <c r="U156" i="1"/>
  <c r="P77" i="5"/>
  <c r="K77" i="5"/>
  <c r="GM135" i="1"/>
  <c r="GP135" i="1"/>
  <c r="GM55" i="1"/>
  <c r="GP55" i="1"/>
  <c r="GP95" i="1"/>
  <c r="GM95" i="1"/>
  <c r="J178" i="5"/>
  <c r="GP83" i="1"/>
  <c r="GM83" i="1"/>
  <c r="GM60" i="1"/>
  <c r="GP60" i="1"/>
  <c r="GP85" i="1"/>
  <c r="GM85" i="1"/>
  <c r="P263" i="5"/>
  <c r="K263" i="5"/>
  <c r="GP137" i="1"/>
  <c r="GM137" i="1"/>
  <c r="GM108" i="1"/>
  <c r="R238" i="5"/>
  <c r="GP110" i="1"/>
  <c r="R240" i="5"/>
  <c r="GP72" i="1"/>
  <c r="GM93" i="1"/>
  <c r="T202" i="5"/>
  <c r="J204" i="5" s="1"/>
  <c r="GM76" i="1"/>
  <c r="R156" i="5"/>
  <c r="J158" i="5" s="1"/>
  <c r="GP66" i="1"/>
  <c r="T150" i="5"/>
  <c r="J159" i="5" s="1"/>
  <c r="P253" i="5"/>
  <c r="K253" i="5"/>
  <c r="AK156" i="1"/>
  <c r="AK22" i="1" s="1"/>
  <c r="R139" i="5"/>
  <c r="J140" i="5" s="1"/>
  <c r="I143" i="5" s="1"/>
  <c r="GP107" i="1"/>
  <c r="T237" i="5"/>
  <c r="J242" i="5" s="1"/>
  <c r="J100" i="5"/>
  <c r="I106" i="5" s="1"/>
  <c r="GP44" i="1"/>
  <c r="GP42" i="1"/>
  <c r="GM42" i="1"/>
  <c r="K274" i="5"/>
  <c r="P274" i="5"/>
  <c r="I185" i="5"/>
  <c r="GP105" i="1"/>
  <c r="GM105" i="1"/>
  <c r="GP25" i="1"/>
  <c r="GM25" i="1"/>
  <c r="P135" i="5"/>
  <c r="K135" i="5"/>
  <c r="AB22" i="1"/>
  <c r="O156" i="1"/>
  <c r="X156" i="1"/>
  <c r="GM74" i="1"/>
  <c r="GP74" i="1"/>
  <c r="GM68" i="1"/>
  <c r="GP68" i="1"/>
  <c r="W22" i="1"/>
  <c r="F180" i="1"/>
  <c r="W186" i="1"/>
  <c r="T22" i="1"/>
  <c r="T186" i="1"/>
  <c r="F177" i="1"/>
  <c r="AL156" i="1"/>
  <c r="GP108" i="1"/>
  <c r="GM66" i="1"/>
  <c r="BA22" i="1"/>
  <c r="F176" i="1"/>
  <c r="BA186" i="1"/>
  <c r="GP70" i="1"/>
  <c r="GP106" i="1"/>
  <c r="GM106" i="1"/>
  <c r="AZ18" i="1"/>
  <c r="F197" i="1"/>
  <c r="V22" i="1"/>
  <c r="F179" i="1"/>
  <c r="V186" i="1"/>
  <c r="AE22" i="1"/>
  <c r="R156" i="1"/>
  <c r="GM64" i="1"/>
  <c r="GP64" i="1"/>
  <c r="GM96" i="1"/>
  <c r="GP96" i="1"/>
  <c r="Q22" i="1"/>
  <c r="F168" i="1"/>
  <c r="Q186" i="1"/>
  <c r="U22" i="1"/>
  <c r="F178" i="1"/>
  <c r="U186" i="1"/>
  <c r="AC22" i="1"/>
  <c r="CH156" i="1"/>
  <c r="P156" i="1"/>
  <c r="CF156" i="1"/>
  <c r="CE156" i="1"/>
  <c r="S22" i="1"/>
  <c r="S186" i="1"/>
  <c r="F171" i="1"/>
  <c r="AX18" i="1"/>
  <c r="F193" i="1"/>
  <c r="K229" i="5" l="1"/>
  <c r="I162" i="5"/>
  <c r="J241" i="5"/>
  <c r="I245" i="5" s="1"/>
  <c r="P245" i="5" s="1"/>
  <c r="P106" i="5"/>
  <c r="K106" i="5"/>
  <c r="K162" i="5"/>
  <c r="P162" i="5"/>
  <c r="CD156" i="1"/>
  <c r="CD22" i="1" s="1"/>
  <c r="P143" i="5"/>
  <c r="K143" i="5"/>
  <c r="CA156" i="1"/>
  <c r="AR156" i="1" s="1"/>
  <c r="K185" i="5"/>
  <c r="P185" i="5"/>
  <c r="I207" i="5"/>
  <c r="CF22" i="1"/>
  <c r="AW156" i="1"/>
  <c r="CH22" i="1"/>
  <c r="AY156" i="1"/>
  <c r="R22" i="1"/>
  <c r="R186" i="1"/>
  <c r="F170" i="1"/>
  <c r="J16" i="2" s="1"/>
  <c r="J18" i="2" s="1"/>
  <c r="BA18" i="1"/>
  <c r="F206" i="1"/>
  <c r="O22" i="1"/>
  <c r="F158" i="1"/>
  <c r="O186" i="1"/>
  <c r="S18" i="1"/>
  <c r="F201" i="1"/>
  <c r="T18" i="1"/>
  <c r="F207" i="1"/>
  <c r="U18" i="1"/>
  <c r="F208" i="1"/>
  <c r="V18" i="1"/>
  <c r="F209" i="1"/>
  <c r="CE22" i="1"/>
  <c r="AV156" i="1"/>
  <c r="W18" i="1"/>
  <c r="F210" i="1"/>
  <c r="X22" i="1"/>
  <c r="X186" i="1"/>
  <c r="F182" i="1"/>
  <c r="P22" i="1"/>
  <c r="P186" i="1"/>
  <c r="F159" i="1"/>
  <c r="Q18" i="1"/>
  <c r="F198" i="1"/>
  <c r="AL22" i="1"/>
  <c r="Y156" i="1"/>
  <c r="K245" i="5" l="1"/>
  <c r="AU156" i="1"/>
  <c r="K207" i="5"/>
  <c r="P207" i="5"/>
  <c r="I332" i="5" s="1"/>
  <c r="CA22" i="1"/>
  <c r="R18" i="1"/>
  <c r="F200" i="1"/>
  <c r="I25" i="5" s="1"/>
  <c r="AU22" i="1"/>
  <c r="F175" i="1"/>
  <c r="H16" i="2" s="1"/>
  <c r="AU186" i="1"/>
  <c r="P18" i="1"/>
  <c r="F189" i="1"/>
  <c r="AV22" i="1"/>
  <c r="F161" i="1"/>
  <c r="AV186" i="1"/>
  <c r="AY22" i="1"/>
  <c r="AY186" i="1"/>
  <c r="F164" i="1"/>
  <c r="O18" i="1"/>
  <c r="F188" i="1"/>
  <c r="Y22" i="1"/>
  <c r="Y186" i="1"/>
  <c r="F183" i="1"/>
  <c r="AR22" i="1"/>
  <c r="AR186" i="1"/>
  <c r="F184" i="1"/>
  <c r="AW22" i="1"/>
  <c r="F162" i="1"/>
  <c r="AW186" i="1"/>
  <c r="X18" i="1"/>
  <c r="F212" i="1"/>
  <c r="I329" i="5" l="1"/>
  <c r="H18" i="2"/>
  <c r="I16" i="2"/>
  <c r="I18" i="2" s="1"/>
  <c r="AY18" i="1"/>
  <c r="F194" i="1"/>
  <c r="AU18" i="1"/>
  <c r="F205" i="1"/>
  <c r="I24" i="5" s="1"/>
  <c r="AW18" i="1"/>
  <c r="F192" i="1"/>
  <c r="AV18" i="1"/>
  <c r="F191" i="1"/>
  <c r="AR18" i="1"/>
  <c r="F214" i="1"/>
  <c r="Y18" i="1"/>
  <c r="F213" i="1"/>
  <c r="F215" i="1" l="1"/>
  <c r="F216" i="1" l="1"/>
  <c r="I334" i="5" s="1"/>
  <c r="I20" i="5" s="1"/>
  <c r="I333" i="5"/>
</calcChain>
</file>

<file path=xl/sharedStrings.xml><?xml version="1.0" encoding="utf-8"?>
<sst xmlns="http://schemas.openxmlformats.org/spreadsheetml/2006/main" count="10864" uniqueCount="986">
  <si>
    <t>Smeta.RU  (495) 974-1589</t>
  </si>
  <si>
    <t>_PS_</t>
  </si>
  <si>
    <t>Smeta.RU</t>
  </si>
  <si>
    <t/>
  </si>
  <si>
    <t>Новый объект_(Копия)_(Копия)_(Копия)_(Копия)_(Копия)_(Копия)_(Копия)</t>
  </si>
  <si>
    <t>Установка сплит-систем в помещениях филиала ГБУЗ "ГКБ им В.В. вересаева ДЗМ" г.Москва,  по адресу:127247, г. Москва, ул. 800-летия Москвы, д.22</t>
  </si>
  <si>
    <t>И.П. Парфенов</t>
  </si>
  <si>
    <t>Главный врач</t>
  </si>
  <si>
    <t>ГБУЗ "ГКБ им. В.В. Вересаева ДЗМ"</t>
  </si>
  <si>
    <t>Сметные нормы списания</t>
  </si>
  <si>
    <t>Коды ОКП для СН-2012 - 2022 г.</t>
  </si>
  <si>
    <t>СН-2012 - 2022 г_глава_1-5,7</t>
  </si>
  <si>
    <t>Типовой расчет для СН-2012 - 2022 г</t>
  </si>
  <si>
    <t>СН-2012-2022 г. База данных "Сборник стоимостных нормативов"</t>
  </si>
  <si>
    <t>Поправки для СН-2012-2022 в ценах на 01.10.2021 г И2</t>
  </si>
  <si>
    <t>Новая локальная смета</t>
  </si>
  <si>
    <t>Установка сплит-систем</t>
  </si>
  <si>
    <t>1</t>
  </si>
  <si>
    <t>1.18-3403-18-1/1</t>
  </si>
  <si>
    <t>Установка внутреннего блока сплит-системы весом до 10 кг (без стоимости блока)</t>
  </si>
  <si>
    <t>шт.</t>
  </si>
  <si>
    <t>СН-2012-2022.1. Доп.1. Сб.18-3403-18-1/1</t>
  </si>
  <si>
    <t>СН-2012</t>
  </si>
  <si>
    <t>Подрядные работы, гл. 1-5,7</t>
  </si>
  <si>
    <t>работа</t>
  </si>
  <si>
    <t>2</t>
  </si>
  <si>
    <t>1.18-3403-18-2/1</t>
  </si>
  <si>
    <t>Установка внутреннего блока сплит-системы весом до 15 кг (без стоимости блока)</t>
  </si>
  <si>
    <t>СН-2012-2022.1. Доп.1. Сб.18-3403-18-2/1</t>
  </si>
  <si>
    <t>3</t>
  </si>
  <si>
    <t>1.18-3403-17-1/1</t>
  </si>
  <si>
    <t>Установка наружного блока сплит-системы весом до 30 кг (без стоимости блока и кронштейнов)</t>
  </si>
  <si>
    <t>СН-2012-2022.1. Доп.1. Сб.18-3403-17-1/1</t>
  </si>
  <si>
    <t>3,1</t>
  </si>
  <si>
    <t>Цена поставщика</t>
  </si>
  <si>
    <t>Сплит-система Hisense NEO Classic A  AS-09HR4SYCDC5 UPGRADE(или эквивалент)</t>
  </si>
  <si>
    <t>[53 950 / 1,2]</t>
  </si>
  <si>
    <t>0</t>
  </si>
  <si>
    <t>3,2</t>
  </si>
  <si>
    <t>Сплит-система Hisense NEO Classic A  AS-12HR4SVDDC15 UPGRADE (или эквивалент)</t>
  </si>
  <si>
    <t>[71 500 / 1,2]</t>
  </si>
  <si>
    <t>3,3</t>
  </si>
  <si>
    <t>Экран для настенного кондиционера  1000 мм</t>
  </si>
  <si>
    <t>3,4</t>
  </si>
  <si>
    <t>21.19-12-33</t>
  </si>
  <si>
    <t>Средства крепления - кронштейн и подставка под оборудование из сортовой стали</t>
  </si>
  <si>
    <t>кг</t>
  </si>
  <si>
    <t>СН-2012-2022.21. Доп.1. Р.19, о.12, поз.33</t>
  </si>
  <si>
    <t>4</t>
  </si>
  <si>
    <t>1.18-3403-17-3/1</t>
  </si>
  <si>
    <t>Установка наружного блока сплит-системы весом до 50 кг (без стоимости блока и кронштейнов)</t>
  </si>
  <si>
    <t>СН-2012-2022.1. Доп.1. Сб.18-3403-17-3/1</t>
  </si>
  <si>
    <t>4,1</t>
  </si>
  <si>
    <t>Сплит-система Hisense NEO Classic A  AS-24HR4SBADC005 UPGRADE (или эквивалент)</t>
  </si>
  <si>
    <t>[138 450 / 1,2]</t>
  </si>
  <si>
    <t>4,2</t>
  </si>
  <si>
    <t>5</t>
  </si>
  <si>
    <t>1.24-3203-1-1/1</t>
  </si>
  <si>
    <t>Прокладка трубопроводов из медных труб на условное давление до 2,5 МПа: наружный диаметр труб 18 мм (без стоимости труб)</t>
  </si>
  <si>
    <t>10 м</t>
  </si>
  <si>
    <t>СН-2012-2022.1. Доп.1. Сб.24-3203-1-1/1</t>
  </si>
  <si>
    <t>5,1</t>
  </si>
  <si>
    <t>21.12-7-37</t>
  </si>
  <si>
    <t>Трубы медные для систем кондиционирования, наружный диаметр (толщина стенки), мм, 6,35 (0,76)</t>
  </si>
  <si>
    <t>м</t>
  </si>
  <si>
    <t>СН-2012-2022.21. Доп.1. Р.12, о.7, поз.37</t>
  </si>
  <si>
    <t>5,2</t>
  </si>
  <si>
    <t>21.12-7-31</t>
  </si>
  <si>
    <t>Трубы медные для систем кондиционирования, наружный диаметр (толщина стенки), мм, 9,52 (0,81)</t>
  </si>
  <si>
    <t>СН-2012-2022.21. Доп.1. Р.12, о.7, поз.31</t>
  </si>
  <si>
    <t>5,3</t>
  </si>
  <si>
    <t>21.12-7-32</t>
  </si>
  <si>
    <t>Трубы медные для систем кондиционирования, наружный диаметр (толщина стенки), мм, 12,7 (0,81)</t>
  </si>
  <si>
    <t>СН-2012-2022.21. Доп.1. Р.12, о.7, поз.32</t>
  </si>
  <si>
    <t>5,4</t>
  </si>
  <si>
    <t>21.12-7-36</t>
  </si>
  <si>
    <t>Трубы медные для систем кондиционирования, наружный диаметр (толщина стенки), мм, 15,9 (0,89)</t>
  </si>
  <si>
    <t>СН-2012-2022.21. Доп.1. Р.12, о.7, поз.36</t>
  </si>
  <si>
    <t>5,5</t>
  </si>
  <si>
    <t>21.1-25-13</t>
  </si>
  <si>
    <t>Вода</t>
  </si>
  <si>
    <t>м3</t>
  </si>
  <si>
    <t>СН-2012-2022.21. Доп.1. Р.1, о.25, поз.13</t>
  </si>
  <si>
    <t>6</t>
  </si>
  <si>
    <t>1.17-3703-23-1/1</t>
  </si>
  <si>
    <t>Изоляция трубопроводов изделиями из вспененного каучука, вспененного полиэтилена, трубками без нанесения на поверхность изоляции защитной окраски (без стоимости трубок, клея, листов, лент изоляционных)</t>
  </si>
  <si>
    <t>СН-2012-2022.1. Доп.1. Сб.17-3703-23-1/1</t>
  </si>
  <si>
    <t>6,1</t>
  </si>
  <si>
    <t>21.1-25-623</t>
  </si>
  <si>
    <t>Лента самоклеящаяся, ширина 50 мм, толщина 3 мм, тип "K-Flex ST"</t>
  </si>
  <si>
    <t>СН-2012-2022.21. Доп.1. Р.1, о.25, поз.623</t>
  </si>
  <si>
    <t>6,2</t>
  </si>
  <si>
    <t>2246130000</t>
  </si>
  <si>
    <t>Листы (рулоны) из вспененного каучука и полиэтилена</t>
  </si>
  <si>
    <t>м2</t>
  </si>
  <si>
    <t>6,3</t>
  </si>
  <si>
    <t>21.1-14-83</t>
  </si>
  <si>
    <t>Трубки теплоизоляционные из вспененного каучука типа "К-Flex ST" для поверхностей с температурой от -40°C до +105°С, внутренний диаметр (толщина) 6 (9) мм</t>
  </si>
  <si>
    <t>СН-2012-2022.21. Доп.1. Р.1, о.14, поз.83</t>
  </si>
  <si>
    <t>6,4</t>
  </si>
  <si>
    <t>21.1-14-84</t>
  </si>
  <si>
    <t>Трубки теплоизоляционные из вспененного каучука типа "К-Flex ST" для поверхностей с температурой от -40°C до +105°С, внутренний диаметр (толщина) 10 (13) мм</t>
  </si>
  <si>
    <t>СН-2012-2022.21. Доп.1. Р.1, о.14, поз.84</t>
  </si>
  <si>
    <t>6,5</t>
  </si>
  <si>
    <t>21.1-14-86</t>
  </si>
  <si>
    <t>Трубки теплоизоляционные из вспененного каучука типа "К-Flex ST" для поверхностей с температурой от -40°C до +105°С, внутренний диаметр (толщина) 15 (13) мм</t>
  </si>
  <si>
    <t>СН-2012-2022.21. Доп.1. Р.1, о.14, поз.86</t>
  </si>
  <si>
    <t>6,6</t>
  </si>
  <si>
    <t>21.1-14-87</t>
  </si>
  <si>
    <t>Трубки теплоизоляционные из вспененного каучука типа "К-Flex ST" для поверхностей с температурой от -40°C до +105°С, внутренний диаметр (толщина) 18 (13) мм</t>
  </si>
  <si>
    <t>СН-2012-2022.21. Доп.1. Р.1, о.14, поз.87</t>
  </si>
  <si>
    <t>6,7</t>
  </si>
  <si>
    <t>2513110000</t>
  </si>
  <si>
    <t>Клей</t>
  </si>
  <si>
    <t>л</t>
  </si>
  <si>
    <t>7</t>
  </si>
  <si>
    <t>1.22-3103-13-1/1</t>
  </si>
  <si>
    <t>Прокладка кабеля или провода питания сечением 6 мм2 (без стоимости материалов)</t>
  </si>
  <si>
    <t>100 м</t>
  </si>
  <si>
    <t>СН-2012-2022.1. Доп.1. Сб.22-3103-13-1/1</t>
  </si>
  <si>
    <t>7,1</t>
  </si>
  <si>
    <t>П2432. Провод ПВС 5х1,5 кв.мм белый ГОСТ (Брэкс Брянск)(или эквивалент)</t>
  </si>
  <si>
    <t>7,2</t>
  </si>
  <si>
    <t>Нагреватель дренажа HD-50 (зимний комплект для кондиционера)(или эквивалент)</t>
  </si>
  <si>
    <t>8</t>
  </si>
  <si>
    <t>1.22-3103-13-2/1</t>
  </si>
  <si>
    <t>Прокладка кабеля или провода питания сечением 10 мм2 (без стоимости материалов)</t>
  </si>
  <si>
    <t>СН-2012-2022.1. Доп.1. Сб.22-3103-13-2/1</t>
  </si>
  <si>
    <t>8,1</t>
  </si>
  <si>
    <t>8,2</t>
  </si>
  <si>
    <t>8,3</t>
  </si>
  <si>
    <t>9</t>
  </si>
  <si>
    <t>1.23-3103-5-1/1</t>
  </si>
  <si>
    <t>Установка сосуда влагоотделительного, разделительного, конденсационного, уравнительного (без стоимости материалов)</t>
  </si>
  <si>
    <t>СН-2012-2022.1. Доп.1. Сб.23-3103-5-1/1</t>
  </si>
  <si>
    <t>9,1</t>
  </si>
  <si>
    <t>Дренажная ПОМПА ASPEN MINI AQUA SILENT+(или эквивалент)</t>
  </si>
  <si>
    <t>[9 744,8 / 1,2]</t>
  </si>
  <si>
    <t>9,2</t>
  </si>
  <si>
    <t>Дренажная помпа Sauermann Si-82 для внутреннего блока кондиционера(или эквивалент)</t>
  </si>
  <si>
    <t>10</t>
  </si>
  <si>
    <t>1.23-3103-4-1/1</t>
  </si>
  <si>
    <t>Установка механизма исполнительного массой до 20 кг (без стоимости материалов)</t>
  </si>
  <si>
    <t>СН-2012-2022.1. Доп.1. Сб.23-3103-4-1/1</t>
  </si>
  <si>
    <t>10,1</t>
  </si>
  <si>
    <t>Зимний комплект РДК 9,6 для NEO PREMIUM CLASSIC A (или эквивалент)</t>
  </si>
  <si>
    <t>[9 474,4 / 1,2]</t>
  </si>
  <si>
    <t>11</t>
  </si>
  <si>
    <t>1.21-3103-33-2/1</t>
  </si>
  <si>
    <t>Прокладка труб гофрированных поливинилхлоридных наружным диаметром 20 мм открыто по стенам и потолкам с установкой соединительных коробок</t>
  </si>
  <si>
    <t>СН-2012-2022.1. Доп.1. Сб.21-3103-33-2/1</t>
  </si>
  <si>
    <t>11,1</t>
  </si>
  <si>
    <t>21.21-5-61</t>
  </si>
  <si>
    <t>Коробки для выполнения соединений и ответвлений электрических кабелей и проводов сечением до 4 мм2, прокладываемых в неметаллических трубах, тип КОР-73 УЗ</t>
  </si>
  <si>
    <t>СН-2012-2022.21. Доп.1. Р.21, о.5, поз.61</t>
  </si>
  <si>
    <t>12</t>
  </si>
  <si>
    <t>1.21-3103-21-3/1</t>
  </si>
  <si>
    <t>Затягивание проводов и кабелей в проложенные трубы и металлические рукава, провод первый одножильный или многожильный в общей оплетке, суммарное сечение до 16 мм2 (без стоимости материалов)</t>
  </si>
  <si>
    <t>СН-2012-2022.1. Доп.1. Сб.21-3103-21-3/1</t>
  </si>
  <si>
    <t>12,1</t>
  </si>
  <si>
    <t>[185,09 / 1,2]</t>
  </si>
  <si>
    <t>12,2</t>
  </si>
  <si>
    <t>Нагреватель дренажа HD 110 (или эквивалент)</t>
  </si>
  <si>
    <t>[780 / 1,2]</t>
  </si>
  <si>
    <t>13</t>
  </si>
  <si>
    <t>1.21-3103-31-2/3</t>
  </si>
  <si>
    <t>Прокладка пластикового кабель-канала - по бетонному основанию / сечение 60х40 мм</t>
  </si>
  <si>
    <t>СН-2012-2022.1. Доп.1. Сб.21-3103-31-2/3</t>
  </si>
  <si>
    <t>13,1</t>
  </si>
  <si>
    <t>Кабель-канал, размер 60х60 2000 мм белый</t>
  </si>
  <si>
    <t>[286 / 1,2]</t>
  </si>
  <si>
    <t>13,2</t>
  </si>
  <si>
    <t>Заглушка к кабель-каналу 60x60</t>
  </si>
  <si>
    <t>[116,34 / 1,2]</t>
  </si>
  <si>
    <t>13,3</t>
  </si>
  <si>
    <t>Угол внутренний к кабель-каналу 60x60</t>
  </si>
  <si>
    <t>[303,66 / 1,2]</t>
  </si>
  <si>
    <t>13,4</t>
  </si>
  <si>
    <t>Угол внешний к кабель-каналу 60x60</t>
  </si>
  <si>
    <t>[334,32 / 1,2]</t>
  </si>
  <si>
    <t>13,5</t>
  </si>
  <si>
    <t>Угол плоский к кабель-каналу 60x60</t>
  </si>
  <si>
    <t>[579,47 / 1,2]</t>
  </si>
  <si>
    <t>13,6</t>
  </si>
  <si>
    <t>21.1-25-1027</t>
  </si>
  <si>
    <t>Кабель-каналы, размер 60х40 мм: кабель-каналы</t>
  </si>
  <si>
    <t>СН-2012-2022.21. Доп.1. Р.1, о.25, поз.1027</t>
  </si>
  <si>
    <t>13,7</t>
  </si>
  <si>
    <t>21.1-25-1028</t>
  </si>
  <si>
    <t>Кабель-каналы, размер 60х40 мм: заглушки</t>
  </si>
  <si>
    <t>СН-2012-2022.21. Доп.1. Р.1, о.25, поз.1028</t>
  </si>
  <si>
    <t>13,8</t>
  </si>
  <si>
    <t>21.1-25-1029</t>
  </si>
  <si>
    <t>Кабель-каналы, размер 60х40 мм: накладки стыковые</t>
  </si>
  <si>
    <t>СН-2012-2022.21. Доп.1. Р.1, о.25, поз.1029</t>
  </si>
  <si>
    <t>13,9</t>
  </si>
  <si>
    <t>21.1-25-1031</t>
  </si>
  <si>
    <t>Кабель-каналы, размер 60х40 мм: тройники</t>
  </si>
  <si>
    <t>СН-2012-2022.21. Доп.1. Р.1, о.25, поз.1031</t>
  </si>
  <si>
    <t>13,10</t>
  </si>
  <si>
    <t>21.1-25-1032</t>
  </si>
  <si>
    <t>Кабель-каналы, размер 60х40 мм: углы внутренние</t>
  </si>
  <si>
    <t>СН-2012-2022.21. Доп.1. Р.1, о.25, поз.1032</t>
  </si>
  <si>
    <t>13,11</t>
  </si>
  <si>
    <t>21.1-25-1033</t>
  </si>
  <si>
    <t>Кабель-каналы, размер 60х40 мм: углы наружные</t>
  </si>
  <si>
    <t>СН-2012-2022.21. Доп.1. Р.1, о.25, поз.1033</t>
  </si>
  <si>
    <t>13,12</t>
  </si>
  <si>
    <t>21.1-25-1034</t>
  </si>
  <si>
    <t>Кабель-каналы, размер 60х40 мм: углы плоские</t>
  </si>
  <si>
    <t>СН-2012-2022.21. Доп.1. Р.1, о.25, поз.1034</t>
  </si>
  <si>
    <t>14</t>
  </si>
  <si>
    <t>1.21-3103-8-2/1</t>
  </si>
  <si>
    <t>Прокладка проводов и кабелей в коробах, провод сечением до 35 мм2</t>
  </si>
  <si>
    <t>СН-2012-2022.1. Доп.1. Сб.21-3103-8-2/1</t>
  </si>
  <si>
    <t>14,1</t>
  </si>
  <si>
    <t>14,2</t>
  </si>
  <si>
    <t>21.23-13-15</t>
  </si>
  <si>
    <t>Провода силовые с медными жилами в поливинилхлоридной изоляции, марка ПуГВ, номинальное напряжение до 450 В, число жил и сечение 1х10 мм2</t>
  </si>
  <si>
    <t>км</t>
  </si>
  <si>
    <t>СН-2012-2022.21. Доп.1. Р.23, о.13, поз.15</t>
  </si>
  <si>
    <t>15</t>
  </si>
  <si>
    <t>1.16-3103-4-1/1</t>
  </si>
  <si>
    <t>Прокладка трубопроводов канализации из ПВХ труб диаметром до 50 мм (без стоимости арматуры)</t>
  </si>
  <si>
    <t>СН-2012-2022.1. Доп.1. Сб.16-3103-4-1/1</t>
  </si>
  <si>
    <t>15,1</t>
  </si>
  <si>
    <t>21.12-5-235</t>
  </si>
  <si>
    <t>Трубки дренажные поливинилхлоридные, диаметр 16мм</t>
  </si>
  <si>
    <t>СН-2012-2022.21. Доп.1. Р.12, о.5, поз.235</t>
  </si>
  <si>
    <t>15,2</t>
  </si>
  <si>
    <t>Капиллярная трубка 6 мм (или эквивалент)</t>
  </si>
  <si>
    <t>[52 / 1,2]</t>
  </si>
  <si>
    <t>15,3</t>
  </si>
  <si>
    <t>3700000000</t>
  </si>
  <si>
    <t>Арматура трубопроводная</t>
  </si>
  <si>
    <t>15,4</t>
  </si>
  <si>
    <t>5291000000</t>
  </si>
  <si>
    <t>Крепления</t>
  </si>
  <si>
    <t>15,5</t>
  </si>
  <si>
    <t>15,6</t>
  </si>
  <si>
    <t>21.12-1-21</t>
  </si>
  <si>
    <t>Заготовки трубные поливинилхлоридные, внутренней канализации без средств крепления, диаметр 50 мм</t>
  </si>
  <si>
    <t>СН-2012-2022.21. Доп.1. Р.12, о.1, поз.21</t>
  </si>
  <si>
    <t>15,7</t>
  </si>
  <si>
    <t>21.12-5-292</t>
  </si>
  <si>
    <t>Кольца резиновые уплотнительные для канализации из поливинилхлоридных труб, диаметр 110 мм</t>
  </si>
  <si>
    <t>СН-2012-2022.21. Доп.1. Р.12, о.5, поз.292</t>
  </si>
  <si>
    <t>16</t>
  </si>
  <si>
    <t>1.21-3103-31-2/4</t>
  </si>
  <si>
    <t>Прокладка пластикового кабель-канала - по бетонному основанию / сечение 105х50 мм</t>
  </si>
  <si>
    <t>СН-2012-2022.1. Доп.1. Сб.21-3103-31-2/4</t>
  </si>
  <si>
    <t>17</t>
  </si>
  <si>
    <t>1.20-3203-1-9/1</t>
  </si>
  <si>
    <t>Установка щитков осветительных на стене распорными дюбелями, масса щитка до 6 кг (без стоимости щитков)</t>
  </si>
  <si>
    <t>СН-2012-2022.1. Доп.1. Сб.20-3203-1-9/1</t>
  </si>
  <si>
    <t>17,1</t>
  </si>
  <si>
    <t>Е0310. Бокс UNK40-02-2 белый на 2 модуля темная прозрачная дверь IP41 (Текфор Москва)(или эквивалент)</t>
  </si>
  <si>
    <t>[375,65 / 1,2]</t>
  </si>
  <si>
    <t>18</t>
  </si>
  <si>
    <t>1.21-3203-3-1/1</t>
  </si>
  <si>
    <t>Установка DIN-рейки (без стоимости DIN-рейки)</t>
  </si>
  <si>
    <t>СН-2012-2022.1. Доп.1. Сб.21-3203-3-1/1</t>
  </si>
  <si>
    <t>18,1</t>
  </si>
  <si>
    <t>Б2501. DIN-рейка 07-03-001 7,5х35х75мм оцинкованная металлическая (Текфор Москва)(или эквивалент)</t>
  </si>
  <si>
    <t>[19,81 / 1,2]</t>
  </si>
  <si>
    <t>19</t>
  </si>
  <si>
    <t>1.21-3603-6-1/1</t>
  </si>
  <si>
    <t>Установка выключателя установочного автоматического (автомата) или неавтоматического одно-, двух-, трехполюсного на конструкции на стене или колонне на ток до 25 А</t>
  </si>
  <si>
    <t>СН-2012-2022.1. Доп.1. Сб.21-3603-6-1/1</t>
  </si>
  <si>
    <t>Поправка: СН-2012. Гл.1 Сб.21 п.3.1  Наименование: При монтаже выключателей автоматических, выключателей нагрузки (рубильников) на рейку</t>
  </si>
  <si>
    <t>)*0,8</t>
  </si>
  <si>
    <t>Поправка: СН-2012. Гл.1 Сб.21 п.3.1</t>
  </si>
  <si>
    <t>20</t>
  </si>
  <si>
    <t>20,1</t>
  </si>
  <si>
    <t>21</t>
  </si>
  <si>
    <t>1.21-3103-31-2/1</t>
  </si>
  <si>
    <t>Прокладка пластикового кабель-канала по бетонному основанию / сечение 20х12,5 мм</t>
  </si>
  <si>
    <t>СН-2012-2022.1. Доп.1. Сб.21-3103-31-2/1</t>
  </si>
  <si>
    <t>21,1</t>
  </si>
  <si>
    <t>21.1-25-758</t>
  </si>
  <si>
    <t>Кабель-каналы, размер 20х12,5 мм: кабель-каналы</t>
  </si>
  <si>
    <t>СН-2012-2022.21. Доп.1. Р.1, о.25, поз.758</t>
  </si>
  <si>
    <t>21,2</t>
  </si>
  <si>
    <t>21.1-25-759</t>
  </si>
  <si>
    <t>Кабель-каналы, размер 20х12,5 мм: углы внутренние</t>
  </si>
  <si>
    <t>1000 шт.</t>
  </si>
  <si>
    <t>СН-2012-2022.21. Доп.1. Р.1, о.25, поз.759</t>
  </si>
  <si>
    <t>21,3</t>
  </si>
  <si>
    <t>21.1-25-760</t>
  </si>
  <si>
    <t>Кабель-каналы, размер 20х12,5 мм: углы наружные</t>
  </si>
  <si>
    <t>СН-2012-2022.21. Доп.1. Р.1, о.25, поз.760</t>
  </si>
  <si>
    <t>21,4</t>
  </si>
  <si>
    <t>21.1-25-761</t>
  </si>
  <si>
    <t>Кабель-каналы, размер 20х12,5 мм: углы плоские</t>
  </si>
  <si>
    <t>СН-2012-2022.21. Доп.1. Р.1, о.25, поз.761</t>
  </si>
  <si>
    <t>21,5</t>
  </si>
  <si>
    <t>21.1-25-762</t>
  </si>
  <si>
    <t>Кабель-каналы, размер 20х12,5 мм: заглушки</t>
  </si>
  <si>
    <t>СН-2012-2022.21. Доп.1. Р.1, о.25, поз.762</t>
  </si>
  <si>
    <t>21,6</t>
  </si>
  <si>
    <t>21.1-25-763</t>
  </si>
  <si>
    <t>Кабель-каналы, размер 20х12,5 мм: ответвления Т-образные</t>
  </si>
  <si>
    <t>СН-2012-2022.21. Доп.1. Р.1, о.25, поз.763</t>
  </si>
  <si>
    <t>21,7</t>
  </si>
  <si>
    <t>21.1-25-764</t>
  </si>
  <si>
    <t>Кабель-каналы, размер 20х12,5 мм: накладки стыковые</t>
  </si>
  <si>
    <t>СН-2012-2022.21. Доп.1. Р.1, о.25, поз.764</t>
  </si>
  <si>
    <t>22</t>
  </si>
  <si>
    <t>1.21-3103-31-2/2</t>
  </si>
  <si>
    <t>Прокладка пластикового кабель-канала - по бетонному основанию / сечение 40х20 мм</t>
  </si>
  <si>
    <t>СН-2012-2022.1. Доп.1. Сб.21-3103-31-2/2</t>
  </si>
  <si>
    <t>22,1</t>
  </si>
  <si>
    <t>21.1-25-1022</t>
  </si>
  <si>
    <t>Кабель-каналы, размер 40х20 мм: заглушки</t>
  </si>
  <si>
    <t>СН-2012-2022.21. Доп.1. Р.1, о.25, поз.1022</t>
  </si>
  <si>
    <t>22,2</t>
  </si>
  <si>
    <t>21.1-25-1023</t>
  </si>
  <si>
    <t>Кабель-каналы, размер 40х20 мм: накладки стыковые</t>
  </si>
  <si>
    <t>СН-2012-2022.21. Доп.1. Р.1, о.25, поз.1023</t>
  </si>
  <si>
    <t>22,3</t>
  </si>
  <si>
    <t>21.1-25-1024</t>
  </si>
  <si>
    <t>Кабель-каналы, размер 40х20 мм: углы внутренние</t>
  </si>
  <si>
    <t>СН-2012-2022.21. Доп.1. Р.1, о.25, поз.1024</t>
  </si>
  <si>
    <t>22,4</t>
  </si>
  <si>
    <t>21.1-25-1025</t>
  </si>
  <si>
    <t>Кабель-каналы, размер 40х20 мм: углы наружные</t>
  </si>
  <si>
    <t>СН-2012-2022.21. Доп.1. Р.1, о.25, поз.1025</t>
  </si>
  <si>
    <t>22,5</t>
  </si>
  <si>
    <t>21.1-25-1026</t>
  </si>
  <si>
    <t>Кабель-каналы, размер 40х20 мм: углы плоские</t>
  </si>
  <si>
    <t>СН-2012-2022.21. Доп.1. Р.1, о.25, поз.1026</t>
  </si>
  <si>
    <t>23</t>
  </si>
  <si>
    <t>23,1</t>
  </si>
  <si>
    <t>21.23-8-270</t>
  </si>
  <si>
    <t>Кабели силовые, с медными жилами, с изоляц. и оболоч.из ПВХ пластиката пониж.пожар.опасности, не распростр.горение, с пониж.дымо- и газовыделением и с низк.токсич-тью продуктов горения, напряж.1000 В, марка ВВГнг(А)-LSLTx, число жил и сечение, мм2: 3х2,5</t>
  </si>
  <si>
    <t>СН-2012-2022.21. Доп.1. Р.23, о.8, поз.270</t>
  </si>
  <si>
    <t>24</t>
  </si>
  <si>
    <t>24,1</t>
  </si>
  <si>
    <t>24,2</t>
  </si>
  <si>
    <t>25</t>
  </si>
  <si>
    <t>1.50-3204-14-6/1</t>
  </si>
  <si>
    <t>Сверление электроперфоратором сквозных отверстий в кирпичных стенах толщиной в 1 кирпич, диаметр отверстий до 20 мм</t>
  </si>
  <si>
    <t>100 шт.</t>
  </si>
  <si>
    <t>СН-2012-2022.1. Доп.1. Сб.50-3204-14-6/1</t>
  </si>
  <si>
    <t>26</t>
  </si>
  <si>
    <t>1.50-3204-14-2/1</t>
  </si>
  <si>
    <t>Сверление электроперфоратором сквозных отверстий в кирпичных стенах толщиной в 0,5 кирпича, диаметр отверстий до 30 мм</t>
  </si>
  <si>
    <t>СН-2012-2022.1. Доп.1. Сб.50-3204-14-2/1</t>
  </si>
  <si>
    <t>27</t>
  </si>
  <si>
    <t>1.50-3204-14-10/1</t>
  </si>
  <si>
    <t>Сверление электроперфоратором сквозных отверстий в кирпичных стенах толщиной в 1 кирпич, диаметр отверстий до 70 мм</t>
  </si>
  <si>
    <t>СН-2012-2022.1. Доп.1. Сб.50-3204-14-10/1</t>
  </si>
  <si>
    <t>28</t>
  </si>
  <si>
    <t>1.50-3204-11-1/1</t>
  </si>
  <si>
    <t>Сверление сквозных отверстий в бетонных стенах и полах электроперфоратором, диаметр отверстия до 20 мм, глубина сверления 100 мм</t>
  </si>
  <si>
    <t>100 отверстий</t>
  </si>
  <si>
    <t>СН-2012-2022.1. Доп.1. Сб.50-3204-11-1/1</t>
  </si>
  <si>
    <t>29</t>
  </si>
  <si>
    <t>1.50-3204-11-9/1</t>
  </si>
  <si>
    <t>Сверление сквозных отверстий в бетонных стенах и полах электроперфоратором, диаметр отверстия до 30 мм, глубина сверления 100 мм</t>
  </si>
  <si>
    <t>СН-2012-2022.1. Доп.1. Сб.50-3204-11-9/1</t>
  </si>
  <si>
    <t>30</t>
  </si>
  <si>
    <t>1.50-3204-11-10/1</t>
  </si>
  <si>
    <t>Добавлять на каждые 50 мм глубины сверления сверх 100 мм к поз. 50-3204-11-9</t>
  </si>
  <si>
    <t>СН-2012-2022.1. Доп.1. Сб.50-3204-11-10/1</t>
  </si>
  <si>
    <t>31</t>
  </si>
  <si>
    <t>1.50-3204-11-2/1</t>
  </si>
  <si>
    <t>Добавлять на каждые 50 мм глубины сверления сверх 100 мм к поз. 50-3204-11-1</t>
  </si>
  <si>
    <t>СН-2012-2022.1. Доп.1. Сб.50-3204-11-2/1</t>
  </si>
  <si>
    <t>32</t>
  </si>
  <si>
    <t>1.50-3204-8-3/1</t>
  </si>
  <si>
    <t>Пробивка отверстий в бетонных стенах, полах толщиной 100 мм площадью до 500 см2</t>
  </si>
  <si>
    <t>СН-2012-2022.1. Доп.1. Сб.50-3204-8-3/1</t>
  </si>
  <si>
    <t>33</t>
  </si>
  <si>
    <t>1.50-3204-8-2/1</t>
  </si>
  <si>
    <t>Пробивка отверстий в бетонных стенах, полах толщиной 100 мм площадью до 100 см2</t>
  </si>
  <si>
    <t>СН-2012-2022.1. Доп.1. Сб.50-3204-8-2/1</t>
  </si>
  <si>
    <t>34</t>
  </si>
  <si>
    <t>1.50-3201-2-1/1</t>
  </si>
  <si>
    <t>Заделка отверстий в кирпичных стенах в местах прохода трубопроводов</t>
  </si>
  <si>
    <t>СН-2012-2022.1. Доп.1. Сб.50-3201-2-1/1</t>
  </si>
  <si>
    <t>35</t>
  </si>
  <si>
    <t>1.50-3201-1-1/1</t>
  </si>
  <si>
    <t>Заделка отверстий и гнезд в стенах бетонных, площадь заделки 0,1 м2</t>
  </si>
  <si>
    <t>СН-2012-2022.1. Доп.1. Сб.50-3201-1-1/1</t>
  </si>
  <si>
    <t>36</t>
  </si>
  <si>
    <t>1.13-3101-1-1/1</t>
  </si>
  <si>
    <t>Ремонт штукатурки внутренних стен по камню и бетону известковым раствором при площади до 1м2, толщиной слоя до 20 мм</t>
  </si>
  <si>
    <t>100 м2</t>
  </si>
  <si>
    <t>СН-2012-2022.1. Доп.1. Сб.13-3101-1-1/1</t>
  </si>
  <si>
    <t>37</t>
  </si>
  <si>
    <t>1.13-3201-16-5/1</t>
  </si>
  <si>
    <t>Окрашивание ранее окрашенных поверхностей стен водоэмульсионными поливинилацетатными составами, ранее окрашенных водоэмульсионной краской с расчисткой старой краски до 35%</t>
  </si>
  <si>
    <t>СН-2012-2022.1. Доп.1. Сб.13-3201-16-5/1</t>
  </si>
  <si>
    <t>38</t>
  </si>
  <si>
    <t>1.50-3203-4-1/1</t>
  </si>
  <si>
    <t>Установка химических анкеров в готовые отверстия</t>
  </si>
  <si>
    <t>100 компл.</t>
  </si>
  <si>
    <t>СН-2012-2022.1. Доп.1. Сб.50-3203-4-1/1</t>
  </si>
  <si>
    <t>39</t>
  </si>
  <si>
    <t>1.21-3103-4-1/1</t>
  </si>
  <si>
    <t>Прокладка лотков металлических штампованных по установленным конструкциям, ширина лотков до 200 мм (без стоимости лотков)</t>
  </si>
  <si>
    <t>т</t>
  </si>
  <si>
    <t>СН-2012-2022.1. Доп.1. Сб.21-3103-4-1/1</t>
  </si>
  <si>
    <t>39,1</t>
  </si>
  <si>
    <t>Лоток 35260 50х50х0,7 L=3000 перфорированный (ДКС)(или эквивалент)</t>
  </si>
  <si>
    <t>[586,56 / 1,2]</t>
  </si>
  <si>
    <t>39,2</t>
  </si>
  <si>
    <t>М9404. Крышка 35520 L=3000 для лотков шириной 50мм (ДКС)(или эквивалент)</t>
  </si>
  <si>
    <t>[326,98 / 1,2]</t>
  </si>
  <si>
    <t>39,3</t>
  </si>
  <si>
    <t>М9835. Консоль BBL4010 ML 100мм с опорой, облегченная (ДКС)(или эквивалент)</t>
  </si>
  <si>
    <t>[578,53 / 1,2]</t>
  </si>
  <si>
    <t>39,4</t>
  </si>
  <si>
    <t>Шпилька резьбовая М10х1000 мм</t>
  </si>
  <si>
    <t>40</t>
  </si>
  <si>
    <t>1.21-3103-6-1/1</t>
  </si>
  <si>
    <t>Прокладка профиля перфорированного монтажного длиной 2 м (без стоимости профиля)</t>
  </si>
  <si>
    <t>СН-2012-2022.1. Доп.1. Сб.21-3103-6-1/1</t>
  </si>
  <si>
    <t>40,1</t>
  </si>
  <si>
    <t>М1914. Швеллер К347Ц перфорированный 32х20х2мм L=2м оцинкованный лист (КЗЭМИ Курган)(или эквивалент)</t>
  </si>
  <si>
    <t>[674,86 / 1,2]</t>
  </si>
  <si>
    <t>40,2</t>
  </si>
  <si>
    <t>Траверса монтажная 20х30х2000 мм</t>
  </si>
  <si>
    <t>40,3</t>
  </si>
  <si>
    <t>21.7-4-14</t>
  </si>
  <si>
    <t>Профили металлические для перегородок и подвесных потолков стальные, оцинкованные, перфорированные, профиль угловой ПУ 25/25, сечение 25х25х0,4 мм</t>
  </si>
  <si>
    <t>СН-2012-2022.21. Доп.1. Р.7, о.4, поз.14</t>
  </si>
  <si>
    <t>41</t>
  </si>
  <si>
    <t>3.1-3103-29-5/1</t>
  </si>
  <si>
    <t>Установка перфорированного швеллера для светильников между рядами (без стоимости материалов)</t>
  </si>
  <si>
    <t>СН-2012-2022.3. Доп.1. Сб.1-3103-29-5/1</t>
  </si>
  <si>
    <t>42</t>
  </si>
  <si>
    <t>1.50-3203-4-2/3</t>
  </si>
  <si>
    <t>Установка распорных анкеров в готовые отверстия, анкер-шпилька M10/20 - M10/100</t>
  </si>
  <si>
    <t>СН-2012-2022.1. Доп.1. Сб.50-3203-4-2/3</t>
  </si>
  <si>
    <t>43</t>
  </si>
  <si>
    <t>1.14-3503-7-1/1</t>
  </si>
  <si>
    <t>Разборка/Наружная облицовка поверхности стен по металлическому каркасу (с его устройством) фасадными панелями из оцинкованной стали с полимерным покрытием без пароизоляционного слоя</t>
  </si>
  <si>
    <t>СН-2012-2022.1. Доп.1. Сб.14-3503-7-1/1</t>
  </si>
  <si>
    <t>)*0</t>
  </si>
  <si>
    <t>)*0,2</t>
  </si>
  <si>
    <t>Поправка: СН-2012 О.П. п.22</t>
  </si>
  <si>
    <t>44</t>
  </si>
  <si>
    <t>Наружная облицовка поверхности стен по металлическому каркасу (с его устройством) фасадными панелями из оцинкованной стали с полимерным покрытием без пароизоляционного слоя</t>
  </si>
  <si>
    <t>44,1</t>
  </si>
  <si>
    <t>21.1-11-129</t>
  </si>
  <si>
    <t>Шурупы-саморезы с полусферической головкой, с прессшайбой, наконечник острый, оцинкованные, размер 4,2х16 мм, для крепления листового металла</t>
  </si>
  <si>
    <t>СН-2012-2022.21. Доп.1. Р.1, о.11, поз.129</t>
  </si>
  <si>
    <t>44,2</t>
  </si>
  <si>
    <t>21.1-11-68</t>
  </si>
  <si>
    <t>Дюбель-гвоздь оцинкованный, диаметр 8 мм, длина 100 мм</t>
  </si>
  <si>
    <t>СН-2012-2022.21. Доп.1. Р.1, о.11, поз.68</t>
  </si>
  <si>
    <t>44,3</t>
  </si>
  <si>
    <t>21.7-1-30</t>
  </si>
  <si>
    <t>Кронштейны из оцинкованной стали выравнивающие, высота профиля 200 мм</t>
  </si>
  <si>
    <t>СН-2012-2022.21. Доп.1. Р.7, о.1, поз.30</t>
  </si>
  <si>
    <t>44,4</t>
  </si>
  <si>
    <t>21.7-1-40</t>
  </si>
  <si>
    <t>Планки начальные из оцинкованной стали с полимерным покрытием для навесных вентилируемых фасадов, толщина 0,5 мм</t>
  </si>
  <si>
    <t>СН-2012-2022.21. Доп.1. Р.7, о.1, поз.40</t>
  </si>
  <si>
    <t>44,5</t>
  </si>
  <si>
    <t>21.7-1-41</t>
  </si>
  <si>
    <t>Планки стыковочные сложные (нащельник) из оцинкованной стали с полимерным покрытием для навесных вентилируемых фасадов, толщина 0,5 мм</t>
  </si>
  <si>
    <t>СН-2012-2022.21. Доп.1. Р.7, о.1, поз.41</t>
  </si>
  <si>
    <t>44,6</t>
  </si>
  <si>
    <t>21.7-1-42</t>
  </si>
  <si>
    <t>Планки углов внутренних, наружных из оцинкованной стали с полимерным покрытием для навесных вентилируемых фасадов, размеры 50х50 мм, толщина 0,5 мм</t>
  </si>
  <si>
    <t>СН-2012-2022.21. Доп.1. Р.7, о.1, поз.42</t>
  </si>
  <si>
    <t>44,7</t>
  </si>
  <si>
    <t>21.7-1-76</t>
  </si>
  <si>
    <t>Панели фасадные из оцинкованной стали с полимерным покрытием для навесных вентилируемых фасадов, толщина 0,5 мм</t>
  </si>
  <si>
    <t>СН-2012-2022.21. Доп.1. Р.7, о.1, поз.76</t>
  </si>
  <si>
    <t>44,8</t>
  </si>
  <si>
    <t>21.7-4-16</t>
  </si>
  <si>
    <t>Профили направляющих металлические для монтажа гипсовых перегородок и подвесных потолков стальные, оцинкованные, марка ПН-4, сечение 75х40х0,55 мм</t>
  </si>
  <si>
    <t>СН-2012-2022.21. Доп.1. Р.7, о.4, поз.16</t>
  </si>
  <si>
    <t>45</t>
  </si>
  <si>
    <t>22.1-4-23</t>
  </si>
  <si>
    <t>Вышки телескопические на автомобиле, высота до 25 м</t>
  </si>
  <si>
    <t>маш.-ч</t>
  </si>
  <si>
    <t>СН-2012-2022.22. Доп.1. п.1-4-23 (042006)</t>
  </si>
  <si>
    <t>46</t>
  </si>
  <si>
    <t>1.49-9101-7-1/1</t>
  </si>
  <si>
    <t>Механизированная погрузка строительного мусора в автомобили-самосвалы</t>
  </si>
  <si>
    <t>СН-2012-2022.1. Доп.1. Сб.49-9101-7-1/1</t>
  </si>
  <si>
    <t>47</t>
  </si>
  <si>
    <t>1.49-9201-1-2/1</t>
  </si>
  <si>
    <t>Перевозка строительного мусора автосамосвалами грузоподъемностью до 10 т на расстояние 1 км - при механизированной погрузке</t>
  </si>
  <si>
    <t>СН-2012-2022.1. Доп.1. Сб.49-9201-1-2/1</t>
  </si>
  <si>
    <t>Подрядные работы, гл. 1 перевозка мусора</t>
  </si>
  <si>
    <t>48</t>
  </si>
  <si>
    <t>1.49-9201-1-3/1</t>
  </si>
  <si>
    <t>Перевозка строительного мусора автосамосвалами грузоподъемностью до 10 т - добавляется на каждый последующий 1 км до 100 км</t>
  </si>
  <si>
    <t>СН-2012-2022.1. Доп.1. Сб.49-9201-1-3/1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</si>
  <si>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</si>
  <si>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</si>
  <si>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</si>
  <si>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</si>
  <si>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</si>
  <si>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</si>
  <si>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</si>
  <si>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</si>
  <si>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</si>
  <si>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</si>
  <si>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</si>
  <si>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</si>
  <si>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</si>
  <si>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</si>
  <si>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</si>
  <si>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</si>
  <si>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</si>
  <si>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</si>
  <si>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</si>
  <si>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</si>
  <si>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</si>
  <si>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</si>
  <si>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</si>
  <si>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</si>
  <si>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</si>
  <si>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</si>
  <si>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</si>
  <si>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</si>
  <si>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</si>
  <si>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</si>
  <si>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</si>
  <si>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</si>
  <si>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</si>
  <si>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</si>
  <si>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</si>
  <si>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</si>
  <si>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</si>
  <si>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</si>
  <si>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</si>
  <si>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</si>
  <si>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</si>
  <si>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</si>
  <si>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</si>
  <si>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</si>
  <si>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</si>
  <si>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</si>
  <si>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</si>
  <si>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</si>
  <si>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</si>
  <si>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</si>
  <si>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</si>
  <si>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</si>
  <si>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</si>
  <si>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</si>
  <si>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ндс</t>
  </si>
  <si>
    <t>НДС 20%</t>
  </si>
  <si>
    <t>ит с ндс</t>
  </si>
  <si>
    <t>Итого с НДС</t>
  </si>
  <si>
    <t>Уровень цен на 01.10.2021 г</t>
  </si>
  <si>
    <t>_OBSM_</t>
  </si>
  <si>
    <t>9999990008</t>
  </si>
  <si>
    <t>Трудозатраты рабочих</t>
  </si>
  <si>
    <t>чел.-ч.</t>
  </si>
  <si>
    <t>22.1-30-103</t>
  </si>
  <si>
    <t>СН-2012-2022.22. Доп.1. п.1-30-103 (304104)</t>
  </si>
  <si>
    <t>Перфораторы электрические, мощность до 800 Вт</t>
  </si>
  <si>
    <t>22.1-30-56</t>
  </si>
  <si>
    <t>СН-2012-2022.22. Доп.1. п.1-30-56 (309101)</t>
  </si>
  <si>
    <t>Шуруповерты</t>
  </si>
  <si>
    <t>21.1-11-198</t>
  </si>
  <si>
    <t>СН-2012-2022.21. Доп.1. Р.1, о.11, поз.198</t>
  </si>
  <si>
    <t>Дюбели пластмассовые</t>
  </si>
  <si>
    <t>21.1-25-137</t>
  </si>
  <si>
    <t>СН-2012-2022.21. Доп.1. Р.1, о.25, поз.137</t>
  </si>
  <si>
    <t>Лента изоляционная ПВХ, размер 15х0,2 мм</t>
  </si>
  <si>
    <t>22.1-4-26</t>
  </si>
  <si>
    <t>СН-2012-2022.22. Доп.1. п.1-4-26 (042802)</t>
  </si>
  <si>
    <t>Лебедки ручные, грузоподъемность до 1 т</t>
  </si>
  <si>
    <t>21.1-11-13</t>
  </si>
  <si>
    <t>Болты строительные анкерные с гайками</t>
  </si>
  <si>
    <t>21.1-25-219</t>
  </si>
  <si>
    <t>СН-2012-2022.21. Доп.1. Р.1, о.25, поз.219</t>
  </si>
  <si>
    <t>Пена монтажная</t>
  </si>
  <si>
    <t>21.1-25-303</t>
  </si>
  <si>
    <t>СН-2012-2022.21. Доп.1. Р.1, о.25, поз.303</t>
  </si>
  <si>
    <t>Резина листовая вулканизированная</t>
  </si>
  <si>
    <t>22.1-17-23</t>
  </si>
  <si>
    <t>СН-2012-2022.22. Доп.1. п.1-17-23 (174301)</t>
  </si>
  <si>
    <t>Газовые горелки</t>
  </si>
  <si>
    <t>22.1-18-7</t>
  </si>
  <si>
    <t>СН-2012-2022.22. Доп.1. п.1-18-7 (183001)</t>
  </si>
  <si>
    <t>Автомобили грузовые бортовые, грузоподъемность до 5 т</t>
  </si>
  <si>
    <t>22.1-30-41</t>
  </si>
  <si>
    <t>СН-2012-2022.22. Доп.1. п.1-30-41 (307402)</t>
  </si>
  <si>
    <t>Станки трубогибочные для труб диаметром 200-500 мм</t>
  </si>
  <si>
    <t>22.1-4-30</t>
  </si>
  <si>
    <t>СН-2012-2022.22. Доп.1. п.1-4-30 (042901)</t>
  </si>
  <si>
    <t>Лебедки электрические, грузоподъемность до 0,5 т</t>
  </si>
  <si>
    <t>21.1-15-50</t>
  </si>
  <si>
    <t>Припой, сплав "Вуда"</t>
  </si>
  <si>
    <t>21.1-16-16</t>
  </si>
  <si>
    <t>СН-2012-2022.21. Доп.1. Р.1, о.16, поз.16</t>
  </si>
  <si>
    <t>Бура техническая</t>
  </si>
  <si>
    <t>21.1-4-10</t>
  </si>
  <si>
    <t>СН-2012-2022.21. Доп.1. Р.1, о.4, поз.10</t>
  </si>
  <si>
    <t>Кислород технический газообразный</t>
  </si>
  <si>
    <t>21.1-4-2</t>
  </si>
  <si>
    <t>СН-2012-2022.21. Доп.1. Р.1, о.4, поз.2</t>
  </si>
  <si>
    <t>Ацетилен технический</t>
  </si>
  <si>
    <t>21.1-11-134</t>
  </si>
  <si>
    <t>СН-2012-2022.21. Доп.1. Р.1, о.11, поз.134</t>
  </si>
  <si>
    <t>Клипсы для крепления изоляции</t>
  </si>
  <si>
    <t>22.1-4-12</t>
  </si>
  <si>
    <t>СН-2012-2022.22. Доп.1. п.1-4-12 (040205)</t>
  </si>
  <si>
    <t>Погрузчики на автомобильном ходу, грузоподъемность до 5 т</t>
  </si>
  <si>
    <t>22.1-10-5</t>
  </si>
  <si>
    <t>СН-2012-2022.22. Доп.1. п.1-10-5 (101002)</t>
  </si>
  <si>
    <t>Компрессоры с дизельным двигателем прицепные до 5 м3/мин</t>
  </si>
  <si>
    <t>22.1-13-14</t>
  </si>
  <si>
    <t>СН-2012-2022.22. Доп.1. п.1-13-14 (136001)</t>
  </si>
  <si>
    <t>Установки для сварки ручной дуговой (постоянного тока)</t>
  </si>
  <si>
    <t>22.1-30-67</t>
  </si>
  <si>
    <t>СН-2012-2022.22. Доп.1. п.1-30-67 (340201)</t>
  </si>
  <si>
    <t>Прессы гидравлические с электроприводом</t>
  </si>
  <si>
    <t>9999990002</t>
  </si>
  <si>
    <t>Масса оборудования</t>
  </si>
  <si>
    <t>21.1-11-108</t>
  </si>
  <si>
    <t>СН-2012-2022.21. Доп.1. Р.1, о.11, поз.108</t>
  </si>
  <si>
    <t>Шурупы - саморезы, размер 3,5х45 мм</t>
  </si>
  <si>
    <t>21.12-5-136</t>
  </si>
  <si>
    <t>СН-2012-2022.21. Доп.1. Р.12, о.5, поз.136</t>
  </si>
  <si>
    <t>Трубы электротехнические гофрированные, поливинилхлоридные, негорючие, с зондом, наружный диаметр 20 мм</t>
  </si>
  <si>
    <t>21.21-5-358</t>
  </si>
  <si>
    <t>СН-2012-2022.21. Доп.1. Р.21, о.5, поз.358</t>
  </si>
  <si>
    <t>Держатели пластиковые с защелкой для крепления труб, рукавов и гибких вводов диаметром 20 мм</t>
  </si>
  <si>
    <t>21.7-3-2</t>
  </si>
  <si>
    <t>СН-2012-2022.21. Доп.1. Р.7, о.3, поз.2</t>
  </si>
  <si>
    <t>Буры с победитовым наконечником, с хвостовиком SDS-plus, размеры 10х160 мм</t>
  </si>
  <si>
    <t>22.1-30-10</t>
  </si>
  <si>
    <t>СН-2012-2022.22. Доп.1. п.1-30-10 (304101)</t>
  </si>
  <si>
    <t>Перфораторы электрические, мощность до 500 Вт</t>
  </si>
  <si>
    <t>22.1-30-102</t>
  </si>
  <si>
    <t>СН-2012-2022.22. Доп.1. п.1-30-102 (303704)</t>
  </si>
  <si>
    <t>Дрели электрические, двухскоростные, мощностью 600 Вт</t>
  </si>
  <si>
    <t>21.1-11-81</t>
  </si>
  <si>
    <t>СН-2012-2022.21. Доп.1. Р.1, о.11, поз.81</t>
  </si>
  <si>
    <t>Патроны, калибр 6,8/11 М для дюбеля</t>
  </si>
  <si>
    <t>21.7-3-54</t>
  </si>
  <si>
    <t>СН-2012-2022.21. Доп.1. Р.7, о.3, поз.54</t>
  </si>
  <si>
    <t>Сверло с алмазным покрытием, диаметр 6 мм</t>
  </si>
  <si>
    <t>21.1-20-10</t>
  </si>
  <si>
    <t>СН-2012-2022.21. Доп.1. Р.1, о.20, поз.10</t>
  </si>
  <si>
    <t>Лента изоляционная хлопчатобумажная</t>
  </si>
  <si>
    <t>21.21-5-114</t>
  </si>
  <si>
    <t>СН-2012-2022.21. Доп.1. Р.21, о.5, поз.114</t>
  </si>
  <si>
    <t>Лента монтажная, тип ЛМ-5</t>
  </si>
  <si>
    <t>21.21-5-2</t>
  </si>
  <si>
    <t>СН-2012-2022.21. Доп.1. Р.21, о.5, поз.2</t>
  </si>
  <si>
    <t>Бирки маркировочные для кабелей и проводов, тип У153 У3,5</t>
  </si>
  <si>
    <t>21.21-5-305</t>
  </si>
  <si>
    <t>СН-2012-2022.21. Доп.1. Р.21, о.5, поз.305</t>
  </si>
  <si>
    <t>Сжимы, тип У731М для проводников магистральных сечением от 4 до 10 мм2 и ответвительных от 1,5 до 10 мм2</t>
  </si>
  <si>
    <t>21.21-5-342</t>
  </si>
  <si>
    <t>СН-2012-2022.21. Доп.1. Р.21, о.5, поз.342</t>
  </si>
  <si>
    <t>Хомуты (стяжки) кабельные из полиамида, размеры 3,6х200 мм</t>
  </si>
  <si>
    <t>21.21-5-44</t>
  </si>
  <si>
    <t>СН-2012-2022.21. Доп.1. Р.21, о.5, поз.44</t>
  </si>
  <si>
    <t>Кнопки для ленты ЛМ, тип 3,5</t>
  </si>
  <si>
    <t>21.1-11-21</t>
  </si>
  <si>
    <t>СН-2012-2022.21. Доп.1. Р.1, о.11, поз.21</t>
  </si>
  <si>
    <t>Болты строительные черные с гайками и шайбами (10х100мм)</t>
  </si>
  <si>
    <t>21.1-25-1035</t>
  </si>
  <si>
    <t>СН-2012-2022.21. Доп.1. Р.1, о.25, поз.1035</t>
  </si>
  <si>
    <t>Кабель-каналы, размер 105х50 мм: короба c направляющими</t>
  </si>
  <si>
    <t>21.1-25-1036</t>
  </si>
  <si>
    <t>СН-2012-2022.21. Доп.1. Р.1, о.25, поз.1036</t>
  </si>
  <si>
    <t>Кабель-каналы, размер 105х50 мм: заглушки</t>
  </si>
  <si>
    <t>21.1-25-1037</t>
  </si>
  <si>
    <t>СН-2012-2022.21. Доп.1. Р.1, о.25, поз.1037</t>
  </si>
  <si>
    <t>Кабель-каналы, размер 105х50 мм: накладки на стык крышки</t>
  </si>
  <si>
    <t>21.1-25-1038</t>
  </si>
  <si>
    <t>СН-2012-2022.21. Доп.1. Р.1, о.25, поз.1038</t>
  </si>
  <si>
    <t>Кабель-каналы, размер 105х50 мм: накладки на стык профилей</t>
  </si>
  <si>
    <t>21.1-25-1040</t>
  </si>
  <si>
    <t>СН-2012-2022.21. Доп.1. Р.1, о.25, поз.1040</t>
  </si>
  <si>
    <t>Кабель-каналы, размер 105х50 мм: углы внутренние</t>
  </si>
  <si>
    <t>21.1-25-1041</t>
  </si>
  <si>
    <t>СН-2012-2022.21. Доп.1. Р.1, о.25, поз.1041</t>
  </si>
  <si>
    <t>Кабель-каналы, размер 105х50 мм: углы наружные</t>
  </si>
  <si>
    <t>21.1-25-1042</t>
  </si>
  <si>
    <t>СН-2012-2022.21. Доп.1. Р.1, о.25, поз.1042</t>
  </si>
  <si>
    <t>Кабель-каналы, размер 105х50 мм: углы плоские</t>
  </si>
  <si>
    <t>22.1-30-63</t>
  </si>
  <si>
    <t>СН-2012-2022.22. Доп.1. п.1-30-63 (330901)</t>
  </si>
  <si>
    <t>Ножницы листовые кривошипные (гильотинные)</t>
  </si>
  <si>
    <t>22.1-13-15</t>
  </si>
  <si>
    <t>СН-2012-2022.22. Доп.1. п.1-13-15 (136201)</t>
  </si>
  <si>
    <t>Аппараты сварочные</t>
  </si>
  <si>
    <t>21.21-5-15</t>
  </si>
  <si>
    <t>СН-2012-2022.21. Доп.1. Р.21, о.5, поз.15</t>
  </si>
  <si>
    <t>Выключатели автоматические, серия "Домовой", однополюсные с нейтралью, тип ВА 63(С), на ток: 10 А - 40 А</t>
  </si>
  <si>
    <t>21.1-25-1021</t>
  </si>
  <si>
    <t>СН-2012-2022.21. Доп.1. Р.1, о.25, поз.1021</t>
  </si>
  <si>
    <t>Кабель-каналы, размер 40х20 мм: кабель-каналы</t>
  </si>
  <si>
    <t>21.7-3-51</t>
  </si>
  <si>
    <t>СН-2012-2022.21. Доп.1. Р.7, о.3, поз.51</t>
  </si>
  <si>
    <t>Сверло победитовое, диаметр 12 мм, длина 550 мм</t>
  </si>
  <si>
    <t>21.7-3-52</t>
  </si>
  <si>
    <t>СН-2012-2022.21. Доп.1. Р.7, о.3, поз.52</t>
  </si>
  <si>
    <t>Сверло победитовое, диаметр 25 мм, длина 400 мм</t>
  </si>
  <si>
    <t>22.1-10-9</t>
  </si>
  <si>
    <t>СН-2012-2022.22. Доп.1. п.1-10-9 (101101)</t>
  </si>
  <si>
    <t>Компрессоры с бензиновым двигателем прицепные, производительность до 5 м3/мин</t>
  </si>
  <si>
    <t>22.1-30-54</t>
  </si>
  <si>
    <t>СН-2012-2022.22. Доп.1. п.1-30-54 (308901)</t>
  </si>
  <si>
    <t>Молотки отбойные</t>
  </si>
  <si>
    <t>21.1-11-46</t>
  </si>
  <si>
    <t>СН-2012-2022.21. Доп.1. Р.1, о.11, поз.46</t>
  </si>
  <si>
    <t>Гвозди строительные</t>
  </si>
  <si>
    <t>21.1-9-13</t>
  </si>
  <si>
    <t>СН-2012-2022.21. Доп.1. Р.1, о.9, поз.13</t>
  </si>
  <si>
    <t>Бруски хвойных пород обрезные, длина 2-6,5 м, сорт III, толщина 50-60 мм</t>
  </si>
  <si>
    <t>21.1-9-51</t>
  </si>
  <si>
    <t>СН-2012-2022.21. Доп.1. Р.1, о.9, поз.51</t>
  </si>
  <si>
    <t>Доски хвойных пород, обрезные, длина 2-6,5 м, сорт II, толщина 25-32 мм</t>
  </si>
  <si>
    <t>21.3-1-69</t>
  </si>
  <si>
    <t>СН-2012-2022.21. Доп.1. Р.3, о.1, поз.69</t>
  </si>
  <si>
    <t>Смеси бетонные, БСГ, тяжелого бетона на гранитном щебне, класс прочности: В15 (М200); П3, фракция 5-20, F50-100, W0-2</t>
  </si>
  <si>
    <t>21.1-9-56</t>
  </si>
  <si>
    <t>СН-2012-2022.21. Доп.1. Р.1, о.9, поз.56</t>
  </si>
  <si>
    <t>Доски хвойных пород, обрезные, длина 2-6,5 м, сорт III, толщина 25-32 мм</t>
  </si>
  <si>
    <t>21.3-2-3</t>
  </si>
  <si>
    <t>СН-2012-2022.21. Доп.1. Р.3, о.2, поз.3</t>
  </si>
  <si>
    <t>Раствор известковый, марка 4</t>
  </si>
  <si>
    <t>9999990001</t>
  </si>
  <si>
    <t>Масса мусора</t>
  </si>
  <si>
    <t>21.1-25-187</t>
  </si>
  <si>
    <t>СН-2012-2022.21. Доп.1. Р.1, о.25, поз.187</t>
  </si>
  <si>
    <t>Мел молотый</t>
  </si>
  <si>
    <t>21.1-25-193</t>
  </si>
  <si>
    <t>СН-2012-2022.21. Доп.1. Р.1, о.25, поз.193</t>
  </si>
  <si>
    <t>Мыло твердое</t>
  </si>
  <si>
    <t>21.1-25-388</t>
  </si>
  <si>
    <t>СН-2012-2022.21. Доп.1. Р.1, о.25, поз.388</t>
  </si>
  <si>
    <t>Шкурка шлифовальная на бумажной основе</t>
  </si>
  <si>
    <t>21.1-25-407</t>
  </si>
  <si>
    <t>СН-2012-2022.21. Доп.1. Р.1, о.25, поз.407</t>
  </si>
  <si>
    <t>Шпатлевка масляно-клеевая универсальная</t>
  </si>
  <si>
    <t>21.1-25-88</t>
  </si>
  <si>
    <t>СН-2012-2022.21. Доп.1. Р.1, о.25, поз.88</t>
  </si>
  <si>
    <t>Клей малярный</t>
  </si>
  <si>
    <t>21.1-6-38</t>
  </si>
  <si>
    <t>СН-2012-2022.21. Доп.1. Р.1, о.6, поз.38</t>
  </si>
  <si>
    <t>Краски водно-дисперсионные поливинилацетатные, белые, марка ВД-ВА-27А, Э-ВА-27Т</t>
  </si>
  <si>
    <t>21.7-5-6</t>
  </si>
  <si>
    <t>СН-2012-2022.21. Доп.1. Р.7, о.5, поз.6</t>
  </si>
  <si>
    <t>Анкер химический для установки в бетон: капсула HIT-RE 500/330, шпилька резьбовая оцинкованная M12х110</t>
  </si>
  <si>
    <t>компл.</t>
  </si>
  <si>
    <t>21.1-23-9</t>
  </si>
  <si>
    <t>СН-2012-2022.21. Доп.1. Р.1, о.23, поз.9</t>
  </si>
  <si>
    <t>Электроды, тип Э-42, 46, 50, диаметр 4 - 6 мм</t>
  </si>
  <si>
    <t>22.1-4-22</t>
  </si>
  <si>
    <t>СН-2012-2022.22. Доп.1. п.1-4-22 (042005)</t>
  </si>
  <si>
    <t>Вышки телескопические на автомобиле, высота до 22 м, грузоподъемность 250-300 кг</t>
  </si>
  <si>
    <t>21.1-11-133</t>
  </si>
  <si>
    <t>СН-2012-2022.21. Доп.1. Р.1, о.11, поз.133</t>
  </si>
  <si>
    <t>Дюбель-гвоздь с патроном</t>
  </si>
  <si>
    <t>21.1-11-16</t>
  </si>
  <si>
    <t>СН-2012-2022.21. Доп.1. Р.1, о.11, поз.16</t>
  </si>
  <si>
    <t>Болты строительные с гайками черные (20х75-100 мм)</t>
  </si>
  <si>
    <t>21.1-11-178</t>
  </si>
  <si>
    <t>СН-2012-2022.21. Доп.1. Р.1, о.11, поз.178</t>
  </si>
  <si>
    <t>Дюбели распорные пластмассовые, размеры 6х40 мм</t>
  </si>
  <si>
    <t>21.7-5-30</t>
  </si>
  <si>
    <t>СН-2012-2022.21. Доп.1. Р.7, о.5, поз.30</t>
  </si>
  <si>
    <t>Анкер-шпилька распорный, оцинкованный, для установки в бетон, HSL M10/20</t>
  </si>
  <si>
    <t>21.7-5-31</t>
  </si>
  <si>
    <t>СН-2012-2022.21. Доп.1. Р.7, о.5, поз.31</t>
  </si>
  <si>
    <t>Анкер-шпилька распорный, оцинкованный, для установки в бетон, HSL M10/40</t>
  </si>
  <si>
    <t>21.7-5-32</t>
  </si>
  <si>
    <t>СН-2012-2022.21. Доп.1. Р.7, о.5, поз.32</t>
  </si>
  <si>
    <t>Анкер-шпилька распорный, оцинкованный, для установки в бетон, HSL M10/100</t>
  </si>
  <si>
    <t>22.1-30-79</t>
  </si>
  <si>
    <t>СН-2012-2022.22. Доп.1. п.1-30-79 (309301)</t>
  </si>
  <si>
    <t>Машины отрезные, диаметр диска 230 мм</t>
  </si>
  <si>
    <t>22.1-1-5</t>
  </si>
  <si>
    <t>СН-2012-2022.22. Доп.1. п.1-1-5 (010109)</t>
  </si>
  <si>
    <t>Экскаваторы на гусеничном ходу гидравлические, объем ковша до 0,65 м3</t>
  </si>
  <si>
    <t>22.1-18-12</t>
  </si>
  <si>
    <t>СН-2012-2022.22. Доп.1. п.1-18-12 (184001)</t>
  </si>
  <si>
    <t>Автомобили-самосвалы, грузоподъемность до 7 т</t>
  </si>
  <si>
    <t>22.1-18-13</t>
  </si>
  <si>
    <t>СН-2012-2022.22. Доп.1. п.1-18-13 (184002)</t>
  </si>
  <si>
    <t>Автомобили-самосвалы, грузоподъемность до 10 т</t>
  </si>
  <si>
    <t>4863770000</t>
  </si>
  <si>
    <t>Кронштейны</t>
  </si>
  <si>
    <t>4936010000</t>
  </si>
  <si>
    <t>Трубы медные</t>
  </si>
  <si>
    <t>2245300000</t>
  </si>
  <si>
    <t>Ленты изоляционные</t>
  </si>
  <si>
    <t>2247120000</t>
  </si>
  <si>
    <t>Трубки из вспененного каучука и полиэтилена</t>
  </si>
  <si>
    <t>Поправка: СН-2012 О.П. п.22  Наименование: Демонтаж, разборка отдельных бетонных, железобетонных, металлических, деревянных, пластмассовых конструктивных элементов зданий и сооружений, внутренних и наружных инженерных систем и коммуникаций при отсутствии необходимых стоимостных нормативов в сборниках СН-2012</t>
  </si>
  <si>
    <t>"СОГЛАСОВАНО"</t>
  </si>
  <si>
    <t>"УТВЕРЖДАЮ"</t>
  </si>
  <si>
    <t>Форма № 1а (глава 1-5)</t>
  </si>
  <si>
    <t>"_____"________________ 2022 г.</t>
  </si>
  <si>
    <t>(локальный сметный расчет)</t>
  </si>
  <si>
    <t xml:space="preserve">Основание: </t>
  </si>
  <si>
    <t>Сметная стоимость</t>
  </si>
  <si>
    <t>тыс.руб</t>
  </si>
  <si>
    <t>Строительные работы</t>
  </si>
  <si>
    <t>Монтажные работы</t>
  </si>
  <si>
    <t>Оборудование</t>
  </si>
  <si>
    <t>Прочие работы</t>
  </si>
  <si>
    <t>Средства на оплату труда</t>
  </si>
  <si>
    <t>№№ п/п</t>
  </si>
  <si>
    <t>Шифр расценки и коды ресурсов</t>
  </si>
  <si>
    <t>Наименование работ и затрат</t>
  </si>
  <si>
    <t>Единица измерения</t>
  </si>
  <si>
    <t>Кол-во единиц</t>
  </si>
  <si>
    <t>Цена на ед. изм. руб.</t>
  </si>
  <si>
    <t>Попра-вочные коэфф.</t>
  </si>
  <si>
    <t>Коэфф. зимних удоро-жаний</t>
  </si>
  <si>
    <t>Коэфф. пересчета</t>
  </si>
  <si>
    <t>ВСЕГО затрат, руб.</t>
  </si>
  <si>
    <t>Справочно</t>
  </si>
  <si>
    <t>ЗТР, всего чел.-час</t>
  </si>
  <si>
    <t>Ст-ть ед. с начислен.</t>
  </si>
  <si>
    <t>Составлен(а) в уровне текущих (прогнозных) цен октябрь 2021 года</t>
  </si>
  <si>
    <t>ЗП</t>
  </si>
  <si>
    <t>ЭМ</t>
  </si>
  <si>
    <t>в т.ч. ЗПМ</t>
  </si>
  <si>
    <t>МР</t>
  </si>
  <si>
    <t>НР от ЗП</t>
  </si>
  <si>
    <t>%</t>
  </si>
  <si>
    <t>СП от ЗП</t>
  </si>
  <si>
    <t>НР и СП от ЗПМ</t>
  </si>
  <si>
    <t>ЗТР</t>
  </si>
  <si>
    <t>чел-ч</t>
  </si>
  <si>
    <r>
      <t>Сплит-система Hisense NEO Classic A  AS-09HR4SYCDC5 UPGRADE(или эквивалент)</t>
    </r>
    <r>
      <rPr>
        <i/>
        <sz val="10"/>
        <rFont val="Arial"/>
        <family val="2"/>
        <charset val="204"/>
      </rPr>
      <t xml:space="preserve">
44 958,33 = [53 950 / 1,2]</t>
    </r>
  </si>
  <si>
    <r>
      <t>Сплит-система Hisense NEO Classic A  AS-12HR4SVDDC15 UPGRADE (или эквивалент)</t>
    </r>
    <r>
      <rPr>
        <i/>
        <sz val="10"/>
        <rFont val="Arial"/>
        <family val="2"/>
        <charset val="204"/>
      </rPr>
      <t xml:space="preserve">
59 583,33 = [71 500 / 1,2]</t>
    </r>
  </si>
  <si>
    <r>
      <t>Сплит-система Hisense NEO Classic A  AS-24HR4SBADC005 UPGRADE (или эквивалент)</t>
    </r>
    <r>
      <rPr>
        <i/>
        <sz val="10"/>
        <rFont val="Arial"/>
        <family val="2"/>
        <charset val="204"/>
      </rPr>
      <t xml:space="preserve">
115 375,00 = [138 450 / 1,2]</t>
    </r>
  </si>
  <si>
    <r>
      <t>Дренажная ПОМПА ASPEN MINI AQUA SILENT+(или эквивалент)</t>
    </r>
    <r>
      <rPr>
        <i/>
        <sz val="10"/>
        <rFont val="Arial"/>
        <family val="2"/>
        <charset val="204"/>
      </rPr>
      <t xml:space="preserve">
8 120,67 = [9 744,8 / 1,2]</t>
    </r>
  </si>
  <si>
    <r>
      <t>Зимний комплект РДК 9,6 для NEO PREMIUM CLASSIC A (или эквивалент)</t>
    </r>
    <r>
      <rPr>
        <i/>
        <sz val="10"/>
        <rFont val="Arial"/>
        <family val="2"/>
        <charset val="204"/>
      </rPr>
      <t xml:space="preserve">
7 895,33 = [9 474,4 / 1,2]</t>
    </r>
  </si>
  <si>
    <r>
      <t>Нагреватель дренажа HD 110 (или эквивалент)</t>
    </r>
    <r>
      <rPr>
        <i/>
        <sz val="10"/>
        <rFont val="Arial"/>
        <family val="2"/>
        <charset val="204"/>
      </rPr>
      <t xml:space="preserve">
650,00 = [780 / 1,2]</t>
    </r>
  </si>
  <si>
    <r>
      <t>Кабель-канал, размер 60х60 2000 мм белый</t>
    </r>
    <r>
      <rPr>
        <i/>
        <sz val="10"/>
        <rFont val="Arial"/>
        <family val="2"/>
        <charset val="204"/>
      </rPr>
      <t xml:space="preserve">
238,33 = [286 / 1,2]</t>
    </r>
  </si>
  <si>
    <r>
      <t>П2432. Провод ПВС 5х1,5 кв.мм белый ГОСТ (Брэкс Брянск)(или эквивалент)</t>
    </r>
    <r>
      <rPr>
        <i/>
        <sz val="10"/>
        <rFont val="Arial"/>
        <family val="2"/>
        <charset val="204"/>
      </rPr>
      <t xml:space="preserve">
154,24 = [185,09 / 1,2]</t>
    </r>
  </si>
  <si>
    <r>
      <t>Капиллярная трубка 6 мм (или эквивалент)</t>
    </r>
    <r>
      <rPr>
        <i/>
        <sz val="10"/>
        <rFont val="Arial"/>
        <family val="2"/>
        <charset val="204"/>
      </rPr>
      <t xml:space="preserve">
43,33 = [52 / 1,2]</t>
    </r>
  </si>
  <si>
    <r>
      <t>Е0310. Бокс UNK40-02-2 белый на 2 модуля темная прозрачная дверь IP41 (Текфор Москва)(или эквивалент)</t>
    </r>
    <r>
      <rPr>
        <i/>
        <sz val="10"/>
        <rFont val="Arial"/>
        <family val="2"/>
        <charset val="204"/>
      </rPr>
      <t xml:space="preserve">
313,04 = [375,65 / 1,2]</t>
    </r>
  </si>
  <si>
    <r>
      <t>Б2501. DIN-рейка 07-03-001 7,5х35х75мм оцинкованная металлическая (Текфор Москва)(или эквивалент)</t>
    </r>
    <r>
      <rPr>
        <i/>
        <sz val="10"/>
        <rFont val="Arial"/>
        <family val="2"/>
        <charset val="204"/>
      </rPr>
      <t xml:space="preserve">
16,51 = [19,81 / 1,2]</t>
    </r>
  </si>
  <si>
    <r>
      <t>1.21-3603-6-1/1</t>
    </r>
    <r>
      <rPr>
        <i/>
        <sz val="10"/>
        <rFont val="Arial"/>
        <family val="2"/>
        <charset val="204"/>
      </rPr>
      <t xml:space="preserve">
Поправка: СН-2012. Гл.1 Сб.21 п.3.1</t>
    </r>
  </si>
  <si>
    <r>
      <t>Установка выключателя установочного автоматического (автомата) или неавтоматического одно-, двух-, трехполюсного на конструкции на стене или колонне на ток до 25 А</t>
    </r>
    <r>
      <rPr>
        <i/>
        <sz val="10"/>
        <rFont val="Arial"/>
        <family val="2"/>
        <charset val="204"/>
      </rPr>
      <t xml:space="preserve">
Поправка: СН-2012. Гл.1 Сб.21 п.3.1  Наименование: При монтаже выключателей автоматических, выключателей нагрузки (рубильников) на рейку</t>
    </r>
  </si>
  <si>
    <r>
      <t>Лоток 35260 50х50х0,7 L=3000 перфорированный (ДКС)(или эквивалент)</t>
    </r>
    <r>
      <rPr>
        <i/>
        <sz val="10"/>
        <rFont val="Arial"/>
        <family val="2"/>
        <charset val="204"/>
      </rPr>
      <t xml:space="preserve">
488,80 = [586,56 / 1,2]</t>
    </r>
  </si>
  <si>
    <r>
      <t>М9404. Крышка 35520 L=3000 для лотков шириной 50мм (ДКС)(или эквивалент)</t>
    </r>
    <r>
      <rPr>
        <i/>
        <sz val="10"/>
        <rFont val="Arial"/>
        <family val="2"/>
        <charset val="204"/>
      </rPr>
      <t xml:space="preserve">
272,48 = [326,98 / 1,2]</t>
    </r>
  </si>
  <si>
    <r>
      <t>М9835. Консоль BBL4010 ML 100мм с опорой, облегченная (ДКС)(или эквивалент)</t>
    </r>
    <r>
      <rPr>
        <i/>
        <sz val="10"/>
        <rFont val="Arial"/>
        <family val="2"/>
        <charset val="204"/>
      </rPr>
      <t xml:space="preserve">
482,11 = [578,53 / 1,2]</t>
    </r>
  </si>
  <si>
    <r>
      <t>М1914. Швеллер К347Ц перфорированный 32х20х2мм L=2м оцинкованный лист (КЗЭМИ Курган)(или эквивалент)</t>
    </r>
    <r>
      <rPr>
        <i/>
        <sz val="10"/>
        <rFont val="Arial"/>
        <family val="2"/>
        <charset val="204"/>
      </rPr>
      <t xml:space="preserve">
562,38 = [674,86 / 1,2]</t>
    </r>
  </si>
  <si>
    <t xml:space="preserve">Составил   </t>
  </si>
  <si>
    <t>[должность,подпись(инициалы,фамилия)]</t>
  </si>
  <si>
    <t xml:space="preserve">Проверил   </t>
  </si>
  <si>
    <t>___________________________</t>
  </si>
  <si>
    <t>" ___ " ___________ 20 ___ г.</t>
  </si>
  <si>
    <t xml:space="preserve">Мы, нижеподписавшиеся, произвели осмотр объекта </t>
  </si>
  <si>
    <t xml:space="preserve">и постановили произвести ремонт объекта в </t>
  </si>
  <si>
    <t>следующем объеме:</t>
  </si>
  <si>
    <t>№ п/п</t>
  </si>
  <si>
    <t>Количество</t>
  </si>
  <si>
    <t>Примечание</t>
  </si>
  <si>
    <t>Заказчик _________________</t>
  </si>
  <si>
    <t>TYPE</t>
  </si>
  <si>
    <t>SOURCE_LINK</t>
  </si>
  <si>
    <t>RABMAT_EX</t>
  </si>
  <si>
    <t>TIP_RAB</t>
  </si>
  <si>
    <t>TYPE_TRUD</t>
  </si>
  <si>
    <t>TAB</t>
  </si>
  <si>
    <t>NAME</t>
  </si>
  <si>
    <t>EDIZM</t>
  </si>
  <si>
    <t>KOLL</t>
  </si>
  <si>
    <t>UCH</t>
  </si>
  <si>
    <t>PRICE_B</t>
  </si>
  <si>
    <t>PRICE_ED</t>
  </si>
  <si>
    <t>STOIM_B</t>
  </si>
  <si>
    <t>PRICE_C</t>
  </si>
  <si>
    <t>STOIM_C</t>
  </si>
  <si>
    <t>ZPM_B</t>
  </si>
  <si>
    <t>ZPM_ED</t>
  </si>
  <si>
    <t>STOIM_ZPM_B</t>
  </si>
  <si>
    <t>ZPM_C</t>
  </si>
  <si>
    <t>STOIM_ZPM_C</t>
  </si>
  <si>
    <t>CRC_GR_RES</t>
  </si>
  <si>
    <t>CRC_B</t>
  </si>
  <si>
    <t>CRC_C</t>
  </si>
  <si>
    <t>RABMAT</t>
  </si>
  <si>
    <t>WBS</t>
  </si>
  <si>
    <t>CBSI</t>
  </si>
  <si>
    <t>CBSII</t>
  </si>
  <si>
    <t>BuildingFinished</t>
  </si>
  <si>
    <t>Trud</t>
  </si>
  <si>
    <t>Mash</t>
  </si>
  <si>
    <t>Mat</t>
  </si>
  <si>
    <t>MatZak</t>
  </si>
  <si>
    <t>Oborud</t>
  </si>
  <si>
    <t>OborudZak</t>
  </si>
  <si>
    <t>ZeroStoim</t>
  </si>
  <si>
    <t>NegativeKoll</t>
  </si>
  <si>
    <t>ReUnionKollResurcy</t>
  </si>
  <si>
    <t>UnionOneUchRes</t>
  </si>
  <si>
    <t>IdLevel</t>
  </si>
  <si>
    <t>ViewCodes</t>
  </si>
  <si>
    <t>UnionCodes</t>
  </si>
  <si>
    <t>Ресурсная ведомость на</t>
  </si>
  <si>
    <t>Объект: Установка сплит-систем в помещениях филиала ГБУЗ "ГКБ им В.В. вересаева ДЗМ" г.Москва,  по адресу:127247, г. Москва, ул. 800-летия Москвы, д.22</t>
  </si>
  <si>
    <t>Обоснование</t>
  </si>
  <si>
    <t>Наименование</t>
  </si>
  <si>
    <t>Объем</t>
  </si>
  <si>
    <t>Базовая</t>
  </si>
  <si>
    <t>цена</t>
  </si>
  <si>
    <t>стоимость</t>
  </si>
  <si>
    <t xml:space="preserve">Машины и механизмы </t>
  </si>
  <si>
    <t xml:space="preserve">Итого машины и механизмы </t>
  </si>
  <si>
    <t xml:space="preserve">Материальные ресурсы </t>
  </si>
  <si>
    <t xml:space="preserve">Итого материальные ресурсы </t>
  </si>
  <si>
    <t>(наименование стройки и/или объекта)</t>
  </si>
  <si>
    <t>(наименование работ и затрат)</t>
  </si>
  <si>
    <t>Шифр норматива и коды ресурсов</t>
  </si>
  <si>
    <t>Наименование работ и затрат, характеристика оборудования</t>
  </si>
  <si>
    <t>Количество на единицу</t>
  </si>
  <si>
    <t>Попра-вочные коэффи-
циенты</t>
  </si>
  <si>
    <t>Количество общее</t>
  </si>
  <si>
    <r>
      <t>Установка выключателя установочного автоматического (автомата) или неавтоматического одно-, двух-, трехполюсного на конструкции на стене или колонне на ток до 25 А</t>
    </r>
    <r>
      <rPr>
        <i/>
        <sz val="11"/>
        <rFont val="Arial"/>
        <family val="2"/>
        <charset val="204"/>
      </rPr>
      <t xml:space="preserve">
Поправки к: 
ЭММ )*0,8;   
ЗПМ )*0,8;   
ОЗП )*0,8;   
Труд.Стр. )*0,8;   
Труд.Маш. )*0,8</t>
    </r>
  </si>
  <si>
    <t>(должность, подпись, инициалы, фамилия)</t>
  </si>
  <si>
    <t>Итого с учетом снижения по ауцкиону 933 457 (девятьсот тридцать три тысячи четыреста пятьдесят семь) руб. 82 коп., в том числе НДС</t>
  </si>
  <si>
    <t xml:space="preserve">  </t>
  </si>
  <si>
    <t>Унифицированная форма № КС-2</t>
  </si>
  <si>
    <t>Утверждена постановлением Госкомстата России</t>
  </si>
  <si>
    <t>от 11.11.99. № 100</t>
  </si>
  <si>
    <t>Код</t>
  </si>
  <si>
    <t>Форма по ОКУД</t>
  </si>
  <si>
    <t>Инвестор</t>
  </si>
  <si>
    <t>по ОКПО</t>
  </si>
  <si>
    <t>организация, адрес, телефон, факс</t>
  </si>
  <si>
    <t>Заказчик</t>
  </si>
  <si>
    <t>Подрядчик</t>
  </si>
  <si>
    <t>Стройка</t>
  </si>
  <si>
    <t>наименование, адрес</t>
  </si>
  <si>
    <t>Объект</t>
  </si>
  <si>
    <t>наименование</t>
  </si>
  <si>
    <t>Вид деятельности по ОКДП</t>
  </si>
  <si>
    <t>Договор подряда</t>
  </si>
  <si>
    <t>номер</t>
  </si>
  <si>
    <t>дата</t>
  </si>
  <si>
    <t>Вид операции</t>
  </si>
  <si>
    <t>Номер документа</t>
  </si>
  <si>
    <t>Дата составления</t>
  </si>
  <si>
    <t>Отчетный период</t>
  </si>
  <si>
    <t>с</t>
  </si>
  <si>
    <t>по</t>
  </si>
  <si>
    <t>AKT</t>
  </si>
  <si>
    <t>О ПРИЕМКЕ ВЫПОЛНЕННЫХ РАБОТ</t>
  </si>
  <si>
    <t>Унифицированная форма № КС-3</t>
  </si>
  <si>
    <t>Коды</t>
  </si>
  <si>
    <t xml:space="preserve">Инвестор </t>
  </si>
  <si>
    <t xml:space="preserve">Заказчик (генподрядчик) </t>
  </si>
  <si>
    <t xml:space="preserve">Подрядчик (субподрядчик) </t>
  </si>
  <si>
    <t xml:space="preserve">Стройка </t>
  </si>
  <si>
    <t>Вид деятельности  по ОКДП</t>
  </si>
  <si>
    <t xml:space="preserve">Договор подряда (контракт) </t>
  </si>
  <si>
    <t>СПРАВКА</t>
  </si>
  <si>
    <t>СТОИМОСТИ ВЫПОЛНЕННЫХ РАБОТ И ЗАТРАТ</t>
  </si>
  <si>
    <t>Наименование пусковых комплексов, объектов, видов работ, оборудования, затрат</t>
  </si>
  <si>
    <t>Стоимость выполненных работ и затрат</t>
  </si>
  <si>
    <t>с начала проведения работ</t>
  </si>
  <si>
    <t>с начала года по отчетный период включительно</t>
  </si>
  <si>
    <t>в том числе за отчетный месяц</t>
  </si>
  <si>
    <t>Всего работ и затрат, включаемых в стоимость</t>
  </si>
  <si>
    <t>В том числе:</t>
  </si>
  <si>
    <t>Итого</t>
  </si>
  <si>
    <t xml:space="preserve">Всего с учетом НДС </t>
  </si>
  <si>
    <t>должность</t>
  </si>
  <si>
    <t>подпись</t>
  </si>
  <si>
    <t>расшифровка подпись</t>
  </si>
  <si>
    <t>МП</t>
  </si>
  <si>
    <t>Сдал</t>
  </si>
  <si>
    <t>(должность)</t>
  </si>
  <si>
    <t>(подпись)</t>
  </si>
  <si>
    <t>(расшифровка подписи)</t>
  </si>
  <si>
    <t>М.П.</t>
  </si>
  <si>
    <t>Принял</t>
  </si>
  <si>
    <t xml:space="preserve">Установка сплит-систем </t>
  </si>
  <si>
    <t xml:space="preserve">Объект: Установка сплит-систем </t>
  </si>
  <si>
    <t xml:space="preserve">  Установка сплит-систем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</si>
</sst>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mmmm"/>
    <numFmt numFmtId="165" formatCode="#,##0.00;[Red]\-\ #,##0.00"/>
    <numFmt numFmtId="166" formatCode="#,##0.00####;[Red]\-\ #,##0.00####"/>
    <numFmt numFmtId="167" formatCode="_-* #,##0\ _₽_-;\-* #,##0\ _₽_-;_-* &quot;-&quot;??\ _₽_-;_-@_-"/>
  </numFmts>
  <fonts count="33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0"/>
      <color indexed="12"/>
      <name val="Arial"/>
      <family val="2"/>
      <charset val="204"/>
    </font>
    <font>
      <b/>
      <sz val="10"/>
      <color indexed="16"/>
      <name val="Arial"/>
      <family val="2"/>
      <charset val="204"/>
    </font>
    <font>
      <b/>
      <sz val="10"/>
      <color indexed="20"/>
      <name val="Arial"/>
      <family val="2"/>
      <charset val="204"/>
    </font>
    <font>
      <b/>
      <sz val="10"/>
      <color indexed="17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color indexed="14"/>
      <name val="Arial"/>
      <family val="2"/>
      <charset val="204"/>
    </font>
    <font>
      <b/>
      <sz val="10"/>
      <color indexed="14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i/>
      <sz val="11"/>
      <name val="Arial"/>
      <family val="2"/>
      <charset val="204"/>
    </font>
    <font>
      <sz val="13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2" fillId="0" borderId="0" applyFont="0" applyFill="0" applyBorder="0" applyAlignment="0" applyProtection="0"/>
    <xf numFmtId="0" fontId="9" fillId="0" borderId="0"/>
    <xf numFmtId="0" fontId="1" fillId="0" borderId="0"/>
  </cellStyleXfs>
  <cellXfs count="2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164" fontId="11" fillId="0" borderId="0" xfId="0" applyNumberFormat="1" applyFont="1"/>
    <xf numFmtId="1" fontId="11" fillId="0" borderId="0" xfId="0" applyNumberFormat="1" applyFont="1"/>
    <xf numFmtId="0" fontId="16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1" fillId="0" borderId="0" xfId="0" applyFont="1" applyAlignment="1">
      <alignment horizontal="left" vertical="top" wrapText="1"/>
    </xf>
    <xf numFmtId="0" fontId="16" fillId="0" borderId="0" xfId="0" applyFont="1" applyAlignment="1">
      <alignment horizontal="right" wrapText="1"/>
    </xf>
    <xf numFmtId="0" fontId="11" fillId="0" borderId="0" xfId="0" applyFont="1" applyAlignment="1">
      <alignment horizontal="right" wrapText="1"/>
    </xf>
    <xf numFmtId="165" fontId="11" fillId="0" borderId="0" xfId="0" applyNumberFormat="1" applyFont="1" applyAlignment="1">
      <alignment horizontal="right"/>
    </xf>
    <xf numFmtId="165" fontId="16" fillId="0" borderId="0" xfId="0" applyNumberFormat="1" applyFont="1" applyAlignment="1">
      <alignment horizontal="right"/>
    </xf>
    <xf numFmtId="165" fontId="0" fillId="0" borderId="0" xfId="0" applyNumberFormat="1"/>
    <xf numFmtId="0" fontId="18" fillId="0" borderId="0" xfId="0" applyFont="1" applyAlignment="1">
      <alignment horizontal="right"/>
    </xf>
    <xf numFmtId="0" fontId="0" fillId="0" borderId="6" xfId="0" applyBorder="1"/>
    <xf numFmtId="165" fontId="18" fillId="0" borderId="6" xfId="0" applyNumberFormat="1" applyFont="1" applyBorder="1" applyAlignment="1">
      <alignment horizontal="right"/>
    </xf>
    <xf numFmtId="0" fontId="11" fillId="0" borderId="0" xfId="0" quotePrefix="1" applyFont="1" applyAlignment="1">
      <alignment horizontal="right" wrapText="1"/>
    </xf>
    <xf numFmtId="0" fontId="9" fillId="0" borderId="0" xfId="0" applyFont="1" applyAlignment="1">
      <alignment vertical="top" wrapText="1"/>
    </xf>
    <xf numFmtId="0" fontId="18" fillId="0" borderId="0" xfId="0" applyFont="1"/>
    <xf numFmtId="0" fontId="18" fillId="0" borderId="0" xfId="0" applyFont="1" applyAlignment="1">
      <alignment horizontal="left" wrapText="1"/>
    </xf>
    <xf numFmtId="0" fontId="11" fillId="0" borderId="1" xfId="0" applyFont="1" applyBorder="1"/>
    <xf numFmtId="0" fontId="18" fillId="0" borderId="0" xfId="0" applyFont="1" applyBorder="1" applyAlignment="1">
      <alignment horizontal="right"/>
    </xf>
    <xf numFmtId="0" fontId="18" fillId="0" borderId="0" xfId="0" applyFont="1" applyAlignment="1">
      <alignment horizontal="left" vertical="top"/>
    </xf>
    <xf numFmtId="0" fontId="11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wrapText="1"/>
    </xf>
    <xf numFmtId="0" fontId="11" fillId="0" borderId="3" xfId="0" applyFont="1" applyBorder="1" applyAlignment="1">
      <alignment horizontal="right" wrapText="1"/>
    </xf>
    <xf numFmtId="0" fontId="11" fillId="0" borderId="3" xfId="0" applyFont="1" applyBorder="1" applyAlignment="1">
      <alignment horizontal="right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0" fontId="12" fillId="0" borderId="3" xfId="0" quotePrefix="1" applyFont="1" applyBorder="1" applyAlignment="1">
      <alignment horizontal="center" vertical="center" wrapText="1"/>
    </xf>
    <xf numFmtId="0" fontId="0" fillId="0" borderId="0" xfId="0" applyBorder="1"/>
    <xf numFmtId="0" fontId="0" fillId="0" borderId="2" xfId="0" applyBorder="1"/>
    <xf numFmtId="49" fontId="11" fillId="0" borderId="3" xfId="0" applyNumberFormat="1" applyFont="1" applyBorder="1" applyAlignment="1">
      <alignment horizontal="left" vertical="top" wrapText="1"/>
    </xf>
    <xf numFmtId="165" fontId="11" fillId="0" borderId="3" xfId="0" applyNumberFormat="1" applyFont="1" applyBorder="1" applyAlignment="1">
      <alignment horizontal="right"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left" wrapText="1"/>
    </xf>
    <xf numFmtId="0" fontId="21" fillId="0" borderId="0" xfId="0" applyFont="1"/>
    <xf numFmtId="0" fontId="11" fillId="0" borderId="3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 wrapText="1"/>
    </xf>
    <xf numFmtId="166" fontId="11" fillId="0" borderId="3" xfId="0" applyNumberFormat="1" applyFont="1" applyBorder="1" applyAlignment="1">
      <alignment horizontal="right"/>
    </xf>
    <xf numFmtId="0" fontId="18" fillId="0" borderId="3" xfId="0" applyFont="1" applyBorder="1" applyAlignment="1">
      <alignment horizontal="left" wrapText="1"/>
    </xf>
    <xf numFmtId="166" fontId="18" fillId="0" borderId="3" xfId="0" applyNumberFormat="1" applyFont="1" applyBorder="1" applyAlignment="1">
      <alignment horizontal="right"/>
    </xf>
    <xf numFmtId="0" fontId="9" fillId="0" borderId="2" xfId="0" applyFont="1" applyBorder="1" applyAlignment="1">
      <alignment vertical="top" wrapText="1"/>
    </xf>
    <xf numFmtId="0" fontId="13" fillId="0" borderId="0" xfId="0" applyFont="1" applyBorder="1" applyAlignment="1">
      <alignment horizontal="center" wrapText="1"/>
    </xf>
    <xf numFmtId="0" fontId="18" fillId="0" borderId="0" xfId="0" applyFont="1" applyAlignment="1">
      <alignment horizontal="left" wrapText="1"/>
    </xf>
    <xf numFmtId="165" fontId="11" fillId="0" borderId="0" xfId="0" applyNumberFormat="1" applyFont="1" applyAlignment="1">
      <alignment horizontal="right"/>
    </xf>
    <xf numFmtId="165" fontId="18" fillId="0" borderId="6" xfId="0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0" fontId="23" fillId="0" borderId="0" xfId="0" applyFont="1" applyBorder="1" applyAlignment="1">
      <alignment wrapText="1"/>
    </xf>
    <xf numFmtId="0" fontId="24" fillId="0" borderId="0" xfId="0" applyFont="1" applyBorder="1" applyAlignment="1">
      <alignment horizontal="right" wrapText="1"/>
    </xf>
    <xf numFmtId="0" fontId="24" fillId="0" borderId="3" xfId="0" applyFont="1" applyBorder="1" applyAlignment="1">
      <alignment horizont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14" fontId="23" fillId="0" borderId="3" xfId="0" applyNumberFormat="1" applyFont="1" applyBorder="1" applyAlignment="1">
      <alignment horizontal="center" wrapText="1"/>
    </xf>
    <xf numFmtId="0" fontId="27" fillId="0" borderId="0" xfId="0" applyFont="1" applyAlignment="1">
      <alignment horizontal="center" vertical="top" wrapText="1"/>
    </xf>
    <xf numFmtId="0" fontId="27" fillId="0" borderId="0" xfId="0" applyFont="1" applyAlignment="1">
      <alignment vertical="center" wrapText="1"/>
    </xf>
    <xf numFmtId="0" fontId="28" fillId="0" borderId="0" xfId="0" applyFont="1"/>
    <xf numFmtId="0" fontId="11" fillId="0" borderId="0" xfId="2" applyFont="1"/>
    <xf numFmtId="0" fontId="1" fillId="0" borderId="0" xfId="3"/>
    <xf numFmtId="0" fontId="11" fillId="0" borderId="0" xfId="2" applyFont="1" applyAlignment="1">
      <alignment horizontal="right"/>
    </xf>
    <xf numFmtId="0" fontId="11" fillId="0" borderId="7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14" fontId="11" fillId="0" borderId="0" xfId="2" applyNumberFormat="1" applyFont="1"/>
    <xf numFmtId="0" fontId="11" fillId="0" borderId="7" xfId="2" applyFont="1" applyBorder="1" applyAlignment="1">
      <alignment horizontal="center" vertical="center" wrapText="1" shrinkToFit="1"/>
    </xf>
    <xf numFmtId="0" fontId="11" fillId="0" borderId="7" xfId="2" applyFont="1" applyBorder="1" applyAlignment="1">
      <alignment horizontal="center" wrapText="1" shrinkToFit="1"/>
    </xf>
    <xf numFmtId="0" fontId="9" fillId="0" borderId="0" xfId="2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1" fillId="0" borderId="0" xfId="0" applyFont="1" applyBorder="1" applyAlignment="1">
      <alignment horizontal="center"/>
    </xf>
    <xf numFmtId="0" fontId="32" fillId="0" borderId="0" xfId="0" applyFont="1"/>
    <xf numFmtId="0" fontId="0" fillId="0" borderId="1" xfId="0" applyBorder="1" applyAlignment="1"/>
    <xf numFmtId="0" fontId="30" fillId="0" borderId="6" xfId="0" applyFont="1" applyBorder="1" applyAlignment="1"/>
    <xf numFmtId="0" fontId="32" fillId="0" borderId="1" xfId="0" applyFont="1" applyBorder="1" applyAlignment="1"/>
    <xf numFmtId="0" fontId="30" fillId="0" borderId="0" xfId="0" applyFont="1" applyBorder="1" applyAlignment="1"/>
    <xf numFmtId="0" fontId="0" fillId="0" borderId="0" xfId="0" applyBorder="1" applyAlignment="1"/>
    <xf numFmtId="0" fontId="10" fillId="0" borderId="5" xfId="0" applyFont="1" applyBorder="1" applyAlignment="1">
      <alignment horizontal="center"/>
    </xf>
    <xf numFmtId="165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165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 vertical="center"/>
    </xf>
    <xf numFmtId="165" fontId="18" fillId="0" borderId="6" xfId="0" applyNumberFormat="1" applyFont="1" applyBorder="1" applyAlignment="1">
      <alignment horizontal="right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3" fillId="0" borderId="0" xfId="0" applyFont="1" applyAlignment="1">
      <alignment horizontal="left"/>
    </xf>
    <xf numFmtId="0" fontId="11" fillId="0" borderId="0" xfId="0" applyFont="1" applyBorder="1" applyAlignment="1">
      <alignment horizontal="left" wrapText="1"/>
    </xf>
    <xf numFmtId="0" fontId="30" fillId="0" borderId="6" xfId="0" applyFont="1" applyBorder="1" applyAlignment="1">
      <alignment horizontal="center"/>
    </xf>
    <xf numFmtId="0" fontId="3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4" fillId="0" borderId="3" xfId="0" applyFont="1" applyBorder="1" applyAlignment="1">
      <alignment horizontal="center" wrapText="1"/>
    </xf>
    <xf numFmtId="0" fontId="23" fillId="0" borderId="3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wrapText="1"/>
    </xf>
    <xf numFmtId="0" fontId="25" fillId="0" borderId="0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right" wrapText="1"/>
    </xf>
    <xf numFmtId="0" fontId="24" fillId="0" borderId="2" xfId="0" applyFont="1" applyBorder="1" applyAlignment="1">
      <alignment horizontal="center" wrapText="1"/>
    </xf>
    <xf numFmtId="14" fontId="24" fillId="0" borderId="3" xfId="0" applyNumberFormat="1" applyFont="1" applyBorder="1" applyAlignment="1">
      <alignment horizontal="center" wrapText="1"/>
    </xf>
    <xf numFmtId="0" fontId="24" fillId="0" borderId="0" xfId="0" applyFont="1" applyBorder="1" applyAlignment="1">
      <alignment wrapText="1"/>
    </xf>
    <xf numFmtId="0" fontId="24" fillId="0" borderId="1" xfId="0" applyFont="1" applyBorder="1" applyAlignment="1">
      <alignment wrapText="1"/>
    </xf>
    <xf numFmtId="0" fontId="24" fillId="0" borderId="3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/>
    </xf>
    <xf numFmtId="0" fontId="24" fillId="0" borderId="0" xfId="0" applyFont="1" applyBorder="1" applyAlignment="1">
      <alignment horizontal="center" wrapText="1"/>
    </xf>
    <xf numFmtId="0" fontId="10" fillId="0" borderId="6" xfId="2" applyFont="1" applyBorder="1" applyAlignment="1">
      <alignment horizontal="center" vertical="top" shrinkToFit="1"/>
    </xf>
    <xf numFmtId="0" fontId="11" fillId="0" borderId="1" xfId="2" applyFont="1" applyBorder="1" applyAlignment="1">
      <alignment horizontal="center" wrapText="1"/>
    </xf>
    <xf numFmtId="0" fontId="11" fillId="0" borderId="0" xfId="2" applyFont="1" applyAlignment="1">
      <alignment horizontal="right" vertical="center" shrinkToFit="1"/>
    </xf>
    <xf numFmtId="0" fontId="11" fillId="0" borderId="1" xfId="2" applyFont="1" applyBorder="1" applyAlignment="1">
      <alignment horizontal="center" vertical="center" wrapText="1" shrinkToFit="1"/>
    </xf>
    <xf numFmtId="0" fontId="11" fillId="0" borderId="1" xfId="2" applyFont="1" applyBorder="1" applyAlignment="1">
      <alignment horizontal="center" vertical="center" shrinkToFit="1"/>
    </xf>
    <xf numFmtId="0" fontId="11" fillId="0" borderId="0" xfId="2" applyFont="1" applyAlignment="1">
      <alignment horizontal="right" vertical="center" wrapText="1" shrinkToFit="1"/>
    </xf>
    <xf numFmtId="165" fontId="11" fillId="0" borderId="7" xfId="2" applyNumberFormat="1" applyFont="1" applyBorder="1" applyAlignment="1">
      <alignment horizontal="right" vertical="center" wrapText="1" shrinkToFit="1"/>
    </xf>
    <xf numFmtId="0" fontId="11" fillId="0" borderId="10" xfId="2" applyFont="1" applyBorder="1" applyAlignment="1">
      <alignment horizontal="right" vertical="center" wrapText="1" shrinkToFit="1"/>
    </xf>
    <xf numFmtId="165" fontId="11" fillId="0" borderId="22" xfId="2" applyNumberFormat="1" applyFont="1" applyBorder="1" applyAlignment="1">
      <alignment horizontal="right" vertical="center" wrapText="1" shrinkToFit="1"/>
    </xf>
    <xf numFmtId="0" fontId="11" fillId="0" borderId="24" xfId="2" applyFont="1" applyBorder="1" applyAlignment="1">
      <alignment horizontal="right" vertical="center" wrapText="1" shrinkToFit="1"/>
    </xf>
    <xf numFmtId="0" fontId="11" fillId="0" borderId="7" xfId="2" applyFont="1" applyBorder="1" applyAlignment="1">
      <alignment horizontal="justify" vertical="top" wrapText="1" shrinkToFit="1"/>
    </xf>
    <xf numFmtId="0" fontId="11" fillId="0" borderId="6" xfId="2" applyFont="1" applyBorder="1" applyAlignment="1">
      <alignment horizontal="justify" vertical="top" wrapText="1" shrinkToFit="1"/>
    </xf>
    <xf numFmtId="165" fontId="11" fillId="0" borderId="7" xfId="2" applyNumberFormat="1" applyFont="1" applyBorder="1" applyAlignment="1">
      <alignment horizontal="right" wrapText="1" shrinkToFit="1"/>
    </xf>
    <xf numFmtId="0" fontId="11" fillId="0" borderId="6" xfId="2" applyFont="1" applyBorder="1" applyAlignment="1">
      <alignment horizontal="right" wrapText="1" shrinkToFit="1"/>
    </xf>
    <xf numFmtId="0" fontId="11" fillId="0" borderId="10" xfId="2" applyFont="1" applyBorder="1" applyAlignment="1">
      <alignment horizontal="right" wrapText="1" shrinkToFit="1"/>
    </xf>
    <xf numFmtId="0" fontId="11" fillId="0" borderId="6" xfId="2" applyFont="1" applyBorder="1" applyAlignment="1">
      <alignment horizontal="right"/>
    </xf>
    <xf numFmtId="0" fontId="11" fillId="0" borderId="10" xfId="2" applyFont="1" applyBorder="1" applyAlignment="1">
      <alignment horizontal="right"/>
    </xf>
    <xf numFmtId="165" fontId="11" fillId="0" borderId="7" xfId="2" applyNumberFormat="1" applyFont="1" applyBorder="1" applyAlignment="1">
      <alignment horizontal="right"/>
    </xf>
    <xf numFmtId="0" fontId="11" fillId="0" borderId="7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1" fillId="0" borderId="7" xfId="2" applyFont="1" applyBorder="1" applyAlignment="1">
      <alignment horizontal="center" vertical="center" wrapText="1" shrinkToFit="1"/>
    </xf>
    <xf numFmtId="0" fontId="11" fillId="0" borderId="20" xfId="2" applyFont="1" applyBorder="1" applyAlignment="1">
      <alignment horizontal="center" vertical="center" wrapText="1" shrinkToFit="1"/>
    </xf>
    <xf numFmtId="0" fontId="11" fillId="0" borderId="6" xfId="2" applyFont="1" applyBorder="1" applyAlignment="1">
      <alignment horizontal="center" vertical="center" wrapText="1" shrinkToFit="1"/>
    </xf>
    <xf numFmtId="0" fontId="11" fillId="0" borderId="0" xfId="2" applyFont="1" applyBorder="1" applyAlignment="1">
      <alignment horizontal="center" vertical="center" wrapText="1" shrinkToFit="1"/>
    </xf>
    <xf numFmtId="0" fontId="11" fillId="0" borderId="10" xfId="2" applyFont="1" applyBorder="1" applyAlignment="1">
      <alignment horizontal="center" vertical="center" wrapText="1" shrinkToFit="1"/>
    </xf>
    <xf numFmtId="0" fontId="11" fillId="0" borderId="21" xfId="2" applyFont="1" applyBorder="1" applyAlignment="1">
      <alignment horizontal="center" vertical="center" wrapText="1" shrinkToFit="1"/>
    </xf>
    <xf numFmtId="0" fontId="11" fillId="0" borderId="22" xfId="2" applyFont="1" applyBorder="1" applyAlignment="1">
      <alignment horizontal="center"/>
    </xf>
    <xf numFmtId="0" fontId="11" fillId="0" borderId="23" xfId="2" applyFont="1" applyBorder="1" applyAlignment="1">
      <alignment horizontal="center"/>
    </xf>
    <xf numFmtId="14" fontId="11" fillId="0" borderId="22" xfId="2" applyNumberFormat="1" applyFont="1" applyBorder="1" applyAlignment="1">
      <alignment horizontal="center"/>
    </xf>
    <xf numFmtId="14" fontId="11" fillId="0" borderId="24" xfId="2" applyNumberFormat="1" applyFont="1" applyBorder="1" applyAlignment="1">
      <alignment horizontal="center"/>
    </xf>
    <xf numFmtId="14" fontId="11" fillId="0" borderId="23" xfId="2" applyNumberFormat="1" applyFont="1" applyBorder="1" applyAlignment="1">
      <alignment horizontal="center"/>
    </xf>
    <xf numFmtId="0" fontId="15" fillId="0" borderId="0" xfId="2" applyFont="1" applyAlignment="1">
      <alignment horizontal="center"/>
    </xf>
    <xf numFmtId="0" fontId="11" fillId="0" borderId="22" xfId="2" applyFont="1" applyBorder="1" applyAlignment="1">
      <alignment horizontal="right"/>
    </xf>
    <xf numFmtId="0" fontId="11" fillId="0" borderId="23" xfId="2" applyFont="1" applyBorder="1" applyAlignment="1">
      <alignment horizontal="right"/>
    </xf>
    <xf numFmtId="14" fontId="11" fillId="0" borderId="7" xfId="2" applyNumberFormat="1" applyFont="1" applyBorder="1" applyAlignment="1">
      <alignment horizontal="center"/>
    </xf>
    <xf numFmtId="14" fontId="11" fillId="0" borderId="10" xfId="2" applyNumberFormat="1" applyFont="1" applyBorder="1" applyAlignment="1">
      <alignment horizontal="center"/>
    </xf>
    <xf numFmtId="0" fontId="11" fillId="0" borderId="22" xfId="2" applyFont="1" applyBorder="1"/>
    <xf numFmtId="0" fontId="11" fillId="0" borderId="24" xfId="2" applyFont="1" applyBorder="1"/>
    <xf numFmtId="0" fontId="11" fillId="0" borderId="7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21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/>
    </xf>
    <xf numFmtId="0" fontId="11" fillId="0" borderId="0" xfId="2" applyFont="1" applyAlignment="1">
      <alignment horizontal="right"/>
    </xf>
    <xf numFmtId="0" fontId="11" fillId="0" borderId="21" xfId="2" applyFont="1" applyBorder="1" applyAlignment="1">
      <alignment horizontal="right"/>
    </xf>
    <xf numFmtId="0" fontId="11" fillId="0" borderId="7" xfId="2" applyFont="1" applyBorder="1" applyAlignment="1">
      <alignment horizontal="right"/>
    </xf>
    <xf numFmtId="0" fontId="11" fillId="0" borderId="7" xfId="2" quotePrefix="1" applyFont="1" applyBorder="1" applyAlignment="1">
      <alignment horizontal="center"/>
    </xf>
    <xf numFmtId="0" fontId="11" fillId="0" borderId="1" xfId="2" applyFont="1" applyBorder="1" applyAlignment="1">
      <alignment wrapText="1"/>
    </xf>
    <xf numFmtId="0" fontId="11" fillId="0" borderId="20" xfId="2" applyFont="1" applyBorder="1" applyAlignment="1">
      <alignment horizontal="center"/>
    </xf>
    <xf numFmtId="0" fontId="11" fillId="0" borderId="21" xfId="2" applyFont="1" applyBorder="1" applyAlignment="1">
      <alignment horizontal="center"/>
    </xf>
    <xf numFmtId="0" fontId="11" fillId="0" borderId="1" xfId="2" applyFont="1" applyBorder="1"/>
    <xf numFmtId="167" fontId="11" fillId="0" borderId="20" xfId="1" applyNumberFormat="1" applyFont="1" applyBorder="1" applyAlignment="1">
      <alignment horizontal="center"/>
    </xf>
    <xf numFmtId="167" fontId="11" fillId="0" borderId="21" xfId="1" applyNumberFormat="1" applyFont="1" applyBorder="1" applyAlignment="1">
      <alignment horizontal="center"/>
    </xf>
    <xf numFmtId="0" fontId="10" fillId="0" borderId="0" xfId="2" applyFont="1"/>
    <xf numFmtId="0" fontId="10" fillId="0" borderId="0" xfId="2" applyFont="1" applyAlignment="1">
      <alignment horizontal="right"/>
    </xf>
    <xf numFmtId="0" fontId="12" fillId="0" borderId="2" xfId="0" applyFont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18" fillId="0" borderId="0" xfId="0" applyFont="1" applyBorder="1" applyAlignment="1">
      <alignment horizontal="right"/>
    </xf>
    <xf numFmtId="0" fontId="13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3" xfId="0" applyFont="1" applyBorder="1" applyAlignment="1">
      <alignment horizontal="right"/>
    </xf>
    <xf numFmtId="165" fontId="18" fillId="0" borderId="3" xfId="0" applyNumberFormat="1" applyFont="1" applyBorder="1" applyAlignment="1">
      <alignment horizontal="right"/>
    </xf>
    <xf numFmtId="0" fontId="12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20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6" fillId="0" borderId="0" xfId="0" applyFont="1" applyBorder="1" applyAlignment="1">
      <alignment horizontal="left"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84;&#1086;&#1085;&#1090;&#1085;&#1099;&#1077;%20&#1088;&#1072;&#1073;&#1086;&#1090;&#1099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54;&#1057;/&#1050;&#1057;2/&#1050;&#1072;&#1085;&#1072;&#1083;&#1080;&#1079;&#1072;&#1094;&#1080;&#1103;%20-%20&#1040;&#1074;&#1075;&#1091;&#1089;&#1090;,%202021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СРСС"/>
      <sheetName val="Смета по ФЕР 421пр (12 гр."/>
      <sheetName val="Акт КС-2 по ФЕР 421пр (13 "/>
      <sheetName val="Дефектная ведомость"/>
      <sheetName val="Source"/>
      <sheetName val="SourceObSm"/>
      <sheetName val="SmtRes"/>
      <sheetName val="Etalon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КС-2 13 гр. по ФЕР"/>
      <sheetName val="Макет форма-3"/>
      <sheetName val="Source"/>
      <sheetName val="SourceObSm"/>
      <sheetName val="SmtRes"/>
      <sheetName val="EtalonRes"/>
    </sheetNames>
    <sheetDataSet>
      <sheetData sheetId="0" refreshError="1"/>
      <sheetData sheetId="1" refreshError="1"/>
      <sheetData sheetId="2" refreshError="1">
        <row r="1">
          <cell r="B1" t="str">
            <v>Smeta.RU  (495) 974-1589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45"/>
  <sheetViews>
    <sheetView tabSelected="1" topLeftCell="A322" zoomScaleNormal="100" workbookViewId="0">
      <selection activeCell="I341" sqref="I341"/>
    </sheetView>
  </sheetViews>
  <sheetFormatPr defaultRowHeight="12.75" x14ac:dyDescent="0.2"/>
  <cols>
    <col min="1" max="1" width="5.7109375" customWidth="1"/>
    <col min="2" max="2" width="13.85546875" customWidth="1"/>
    <col min="3" max="3" width="40.7109375" customWidth="1"/>
    <col min="4" max="6" width="11.7109375" customWidth="1"/>
    <col min="7" max="7" width="12.7109375" customWidth="1"/>
    <col min="9" max="11" width="12.7109375" customWidth="1"/>
    <col min="15" max="30" width="0" hidden="1" customWidth="1"/>
    <col min="31" max="31" width="149.140625" hidden="1" customWidth="1"/>
    <col min="32" max="32" width="113.140625" hidden="1" customWidth="1"/>
    <col min="33" max="36" width="0" hidden="1" customWidth="1"/>
  </cols>
  <sheetData>
    <row r="1" spans="1:31" x14ac:dyDescent="0.2">
      <c r="A1" s="9" t="str">
        <f>CONCATENATE(Source!B1, "     СН-2012 (© ОАО МЦЦС 'Мосстройцены', ", "2022", ")")</f>
        <v>Smeta.RU  (495) 974-1589     СН-2012 (© ОАО МЦЦС 'Мосстройцены', 2022)</v>
      </c>
    </row>
    <row r="2" spans="1:31" ht="14.25" x14ac:dyDescent="0.2">
      <c r="A2" s="10"/>
      <c r="B2" s="10"/>
      <c r="C2" s="10"/>
      <c r="D2" s="10"/>
      <c r="E2" s="10"/>
      <c r="F2" s="10"/>
      <c r="G2" s="10"/>
      <c r="H2" s="10"/>
      <c r="I2" s="10"/>
      <c r="J2" s="108" t="s">
        <v>800</v>
      </c>
      <c r="K2" s="108"/>
    </row>
    <row r="3" spans="1:31" ht="16.5" x14ac:dyDescent="0.25">
      <c r="A3" s="12"/>
      <c r="B3" s="125" t="s">
        <v>798</v>
      </c>
      <c r="C3" s="125"/>
      <c r="D3" s="125"/>
      <c r="E3" s="125"/>
      <c r="F3" s="11"/>
      <c r="G3" s="125" t="s">
        <v>799</v>
      </c>
      <c r="H3" s="125"/>
      <c r="I3" s="125"/>
      <c r="J3" s="125"/>
      <c r="K3" s="125"/>
    </row>
    <row r="4" spans="1:31" ht="14.25" x14ac:dyDescent="0.2">
      <c r="A4" s="11"/>
      <c r="B4" s="107"/>
      <c r="C4" s="107"/>
      <c r="D4" s="107"/>
      <c r="E4" s="107"/>
      <c r="F4" s="11"/>
      <c r="G4" s="107"/>
      <c r="H4" s="107"/>
      <c r="I4" s="107"/>
      <c r="J4" s="107"/>
      <c r="K4" s="107"/>
    </row>
    <row r="5" spans="1:31" ht="14.25" x14ac:dyDescent="0.2">
      <c r="A5" s="13"/>
      <c r="B5" s="13"/>
      <c r="C5" s="14"/>
      <c r="D5" s="14"/>
      <c r="E5" s="14"/>
      <c r="F5" s="11"/>
      <c r="G5" s="15"/>
      <c r="H5" s="14"/>
      <c r="I5" s="14"/>
      <c r="J5" s="14"/>
      <c r="K5" s="15"/>
    </row>
    <row r="6" spans="1:31" ht="14.25" x14ac:dyDescent="0.2">
      <c r="A6" s="15"/>
      <c r="B6" s="107" t="str">
        <f>CONCATENATE("______________________ ", IF(Source!AL12&lt;&gt;"", Source!AL12, ""))</f>
        <v xml:space="preserve">______________________ </v>
      </c>
      <c r="C6" s="107"/>
      <c r="D6" s="107"/>
      <c r="E6" s="107"/>
      <c r="F6" s="11"/>
      <c r="G6" s="107" t="str">
        <f>CONCATENATE("______________________ ", IF(Source!AH12&lt;&gt;"", Source!AH12, ""))</f>
        <v>______________________ И.П. Парфенов</v>
      </c>
      <c r="H6" s="107"/>
      <c r="I6" s="107"/>
      <c r="J6" s="107"/>
      <c r="K6" s="107"/>
    </row>
    <row r="7" spans="1:31" ht="14.25" x14ac:dyDescent="0.2">
      <c r="A7" s="16"/>
      <c r="B7" s="126" t="s">
        <v>801</v>
      </c>
      <c r="C7" s="126"/>
      <c r="D7" s="126"/>
      <c r="E7" s="126"/>
      <c r="F7" s="11"/>
      <c r="G7" s="126" t="s">
        <v>801</v>
      </c>
      <c r="H7" s="126"/>
      <c r="I7" s="126"/>
      <c r="J7" s="126"/>
      <c r="K7" s="126"/>
    </row>
    <row r="9" spans="1:31" ht="14.25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31" ht="15.75" x14ac:dyDescent="0.25">
      <c r="A10" s="110" t="str">
        <f>CONCATENATE( "ЛОКАЛЬНАЯ СМЕТА № ",IF(Source!F12&lt;&gt;"Новый объект", Source!F12, ""))</f>
        <v xml:space="preserve">ЛОКАЛЬНАЯ СМЕТА № 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</row>
    <row r="11" spans="1:31" x14ac:dyDescent="0.2">
      <c r="A11" s="112" t="s">
        <v>802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</row>
    <row r="12" spans="1:31" ht="14.25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31" ht="18" hidden="1" x14ac:dyDescent="0.25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</row>
    <row r="14" spans="1:31" ht="14.25" hidden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31" ht="58.5" customHeight="1" x14ac:dyDescent="0.25">
      <c r="A15" s="113" t="str">
        <f>'Дефектная ведомость'!A12:D12</f>
        <v xml:space="preserve">  Установка сплит-систем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AE15" s="21" t="str">
        <f>IF(Source!G12&lt;&gt;"Новый объект", Source!G12, "")</f>
        <v xml:space="preserve">Установка сплит-систем </v>
      </c>
    </row>
    <row r="16" spans="1:31" x14ac:dyDescent="0.2">
      <c r="A16" s="112"/>
      <c r="B16" s="114"/>
      <c r="C16" s="114"/>
      <c r="D16" s="114"/>
      <c r="E16" s="114"/>
      <c r="F16" s="114"/>
      <c r="G16" s="114"/>
      <c r="H16" s="114"/>
      <c r="I16" s="114"/>
      <c r="J16" s="114"/>
      <c r="K16" s="114"/>
    </row>
    <row r="17" spans="1:11" ht="14.25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ht="14.25" x14ac:dyDescent="0.2">
      <c r="A18" s="101" t="str">
        <f>CONCATENATE( "Основание: чертежи № ", Source!J12)</f>
        <v xml:space="preserve">Основание: чертежи № 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</row>
    <row r="19" spans="1:11" ht="14.25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ht="14.25" x14ac:dyDescent="0.2">
      <c r="A20" s="11"/>
      <c r="B20" s="11"/>
      <c r="C20" s="11"/>
      <c r="D20" s="11"/>
      <c r="E20" s="11"/>
      <c r="F20" s="107" t="s">
        <v>804</v>
      </c>
      <c r="G20" s="107"/>
      <c r="H20" s="107"/>
      <c r="I20" s="102">
        <f>I334/1000</f>
        <v>3333.7785800000001</v>
      </c>
      <c r="J20" s="108"/>
      <c r="K20" s="11" t="s">
        <v>805</v>
      </c>
    </row>
    <row r="21" spans="1:11" ht="14.25" hidden="1" x14ac:dyDescent="0.2">
      <c r="A21" s="11"/>
      <c r="B21" s="11"/>
      <c r="C21" s="11"/>
      <c r="D21" s="11"/>
      <c r="E21" s="11"/>
      <c r="F21" s="107" t="s">
        <v>806</v>
      </c>
      <c r="G21" s="107"/>
      <c r="H21" s="107"/>
      <c r="I21" s="102">
        <f>ROUND((Source!F203)/1000, 2)</f>
        <v>0</v>
      </c>
      <c r="J21" s="108"/>
      <c r="K21" s="11" t="s">
        <v>805</v>
      </c>
    </row>
    <row r="22" spans="1:11" ht="14.25" hidden="1" x14ac:dyDescent="0.2">
      <c r="A22" s="11"/>
      <c r="B22" s="11"/>
      <c r="C22" s="11"/>
      <c r="D22" s="11"/>
      <c r="E22" s="11"/>
      <c r="F22" s="107" t="s">
        <v>807</v>
      </c>
      <c r="G22" s="107"/>
      <c r="H22" s="107"/>
      <c r="I22" s="102">
        <f>ROUND((Source!F204)/1000, 2)</f>
        <v>0</v>
      </c>
      <c r="J22" s="108"/>
      <c r="K22" s="11" t="s">
        <v>805</v>
      </c>
    </row>
    <row r="23" spans="1:11" ht="14.25" hidden="1" x14ac:dyDescent="0.2">
      <c r="A23" s="11"/>
      <c r="B23" s="11"/>
      <c r="C23" s="11"/>
      <c r="D23" s="11"/>
      <c r="E23" s="11"/>
      <c r="F23" s="107" t="s">
        <v>808</v>
      </c>
      <c r="G23" s="107"/>
      <c r="H23" s="107"/>
      <c r="I23" s="102">
        <f>ROUND((Source!F195)/1000, 2)</f>
        <v>0</v>
      </c>
      <c r="J23" s="108"/>
      <c r="K23" s="11" t="s">
        <v>805</v>
      </c>
    </row>
    <row r="24" spans="1:11" ht="14.25" hidden="1" x14ac:dyDescent="0.2">
      <c r="A24" s="11"/>
      <c r="B24" s="11"/>
      <c r="C24" s="11"/>
      <c r="D24" s="11"/>
      <c r="E24" s="11"/>
      <c r="F24" s="107" t="s">
        <v>809</v>
      </c>
      <c r="G24" s="107"/>
      <c r="H24" s="107"/>
      <c r="I24" s="102">
        <f>ROUND((Source!F205+Source!F206)/1000, 2)</f>
        <v>2778.15</v>
      </c>
      <c r="J24" s="108"/>
      <c r="K24" s="11" t="s">
        <v>805</v>
      </c>
    </row>
    <row r="25" spans="1:11" ht="14.25" x14ac:dyDescent="0.2">
      <c r="A25" s="11"/>
      <c r="B25" s="11"/>
      <c r="C25" s="11"/>
      <c r="D25" s="11"/>
      <c r="E25" s="11"/>
      <c r="F25" s="107" t="s">
        <v>810</v>
      </c>
      <c r="G25" s="107"/>
      <c r="H25" s="107"/>
      <c r="I25" s="102">
        <f>(Source!F201+ Source!F200)/1000</f>
        <v>385.41343999999998</v>
      </c>
      <c r="J25" s="108"/>
      <c r="K25" s="11" t="s">
        <v>805</v>
      </c>
    </row>
    <row r="26" spans="1:11" ht="14.25" x14ac:dyDescent="0.2">
      <c r="A26" s="11" t="s">
        <v>824</v>
      </c>
      <c r="B26" s="11"/>
      <c r="C26" s="11"/>
      <c r="D26" s="17"/>
      <c r="E26" s="18"/>
      <c r="F26" s="11"/>
      <c r="G26" s="11"/>
      <c r="H26" s="11"/>
      <c r="I26" s="11"/>
      <c r="J26" s="11"/>
      <c r="K26" s="11"/>
    </row>
    <row r="27" spans="1:11" ht="14.25" x14ac:dyDescent="0.2">
      <c r="A27" s="105" t="s">
        <v>811</v>
      </c>
      <c r="B27" s="105" t="s">
        <v>812</v>
      </c>
      <c r="C27" s="105" t="s">
        <v>813</v>
      </c>
      <c r="D27" s="105" t="s">
        <v>814</v>
      </c>
      <c r="E27" s="105" t="s">
        <v>815</v>
      </c>
      <c r="F27" s="105" t="s">
        <v>816</v>
      </c>
      <c r="G27" s="105" t="s">
        <v>817</v>
      </c>
      <c r="H27" s="105" t="s">
        <v>818</v>
      </c>
      <c r="I27" s="105" t="s">
        <v>819</v>
      </c>
      <c r="J27" s="105" t="s">
        <v>820</v>
      </c>
      <c r="K27" s="19" t="s">
        <v>821</v>
      </c>
    </row>
    <row r="28" spans="1:11" ht="28.5" x14ac:dyDescent="0.2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20" t="s">
        <v>822</v>
      </c>
    </row>
    <row r="29" spans="1:11" ht="28.5" x14ac:dyDescent="0.2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20" t="s">
        <v>823</v>
      </c>
    </row>
    <row r="30" spans="1:11" ht="14.25" x14ac:dyDescent="0.2">
      <c r="A30" s="20">
        <v>1</v>
      </c>
      <c r="B30" s="20">
        <v>2</v>
      </c>
      <c r="C30" s="20">
        <v>3</v>
      </c>
      <c r="D30" s="20">
        <v>4</v>
      </c>
      <c r="E30" s="20">
        <v>5</v>
      </c>
      <c r="F30" s="20">
        <v>6</v>
      </c>
      <c r="G30" s="20">
        <v>7</v>
      </c>
      <c r="H30" s="20">
        <v>8</v>
      </c>
      <c r="I30" s="20">
        <v>9</v>
      </c>
      <c r="J30" s="20">
        <v>10</v>
      </c>
      <c r="K30" s="20">
        <v>11</v>
      </c>
    </row>
    <row r="32" spans="1:11" ht="16.5" x14ac:dyDescent="0.25">
      <c r="A32" s="109" t="str">
        <f>CONCATENATE("Локальная смета: ",IF(Source!G20&lt;&gt;"Новая локальная смета", Source!G20, ""))</f>
        <v>Локальная смета: Установка сплит-систем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</row>
    <row r="33" spans="1:22" ht="42.75" x14ac:dyDescent="0.2">
      <c r="A33" s="22">
        <v>1</v>
      </c>
      <c r="B33" s="22" t="str">
        <f>Source!F24</f>
        <v>1.18-3403-18-1/1</v>
      </c>
      <c r="C33" s="22" t="str">
        <f>Source!G24</f>
        <v>Установка внутреннего блока сплит-системы весом до 10 кг (без стоимости блока)</v>
      </c>
      <c r="D33" s="23" t="str">
        <f>Source!H24</f>
        <v>шт.</v>
      </c>
      <c r="E33" s="10">
        <f>Source!I24</f>
        <v>23</v>
      </c>
      <c r="F33" s="25"/>
      <c r="G33" s="24"/>
      <c r="H33" s="10"/>
      <c r="I33" s="10"/>
      <c r="J33" s="25"/>
      <c r="K33" s="25"/>
      <c r="Q33">
        <f>ROUND((Source!BZ24/100)*ROUND((Source!AF24*Source!AV24)*Source!I24, 2), 2)</f>
        <v>42737.61</v>
      </c>
      <c r="R33">
        <f>Source!X24</f>
        <v>42737.61</v>
      </c>
      <c r="S33">
        <f>ROUND((Source!CA24/100)*ROUND((Source!AF24*Source!AV24)*Source!I24, 2), 2)</f>
        <v>6105.37</v>
      </c>
      <c r="T33">
        <f>Source!Y24</f>
        <v>6105.37</v>
      </c>
      <c r="U33">
        <f>ROUND((175/100)*ROUND((Source!AE24*Source!AV24)*Source!I24, 2), 2)</f>
        <v>10.47</v>
      </c>
      <c r="V33">
        <f>ROUND((108/100)*ROUND(Source!CS24*Source!I24, 2), 2)</f>
        <v>6.46</v>
      </c>
    </row>
    <row r="34" spans="1:22" ht="14.25" x14ac:dyDescent="0.2">
      <c r="A34" s="22"/>
      <c r="B34" s="22"/>
      <c r="C34" s="22" t="s">
        <v>825</v>
      </c>
      <c r="D34" s="23"/>
      <c r="E34" s="10"/>
      <c r="F34" s="25">
        <f>Source!AO24</f>
        <v>2654.51</v>
      </c>
      <c r="G34" s="24" t="str">
        <f>Source!DG24</f>
        <v/>
      </c>
      <c r="H34" s="10">
        <f>Source!AV24</f>
        <v>1</v>
      </c>
      <c r="I34" s="10">
        <f>IF(Source!BA24&lt;&gt; 0, Source!BA24, 1)</f>
        <v>1</v>
      </c>
      <c r="J34" s="25">
        <f>Source!S24</f>
        <v>61053.73</v>
      </c>
      <c r="K34" s="25"/>
    </row>
    <row r="35" spans="1:22" ht="14.25" x14ac:dyDescent="0.2">
      <c r="A35" s="22"/>
      <c r="B35" s="22"/>
      <c r="C35" s="22" t="s">
        <v>826</v>
      </c>
      <c r="D35" s="23"/>
      <c r="E35" s="10"/>
      <c r="F35" s="25">
        <f>Source!AM24</f>
        <v>2.75</v>
      </c>
      <c r="G35" s="24" t="str">
        <f>Source!DE24</f>
        <v/>
      </c>
      <c r="H35" s="10">
        <f>Source!AV24</f>
        <v>1</v>
      </c>
      <c r="I35" s="10">
        <f>IF(Source!BB24&lt;&gt; 0, Source!BB24, 1)</f>
        <v>1</v>
      </c>
      <c r="J35" s="25">
        <f>Source!Q24</f>
        <v>63.25</v>
      </c>
      <c r="K35" s="25"/>
    </row>
    <row r="36" spans="1:22" ht="14.25" x14ac:dyDescent="0.2">
      <c r="A36" s="22"/>
      <c r="B36" s="22"/>
      <c r="C36" s="22" t="s">
        <v>827</v>
      </c>
      <c r="D36" s="23"/>
      <c r="E36" s="10"/>
      <c r="F36" s="25">
        <f>Source!AN24</f>
        <v>0.26</v>
      </c>
      <c r="G36" s="24" t="str">
        <f>Source!DF24</f>
        <v/>
      </c>
      <c r="H36" s="10">
        <f>Source!AV24</f>
        <v>1</v>
      </c>
      <c r="I36" s="10">
        <f>IF(Source!BS24&lt;&gt; 0, Source!BS24, 1)</f>
        <v>1</v>
      </c>
      <c r="J36" s="26">
        <f>Source!R24</f>
        <v>5.98</v>
      </c>
      <c r="K36" s="25"/>
    </row>
    <row r="37" spans="1:22" ht="14.25" x14ac:dyDescent="0.2">
      <c r="A37" s="22"/>
      <c r="B37" s="22"/>
      <c r="C37" s="22" t="s">
        <v>828</v>
      </c>
      <c r="D37" s="23"/>
      <c r="E37" s="10"/>
      <c r="F37" s="25">
        <f>Source!AL24</f>
        <v>30.37</v>
      </c>
      <c r="G37" s="24" t="str">
        <f>Source!DD24</f>
        <v/>
      </c>
      <c r="H37" s="10">
        <f>Source!AW24</f>
        <v>1</v>
      </c>
      <c r="I37" s="10">
        <f>IF(Source!BC24&lt;&gt; 0, Source!BC24, 1)</f>
        <v>1</v>
      </c>
      <c r="J37" s="25">
        <f>Source!P24</f>
        <v>698.51</v>
      </c>
      <c r="K37" s="25"/>
    </row>
    <row r="38" spans="1:22" ht="14.25" x14ac:dyDescent="0.2">
      <c r="A38" s="22"/>
      <c r="B38" s="22"/>
      <c r="C38" s="22" t="s">
        <v>829</v>
      </c>
      <c r="D38" s="23" t="s">
        <v>830</v>
      </c>
      <c r="E38" s="10">
        <f>Source!AT24</f>
        <v>70</v>
      </c>
      <c r="F38" s="25"/>
      <c r="G38" s="24"/>
      <c r="H38" s="10"/>
      <c r="I38" s="10"/>
      <c r="J38" s="25">
        <f>SUM(R33:R37)</f>
        <v>42737.61</v>
      </c>
      <c r="K38" s="25"/>
    </row>
    <row r="39" spans="1:22" ht="14.25" x14ac:dyDescent="0.2">
      <c r="A39" s="22"/>
      <c r="B39" s="22"/>
      <c r="C39" s="22" t="s">
        <v>831</v>
      </c>
      <c r="D39" s="23" t="s">
        <v>830</v>
      </c>
      <c r="E39" s="10">
        <f>Source!AU24</f>
        <v>10</v>
      </c>
      <c r="F39" s="25"/>
      <c r="G39" s="24"/>
      <c r="H39" s="10"/>
      <c r="I39" s="10"/>
      <c r="J39" s="25">
        <f>SUM(T33:T38)</f>
        <v>6105.37</v>
      </c>
      <c r="K39" s="25"/>
    </row>
    <row r="40" spans="1:22" ht="14.25" x14ac:dyDescent="0.2">
      <c r="A40" s="22"/>
      <c r="B40" s="22"/>
      <c r="C40" s="22" t="s">
        <v>832</v>
      </c>
      <c r="D40" s="23" t="s">
        <v>830</v>
      </c>
      <c r="E40" s="10">
        <f>108</f>
        <v>108</v>
      </c>
      <c r="F40" s="25"/>
      <c r="G40" s="24"/>
      <c r="H40" s="10"/>
      <c r="I40" s="10"/>
      <c r="J40" s="25">
        <f>SUM(V33:V39)</f>
        <v>6.46</v>
      </c>
      <c r="K40" s="25"/>
    </row>
    <row r="41" spans="1:22" ht="14.25" x14ac:dyDescent="0.2">
      <c r="A41" s="22"/>
      <c r="B41" s="22"/>
      <c r="C41" s="22" t="s">
        <v>833</v>
      </c>
      <c r="D41" s="23" t="s">
        <v>834</v>
      </c>
      <c r="E41" s="10">
        <f>Source!AQ24</f>
        <v>10.42</v>
      </c>
      <c r="F41" s="25"/>
      <c r="G41" s="24" t="str">
        <f>Source!DI24</f>
        <v/>
      </c>
      <c r="H41" s="10">
        <f>Source!AV24</f>
        <v>1</v>
      </c>
      <c r="I41" s="10"/>
      <c r="J41" s="25"/>
      <c r="K41" s="25">
        <f>Source!U24</f>
        <v>239.66</v>
      </c>
    </row>
    <row r="42" spans="1:22" ht="15" x14ac:dyDescent="0.25">
      <c r="A42" s="29"/>
      <c r="B42" s="29"/>
      <c r="C42" s="29"/>
      <c r="D42" s="29"/>
      <c r="E42" s="29"/>
      <c r="F42" s="29"/>
      <c r="G42" s="29"/>
      <c r="H42" s="29"/>
      <c r="I42" s="104">
        <f>J34+J35+J37+J38+J39+J40</f>
        <v>110664.93000000001</v>
      </c>
      <c r="J42" s="104"/>
      <c r="K42" s="30">
        <f>IF(Source!I24&lt;&gt;0, ROUND(I42/Source!I24, 2), 0)</f>
        <v>4811.5200000000004</v>
      </c>
      <c r="P42" s="27">
        <f>I42</f>
        <v>110664.93000000001</v>
      </c>
    </row>
    <row r="43" spans="1:22" ht="42.75" x14ac:dyDescent="0.2">
      <c r="A43" s="22">
        <v>2</v>
      </c>
      <c r="B43" s="22" t="str">
        <f>Source!F25</f>
        <v>1.18-3403-18-2/1</v>
      </c>
      <c r="C43" s="22" t="str">
        <f>Source!G25</f>
        <v>Установка внутреннего блока сплит-системы весом до 15 кг (без стоимости блока)</v>
      </c>
      <c r="D43" s="23" t="str">
        <f>Source!H25</f>
        <v>шт.</v>
      </c>
      <c r="E43" s="10">
        <f>Source!I25</f>
        <v>3</v>
      </c>
      <c r="F43" s="25"/>
      <c r="G43" s="24"/>
      <c r="H43" s="10"/>
      <c r="I43" s="10"/>
      <c r="J43" s="25"/>
      <c r="K43" s="25"/>
      <c r="Q43">
        <f>ROUND((Source!BZ25/100)*ROUND((Source!AF25*Source!AV25)*Source!I25, 2), 2)</f>
        <v>7616.24</v>
      </c>
      <c r="R43">
        <f>Source!X25</f>
        <v>7616.24</v>
      </c>
      <c r="S43">
        <f>ROUND((Source!CA25/100)*ROUND((Source!AF25*Source!AV25)*Source!I25, 2), 2)</f>
        <v>1088.03</v>
      </c>
      <c r="T43">
        <f>Source!Y25</f>
        <v>1088.03</v>
      </c>
      <c r="U43">
        <f>ROUND((175/100)*ROUND((Source!AE25*Source!AV25)*Source!I25, 2), 2)</f>
        <v>1.37</v>
      </c>
      <c r="V43">
        <f>ROUND((108/100)*ROUND(Source!CS25*Source!I25, 2), 2)</f>
        <v>0.84</v>
      </c>
    </row>
    <row r="44" spans="1:22" ht="14.25" x14ac:dyDescent="0.2">
      <c r="A44" s="22"/>
      <c r="B44" s="22"/>
      <c r="C44" s="22" t="s">
        <v>825</v>
      </c>
      <c r="D44" s="23"/>
      <c r="E44" s="10"/>
      <c r="F44" s="25">
        <f>Source!AO25</f>
        <v>3626.78</v>
      </c>
      <c r="G44" s="24" t="str">
        <f>Source!DG25</f>
        <v/>
      </c>
      <c r="H44" s="10">
        <f>Source!AV25</f>
        <v>1</v>
      </c>
      <c r="I44" s="10">
        <f>IF(Source!BA25&lt;&gt; 0, Source!BA25, 1)</f>
        <v>1</v>
      </c>
      <c r="J44" s="25">
        <f>Source!S25</f>
        <v>10880.34</v>
      </c>
      <c r="K44" s="25"/>
    </row>
    <row r="45" spans="1:22" ht="14.25" x14ac:dyDescent="0.2">
      <c r="A45" s="22"/>
      <c r="B45" s="22"/>
      <c r="C45" s="22" t="s">
        <v>826</v>
      </c>
      <c r="D45" s="23"/>
      <c r="E45" s="10"/>
      <c r="F45" s="25">
        <f>Source!AM25</f>
        <v>2.75</v>
      </c>
      <c r="G45" s="24" t="str">
        <f>Source!DE25</f>
        <v/>
      </c>
      <c r="H45" s="10">
        <f>Source!AV25</f>
        <v>1</v>
      </c>
      <c r="I45" s="10">
        <f>IF(Source!BB25&lt;&gt; 0, Source!BB25, 1)</f>
        <v>1</v>
      </c>
      <c r="J45" s="25">
        <f>Source!Q25</f>
        <v>8.25</v>
      </c>
      <c r="K45" s="25"/>
    </row>
    <row r="46" spans="1:22" ht="14.25" x14ac:dyDescent="0.2">
      <c r="A46" s="22"/>
      <c r="B46" s="22"/>
      <c r="C46" s="22" t="s">
        <v>827</v>
      </c>
      <c r="D46" s="23"/>
      <c r="E46" s="10"/>
      <c r="F46" s="25">
        <f>Source!AN25</f>
        <v>0.26</v>
      </c>
      <c r="G46" s="24" t="str">
        <f>Source!DF25</f>
        <v/>
      </c>
      <c r="H46" s="10">
        <f>Source!AV25</f>
        <v>1</v>
      </c>
      <c r="I46" s="10">
        <f>IF(Source!BS25&lt;&gt; 0, Source!BS25, 1)</f>
        <v>1</v>
      </c>
      <c r="J46" s="26">
        <f>Source!R25</f>
        <v>0.78</v>
      </c>
      <c r="K46" s="25"/>
    </row>
    <row r="47" spans="1:22" ht="14.25" x14ac:dyDescent="0.2">
      <c r="A47" s="22"/>
      <c r="B47" s="22"/>
      <c r="C47" s="22" t="s">
        <v>828</v>
      </c>
      <c r="D47" s="23"/>
      <c r="E47" s="10"/>
      <c r="F47" s="25">
        <f>Source!AL25</f>
        <v>30.37</v>
      </c>
      <c r="G47" s="24" t="str">
        <f>Source!DD25</f>
        <v/>
      </c>
      <c r="H47" s="10">
        <f>Source!AW25</f>
        <v>1</v>
      </c>
      <c r="I47" s="10">
        <f>IF(Source!BC25&lt;&gt; 0, Source!BC25, 1)</f>
        <v>1</v>
      </c>
      <c r="J47" s="25">
        <f>Source!P25</f>
        <v>91.11</v>
      </c>
      <c r="K47" s="25"/>
    </row>
    <row r="48" spans="1:22" ht="14.25" x14ac:dyDescent="0.2">
      <c r="A48" s="22"/>
      <c r="B48" s="22"/>
      <c r="C48" s="22" t="s">
        <v>829</v>
      </c>
      <c r="D48" s="23" t="s">
        <v>830</v>
      </c>
      <c r="E48" s="10">
        <f>Source!AT25</f>
        <v>70</v>
      </c>
      <c r="F48" s="25"/>
      <c r="G48" s="24"/>
      <c r="H48" s="10"/>
      <c r="I48" s="10"/>
      <c r="J48" s="25">
        <f>SUM(R43:R47)</f>
        <v>7616.24</v>
      </c>
      <c r="K48" s="25"/>
    </row>
    <row r="49" spans="1:22" ht="14.25" x14ac:dyDescent="0.2">
      <c r="A49" s="22"/>
      <c r="B49" s="22"/>
      <c r="C49" s="22" t="s">
        <v>831</v>
      </c>
      <c r="D49" s="23" t="s">
        <v>830</v>
      </c>
      <c r="E49" s="10">
        <f>Source!AU25</f>
        <v>10</v>
      </c>
      <c r="F49" s="25"/>
      <c r="G49" s="24"/>
      <c r="H49" s="10"/>
      <c r="I49" s="10"/>
      <c r="J49" s="25">
        <f>SUM(T43:T48)</f>
        <v>1088.03</v>
      </c>
      <c r="K49" s="25"/>
    </row>
    <row r="50" spans="1:22" ht="14.25" x14ac:dyDescent="0.2">
      <c r="A50" s="22"/>
      <c r="B50" s="22"/>
      <c r="C50" s="22" t="s">
        <v>832</v>
      </c>
      <c r="D50" s="23" t="s">
        <v>830</v>
      </c>
      <c r="E50" s="10">
        <f>108</f>
        <v>108</v>
      </c>
      <c r="F50" s="25"/>
      <c r="G50" s="24"/>
      <c r="H50" s="10"/>
      <c r="I50" s="10"/>
      <c r="J50" s="25">
        <f>SUM(V43:V49)</f>
        <v>0.84</v>
      </c>
      <c r="K50" s="25"/>
    </row>
    <row r="51" spans="1:22" ht="14.25" x14ac:dyDescent="0.2">
      <c r="A51" s="22"/>
      <c r="B51" s="22"/>
      <c r="C51" s="22" t="s">
        <v>833</v>
      </c>
      <c r="D51" s="23" t="s">
        <v>834</v>
      </c>
      <c r="E51" s="10">
        <f>Source!AQ25</f>
        <v>14.22</v>
      </c>
      <c r="F51" s="25"/>
      <c r="G51" s="24" t="str">
        <f>Source!DI25</f>
        <v/>
      </c>
      <c r="H51" s="10">
        <f>Source!AV25</f>
        <v>1</v>
      </c>
      <c r="I51" s="10"/>
      <c r="J51" s="25"/>
      <c r="K51" s="25">
        <f>Source!U25</f>
        <v>42.660000000000004</v>
      </c>
    </row>
    <row r="52" spans="1:22" ht="15" x14ac:dyDescent="0.25">
      <c r="A52" s="29"/>
      <c r="B52" s="29"/>
      <c r="C52" s="29"/>
      <c r="D52" s="29"/>
      <c r="E52" s="29"/>
      <c r="F52" s="29"/>
      <c r="G52" s="29"/>
      <c r="H52" s="29"/>
      <c r="I52" s="104">
        <f>J44+J45+J47+J48+J49+J50</f>
        <v>19684.810000000001</v>
      </c>
      <c r="J52" s="104"/>
      <c r="K52" s="30">
        <f>IF(Source!I25&lt;&gt;0, ROUND(I52/Source!I25, 2), 0)</f>
        <v>6561.6</v>
      </c>
      <c r="P52" s="27">
        <f>I52</f>
        <v>19684.810000000001</v>
      </c>
    </row>
    <row r="53" spans="1:22" ht="42.75" x14ac:dyDescent="0.2">
      <c r="A53" s="22">
        <v>3</v>
      </c>
      <c r="B53" s="22" t="str">
        <f>Source!F26</f>
        <v>1.18-3403-17-1/1</v>
      </c>
      <c r="C53" s="22" t="str">
        <f>Source!G26</f>
        <v>Установка наружного блока сплит-системы весом до 30 кг (без стоимости блока и кронштейнов)</v>
      </c>
      <c r="D53" s="23" t="str">
        <f>Source!H26</f>
        <v>шт.</v>
      </c>
      <c r="E53" s="10">
        <f>Source!I26</f>
        <v>23</v>
      </c>
      <c r="F53" s="25"/>
      <c r="G53" s="24"/>
      <c r="H53" s="10"/>
      <c r="I53" s="10"/>
      <c r="J53" s="25"/>
      <c r="K53" s="25"/>
      <c r="Q53">
        <f>ROUND((Source!BZ26/100)*ROUND((Source!AF26*Source!AV26)*Source!I26, 2), 2)</f>
        <v>65124.98</v>
      </c>
      <c r="R53">
        <f>Source!X26</f>
        <v>65124.98</v>
      </c>
      <c r="S53">
        <f>ROUND((Source!CA26/100)*ROUND((Source!AF26*Source!AV26)*Source!I26, 2), 2)</f>
        <v>9303.57</v>
      </c>
      <c r="T53">
        <f>Source!Y26</f>
        <v>9303.57</v>
      </c>
      <c r="U53">
        <f>ROUND((175/100)*ROUND((Source!AE26*Source!AV26)*Source!I26, 2), 2)</f>
        <v>26.97</v>
      </c>
      <c r="V53">
        <f>ROUND((108/100)*ROUND(Source!CS26*Source!I26, 2), 2)</f>
        <v>16.64</v>
      </c>
    </row>
    <row r="54" spans="1:22" ht="14.25" x14ac:dyDescent="0.2">
      <c r="A54" s="22"/>
      <c r="B54" s="22"/>
      <c r="C54" s="22" t="s">
        <v>825</v>
      </c>
      <c r="D54" s="23"/>
      <c r="E54" s="10"/>
      <c r="F54" s="25">
        <f>Source!AO26</f>
        <v>4045.03</v>
      </c>
      <c r="G54" s="24" t="str">
        <f>Source!DG26</f>
        <v/>
      </c>
      <c r="H54" s="10">
        <f>Source!AV26</f>
        <v>1</v>
      </c>
      <c r="I54" s="10">
        <f>IF(Source!BA26&lt;&gt; 0, Source!BA26, 1)</f>
        <v>1</v>
      </c>
      <c r="J54" s="25">
        <f>Source!S26</f>
        <v>93035.69</v>
      </c>
      <c r="K54" s="25"/>
    </row>
    <row r="55" spans="1:22" ht="14.25" x14ac:dyDescent="0.2">
      <c r="A55" s="22"/>
      <c r="B55" s="22"/>
      <c r="C55" s="22" t="s">
        <v>826</v>
      </c>
      <c r="D55" s="23"/>
      <c r="E55" s="10"/>
      <c r="F55" s="25">
        <f>Source!AM26</f>
        <v>4.66</v>
      </c>
      <c r="G55" s="24" t="str">
        <f>Source!DE26</f>
        <v/>
      </c>
      <c r="H55" s="10">
        <f>Source!AV26</f>
        <v>1</v>
      </c>
      <c r="I55" s="10">
        <f>IF(Source!BB26&lt;&gt; 0, Source!BB26, 1)</f>
        <v>1</v>
      </c>
      <c r="J55" s="25">
        <f>Source!Q26</f>
        <v>107.18</v>
      </c>
      <c r="K55" s="25"/>
    </row>
    <row r="56" spans="1:22" ht="14.25" x14ac:dyDescent="0.2">
      <c r="A56" s="22"/>
      <c r="B56" s="22"/>
      <c r="C56" s="22" t="s">
        <v>827</v>
      </c>
      <c r="D56" s="23"/>
      <c r="E56" s="10"/>
      <c r="F56" s="25">
        <f>Source!AN26</f>
        <v>0.67</v>
      </c>
      <c r="G56" s="24" t="str">
        <f>Source!DF26</f>
        <v/>
      </c>
      <c r="H56" s="10">
        <f>Source!AV26</f>
        <v>1</v>
      </c>
      <c r="I56" s="10">
        <f>IF(Source!BS26&lt;&gt; 0, Source!BS26, 1)</f>
        <v>1</v>
      </c>
      <c r="J56" s="26">
        <f>Source!R26</f>
        <v>15.41</v>
      </c>
      <c r="K56" s="25"/>
    </row>
    <row r="57" spans="1:22" ht="14.25" x14ac:dyDescent="0.2">
      <c r="A57" s="22"/>
      <c r="B57" s="22"/>
      <c r="C57" s="22" t="s">
        <v>828</v>
      </c>
      <c r="D57" s="23"/>
      <c r="E57" s="10"/>
      <c r="F57" s="25">
        <f>Source!AL26</f>
        <v>631.24</v>
      </c>
      <c r="G57" s="24" t="str">
        <f>Source!DD26</f>
        <v/>
      </c>
      <c r="H57" s="10">
        <f>Source!AW26</f>
        <v>1</v>
      </c>
      <c r="I57" s="10">
        <f>IF(Source!BC26&lt;&gt; 0, Source!BC26, 1)</f>
        <v>1</v>
      </c>
      <c r="J57" s="25">
        <f>Source!P26</f>
        <v>14518.52</v>
      </c>
      <c r="K57" s="25"/>
    </row>
    <row r="58" spans="1:22" ht="55.5" x14ac:dyDescent="0.2">
      <c r="A58" s="22" t="s">
        <v>33</v>
      </c>
      <c r="B58" s="22" t="str">
        <f>Source!F27</f>
        <v>Цена поставщика</v>
      </c>
      <c r="C58" s="22" t="s">
        <v>835</v>
      </c>
      <c r="D58" s="23" t="str">
        <f>Source!H27</f>
        <v>шт.</v>
      </c>
      <c r="E58" s="10">
        <f>Source!I27</f>
        <v>16</v>
      </c>
      <c r="F58" s="25">
        <f>Source!AK27</f>
        <v>44958.33</v>
      </c>
      <c r="G58" s="31" t="s">
        <v>3</v>
      </c>
      <c r="H58" s="10">
        <f>Source!AW27</f>
        <v>1</v>
      </c>
      <c r="I58" s="10">
        <f>IF(Source!BC27&lt;&gt; 0, Source!BC27, 1)</f>
        <v>1</v>
      </c>
      <c r="J58" s="25">
        <f>Source!O27</f>
        <v>719333.28</v>
      </c>
      <c r="K58" s="25"/>
      <c r="Q58">
        <f>ROUND((Source!BZ27/100)*ROUND((Source!AF27*Source!AV27)*Source!I27, 2), 2)</f>
        <v>0</v>
      </c>
      <c r="R58">
        <f>Source!X27</f>
        <v>0</v>
      </c>
      <c r="S58">
        <f>ROUND((Source!CA27/100)*ROUND((Source!AF27*Source!AV27)*Source!I27, 2), 2)</f>
        <v>0</v>
      </c>
      <c r="T58">
        <f>Source!Y27</f>
        <v>0</v>
      </c>
      <c r="U58">
        <f>ROUND((175/100)*ROUND((Source!AE27*Source!AV27)*Source!I27, 2), 2)</f>
        <v>0</v>
      </c>
      <c r="V58">
        <f>ROUND((108/100)*ROUND(Source!CS27*Source!I27, 2), 2)</f>
        <v>0</v>
      </c>
    </row>
    <row r="59" spans="1:22" ht="55.5" x14ac:dyDescent="0.2">
      <c r="A59" s="22" t="s">
        <v>38</v>
      </c>
      <c r="B59" s="22" t="str">
        <f>Source!F28</f>
        <v>Цена поставщика</v>
      </c>
      <c r="C59" s="22" t="s">
        <v>836</v>
      </c>
      <c r="D59" s="23" t="str">
        <f>Source!H28</f>
        <v>шт.</v>
      </c>
      <c r="E59" s="10">
        <f>Source!I28</f>
        <v>7</v>
      </c>
      <c r="F59" s="25">
        <f>Source!AK28</f>
        <v>59583.33</v>
      </c>
      <c r="G59" s="31" t="s">
        <v>3</v>
      </c>
      <c r="H59" s="10">
        <f>Source!AW28</f>
        <v>1</v>
      </c>
      <c r="I59" s="10">
        <f>IF(Source!BC28&lt;&gt; 0, Source!BC28, 1)</f>
        <v>1</v>
      </c>
      <c r="J59" s="25">
        <f>Source!O28</f>
        <v>417083.31</v>
      </c>
      <c r="K59" s="25"/>
      <c r="Q59">
        <f>ROUND((Source!BZ28/100)*ROUND((Source!AF28*Source!AV28)*Source!I28, 2), 2)</f>
        <v>0</v>
      </c>
      <c r="R59">
        <f>Source!X28</f>
        <v>0</v>
      </c>
      <c r="S59">
        <f>ROUND((Source!CA28/100)*ROUND((Source!AF28*Source!AV28)*Source!I28, 2), 2)</f>
        <v>0</v>
      </c>
      <c r="T59">
        <f>Source!Y28</f>
        <v>0</v>
      </c>
      <c r="U59">
        <f>ROUND((175/100)*ROUND((Source!AE28*Source!AV28)*Source!I28, 2), 2)</f>
        <v>0</v>
      </c>
      <c r="V59">
        <f>ROUND((108/100)*ROUND(Source!CS28*Source!I28, 2), 2)</f>
        <v>0</v>
      </c>
    </row>
    <row r="60" spans="1:22" ht="42.75" x14ac:dyDescent="0.2">
      <c r="A60" s="22" t="s">
        <v>43</v>
      </c>
      <c r="B60" s="22" t="str">
        <f>Source!F30</f>
        <v>21.19-12-33</v>
      </c>
      <c r="C60" s="22" t="str">
        <f>Source!G30</f>
        <v>Средства крепления - кронштейн и подставка под оборудование из сортовой стали</v>
      </c>
      <c r="D60" s="23" t="str">
        <f>Source!H30</f>
        <v>кг</v>
      </c>
      <c r="E60" s="10">
        <f>Source!I30</f>
        <v>101.2</v>
      </c>
      <c r="F60" s="25">
        <f>Source!AK30</f>
        <v>156.56</v>
      </c>
      <c r="G60" s="31" t="s">
        <v>3</v>
      </c>
      <c r="H60" s="10">
        <f>Source!AW30</f>
        <v>1</v>
      </c>
      <c r="I60" s="10">
        <f>IF(Source!BC30&lt;&gt; 0, Source!BC30, 1)</f>
        <v>1</v>
      </c>
      <c r="J60" s="25">
        <f>Source!O30</f>
        <v>15843.87</v>
      </c>
      <c r="K60" s="25"/>
      <c r="Q60">
        <f>ROUND((Source!BZ30/100)*ROUND((Source!AF30*Source!AV30)*Source!I30, 2), 2)</f>
        <v>0</v>
      </c>
      <c r="R60">
        <f>Source!X30</f>
        <v>0</v>
      </c>
      <c r="S60">
        <f>ROUND((Source!CA30/100)*ROUND((Source!AF30*Source!AV30)*Source!I30, 2), 2)</f>
        <v>0</v>
      </c>
      <c r="T60">
        <f>Source!Y30</f>
        <v>0</v>
      </c>
      <c r="U60">
        <f>ROUND((175/100)*ROUND((Source!AE30*Source!AV30)*Source!I30, 2), 2)</f>
        <v>0</v>
      </c>
      <c r="V60">
        <f>ROUND((108/100)*ROUND(Source!CS30*Source!I30, 2), 2)</f>
        <v>0</v>
      </c>
    </row>
    <row r="61" spans="1:22" ht="14.25" x14ac:dyDescent="0.2">
      <c r="A61" s="22"/>
      <c r="B61" s="22"/>
      <c r="C61" s="22" t="s">
        <v>829</v>
      </c>
      <c r="D61" s="23" t="s">
        <v>830</v>
      </c>
      <c r="E61" s="10">
        <f>Source!AT26</f>
        <v>70</v>
      </c>
      <c r="F61" s="25"/>
      <c r="G61" s="24"/>
      <c r="H61" s="10"/>
      <c r="I61" s="10"/>
      <c r="J61" s="25">
        <f>SUM(R53:R60)</f>
        <v>65124.98</v>
      </c>
      <c r="K61" s="25"/>
    </row>
    <row r="62" spans="1:22" ht="14.25" x14ac:dyDescent="0.2">
      <c r="A62" s="22"/>
      <c r="B62" s="22"/>
      <c r="C62" s="22" t="s">
        <v>831</v>
      </c>
      <c r="D62" s="23" t="s">
        <v>830</v>
      </c>
      <c r="E62" s="10">
        <f>Source!AU26</f>
        <v>10</v>
      </c>
      <c r="F62" s="25"/>
      <c r="G62" s="24"/>
      <c r="H62" s="10"/>
      <c r="I62" s="10"/>
      <c r="J62" s="25">
        <f>SUM(T53:T61)</f>
        <v>9303.57</v>
      </c>
      <c r="K62" s="25"/>
    </row>
    <row r="63" spans="1:22" ht="14.25" x14ac:dyDescent="0.2">
      <c r="A63" s="22"/>
      <c r="B63" s="22"/>
      <c r="C63" s="22" t="s">
        <v>832</v>
      </c>
      <c r="D63" s="23" t="s">
        <v>830</v>
      </c>
      <c r="E63" s="10">
        <f>108</f>
        <v>108</v>
      </c>
      <c r="F63" s="25"/>
      <c r="G63" s="24"/>
      <c r="H63" s="10"/>
      <c r="I63" s="10"/>
      <c r="J63" s="25">
        <f>SUM(V53:V62)</f>
        <v>16.64</v>
      </c>
      <c r="K63" s="25"/>
    </row>
    <row r="64" spans="1:22" ht="14.25" x14ac:dyDescent="0.2">
      <c r="A64" s="22"/>
      <c r="B64" s="22"/>
      <c r="C64" s="22" t="s">
        <v>833</v>
      </c>
      <c r="D64" s="23" t="s">
        <v>834</v>
      </c>
      <c r="E64" s="10">
        <f>Source!AQ26</f>
        <v>15.78</v>
      </c>
      <c r="F64" s="25"/>
      <c r="G64" s="24" t="str">
        <f>Source!DI26</f>
        <v/>
      </c>
      <c r="H64" s="10">
        <f>Source!AV26</f>
        <v>1</v>
      </c>
      <c r="I64" s="10"/>
      <c r="J64" s="25"/>
      <c r="K64" s="25">
        <f>Source!U26</f>
        <v>362.94</v>
      </c>
    </row>
    <row r="65" spans="1:22" ht="15" x14ac:dyDescent="0.25">
      <c r="A65" s="29"/>
      <c r="B65" s="29"/>
      <c r="C65" s="29"/>
      <c r="D65" s="29"/>
      <c r="E65" s="29"/>
      <c r="F65" s="29"/>
      <c r="G65" s="29"/>
      <c r="H65" s="29"/>
      <c r="I65" s="104">
        <f>J54+J55+J57+J61+J62+J63+SUM(J58:J60)</f>
        <v>1334367.0400000003</v>
      </c>
      <c r="J65" s="104"/>
      <c r="K65" s="30">
        <f>IF(Source!I26&lt;&gt;0, ROUND(I65/Source!I26, 2), 0)</f>
        <v>58015.96</v>
      </c>
      <c r="P65" s="27">
        <f>I65</f>
        <v>1334367.0400000003</v>
      </c>
    </row>
    <row r="66" spans="1:22" ht="42.75" x14ac:dyDescent="0.2">
      <c r="A66" s="22">
        <v>4</v>
      </c>
      <c r="B66" s="22" t="str">
        <f>Source!F31</f>
        <v>1.18-3403-17-3/1</v>
      </c>
      <c r="C66" s="22" t="str">
        <f>Source!G31</f>
        <v>Установка наружного блока сплит-системы весом до 50 кг (без стоимости блока и кронштейнов)</v>
      </c>
      <c r="D66" s="23" t="str">
        <f>Source!H31</f>
        <v>шт.</v>
      </c>
      <c r="E66" s="10">
        <f>Source!I31</f>
        <v>3</v>
      </c>
      <c r="F66" s="25"/>
      <c r="G66" s="24"/>
      <c r="H66" s="10"/>
      <c r="I66" s="10"/>
      <c r="J66" s="25"/>
      <c r="K66" s="25"/>
      <c r="Q66">
        <f>ROUND((Source!BZ31/100)*ROUND((Source!AF31*Source!AV31)*Source!I31, 2), 2)</f>
        <v>11842.05</v>
      </c>
      <c r="R66">
        <f>Source!X31</f>
        <v>11842.05</v>
      </c>
      <c r="S66">
        <f>ROUND((Source!CA31/100)*ROUND((Source!AF31*Source!AV31)*Source!I31, 2), 2)</f>
        <v>1691.72</v>
      </c>
      <c r="T66">
        <f>Source!Y31</f>
        <v>1691.72</v>
      </c>
      <c r="U66">
        <f>ROUND((175/100)*ROUND((Source!AE31*Source!AV31)*Source!I31, 2), 2)</f>
        <v>3.52</v>
      </c>
      <c r="V66">
        <f>ROUND((108/100)*ROUND(Source!CS31*Source!I31, 2), 2)</f>
        <v>2.17</v>
      </c>
    </row>
    <row r="67" spans="1:22" ht="14.25" x14ac:dyDescent="0.2">
      <c r="A67" s="22"/>
      <c r="B67" s="22"/>
      <c r="C67" s="22" t="s">
        <v>825</v>
      </c>
      <c r="D67" s="23"/>
      <c r="E67" s="10"/>
      <c r="F67" s="25">
        <f>Source!AO31</f>
        <v>5639.07</v>
      </c>
      <c r="G67" s="24" t="str">
        <f>Source!DG31</f>
        <v/>
      </c>
      <c r="H67" s="10">
        <f>Source!AV31</f>
        <v>1</v>
      </c>
      <c r="I67" s="10">
        <f>IF(Source!BA31&lt;&gt; 0, Source!BA31, 1)</f>
        <v>1</v>
      </c>
      <c r="J67" s="25">
        <f>Source!S31</f>
        <v>16917.21</v>
      </c>
      <c r="K67" s="25"/>
    </row>
    <row r="68" spans="1:22" ht="14.25" x14ac:dyDescent="0.2">
      <c r="A68" s="22"/>
      <c r="B68" s="22"/>
      <c r="C68" s="22" t="s">
        <v>826</v>
      </c>
      <c r="D68" s="23"/>
      <c r="E68" s="10"/>
      <c r="F68" s="25">
        <f>Source!AM31</f>
        <v>4.66</v>
      </c>
      <c r="G68" s="24" t="str">
        <f>Source!DE31</f>
        <v/>
      </c>
      <c r="H68" s="10">
        <f>Source!AV31</f>
        <v>1</v>
      </c>
      <c r="I68" s="10">
        <f>IF(Source!BB31&lt;&gt; 0, Source!BB31, 1)</f>
        <v>1</v>
      </c>
      <c r="J68" s="25">
        <f>Source!Q31</f>
        <v>13.98</v>
      </c>
      <c r="K68" s="25"/>
    </row>
    <row r="69" spans="1:22" ht="14.25" x14ac:dyDescent="0.2">
      <c r="A69" s="22"/>
      <c r="B69" s="22"/>
      <c r="C69" s="22" t="s">
        <v>827</v>
      </c>
      <c r="D69" s="23"/>
      <c r="E69" s="10"/>
      <c r="F69" s="25">
        <f>Source!AN31</f>
        <v>0.67</v>
      </c>
      <c r="G69" s="24" t="str">
        <f>Source!DF31</f>
        <v/>
      </c>
      <c r="H69" s="10">
        <f>Source!AV31</f>
        <v>1</v>
      </c>
      <c r="I69" s="10">
        <f>IF(Source!BS31&lt;&gt; 0, Source!BS31, 1)</f>
        <v>1</v>
      </c>
      <c r="J69" s="26">
        <f>Source!R31</f>
        <v>2.0099999999999998</v>
      </c>
      <c r="K69" s="25"/>
    </row>
    <row r="70" spans="1:22" ht="14.25" x14ac:dyDescent="0.2">
      <c r="A70" s="22"/>
      <c r="B70" s="22"/>
      <c r="C70" s="22" t="s">
        <v>828</v>
      </c>
      <c r="D70" s="23"/>
      <c r="E70" s="10"/>
      <c r="F70" s="25">
        <f>Source!AL31</f>
        <v>631.24</v>
      </c>
      <c r="G70" s="24" t="str">
        <f>Source!DD31</f>
        <v/>
      </c>
      <c r="H70" s="10">
        <f>Source!AW31</f>
        <v>1</v>
      </c>
      <c r="I70" s="10">
        <f>IF(Source!BC31&lt;&gt; 0, Source!BC31, 1)</f>
        <v>1</v>
      </c>
      <c r="J70" s="25">
        <f>Source!P31</f>
        <v>1893.72</v>
      </c>
      <c r="K70" s="25"/>
    </row>
    <row r="71" spans="1:22" ht="55.5" x14ac:dyDescent="0.2">
      <c r="A71" s="22" t="s">
        <v>52</v>
      </c>
      <c r="B71" s="22" t="str">
        <f>Source!F32</f>
        <v>Цена поставщика</v>
      </c>
      <c r="C71" s="22" t="s">
        <v>837</v>
      </c>
      <c r="D71" s="23" t="str">
        <f>Source!H32</f>
        <v>шт.</v>
      </c>
      <c r="E71" s="10">
        <f>Source!I32</f>
        <v>3</v>
      </c>
      <c r="F71" s="25">
        <f>Source!AK32</f>
        <v>115375</v>
      </c>
      <c r="G71" s="31" t="s">
        <v>3</v>
      </c>
      <c r="H71" s="10">
        <f>Source!AW32</f>
        <v>1</v>
      </c>
      <c r="I71" s="10">
        <f>IF(Source!BC32&lt;&gt; 0, Source!BC32, 1)</f>
        <v>1</v>
      </c>
      <c r="J71" s="25">
        <f>Source!O32</f>
        <v>346125</v>
      </c>
      <c r="K71" s="25"/>
      <c r="Q71">
        <f>ROUND((Source!BZ32/100)*ROUND((Source!AF32*Source!AV32)*Source!I32, 2), 2)</f>
        <v>0</v>
      </c>
      <c r="R71">
        <f>Source!X32</f>
        <v>0</v>
      </c>
      <c r="S71">
        <f>ROUND((Source!CA32/100)*ROUND((Source!AF32*Source!AV32)*Source!I32, 2), 2)</f>
        <v>0</v>
      </c>
      <c r="T71">
        <f>Source!Y32</f>
        <v>0</v>
      </c>
      <c r="U71">
        <f>ROUND((175/100)*ROUND((Source!AE32*Source!AV32)*Source!I32, 2), 2)</f>
        <v>0</v>
      </c>
      <c r="V71">
        <f>ROUND((108/100)*ROUND(Source!CS32*Source!I32, 2), 2)</f>
        <v>0</v>
      </c>
    </row>
    <row r="72" spans="1:22" ht="42.75" x14ac:dyDescent="0.2">
      <c r="A72" s="22" t="s">
        <v>55</v>
      </c>
      <c r="B72" s="22" t="str">
        <f>Source!F33</f>
        <v>21.19-12-33</v>
      </c>
      <c r="C72" s="22" t="str">
        <f>Source!G33</f>
        <v>Средства крепления - кронштейн и подставка под оборудование из сортовой стали</v>
      </c>
      <c r="D72" s="23" t="str">
        <f>Source!H33</f>
        <v>кг</v>
      </c>
      <c r="E72" s="10">
        <f>Source!I33</f>
        <v>15</v>
      </c>
      <c r="F72" s="25">
        <f>Source!AK33</f>
        <v>156.56</v>
      </c>
      <c r="G72" s="31" t="s">
        <v>3</v>
      </c>
      <c r="H72" s="10">
        <f>Source!AW33</f>
        <v>1</v>
      </c>
      <c r="I72" s="10">
        <f>IF(Source!BC33&lt;&gt; 0, Source!BC33, 1)</f>
        <v>1</v>
      </c>
      <c r="J72" s="25">
        <f>Source!O33</f>
        <v>2348.4</v>
      </c>
      <c r="K72" s="25"/>
      <c r="Q72">
        <f>ROUND((Source!BZ33/100)*ROUND((Source!AF33*Source!AV33)*Source!I33, 2), 2)</f>
        <v>0</v>
      </c>
      <c r="R72">
        <f>Source!X33</f>
        <v>0</v>
      </c>
      <c r="S72">
        <f>ROUND((Source!CA33/100)*ROUND((Source!AF33*Source!AV33)*Source!I33, 2), 2)</f>
        <v>0</v>
      </c>
      <c r="T72">
        <f>Source!Y33</f>
        <v>0</v>
      </c>
      <c r="U72">
        <f>ROUND((175/100)*ROUND((Source!AE33*Source!AV33)*Source!I33, 2), 2)</f>
        <v>0</v>
      </c>
      <c r="V72">
        <f>ROUND((108/100)*ROUND(Source!CS33*Source!I33, 2), 2)</f>
        <v>0</v>
      </c>
    </row>
    <row r="73" spans="1:22" ht="14.25" x14ac:dyDescent="0.2">
      <c r="A73" s="22"/>
      <c r="B73" s="22"/>
      <c r="C73" s="22" t="s">
        <v>829</v>
      </c>
      <c r="D73" s="23" t="s">
        <v>830</v>
      </c>
      <c r="E73" s="10">
        <f>Source!AT31</f>
        <v>70</v>
      </c>
      <c r="F73" s="25"/>
      <c r="G73" s="24"/>
      <c r="H73" s="10"/>
      <c r="I73" s="10"/>
      <c r="J73" s="25">
        <f>SUM(R66:R72)</f>
        <v>11842.05</v>
      </c>
      <c r="K73" s="25"/>
    </row>
    <row r="74" spans="1:22" ht="14.25" x14ac:dyDescent="0.2">
      <c r="A74" s="22"/>
      <c r="B74" s="22"/>
      <c r="C74" s="22" t="s">
        <v>831</v>
      </c>
      <c r="D74" s="23" t="s">
        <v>830</v>
      </c>
      <c r="E74" s="10">
        <f>Source!AU31</f>
        <v>10</v>
      </c>
      <c r="F74" s="25"/>
      <c r="G74" s="24"/>
      <c r="H74" s="10"/>
      <c r="I74" s="10"/>
      <c r="J74" s="25">
        <f>SUM(T66:T73)</f>
        <v>1691.72</v>
      </c>
      <c r="K74" s="25"/>
    </row>
    <row r="75" spans="1:22" ht="14.25" x14ac:dyDescent="0.2">
      <c r="A75" s="22"/>
      <c r="B75" s="22"/>
      <c r="C75" s="22" t="s">
        <v>832</v>
      </c>
      <c r="D75" s="23" t="s">
        <v>830</v>
      </c>
      <c r="E75" s="10">
        <f>108</f>
        <v>108</v>
      </c>
      <c r="F75" s="25"/>
      <c r="G75" s="24"/>
      <c r="H75" s="10"/>
      <c r="I75" s="10"/>
      <c r="J75" s="25">
        <f>SUM(V66:V74)</f>
        <v>2.17</v>
      </c>
      <c r="K75" s="25"/>
    </row>
    <row r="76" spans="1:22" ht="14.25" x14ac:dyDescent="0.2">
      <c r="A76" s="22"/>
      <c r="B76" s="22"/>
      <c r="C76" s="22" t="s">
        <v>833</v>
      </c>
      <c r="D76" s="23" t="s">
        <v>834</v>
      </c>
      <c r="E76" s="10">
        <f>Source!AQ31</f>
        <v>22.01</v>
      </c>
      <c r="F76" s="25"/>
      <c r="G76" s="24" t="str">
        <f>Source!DI31</f>
        <v/>
      </c>
      <c r="H76" s="10">
        <f>Source!AV31</f>
        <v>1</v>
      </c>
      <c r="I76" s="10"/>
      <c r="J76" s="25"/>
      <c r="K76" s="25">
        <f>Source!U31</f>
        <v>66.03</v>
      </c>
    </row>
    <row r="77" spans="1:22" ht="15" x14ac:dyDescent="0.25">
      <c r="A77" s="29"/>
      <c r="B77" s="29"/>
      <c r="C77" s="29"/>
      <c r="D77" s="29"/>
      <c r="E77" s="29"/>
      <c r="F77" s="29"/>
      <c r="G77" s="29"/>
      <c r="H77" s="29"/>
      <c r="I77" s="104">
        <f>J67+J68+J70+J73+J74+J75+SUM(J71:J72)</f>
        <v>380834.25</v>
      </c>
      <c r="J77" s="104"/>
      <c r="K77" s="30">
        <f>IF(Source!I31&lt;&gt;0, ROUND(I77/Source!I31, 2), 0)</f>
        <v>126944.75</v>
      </c>
      <c r="P77" s="27">
        <f>I77</f>
        <v>380834.25</v>
      </c>
    </row>
    <row r="78" spans="1:22" ht="57" x14ac:dyDescent="0.2">
      <c r="A78" s="22">
        <v>5</v>
      </c>
      <c r="B78" s="22" t="str">
        <f>Source!F34</f>
        <v>1.24-3203-1-1/1</v>
      </c>
      <c r="C78" s="22" t="str">
        <f>Source!G34</f>
        <v>Прокладка трубопроводов из медных труб на условное давление до 2,5 МПа: наружный диаметр труб 18 мм (без стоимости труб)</v>
      </c>
      <c r="D78" s="23" t="str">
        <f>Source!H34</f>
        <v>10 м</v>
      </c>
      <c r="E78" s="10">
        <f>Source!I34</f>
        <v>28.8</v>
      </c>
      <c r="F78" s="25"/>
      <c r="G78" s="24"/>
      <c r="H78" s="10"/>
      <c r="I78" s="10"/>
      <c r="J78" s="25"/>
      <c r="K78" s="25"/>
      <c r="Q78">
        <f>ROUND((Source!BZ34/100)*ROUND((Source!AF34*Source!AV34)*Source!I34, 2), 2)</f>
        <v>47964.88</v>
      </c>
      <c r="R78">
        <f>Source!X34</f>
        <v>47964.88</v>
      </c>
      <c r="S78">
        <f>ROUND((Source!CA34/100)*ROUND((Source!AF34*Source!AV34)*Source!I34, 2), 2)</f>
        <v>6852.13</v>
      </c>
      <c r="T78">
        <f>Source!Y34</f>
        <v>6852.13</v>
      </c>
      <c r="U78">
        <f>ROUND((175/100)*ROUND((Source!AE34*Source!AV34)*Source!I34, 2), 2)</f>
        <v>2953.44</v>
      </c>
      <c r="V78">
        <f>ROUND((108/100)*ROUND(Source!CS34*Source!I34, 2), 2)</f>
        <v>1822.69</v>
      </c>
    </row>
    <row r="79" spans="1:22" x14ac:dyDescent="0.2">
      <c r="C79" s="32" t="str">
        <f>"Объем: "&amp;Source!I34&amp;"=288/"&amp;"10"</f>
        <v>Объем: 28,8=288/10</v>
      </c>
    </row>
    <row r="80" spans="1:22" ht="14.25" x14ac:dyDescent="0.2">
      <c r="A80" s="22"/>
      <c r="B80" s="22"/>
      <c r="C80" s="22" t="s">
        <v>825</v>
      </c>
      <c r="D80" s="23"/>
      <c r="E80" s="10"/>
      <c r="F80" s="25">
        <f>Source!AO34</f>
        <v>2379.21</v>
      </c>
      <c r="G80" s="24" t="str">
        <f>Source!DG34</f>
        <v/>
      </c>
      <c r="H80" s="10">
        <f>Source!AV34</f>
        <v>1</v>
      </c>
      <c r="I80" s="10">
        <f>IF(Source!BA34&lt;&gt; 0, Source!BA34, 1)</f>
        <v>1</v>
      </c>
      <c r="J80" s="25">
        <f>Source!S34</f>
        <v>68521.25</v>
      </c>
      <c r="K80" s="25"/>
    </row>
    <row r="81" spans="1:22" ht="14.25" x14ac:dyDescent="0.2">
      <c r="A81" s="22"/>
      <c r="B81" s="22"/>
      <c r="C81" s="22" t="s">
        <v>826</v>
      </c>
      <c r="D81" s="23"/>
      <c r="E81" s="10"/>
      <c r="F81" s="25">
        <f>Source!AM34</f>
        <v>165.35</v>
      </c>
      <c r="G81" s="24" t="str">
        <f>Source!DE34</f>
        <v/>
      </c>
      <c r="H81" s="10">
        <f>Source!AV34</f>
        <v>1</v>
      </c>
      <c r="I81" s="10">
        <f>IF(Source!BB34&lt;&gt; 0, Source!BB34, 1)</f>
        <v>1</v>
      </c>
      <c r="J81" s="25">
        <f>Source!Q34</f>
        <v>4762.08</v>
      </c>
      <c r="K81" s="25"/>
    </row>
    <row r="82" spans="1:22" ht="14.25" x14ac:dyDescent="0.2">
      <c r="A82" s="22"/>
      <c r="B82" s="22"/>
      <c r="C82" s="22" t="s">
        <v>827</v>
      </c>
      <c r="D82" s="23"/>
      <c r="E82" s="10"/>
      <c r="F82" s="25">
        <f>Source!AN34</f>
        <v>58.6</v>
      </c>
      <c r="G82" s="24" t="str">
        <f>Source!DF34</f>
        <v/>
      </c>
      <c r="H82" s="10">
        <f>Source!AV34</f>
        <v>1</v>
      </c>
      <c r="I82" s="10">
        <f>IF(Source!BS34&lt;&gt; 0, Source!BS34, 1)</f>
        <v>1</v>
      </c>
      <c r="J82" s="26">
        <f>Source!R34</f>
        <v>1687.68</v>
      </c>
      <c r="K82" s="25"/>
    </row>
    <row r="83" spans="1:22" ht="14.25" x14ac:dyDescent="0.2">
      <c r="A83" s="22"/>
      <c r="B83" s="22"/>
      <c r="C83" s="22" t="s">
        <v>828</v>
      </c>
      <c r="D83" s="23"/>
      <c r="E83" s="10"/>
      <c r="F83" s="25">
        <f>Source!AL34</f>
        <v>53.71</v>
      </c>
      <c r="G83" s="24" t="str">
        <f>Source!DD34</f>
        <v/>
      </c>
      <c r="H83" s="10">
        <f>Source!AW34</f>
        <v>1</v>
      </c>
      <c r="I83" s="10">
        <f>IF(Source!BC34&lt;&gt; 0, Source!BC34, 1)</f>
        <v>1</v>
      </c>
      <c r="J83" s="25">
        <f>Source!P34</f>
        <v>1546.85</v>
      </c>
      <c r="K83" s="25"/>
    </row>
    <row r="84" spans="1:22" ht="57" x14ac:dyDescent="0.2">
      <c r="A84" s="22" t="s">
        <v>61</v>
      </c>
      <c r="B84" s="22" t="str">
        <f>Source!F35</f>
        <v>21.12-7-37</v>
      </c>
      <c r="C84" s="22" t="str">
        <f>Source!G35</f>
        <v>Трубы медные для систем кондиционирования, наружный диаметр (толщина стенки), мм, 6,35 (0,76)</v>
      </c>
      <c r="D84" s="23" t="str">
        <f>Source!H35</f>
        <v>м</v>
      </c>
      <c r="E84" s="10">
        <f>Source!I35</f>
        <v>122.56999999999998</v>
      </c>
      <c r="F84" s="25">
        <f>Source!AK35</f>
        <v>128.81</v>
      </c>
      <c r="G84" s="31" t="s">
        <v>3</v>
      </c>
      <c r="H84" s="10">
        <f>Source!AW35</f>
        <v>1</v>
      </c>
      <c r="I84" s="10">
        <f>IF(Source!BC35&lt;&gt; 0, Source!BC35, 1)</f>
        <v>1</v>
      </c>
      <c r="J84" s="25">
        <f>Source!O35</f>
        <v>15788.24</v>
      </c>
      <c r="K84" s="25"/>
      <c r="Q84">
        <f>ROUND((Source!BZ35/100)*ROUND((Source!AF35*Source!AV35)*Source!I35, 2), 2)</f>
        <v>0</v>
      </c>
      <c r="R84">
        <f>Source!X35</f>
        <v>0</v>
      </c>
      <c r="S84">
        <f>ROUND((Source!CA35/100)*ROUND((Source!AF35*Source!AV35)*Source!I35, 2), 2)</f>
        <v>0</v>
      </c>
      <c r="T84">
        <f>Source!Y35</f>
        <v>0</v>
      </c>
      <c r="U84">
        <f>ROUND((175/100)*ROUND((Source!AE35*Source!AV35)*Source!I35, 2), 2)</f>
        <v>0</v>
      </c>
      <c r="V84">
        <f>ROUND((108/100)*ROUND(Source!CS35*Source!I35, 2), 2)</f>
        <v>0</v>
      </c>
    </row>
    <row r="85" spans="1:22" ht="57" x14ac:dyDescent="0.2">
      <c r="A85" s="22" t="s">
        <v>66</v>
      </c>
      <c r="B85" s="22" t="str">
        <f>Source!F36</f>
        <v>21.12-7-31</v>
      </c>
      <c r="C85" s="22" t="str">
        <f>Source!G36</f>
        <v>Трубы медные для систем кондиционирования, наружный диаметр (толщина стенки), мм, 9,52 (0,81)</v>
      </c>
      <c r="D85" s="23" t="str">
        <f>Source!H36</f>
        <v>м</v>
      </c>
      <c r="E85" s="10">
        <f>Source!I36</f>
        <v>112.27</v>
      </c>
      <c r="F85" s="25">
        <f>Source!AK36</f>
        <v>230.24</v>
      </c>
      <c r="G85" s="31" t="s">
        <v>3</v>
      </c>
      <c r="H85" s="10">
        <f>Source!AW36</f>
        <v>1</v>
      </c>
      <c r="I85" s="10">
        <f>IF(Source!BC36&lt;&gt; 0, Source!BC36, 1)</f>
        <v>1</v>
      </c>
      <c r="J85" s="25">
        <f>Source!O36</f>
        <v>25849.040000000001</v>
      </c>
      <c r="K85" s="25"/>
      <c r="Q85">
        <f>ROUND((Source!BZ36/100)*ROUND((Source!AF36*Source!AV36)*Source!I36, 2), 2)</f>
        <v>0</v>
      </c>
      <c r="R85">
        <f>Source!X36</f>
        <v>0</v>
      </c>
      <c r="S85">
        <f>ROUND((Source!CA36/100)*ROUND((Source!AF36*Source!AV36)*Source!I36, 2), 2)</f>
        <v>0</v>
      </c>
      <c r="T85">
        <f>Source!Y36</f>
        <v>0</v>
      </c>
      <c r="U85">
        <f>ROUND((175/100)*ROUND((Source!AE36*Source!AV36)*Source!I36, 2), 2)</f>
        <v>0</v>
      </c>
      <c r="V85">
        <f>ROUND((108/100)*ROUND(Source!CS36*Source!I36, 2), 2)</f>
        <v>0</v>
      </c>
    </row>
    <row r="86" spans="1:22" ht="57" x14ac:dyDescent="0.2">
      <c r="A86" s="22" t="s">
        <v>70</v>
      </c>
      <c r="B86" s="22" t="str">
        <f>Source!F37</f>
        <v>21.12-7-32</v>
      </c>
      <c r="C86" s="22" t="str">
        <f>Source!G37</f>
        <v>Трубы медные для систем кондиционирования, наружный диаметр (толщина стенки), мм, 12,7 (0,81)</v>
      </c>
      <c r="D86" s="23" t="str">
        <f>Source!H37</f>
        <v>м</v>
      </c>
      <c r="E86" s="10">
        <f>Source!I37</f>
        <v>36.049999999999997</v>
      </c>
      <c r="F86" s="25">
        <f>Source!AK37</f>
        <v>314.05</v>
      </c>
      <c r="G86" s="31" t="s">
        <v>3</v>
      </c>
      <c r="H86" s="10">
        <f>Source!AW37</f>
        <v>1</v>
      </c>
      <c r="I86" s="10">
        <f>IF(Source!BC37&lt;&gt; 0, Source!BC37, 1)</f>
        <v>1</v>
      </c>
      <c r="J86" s="25">
        <f>Source!O37</f>
        <v>11321.5</v>
      </c>
      <c r="K86" s="25"/>
      <c r="Q86">
        <f>ROUND((Source!BZ37/100)*ROUND((Source!AF37*Source!AV37)*Source!I37, 2), 2)</f>
        <v>0</v>
      </c>
      <c r="R86">
        <f>Source!X37</f>
        <v>0</v>
      </c>
      <c r="S86">
        <f>ROUND((Source!CA37/100)*ROUND((Source!AF37*Source!AV37)*Source!I37, 2), 2)</f>
        <v>0</v>
      </c>
      <c r="T86">
        <f>Source!Y37</f>
        <v>0</v>
      </c>
      <c r="U86">
        <f>ROUND((175/100)*ROUND((Source!AE37*Source!AV37)*Source!I37, 2), 2)</f>
        <v>0</v>
      </c>
      <c r="V86">
        <f>ROUND((108/100)*ROUND(Source!CS37*Source!I37, 2), 2)</f>
        <v>0</v>
      </c>
    </row>
    <row r="87" spans="1:22" ht="57" x14ac:dyDescent="0.2">
      <c r="A87" s="22" t="s">
        <v>74</v>
      </c>
      <c r="B87" s="22" t="str">
        <f>Source!F38</f>
        <v>21.12-7-36</v>
      </c>
      <c r="C87" s="22" t="str">
        <f>Source!G38</f>
        <v>Трубы медные для систем кондиционирования, наружный диаметр (толщина стенки), мм, 15,9 (0,89)</v>
      </c>
      <c r="D87" s="23" t="str">
        <f>Source!H38</f>
        <v>м</v>
      </c>
      <c r="E87" s="10">
        <f>Source!I38</f>
        <v>25.75</v>
      </c>
      <c r="F87" s="25">
        <f>Source!AK38</f>
        <v>423.43</v>
      </c>
      <c r="G87" s="31" t="s">
        <v>3</v>
      </c>
      <c r="H87" s="10">
        <f>Source!AW38</f>
        <v>1</v>
      </c>
      <c r="I87" s="10">
        <f>IF(Source!BC38&lt;&gt; 0, Source!BC38, 1)</f>
        <v>1</v>
      </c>
      <c r="J87" s="25">
        <f>Source!O38</f>
        <v>10903.32</v>
      </c>
      <c r="K87" s="25"/>
      <c r="Q87">
        <f>ROUND((Source!BZ38/100)*ROUND((Source!AF38*Source!AV38)*Source!I38, 2), 2)</f>
        <v>0</v>
      </c>
      <c r="R87">
        <f>Source!X38</f>
        <v>0</v>
      </c>
      <c r="S87">
        <f>ROUND((Source!CA38/100)*ROUND((Source!AF38*Source!AV38)*Source!I38, 2), 2)</f>
        <v>0</v>
      </c>
      <c r="T87">
        <f>Source!Y38</f>
        <v>0</v>
      </c>
      <c r="U87">
        <f>ROUND((175/100)*ROUND((Source!AE38*Source!AV38)*Source!I38, 2), 2)</f>
        <v>0</v>
      </c>
      <c r="V87">
        <f>ROUND((108/100)*ROUND(Source!CS38*Source!I38, 2), 2)</f>
        <v>0</v>
      </c>
    </row>
    <row r="88" spans="1:22" ht="14.25" x14ac:dyDescent="0.2">
      <c r="A88" s="22" t="s">
        <v>78</v>
      </c>
      <c r="B88" s="22" t="str">
        <f>Source!F39</f>
        <v>21.1-25-13</v>
      </c>
      <c r="C88" s="22" t="str">
        <f>Source!G39</f>
        <v>Вода</v>
      </c>
      <c r="D88" s="23" t="str">
        <f>Source!H39</f>
        <v>м3</v>
      </c>
      <c r="E88" s="10">
        <f>Source!I39</f>
        <v>-2.3328000000000002</v>
      </c>
      <c r="F88" s="25">
        <f>Source!AK39</f>
        <v>36.31</v>
      </c>
      <c r="G88" s="31" t="s">
        <v>3</v>
      </c>
      <c r="H88" s="10">
        <f>Source!AW39</f>
        <v>1</v>
      </c>
      <c r="I88" s="10">
        <f>IF(Source!BC39&lt;&gt; 0, Source!BC39, 1)</f>
        <v>1</v>
      </c>
      <c r="J88" s="25">
        <f>Source!O39</f>
        <v>-84.7</v>
      </c>
      <c r="K88" s="25"/>
      <c r="Q88">
        <f>ROUND((Source!BZ39/100)*ROUND((Source!AF39*Source!AV39)*Source!I39, 2), 2)</f>
        <v>0</v>
      </c>
      <c r="R88">
        <f>Source!X39</f>
        <v>0</v>
      </c>
      <c r="S88">
        <f>ROUND((Source!CA39/100)*ROUND((Source!AF39*Source!AV39)*Source!I39, 2), 2)</f>
        <v>0</v>
      </c>
      <c r="T88">
        <f>Source!Y39</f>
        <v>0</v>
      </c>
      <c r="U88">
        <f>ROUND((175/100)*ROUND((Source!AE39*Source!AV39)*Source!I39, 2), 2)</f>
        <v>0</v>
      </c>
      <c r="V88">
        <f>ROUND((108/100)*ROUND(Source!CS39*Source!I39, 2), 2)</f>
        <v>0</v>
      </c>
    </row>
    <row r="89" spans="1:22" ht="14.25" x14ac:dyDescent="0.2">
      <c r="A89" s="22"/>
      <c r="B89" s="22"/>
      <c r="C89" s="22" t="s">
        <v>829</v>
      </c>
      <c r="D89" s="23" t="s">
        <v>830</v>
      </c>
      <c r="E89" s="10">
        <f>Source!AT34</f>
        <v>70</v>
      </c>
      <c r="F89" s="25"/>
      <c r="G89" s="24"/>
      <c r="H89" s="10"/>
      <c r="I89" s="10"/>
      <c r="J89" s="25">
        <f>SUM(R78:R88)</f>
        <v>47964.88</v>
      </c>
      <c r="K89" s="25"/>
    </row>
    <row r="90" spans="1:22" ht="14.25" x14ac:dyDescent="0.2">
      <c r="A90" s="22"/>
      <c r="B90" s="22"/>
      <c r="C90" s="22" t="s">
        <v>831</v>
      </c>
      <c r="D90" s="23" t="s">
        <v>830</v>
      </c>
      <c r="E90" s="10">
        <f>Source!AU34</f>
        <v>10</v>
      </c>
      <c r="F90" s="25"/>
      <c r="G90" s="24"/>
      <c r="H90" s="10"/>
      <c r="I90" s="10"/>
      <c r="J90" s="25">
        <f>SUM(T78:T89)</f>
        <v>6852.13</v>
      </c>
      <c r="K90" s="25"/>
    </row>
    <row r="91" spans="1:22" ht="14.25" x14ac:dyDescent="0.2">
      <c r="A91" s="22"/>
      <c r="B91" s="22"/>
      <c r="C91" s="22" t="s">
        <v>832</v>
      </c>
      <c r="D91" s="23" t="s">
        <v>830</v>
      </c>
      <c r="E91" s="10">
        <f>108</f>
        <v>108</v>
      </c>
      <c r="F91" s="25"/>
      <c r="G91" s="24"/>
      <c r="H91" s="10"/>
      <c r="I91" s="10"/>
      <c r="J91" s="25">
        <f>SUM(V78:V90)</f>
        <v>1822.69</v>
      </c>
      <c r="K91" s="25"/>
    </row>
    <row r="92" spans="1:22" ht="14.25" x14ac:dyDescent="0.2">
      <c r="A92" s="22"/>
      <c r="B92" s="22"/>
      <c r="C92" s="22" t="s">
        <v>833</v>
      </c>
      <c r="D92" s="23" t="s">
        <v>834</v>
      </c>
      <c r="E92" s="10">
        <f>Source!AQ34</f>
        <v>9.1999999999999993</v>
      </c>
      <c r="F92" s="25"/>
      <c r="G92" s="24" t="str">
        <f>Source!DI34</f>
        <v/>
      </c>
      <c r="H92" s="10">
        <f>Source!AV34</f>
        <v>1</v>
      </c>
      <c r="I92" s="10"/>
      <c r="J92" s="25"/>
      <c r="K92" s="25">
        <f>Source!U34</f>
        <v>264.95999999999998</v>
      </c>
    </row>
    <row r="93" spans="1:22" ht="15" x14ac:dyDescent="0.25">
      <c r="A93" s="29"/>
      <c r="B93" s="29"/>
      <c r="C93" s="29"/>
      <c r="D93" s="29"/>
      <c r="E93" s="29"/>
      <c r="F93" s="29"/>
      <c r="G93" s="29"/>
      <c r="H93" s="29"/>
      <c r="I93" s="104">
        <f>J80+J81+J83+J89+J90+J91+SUM(J84:J88)</f>
        <v>195247.28</v>
      </c>
      <c r="J93" s="104"/>
      <c r="K93" s="30">
        <f>IF(Source!I34&lt;&gt;0, ROUND(I93/Source!I34, 2), 0)</f>
        <v>6779.42</v>
      </c>
      <c r="P93" s="27">
        <f>I93</f>
        <v>195247.28</v>
      </c>
    </row>
    <row r="94" spans="1:22" ht="85.5" x14ac:dyDescent="0.2">
      <c r="A94" s="22">
        <v>6</v>
      </c>
      <c r="B94" s="22" t="str">
        <f>Source!F40</f>
        <v>1.17-3703-23-1/1</v>
      </c>
      <c r="C94" s="22" t="str">
        <f>Source!G40</f>
        <v>Изоляция трубопроводов изделиями из вспененного каучука, вспененного полиэтилена, трубками без нанесения на поверхность изоляции защитной окраски (без стоимости трубок, клея, листов, лент изоляционных)</v>
      </c>
      <c r="D94" s="23" t="str">
        <f>Source!H40</f>
        <v>10 м</v>
      </c>
      <c r="E94" s="10">
        <f>Source!I40</f>
        <v>28.8</v>
      </c>
      <c r="F94" s="25"/>
      <c r="G94" s="24"/>
      <c r="H94" s="10"/>
      <c r="I94" s="10"/>
      <c r="J94" s="25"/>
      <c r="K94" s="25"/>
      <c r="Q94">
        <f>ROUND((Source!BZ40/100)*ROUND((Source!AF40*Source!AV40)*Source!I40, 2), 2)</f>
        <v>11543.82</v>
      </c>
      <c r="R94">
        <f>Source!X40</f>
        <v>11543.82</v>
      </c>
      <c r="S94">
        <f>ROUND((Source!CA40/100)*ROUND((Source!AF40*Source!AV40)*Source!I40, 2), 2)</f>
        <v>1649.12</v>
      </c>
      <c r="T94">
        <f>Source!Y40</f>
        <v>1649.12</v>
      </c>
      <c r="U94">
        <f>ROUND((175/100)*ROUND((Source!AE40*Source!AV40)*Source!I40, 2), 2)</f>
        <v>0</v>
      </c>
      <c r="V94">
        <f>ROUND((108/100)*ROUND(Source!CS40*Source!I40, 2), 2)</f>
        <v>0</v>
      </c>
    </row>
    <row r="95" spans="1:22" x14ac:dyDescent="0.2">
      <c r="C95" s="32" t="str">
        <f>"Объем: "&amp;Source!I40&amp;"=288/"&amp;"10"</f>
        <v>Объем: 28,8=288/10</v>
      </c>
    </row>
    <row r="96" spans="1:22" ht="14.25" x14ac:dyDescent="0.2">
      <c r="A96" s="22"/>
      <c r="B96" s="22"/>
      <c r="C96" s="22" t="s">
        <v>825</v>
      </c>
      <c r="D96" s="23"/>
      <c r="E96" s="10"/>
      <c r="F96" s="25">
        <f>Source!AO40</f>
        <v>572.61</v>
      </c>
      <c r="G96" s="24" t="str">
        <f>Source!DG40</f>
        <v/>
      </c>
      <c r="H96" s="10">
        <f>Source!AV40</f>
        <v>1</v>
      </c>
      <c r="I96" s="10">
        <f>IF(Source!BA40&lt;&gt; 0, Source!BA40, 1)</f>
        <v>1</v>
      </c>
      <c r="J96" s="25">
        <f>Source!S40</f>
        <v>16491.169999999998</v>
      </c>
      <c r="K96" s="25"/>
    </row>
    <row r="97" spans="1:22" ht="14.25" x14ac:dyDescent="0.2">
      <c r="A97" s="22"/>
      <c r="B97" s="22"/>
      <c r="C97" s="22" t="s">
        <v>828</v>
      </c>
      <c r="D97" s="23"/>
      <c r="E97" s="10"/>
      <c r="F97" s="25">
        <f>Source!AL40</f>
        <v>6.75</v>
      </c>
      <c r="G97" s="24" t="str">
        <f>Source!DD40</f>
        <v/>
      </c>
      <c r="H97" s="10">
        <f>Source!AW40</f>
        <v>1</v>
      </c>
      <c r="I97" s="10">
        <f>IF(Source!BC40&lt;&gt; 0, Source!BC40, 1)</f>
        <v>1</v>
      </c>
      <c r="J97" s="25">
        <f>Source!P40</f>
        <v>194.4</v>
      </c>
      <c r="K97" s="25"/>
    </row>
    <row r="98" spans="1:22" ht="28.5" x14ac:dyDescent="0.2">
      <c r="A98" s="22" t="s">
        <v>87</v>
      </c>
      <c r="B98" s="22" t="str">
        <f>Source!F41</f>
        <v>21.1-25-623</v>
      </c>
      <c r="C98" s="22" t="str">
        <f>Source!G41</f>
        <v>Лента самоклеящаяся, ширина 50 мм, толщина 3 мм, тип "K-Flex ST"</v>
      </c>
      <c r="D98" s="23" t="str">
        <f>Source!H41</f>
        <v>м</v>
      </c>
      <c r="E98" s="10">
        <f>Source!I41</f>
        <v>302.39999999999998</v>
      </c>
      <c r="F98" s="25">
        <f>Source!AK41</f>
        <v>44.3</v>
      </c>
      <c r="G98" s="31" t="s">
        <v>3</v>
      </c>
      <c r="H98" s="10">
        <f>Source!AW41</f>
        <v>1</v>
      </c>
      <c r="I98" s="10">
        <f>IF(Source!BC41&lt;&gt; 0, Source!BC41, 1)</f>
        <v>1</v>
      </c>
      <c r="J98" s="25">
        <f>Source!O41</f>
        <v>13396.32</v>
      </c>
      <c r="K98" s="25"/>
      <c r="Q98">
        <f>ROUND((Source!BZ41/100)*ROUND((Source!AF41*Source!AV41)*Source!I41, 2), 2)</f>
        <v>0</v>
      </c>
      <c r="R98">
        <f>Source!X41</f>
        <v>0</v>
      </c>
      <c r="S98">
        <f>ROUND((Source!CA41/100)*ROUND((Source!AF41*Source!AV41)*Source!I41, 2), 2)</f>
        <v>0</v>
      </c>
      <c r="T98">
        <f>Source!Y41</f>
        <v>0</v>
      </c>
      <c r="U98">
        <f>ROUND((175/100)*ROUND((Source!AE41*Source!AV41)*Source!I41, 2), 2)</f>
        <v>0</v>
      </c>
      <c r="V98">
        <f>ROUND((108/100)*ROUND(Source!CS41*Source!I41, 2), 2)</f>
        <v>0</v>
      </c>
    </row>
    <row r="99" spans="1:22" ht="71.25" x14ac:dyDescent="0.2">
      <c r="A99" s="22" t="s">
        <v>95</v>
      </c>
      <c r="B99" s="22" t="str">
        <f>Source!F43</f>
        <v>21.1-14-83</v>
      </c>
      <c r="C99" s="22" t="str">
        <f>Source!G43</f>
        <v>Трубки теплоизоляционные из вспененного каучука типа "К-Flex ST" для поверхностей с температурой от -40°C до +105°С, внутренний диаметр (толщина) 6 (9) мм</v>
      </c>
      <c r="D99" s="23" t="str">
        <f>Source!H43</f>
        <v>м</v>
      </c>
      <c r="E99" s="10">
        <f>Source!I43</f>
        <v>124.95000000000002</v>
      </c>
      <c r="F99" s="25">
        <f>Source!AK43</f>
        <v>28.54</v>
      </c>
      <c r="G99" s="31" t="s">
        <v>3</v>
      </c>
      <c r="H99" s="10">
        <f>Source!AW43</f>
        <v>1</v>
      </c>
      <c r="I99" s="10">
        <f>IF(Source!BC43&lt;&gt; 0, Source!BC43, 1)</f>
        <v>1</v>
      </c>
      <c r="J99" s="25">
        <f>Source!O43</f>
        <v>3566.07</v>
      </c>
      <c r="K99" s="25"/>
      <c r="Q99">
        <f>ROUND((Source!BZ43/100)*ROUND((Source!AF43*Source!AV43)*Source!I43, 2), 2)</f>
        <v>0</v>
      </c>
      <c r="R99">
        <f>Source!X43</f>
        <v>0</v>
      </c>
      <c r="S99">
        <f>ROUND((Source!CA43/100)*ROUND((Source!AF43*Source!AV43)*Source!I43, 2), 2)</f>
        <v>0</v>
      </c>
      <c r="T99">
        <f>Source!Y43</f>
        <v>0</v>
      </c>
      <c r="U99">
        <f>ROUND((175/100)*ROUND((Source!AE43*Source!AV43)*Source!I43, 2), 2)</f>
        <v>0</v>
      </c>
      <c r="V99">
        <f>ROUND((108/100)*ROUND(Source!CS43*Source!I43, 2), 2)</f>
        <v>0</v>
      </c>
    </row>
    <row r="100" spans="1:22" ht="71.25" x14ac:dyDescent="0.2">
      <c r="A100" s="22" t="s">
        <v>99</v>
      </c>
      <c r="B100" s="22" t="str">
        <f>Source!F44</f>
        <v>21.1-14-84</v>
      </c>
      <c r="C100" s="22" t="str">
        <f>Source!G44</f>
        <v>Трубки теплоизоляционные из вспененного каучука типа "К-Flex ST" для поверхностей с температурой от -40°C до +105°С, внутренний диаметр (толщина) 10 (13) мм</v>
      </c>
      <c r="D100" s="23" t="str">
        <f>Source!H44</f>
        <v>м</v>
      </c>
      <c r="E100" s="10">
        <f>Source!I44</f>
        <v>14.45</v>
      </c>
      <c r="F100" s="25">
        <f>Source!AK44</f>
        <v>49.21</v>
      </c>
      <c r="G100" s="31" t="s">
        <v>3</v>
      </c>
      <c r="H100" s="10">
        <f>Source!AW44</f>
        <v>1</v>
      </c>
      <c r="I100" s="10">
        <f>IF(Source!BC44&lt;&gt; 0, Source!BC44, 1)</f>
        <v>1</v>
      </c>
      <c r="J100" s="25">
        <f>Source!O44</f>
        <v>711.08</v>
      </c>
      <c r="K100" s="25"/>
      <c r="Q100">
        <f>ROUND((Source!BZ44/100)*ROUND((Source!AF44*Source!AV44)*Source!I44, 2), 2)</f>
        <v>0</v>
      </c>
      <c r="R100">
        <f>Source!X44</f>
        <v>0</v>
      </c>
      <c r="S100">
        <f>ROUND((Source!CA44/100)*ROUND((Source!AF44*Source!AV44)*Source!I44, 2), 2)</f>
        <v>0</v>
      </c>
      <c r="T100">
        <f>Source!Y44</f>
        <v>0</v>
      </c>
      <c r="U100">
        <f>ROUND((175/100)*ROUND((Source!AE44*Source!AV44)*Source!I44, 2), 2)</f>
        <v>0</v>
      </c>
      <c r="V100">
        <f>ROUND((108/100)*ROUND(Source!CS44*Source!I44, 2), 2)</f>
        <v>0</v>
      </c>
    </row>
    <row r="101" spans="1:22" ht="71.25" x14ac:dyDescent="0.2">
      <c r="A101" s="22" t="s">
        <v>103</v>
      </c>
      <c r="B101" s="22" t="str">
        <f>Source!F45</f>
        <v>21.1-14-86</v>
      </c>
      <c r="C101" s="22" t="str">
        <f>Source!G45</f>
        <v>Трубки теплоизоляционные из вспененного каучука типа "К-Flex ST" для поверхностей с температурой от -40°C до +105°С, внутренний диаметр (толщина) 15 (13) мм</v>
      </c>
      <c r="D101" s="23" t="str">
        <f>Source!H45</f>
        <v>м</v>
      </c>
      <c r="E101" s="10">
        <f>Source!I45</f>
        <v>36.75</v>
      </c>
      <c r="F101" s="25">
        <f>Source!AK45</f>
        <v>53.95</v>
      </c>
      <c r="G101" s="31" t="s">
        <v>3</v>
      </c>
      <c r="H101" s="10">
        <f>Source!AW45</f>
        <v>1</v>
      </c>
      <c r="I101" s="10">
        <f>IF(Source!BC45&lt;&gt; 0, Source!BC45, 1)</f>
        <v>1</v>
      </c>
      <c r="J101" s="25">
        <f>Source!O45</f>
        <v>1982.66</v>
      </c>
      <c r="K101" s="25"/>
      <c r="Q101">
        <f>ROUND((Source!BZ45/100)*ROUND((Source!AF45*Source!AV45)*Source!I45, 2), 2)</f>
        <v>0</v>
      </c>
      <c r="R101">
        <f>Source!X45</f>
        <v>0</v>
      </c>
      <c r="S101">
        <f>ROUND((Source!CA45/100)*ROUND((Source!AF45*Source!AV45)*Source!I45, 2), 2)</f>
        <v>0</v>
      </c>
      <c r="T101">
        <f>Source!Y45</f>
        <v>0</v>
      </c>
      <c r="U101">
        <f>ROUND((175/100)*ROUND((Source!AE45*Source!AV45)*Source!I45, 2), 2)</f>
        <v>0</v>
      </c>
      <c r="V101">
        <f>ROUND((108/100)*ROUND(Source!CS45*Source!I45, 2), 2)</f>
        <v>0</v>
      </c>
    </row>
    <row r="102" spans="1:22" ht="71.25" x14ac:dyDescent="0.2">
      <c r="A102" s="22" t="s">
        <v>107</v>
      </c>
      <c r="B102" s="22" t="str">
        <f>Source!F46</f>
        <v>21.1-14-87</v>
      </c>
      <c r="C102" s="22" t="str">
        <f>Source!G46</f>
        <v>Трубки теплоизоляционные из вспененного каучука типа "К-Flex ST" для поверхностей с температурой от -40°C до +105°С, внутренний диаметр (толщина) 18 (13) мм</v>
      </c>
      <c r="D102" s="23" t="str">
        <f>Source!H46</f>
        <v>м</v>
      </c>
      <c r="E102" s="10">
        <f>Source!I46</f>
        <v>26.25</v>
      </c>
      <c r="F102" s="25">
        <f>Source!AK46</f>
        <v>56.87</v>
      </c>
      <c r="G102" s="31" t="s">
        <v>3</v>
      </c>
      <c r="H102" s="10">
        <f>Source!AW46</f>
        <v>1</v>
      </c>
      <c r="I102" s="10">
        <f>IF(Source!BC46&lt;&gt; 0, Source!BC46, 1)</f>
        <v>1</v>
      </c>
      <c r="J102" s="25">
        <f>Source!O46</f>
        <v>1492.84</v>
      </c>
      <c r="K102" s="25"/>
      <c r="Q102">
        <f>ROUND((Source!BZ46/100)*ROUND((Source!AF46*Source!AV46)*Source!I46, 2), 2)</f>
        <v>0</v>
      </c>
      <c r="R102">
        <f>Source!X46</f>
        <v>0</v>
      </c>
      <c r="S102">
        <f>ROUND((Source!CA46/100)*ROUND((Source!AF46*Source!AV46)*Source!I46, 2), 2)</f>
        <v>0</v>
      </c>
      <c r="T102">
        <f>Source!Y46</f>
        <v>0</v>
      </c>
      <c r="U102">
        <f>ROUND((175/100)*ROUND((Source!AE46*Source!AV46)*Source!I46, 2), 2)</f>
        <v>0</v>
      </c>
      <c r="V102">
        <f>ROUND((108/100)*ROUND(Source!CS46*Source!I46, 2), 2)</f>
        <v>0</v>
      </c>
    </row>
    <row r="103" spans="1:22" ht="14.25" x14ac:dyDescent="0.2">
      <c r="A103" s="22"/>
      <c r="B103" s="22"/>
      <c r="C103" s="22" t="s">
        <v>829</v>
      </c>
      <c r="D103" s="23" t="s">
        <v>830</v>
      </c>
      <c r="E103" s="10">
        <f>Source!AT40</f>
        <v>70</v>
      </c>
      <c r="F103" s="25"/>
      <c r="G103" s="24"/>
      <c r="H103" s="10"/>
      <c r="I103" s="10"/>
      <c r="J103" s="25">
        <f>SUM(R94:R102)</f>
        <v>11543.82</v>
      </c>
      <c r="K103" s="25"/>
    </row>
    <row r="104" spans="1:22" ht="14.25" x14ac:dyDescent="0.2">
      <c r="A104" s="22"/>
      <c r="B104" s="22"/>
      <c r="C104" s="22" t="s">
        <v>831</v>
      </c>
      <c r="D104" s="23" t="s">
        <v>830</v>
      </c>
      <c r="E104" s="10">
        <f>Source!AU40</f>
        <v>10</v>
      </c>
      <c r="F104" s="25"/>
      <c r="G104" s="24"/>
      <c r="H104" s="10"/>
      <c r="I104" s="10"/>
      <c r="J104" s="25">
        <f>SUM(T94:T103)</f>
        <v>1649.12</v>
      </c>
      <c r="K104" s="25"/>
    </row>
    <row r="105" spans="1:22" ht="14.25" x14ac:dyDescent="0.2">
      <c r="A105" s="22"/>
      <c r="B105" s="22"/>
      <c r="C105" s="22" t="s">
        <v>833</v>
      </c>
      <c r="D105" s="23" t="s">
        <v>834</v>
      </c>
      <c r="E105" s="10">
        <f>Source!AQ40</f>
        <v>2.15</v>
      </c>
      <c r="F105" s="25"/>
      <c r="G105" s="24" t="str">
        <f>Source!DI40</f>
        <v/>
      </c>
      <c r="H105" s="10">
        <f>Source!AV40</f>
        <v>1</v>
      </c>
      <c r="I105" s="10"/>
      <c r="J105" s="25"/>
      <c r="K105" s="25">
        <f>Source!U40</f>
        <v>61.92</v>
      </c>
    </row>
    <row r="106" spans="1:22" ht="15" x14ac:dyDescent="0.25">
      <c r="A106" s="29"/>
      <c r="B106" s="29"/>
      <c r="C106" s="29"/>
      <c r="D106" s="29"/>
      <c r="E106" s="29"/>
      <c r="F106" s="29"/>
      <c r="G106" s="29"/>
      <c r="H106" s="29"/>
      <c r="I106" s="104">
        <f>J96+J97+J103+J104+SUM(J98:J102)</f>
        <v>51027.479999999996</v>
      </c>
      <c r="J106" s="104"/>
      <c r="K106" s="30">
        <f>IF(Source!I40&lt;&gt;0, ROUND(I106/Source!I40, 2), 0)</f>
        <v>1771.79</v>
      </c>
      <c r="P106" s="27">
        <f>I106</f>
        <v>51027.479999999996</v>
      </c>
    </row>
    <row r="107" spans="1:22" ht="71.25" x14ac:dyDescent="0.2">
      <c r="A107" s="22">
        <v>9</v>
      </c>
      <c r="B107" s="22" t="str">
        <f>Source!F55</f>
        <v>1.23-3103-5-1/1</v>
      </c>
      <c r="C107" s="22" t="str">
        <f>Source!G55</f>
        <v>Установка сосуда влагоотделительного, разделительного, конденсационного, уравнительного (без стоимости материалов)</v>
      </c>
      <c r="D107" s="23" t="str">
        <f>Source!H55</f>
        <v>шт.</v>
      </c>
      <c r="E107" s="10">
        <f>Source!I55</f>
        <v>5</v>
      </c>
      <c r="F107" s="25"/>
      <c r="G107" s="24"/>
      <c r="H107" s="10"/>
      <c r="I107" s="10"/>
      <c r="J107" s="25"/>
      <c r="K107" s="25"/>
      <c r="Q107">
        <f>ROUND((Source!BZ55/100)*ROUND((Source!AF55*Source!AV55)*Source!I55, 2), 2)</f>
        <v>1289.6500000000001</v>
      </c>
      <c r="R107">
        <f>Source!X55</f>
        <v>1289.6500000000001</v>
      </c>
      <c r="S107">
        <f>ROUND((Source!CA55/100)*ROUND((Source!AF55*Source!AV55)*Source!I55, 2), 2)</f>
        <v>184.24</v>
      </c>
      <c r="T107">
        <f>Source!Y55</f>
        <v>184.24</v>
      </c>
      <c r="U107">
        <f>ROUND((175/100)*ROUND((Source!AE55*Source!AV55)*Source!I55, 2), 2)</f>
        <v>3424.58</v>
      </c>
      <c r="V107">
        <f>ROUND((108/100)*ROUND(Source!CS55*Source!I55, 2), 2)</f>
        <v>2113.4499999999998</v>
      </c>
    </row>
    <row r="108" spans="1:22" ht="14.25" x14ac:dyDescent="0.2">
      <c r="A108" s="22"/>
      <c r="B108" s="22"/>
      <c r="C108" s="22" t="s">
        <v>825</v>
      </c>
      <c r="D108" s="23"/>
      <c r="E108" s="10"/>
      <c r="F108" s="25">
        <f>Source!AO55</f>
        <v>368.47</v>
      </c>
      <c r="G108" s="24" t="str">
        <f>Source!DG55</f>
        <v/>
      </c>
      <c r="H108" s="10">
        <f>Source!AV55</f>
        <v>1</v>
      </c>
      <c r="I108" s="10">
        <f>IF(Source!BA55&lt;&gt; 0, Source!BA55, 1)</f>
        <v>1</v>
      </c>
      <c r="J108" s="25">
        <f>Source!S55</f>
        <v>1842.35</v>
      </c>
      <c r="K108" s="25"/>
    </row>
    <row r="109" spans="1:22" ht="14.25" x14ac:dyDescent="0.2">
      <c r="A109" s="22"/>
      <c r="B109" s="22"/>
      <c r="C109" s="22" t="s">
        <v>826</v>
      </c>
      <c r="D109" s="23"/>
      <c r="E109" s="10"/>
      <c r="F109" s="25">
        <f>Source!AM55</f>
        <v>721.22</v>
      </c>
      <c r="G109" s="24" t="str">
        <f>Source!DE55</f>
        <v/>
      </c>
      <c r="H109" s="10">
        <f>Source!AV55</f>
        <v>1</v>
      </c>
      <c r="I109" s="10">
        <f>IF(Source!BB55&lt;&gt; 0, Source!BB55, 1)</f>
        <v>1</v>
      </c>
      <c r="J109" s="25">
        <f>Source!Q55</f>
        <v>3606.1</v>
      </c>
      <c r="K109" s="25"/>
    </row>
    <row r="110" spans="1:22" ht="14.25" x14ac:dyDescent="0.2">
      <c r="A110" s="22"/>
      <c r="B110" s="22"/>
      <c r="C110" s="22" t="s">
        <v>827</v>
      </c>
      <c r="D110" s="23"/>
      <c r="E110" s="10"/>
      <c r="F110" s="25">
        <f>Source!AN55</f>
        <v>391.38</v>
      </c>
      <c r="G110" s="24" t="str">
        <f>Source!DF55</f>
        <v/>
      </c>
      <c r="H110" s="10">
        <f>Source!AV55</f>
        <v>1</v>
      </c>
      <c r="I110" s="10">
        <f>IF(Source!BS55&lt;&gt; 0, Source!BS55, 1)</f>
        <v>1</v>
      </c>
      <c r="J110" s="26">
        <f>Source!R55</f>
        <v>1956.9</v>
      </c>
      <c r="K110" s="25"/>
    </row>
    <row r="111" spans="1:22" ht="41.25" x14ac:dyDescent="0.2">
      <c r="A111" s="22" t="s">
        <v>135</v>
      </c>
      <c r="B111" s="22" t="str">
        <f>Source!F56</f>
        <v>Цена поставщика</v>
      </c>
      <c r="C111" s="22" t="s">
        <v>838</v>
      </c>
      <c r="D111" s="23" t="str">
        <f>Source!H56</f>
        <v>шт.</v>
      </c>
      <c r="E111" s="10">
        <f>Source!I56</f>
        <v>5</v>
      </c>
      <c r="F111" s="25">
        <f>Source!AK56</f>
        <v>8120.67</v>
      </c>
      <c r="G111" s="31" t="s">
        <v>3</v>
      </c>
      <c r="H111" s="10">
        <f>Source!AW56</f>
        <v>1</v>
      </c>
      <c r="I111" s="10">
        <f>IF(Source!BC56&lt;&gt; 0, Source!BC56, 1)</f>
        <v>1</v>
      </c>
      <c r="J111" s="25">
        <f>Source!O56</f>
        <v>40603.35</v>
      </c>
      <c r="K111" s="25"/>
      <c r="Q111">
        <f>ROUND((Source!BZ56/100)*ROUND((Source!AF56*Source!AV56)*Source!I56, 2), 2)</f>
        <v>0</v>
      </c>
      <c r="R111">
        <f>Source!X56</f>
        <v>0</v>
      </c>
      <c r="S111">
        <f>ROUND((Source!CA56/100)*ROUND((Source!AF56*Source!AV56)*Source!I56, 2), 2)</f>
        <v>0</v>
      </c>
      <c r="T111">
        <f>Source!Y56</f>
        <v>0</v>
      </c>
      <c r="U111">
        <f>ROUND((175/100)*ROUND((Source!AE56*Source!AV56)*Source!I56, 2), 2)</f>
        <v>0</v>
      </c>
      <c r="V111">
        <f>ROUND((108/100)*ROUND(Source!CS56*Source!I56, 2), 2)</f>
        <v>0</v>
      </c>
    </row>
    <row r="112" spans="1:22" ht="14.25" x14ac:dyDescent="0.2">
      <c r="A112" s="22"/>
      <c r="B112" s="22"/>
      <c r="C112" s="22" t="s">
        <v>829</v>
      </c>
      <c r="D112" s="23" t="s">
        <v>830</v>
      </c>
      <c r="E112" s="10">
        <f>Source!AT55</f>
        <v>70</v>
      </c>
      <c r="F112" s="25"/>
      <c r="G112" s="24"/>
      <c r="H112" s="10"/>
      <c r="I112" s="10"/>
      <c r="J112" s="25">
        <f>SUM(R107:R111)</f>
        <v>1289.6500000000001</v>
      </c>
      <c r="K112" s="25"/>
    </row>
    <row r="113" spans="1:22" ht="14.25" x14ac:dyDescent="0.2">
      <c r="A113" s="22"/>
      <c r="B113" s="22"/>
      <c r="C113" s="22" t="s">
        <v>831</v>
      </c>
      <c r="D113" s="23" t="s">
        <v>830</v>
      </c>
      <c r="E113" s="10">
        <f>Source!AU55</f>
        <v>10</v>
      </c>
      <c r="F113" s="25"/>
      <c r="G113" s="24"/>
      <c r="H113" s="10"/>
      <c r="I113" s="10"/>
      <c r="J113" s="25">
        <f>SUM(T107:T112)</f>
        <v>184.24</v>
      </c>
      <c r="K113" s="25"/>
    </row>
    <row r="114" spans="1:22" ht="14.25" x14ac:dyDescent="0.2">
      <c r="A114" s="22"/>
      <c r="B114" s="22"/>
      <c r="C114" s="22" t="s">
        <v>832</v>
      </c>
      <c r="D114" s="23" t="s">
        <v>830</v>
      </c>
      <c r="E114" s="10">
        <f>108</f>
        <v>108</v>
      </c>
      <c r="F114" s="25"/>
      <c r="G114" s="24"/>
      <c r="H114" s="10"/>
      <c r="I114" s="10"/>
      <c r="J114" s="25">
        <f>SUM(V107:V113)</f>
        <v>2113.4499999999998</v>
      </c>
      <c r="K114" s="25"/>
    </row>
    <row r="115" spans="1:22" ht="14.25" x14ac:dyDescent="0.2">
      <c r="A115" s="22"/>
      <c r="B115" s="22"/>
      <c r="C115" s="22" t="s">
        <v>833</v>
      </c>
      <c r="D115" s="23" t="s">
        <v>834</v>
      </c>
      <c r="E115" s="10">
        <f>Source!AQ55</f>
        <v>1.18</v>
      </c>
      <c r="F115" s="25"/>
      <c r="G115" s="24" t="str">
        <f>Source!DI55</f>
        <v/>
      </c>
      <c r="H115" s="10">
        <f>Source!AV55</f>
        <v>1</v>
      </c>
      <c r="I115" s="10"/>
      <c r="J115" s="25"/>
      <c r="K115" s="25">
        <f>Source!U55</f>
        <v>5.8999999999999995</v>
      </c>
    </row>
    <row r="116" spans="1:22" ht="15" x14ac:dyDescent="0.25">
      <c r="A116" s="29"/>
      <c r="B116" s="29"/>
      <c r="C116" s="29"/>
      <c r="D116" s="29"/>
      <c r="E116" s="29"/>
      <c r="F116" s="29"/>
      <c r="G116" s="29"/>
      <c r="H116" s="29"/>
      <c r="I116" s="104">
        <f>J108+J109+J112+J113+J114+SUM(J111:J111)</f>
        <v>49639.14</v>
      </c>
      <c r="J116" s="104"/>
      <c r="K116" s="30">
        <f>IF(Source!I55&lt;&gt;0, ROUND(I116/Source!I55, 2), 0)</f>
        <v>9927.83</v>
      </c>
      <c r="P116" s="27">
        <f>I116</f>
        <v>49639.14</v>
      </c>
    </row>
    <row r="117" spans="1:22" ht="42.75" x14ac:dyDescent="0.2">
      <c r="A117" s="22">
        <v>10</v>
      </c>
      <c r="B117" s="22" t="str">
        <f>Source!F58</f>
        <v>1.23-3103-4-1/1</v>
      </c>
      <c r="C117" s="22" t="str">
        <f>Source!G58</f>
        <v>Установка механизма исполнительного массой до 20 кг (без стоимости материалов)</v>
      </c>
      <c r="D117" s="23" t="str">
        <f>Source!H58</f>
        <v>шт.</v>
      </c>
      <c r="E117" s="10">
        <f>Source!I58</f>
        <v>23</v>
      </c>
      <c r="F117" s="25"/>
      <c r="G117" s="24"/>
      <c r="H117" s="10"/>
      <c r="I117" s="10"/>
      <c r="J117" s="25"/>
      <c r="K117" s="25"/>
      <c r="Q117">
        <f>ROUND((Source!BZ58/100)*ROUND((Source!AF58*Source!AV58)*Source!I58, 2), 2)</f>
        <v>2050.5</v>
      </c>
      <c r="R117">
        <f>Source!X58</f>
        <v>2050.5</v>
      </c>
      <c r="S117">
        <f>ROUND((Source!CA58/100)*ROUND((Source!AF58*Source!AV58)*Source!I58, 2), 2)</f>
        <v>292.93</v>
      </c>
      <c r="T117">
        <f>Source!Y58</f>
        <v>292.93</v>
      </c>
      <c r="U117">
        <f>ROUND((175/100)*ROUND((Source!AE58*Source!AV58)*Source!I58, 2), 2)</f>
        <v>0</v>
      </c>
      <c r="V117">
        <f>ROUND((108/100)*ROUND(Source!CS58*Source!I58, 2), 2)</f>
        <v>0</v>
      </c>
    </row>
    <row r="118" spans="1:22" ht="14.25" x14ac:dyDescent="0.2">
      <c r="A118" s="22"/>
      <c r="B118" s="22"/>
      <c r="C118" s="22" t="s">
        <v>825</v>
      </c>
      <c r="D118" s="23"/>
      <c r="E118" s="10"/>
      <c r="F118" s="25">
        <f>Source!AO58</f>
        <v>127.36</v>
      </c>
      <c r="G118" s="24" t="str">
        <f>Source!DG58</f>
        <v/>
      </c>
      <c r="H118" s="10">
        <f>Source!AV58</f>
        <v>1</v>
      </c>
      <c r="I118" s="10">
        <f>IF(Source!BA58&lt;&gt; 0, Source!BA58, 1)</f>
        <v>1</v>
      </c>
      <c r="J118" s="25">
        <f>Source!S58</f>
        <v>2929.28</v>
      </c>
      <c r="K118" s="25"/>
    </row>
    <row r="119" spans="1:22" ht="41.25" x14ac:dyDescent="0.2">
      <c r="A119" s="22" t="s">
        <v>144</v>
      </c>
      <c r="B119" s="22" t="str">
        <f>Source!F59</f>
        <v>Цена поставщика</v>
      </c>
      <c r="C119" s="22" t="s">
        <v>839</v>
      </c>
      <c r="D119" s="23" t="str">
        <f>Source!H59</f>
        <v>шт.</v>
      </c>
      <c r="E119" s="10">
        <f>Source!I59</f>
        <v>23</v>
      </c>
      <c r="F119" s="25">
        <f>Source!AK59</f>
        <v>7895.33</v>
      </c>
      <c r="G119" s="31" t="s">
        <v>3</v>
      </c>
      <c r="H119" s="10">
        <f>Source!AW59</f>
        <v>1</v>
      </c>
      <c r="I119" s="10">
        <f>IF(Source!BC59&lt;&gt; 0, Source!BC59, 1)</f>
        <v>1</v>
      </c>
      <c r="J119" s="25">
        <f>Source!O59</f>
        <v>181592.59</v>
      </c>
      <c r="K119" s="25"/>
      <c r="Q119">
        <f>ROUND((Source!BZ59/100)*ROUND((Source!AF59*Source!AV59)*Source!I59, 2), 2)</f>
        <v>0</v>
      </c>
      <c r="R119">
        <f>Source!X59</f>
        <v>0</v>
      </c>
      <c r="S119">
        <f>ROUND((Source!CA59/100)*ROUND((Source!AF59*Source!AV59)*Source!I59, 2), 2)</f>
        <v>0</v>
      </c>
      <c r="T119">
        <f>Source!Y59</f>
        <v>0</v>
      </c>
      <c r="U119">
        <f>ROUND((175/100)*ROUND((Source!AE59*Source!AV59)*Source!I59, 2), 2)</f>
        <v>0</v>
      </c>
      <c r="V119">
        <f>ROUND((108/100)*ROUND(Source!CS59*Source!I59, 2), 2)</f>
        <v>0</v>
      </c>
    </row>
    <row r="120" spans="1:22" ht="14.25" x14ac:dyDescent="0.2">
      <c r="A120" s="22"/>
      <c r="B120" s="22"/>
      <c r="C120" s="22" t="s">
        <v>829</v>
      </c>
      <c r="D120" s="23" t="s">
        <v>830</v>
      </c>
      <c r="E120" s="10">
        <f>Source!AT58</f>
        <v>70</v>
      </c>
      <c r="F120" s="25"/>
      <c r="G120" s="24"/>
      <c r="H120" s="10"/>
      <c r="I120" s="10"/>
      <c r="J120" s="25">
        <f>SUM(R117:R119)</f>
        <v>2050.5</v>
      </c>
      <c r="K120" s="25"/>
    </row>
    <row r="121" spans="1:22" ht="14.25" x14ac:dyDescent="0.2">
      <c r="A121" s="22"/>
      <c r="B121" s="22"/>
      <c r="C121" s="22" t="s">
        <v>831</v>
      </c>
      <c r="D121" s="23" t="s">
        <v>830</v>
      </c>
      <c r="E121" s="10">
        <f>Source!AU58</f>
        <v>10</v>
      </c>
      <c r="F121" s="25"/>
      <c r="G121" s="24"/>
      <c r="H121" s="10"/>
      <c r="I121" s="10"/>
      <c r="J121" s="25">
        <f>SUM(T117:T120)</f>
        <v>292.93</v>
      </c>
      <c r="K121" s="25"/>
    </row>
    <row r="122" spans="1:22" ht="14.25" x14ac:dyDescent="0.2">
      <c r="A122" s="22"/>
      <c r="B122" s="22"/>
      <c r="C122" s="22" t="s">
        <v>833</v>
      </c>
      <c r="D122" s="23" t="s">
        <v>834</v>
      </c>
      <c r="E122" s="10">
        <f>Source!AQ58</f>
        <v>0.6</v>
      </c>
      <c r="F122" s="25"/>
      <c r="G122" s="24" t="str">
        <f>Source!DI58</f>
        <v/>
      </c>
      <c r="H122" s="10">
        <f>Source!AV58</f>
        <v>1</v>
      </c>
      <c r="I122" s="10"/>
      <c r="J122" s="25"/>
      <c r="K122" s="25">
        <f>Source!U58</f>
        <v>13.799999999999999</v>
      </c>
    </row>
    <row r="123" spans="1:22" ht="15" x14ac:dyDescent="0.25">
      <c r="A123" s="29"/>
      <c r="B123" s="29"/>
      <c r="C123" s="29"/>
      <c r="D123" s="29"/>
      <c r="E123" s="29"/>
      <c r="F123" s="29"/>
      <c r="G123" s="29"/>
      <c r="H123" s="29"/>
      <c r="I123" s="104">
        <f>J118+J120+J121+SUM(J119:J119)</f>
        <v>186865.3</v>
      </c>
      <c r="J123" s="104"/>
      <c r="K123" s="30">
        <f>IF(Source!I58&lt;&gt;0, ROUND(I123/Source!I58, 2), 0)</f>
        <v>8124.58</v>
      </c>
      <c r="P123" s="27">
        <f>I123</f>
        <v>186865.3</v>
      </c>
    </row>
    <row r="124" spans="1:22" ht="71.25" x14ac:dyDescent="0.2">
      <c r="A124" s="22">
        <v>11</v>
      </c>
      <c r="B124" s="22" t="str">
        <f>Source!F60</f>
        <v>1.21-3103-33-2/1</v>
      </c>
      <c r="C124" s="22" t="str">
        <f>Source!G60</f>
        <v>Прокладка труб гофрированных поливинилхлоридных наружным диаметром 20 мм открыто по стенам и потолкам с установкой соединительных коробок</v>
      </c>
      <c r="D124" s="23" t="str">
        <f>Source!H60</f>
        <v>100 м</v>
      </c>
      <c r="E124" s="10">
        <f>Source!I60</f>
        <v>0.22</v>
      </c>
      <c r="F124" s="25"/>
      <c r="G124" s="24"/>
      <c r="H124" s="10"/>
      <c r="I124" s="10"/>
      <c r="J124" s="25"/>
      <c r="K124" s="25"/>
      <c r="Q124">
        <f>ROUND((Source!BZ60/100)*ROUND((Source!AF60*Source!AV60)*Source!I60, 2), 2)</f>
        <v>679.2</v>
      </c>
      <c r="R124">
        <f>Source!X60</f>
        <v>679.2</v>
      </c>
      <c r="S124">
        <f>ROUND((Source!CA60/100)*ROUND((Source!AF60*Source!AV60)*Source!I60, 2), 2)</f>
        <v>97.03</v>
      </c>
      <c r="T124">
        <f>Source!Y60</f>
        <v>97.03</v>
      </c>
      <c r="U124">
        <f>ROUND((175/100)*ROUND((Source!AE60*Source!AV60)*Source!I60, 2), 2)</f>
        <v>1.93</v>
      </c>
      <c r="V124">
        <f>ROUND((108/100)*ROUND(Source!CS60*Source!I60, 2), 2)</f>
        <v>1.19</v>
      </c>
    </row>
    <row r="125" spans="1:22" x14ac:dyDescent="0.2">
      <c r="C125" s="32" t="str">
        <f>"Объем: "&amp;Source!I60&amp;"=22/"&amp;"100"</f>
        <v>Объем: 0,22=22/100</v>
      </c>
    </row>
    <row r="126" spans="1:22" ht="14.25" x14ac:dyDescent="0.2">
      <c r="A126" s="22"/>
      <c r="B126" s="22"/>
      <c r="C126" s="22" t="s">
        <v>825</v>
      </c>
      <c r="D126" s="23"/>
      <c r="E126" s="10"/>
      <c r="F126" s="25">
        <f>Source!AO60</f>
        <v>4410.37</v>
      </c>
      <c r="G126" s="24" t="str">
        <f>Source!DG60</f>
        <v/>
      </c>
      <c r="H126" s="10">
        <f>Source!AV60</f>
        <v>1</v>
      </c>
      <c r="I126" s="10">
        <f>IF(Source!BA60&lt;&gt; 0, Source!BA60, 1)</f>
        <v>1</v>
      </c>
      <c r="J126" s="25">
        <f>Source!S60</f>
        <v>970.28</v>
      </c>
      <c r="K126" s="25"/>
    </row>
    <row r="127" spans="1:22" ht="14.25" x14ac:dyDescent="0.2">
      <c r="A127" s="22"/>
      <c r="B127" s="22"/>
      <c r="C127" s="22" t="s">
        <v>826</v>
      </c>
      <c r="D127" s="23"/>
      <c r="E127" s="10"/>
      <c r="F127" s="25">
        <f>Source!AM60</f>
        <v>41.77</v>
      </c>
      <c r="G127" s="24" t="str">
        <f>Source!DE60</f>
        <v/>
      </c>
      <c r="H127" s="10">
        <f>Source!AV60</f>
        <v>1</v>
      </c>
      <c r="I127" s="10">
        <f>IF(Source!BB60&lt;&gt; 0, Source!BB60, 1)</f>
        <v>1</v>
      </c>
      <c r="J127" s="25">
        <f>Source!Q60</f>
        <v>9.19</v>
      </c>
      <c r="K127" s="25"/>
    </row>
    <row r="128" spans="1:22" ht="14.25" x14ac:dyDescent="0.2">
      <c r="A128" s="22"/>
      <c r="B128" s="22"/>
      <c r="C128" s="22" t="s">
        <v>827</v>
      </c>
      <c r="D128" s="23"/>
      <c r="E128" s="10"/>
      <c r="F128" s="25">
        <f>Source!AN60</f>
        <v>5</v>
      </c>
      <c r="G128" s="24" t="str">
        <f>Source!DF60</f>
        <v/>
      </c>
      <c r="H128" s="10">
        <f>Source!AV60</f>
        <v>1</v>
      </c>
      <c r="I128" s="10">
        <f>IF(Source!BS60&lt;&gt; 0, Source!BS60, 1)</f>
        <v>1</v>
      </c>
      <c r="J128" s="26">
        <f>Source!R60</f>
        <v>1.1000000000000001</v>
      </c>
      <c r="K128" s="25"/>
    </row>
    <row r="129" spans="1:22" ht="14.25" x14ac:dyDescent="0.2">
      <c r="A129" s="22"/>
      <c r="B129" s="22"/>
      <c r="C129" s="22" t="s">
        <v>828</v>
      </c>
      <c r="D129" s="23"/>
      <c r="E129" s="10"/>
      <c r="F129" s="25">
        <f>Source!AL60</f>
        <v>2915.8</v>
      </c>
      <c r="G129" s="24" t="str">
        <f>Source!DD60</f>
        <v/>
      </c>
      <c r="H129" s="10">
        <f>Source!AW60</f>
        <v>1</v>
      </c>
      <c r="I129" s="10">
        <f>IF(Source!BC60&lt;&gt; 0, Source!BC60, 1)</f>
        <v>1</v>
      </c>
      <c r="J129" s="25">
        <f>Source!P60</f>
        <v>641.48</v>
      </c>
      <c r="K129" s="25"/>
    </row>
    <row r="130" spans="1:22" ht="71.25" x14ac:dyDescent="0.2">
      <c r="A130" s="22" t="s">
        <v>151</v>
      </c>
      <c r="B130" s="22" t="str">
        <f>Source!F61</f>
        <v>21.21-5-61</v>
      </c>
      <c r="C130" s="22" t="str">
        <f>Source!G61</f>
        <v>Коробки для выполнения соединений и ответвлений электрических кабелей и проводов сечением до 4 мм2, прокладываемых в неметаллических трубах, тип КОР-73 УЗ</v>
      </c>
      <c r="D130" s="23" t="str">
        <f>Source!H61</f>
        <v>шт.</v>
      </c>
      <c r="E130" s="10">
        <f>Source!I61</f>
        <v>-1.1000000000000001</v>
      </c>
      <c r="F130" s="25">
        <f>Source!AK61</f>
        <v>30.24</v>
      </c>
      <c r="G130" s="31" t="s">
        <v>3</v>
      </c>
      <c r="H130" s="10">
        <f>Source!AW61</f>
        <v>1</v>
      </c>
      <c r="I130" s="10">
        <f>IF(Source!BC61&lt;&gt; 0, Source!BC61, 1)</f>
        <v>1</v>
      </c>
      <c r="J130" s="25">
        <f>Source!O61</f>
        <v>-33.26</v>
      </c>
      <c r="K130" s="25"/>
      <c r="Q130">
        <f>ROUND((Source!BZ61/100)*ROUND((Source!AF61*Source!AV61)*Source!I61, 2), 2)</f>
        <v>0</v>
      </c>
      <c r="R130">
        <f>Source!X61</f>
        <v>0</v>
      </c>
      <c r="S130">
        <f>ROUND((Source!CA61/100)*ROUND((Source!AF61*Source!AV61)*Source!I61, 2), 2)</f>
        <v>0</v>
      </c>
      <c r="T130">
        <f>Source!Y61</f>
        <v>0</v>
      </c>
      <c r="U130">
        <f>ROUND((175/100)*ROUND((Source!AE61*Source!AV61)*Source!I61, 2), 2)</f>
        <v>0</v>
      </c>
      <c r="V130">
        <f>ROUND((108/100)*ROUND(Source!CS61*Source!I61, 2), 2)</f>
        <v>0</v>
      </c>
    </row>
    <row r="131" spans="1:22" ht="14.25" x14ac:dyDescent="0.2">
      <c r="A131" s="22"/>
      <c r="B131" s="22"/>
      <c r="C131" s="22" t="s">
        <v>829</v>
      </c>
      <c r="D131" s="23" t="s">
        <v>830</v>
      </c>
      <c r="E131" s="10">
        <f>Source!AT60</f>
        <v>70</v>
      </c>
      <c r="F131" s="25"/>
      <c r="G131" s="24"/>
      <c r="H131" s="10"/>
      <c r="I131" s="10"/>
      <c r="J131" s="25">
        <f>SUM(R124:R130)</f>
        <v>679.2</v>
      </c>
      <c r="K131" s="25"/>
    </row>
    <row r="132" spans="1:22" ht="14.25" x14ac:dyDescent="0.2">
      <c r="A132" s="22"/>
      <c r="B132" s="22"/>
      <c r="C132" s="22" t="s">
        <v>831</v>
      </c>
      <c r="D132" s="23" t="s">
        <v>830</v>
      </c>
      <c r="E132" s="10">
        <f>Source!AU60</f>
        <v>10</v>
      </c>
      <c r="F132" s="25"/>
      <c r="G132" s="24"/>
      <c r="H132" s="10"/>
      <c r="I132" s="10"/>
      <c r="J132" s="25">
        <f>SUM(T124:T131)</f>
        <v>97.03</v>
      </c>
      <c r="K132" s="25"/>
    </row>
    <row r="133" spans="1:22" ht="14.25" x14ac:dyDescent="0.2">
      <c r="A133" s="22"/>
      <c r="B133" s="22"/>
      <c r="C133" s="22" t="s">
        <v>832</v>
      </c>
      <c r="D133" s="23" t="s">
        <v>830</v>
      </c>
      <c r="E133" s="10">
        <f>108</f>
        <v>108</v>
      </c>
      <c r="F133" s="25"/>
      <c r="G133" s="24"/>
      <c r="H133" s="10"/>
      <c r="I133" s="10"/>
      <c r="J133" s="25">
        <f>SUM(V124:V132)</f>
        <v>1.19</v>
      </c>
      <c r="K133" s="25"/>
    </row>
    <row r="134" spans="1:22" ht="14.25" x14ac:dyDescent="0.2">
      <c r="A134" s="22"/>
      <c r="B134" s="22"/>
      <c r="C134" s="22" t="s">
        <v>833</v>
      </c>
      <c r="D134" s="23" t="s">
        <v>834</v>
      </c>
      <c r="E134" s="10">
        <f>Source!AQ60</f>
        <v>17.260000000000002</v>
      </c>
      <c r="F134" s="25"/>
      <c r="G134" s="24" t="str">
        <f>Source!DI60</f>
        <v/>
      </c>
      <c r="H134" s="10">
        <f>Source!AV60</f>
        <v>1</v>
      </c>
      <c r="I134" s="10"/>
      <c r="J134" s="25"/>
      <c r="K134" s="25">
        <f>Source!U60</f>
        <v>3.7972000000000006</v>
      </c>
    </row>
    <row r="135" spans="1:22" ht="15" x14ac:dyDescent="0.25">
      <c r="A135" s="29"/>
      <c r="B135" s="29"/>
      <c r="C135" s="29"/>
      <c r="D135" s="29"/>
      <c r="E135" s="29"/>
      <c r="F135" s="29"/>
      <c r="G135" s="29"/>
      <c r="H135" s="29"/>
      <c r="I135" s="104">
        <f>J126+J127+J129+J131+J132+J133+SUM(J130:J130)</f>
        <v>2365.11</v>
      </c>
      <c r="J135" s="104"/>
      <c r="K135" s="30">
        <f>IF(Source!I60&lt;&gt;0, ROUND(I135/Source!I60, 2), 0)</f>
        <v>10750.5</v>
      </c>
      <c r="P135" s="27">
        <f>I135</f>
        <v>2365.11</v>
      </c>
    </row>
    <row r="136" spans="1:22" ht="85.5" x14ac:dyDescent="0.2">
      <c r="A136" s="22">
        <v>12</v>
      </c>
      <c r="B136" s="22" t="str">
        <f>Source!F62</f>
        <v>1.21-3103-21-3/1</v>
      </c>
      <c r="C136" s="22" t="str">
        <f>Source!G62</f>
        <v>Затягивание проводов и кабелей в проложенные трубы и металлические рукава, провод первый одножильный или многожильный в общей оплетке, суммарное сечение до 16 мм2 (без стоимости материалов)</v>
      </c>
      <c r="D136" s="23" t="str">
        <f>Source!H62</f>
        <v>100 м</v>
      </c>
      <c r="E136" s="10">
        <f>Source!I62</f>
        <v>0.22</v>
      </c>
      <c r="F136" s="25"/>
      <c r="G136" s="24"/>
      <c r="H136" s="10"/>
      <c r="I136" s="10"/>
      <c r="J136" s="25"/>
      <c r="K136" s="25"/>
      <c r="Q136">
        <f>ROUND((Source!BZ62/100)*ROUND((Source!AF62*Source!AV62)*Source!I62, 2), 2)</f>
        <v>318.33</v>
      </c>
      <c r="R136">
        <f>Source!X62</f>
        <v>318.33</v>
      </c>
      <c r="S136">
        <f>ROUND((Source!CA62/100)*ROUND((Source!AF62*Source!AV62)*Source!I62, 2), 2)</f>
        <v>45.48</v>
      </c>
      <c r="T136">
        <f>Source!Y62</f>
        <v>45.48</v>
      </c>
      <c r="U136">
        <f>ROUND((175/100)*ROUND((Source!AE62*Source!AV62)*Source!I62, 2), 2)</f>
        <v>0</v>
      </c>
      <c r="V136">
        <f>ROUND((108/100)*ROUND(Source!CS62*Source!I62, 2), 2)</f>
        <v>0</v>
      </c>
    </row>
    <row r="137" spans="1:22" x14ac:dyDescent="0.2">
      <c r="C137" s="32" t="str">
        <f>"Объем: "&amp;Source!I62&amp;"=22/"&amp;"100"</f>
        <v>Объем: 0,22=22/100</v>
      </c>
    </row>
    <row r="138" spans="1:22" ht="14.25" x14ac:dyDescent="0.2">
      <c r="A138" s="22"/>
      <c r="B138" s="22"/>
      <c r="C138" s="22" t="s">
        <v>825</v>
      </c>
      <c r="D138" s="23"/>
      <c r="E138" s="10"/>
      <c r="F138" s="25">
        <f>Source!AO62</f>
        <v>2067.0300000000002</v>
      </c>
      <c r="G138" s="24" t="str">
        <f>Source!DG62</f>
        <v/>
      </c>
      <c r="H138" s="10">
        <f>Source!AV62</f>
        <v>1</v>
      </c>
      <c r="I138" s="10">
        <f>IF(Source!BA62&lt;&gt; 0, Source!BA62, 1)</f>
        <v>1</v>
      </c>
      <c r="J138" s="25">
        <f>Source!S62</f>
        <v>454.75</v>
      </c>
      <c r="K138" s="25"/>
    </row>
    <row r="139" spans="1:22" ht="41.25" x14ac:dyDescent="0.2">
      <c r="A139" s="22" t="s">
        <v>161</v>
      </c>
      <c r="B139" s="22" t="str">
        <f>Source!F64</f>
        <v>Цена поставщика</v>
      </c>
      <c r="C139" s="22" t="s">
        <v>840</v>
      </c>
      <c r="D139" s="23" t="str">
        <f>Source!H64</f>
        <v>шт.</v>
      </c>
      <c r="E139" s="10">
        <f>Source!I64</f>
        <v>22</v>
      </c>
      <c r="F139" s="25">
        <f>Source!AK64</f>
        <v>650</v>
      </c>
      <c r="G139" s="31" t="s">
        <v>3</v>
      </c>
      <c r="H139" s="10">
        <f>Source!AW64</f>
        <v>1</v>
      </c>
      <c r="I139" s="10">
        <f>IF(Source!BC64&lt;&gt; 0, Source!BC64, 1)</f>
        <v>1</v>
      </c>
      <c r="J139" s="25">
        <f>Source!O64</f>
        <v>14300</v>
      </c>
      <c r="K139" s="25"/>
      <c r="Q139">
        <f>ROUND((Source!BZ64/100)*ROUND((Source!AF64*Source!AV64)*Source!I64, 2), 2)</f>
        <v>0</v>
      </c>
      <c r="R139">
        <f>Source!X64</f>
        <v>0</v>
      </c>
      <c r="S139">
        <f>ROUND((Source!CA64/100)*ROUND((Source!AF64*Source!AV64)*Source!I64, 2), 2)</f>
        <v>0</v>
      </c>
      <c r="T139">
        <f>Source!Y64</f>
        <v>0</v>
      </c>
      <c r="U139">
        <f>ROUND((175/100)*ROUND((Source!AE64*Source!AV64)*Source!I64, 2), 2)</f>
        <v>0</v>
      </c>
      <c r="V139">
        <f>ROUND((108/100)*ROUND(Source!CS64*Source!I64, 2), 2)</f>
        <v>0</v>
      </c>
    </row>
    <row r="140" spans="1:22" ht="14.25" x14ac:dyDescent="0.2">
      <c r="A140" s="22"/>
      <c r="B140" s="22"/>
      <c r="C140" s="22" t="s">
        <v>829</v>
      </c>
      <c r="D140" s="23" t="s">
        <v>830</v>
      </c>
      <c r="E140" s="10">
        <f>Source!AT62</f>
        <v>70</v>
      </c>
      <c r="F140" s="25"/>
      <c r="G140" s="24"/>
      <c r="H140" s="10"/>
      <c r="I140" s="10"/>
      <c r="J140" s="25">
        <f>SUM(R136:R139)</f>
        <v>318.33</v>
      </c>
      <c r="K140" s="25"/>
    </row>
    <row r="141" spans="1:22" ht="14.25" x14ac:dyDescent="0.2">
      <c r="A141" s="22"/>
      <c r="B141" s="22"/>
      <c r="C141" s="22" t="s">
        <v>831</v>
      </c>
      <c r="D141" s="23" t="s">
        <v>830</v>
      </c>
      <c r="E141" s="10">
        <f>Source!AU62</f>
        <v>10</v>
      </c>
      <c r="F141" s="25"/>
      <c r="G141" s="24"/>
      <c r="H141" s="10"/>
      <c r="I141" s="10"/>
      <c r="J141" s="25">
        <f>SUM(T136:T140)</f>
        <v>45.48</v>
      </c>
      <c r="K141" s="25"/>
    </row>
    <row r="142" spans="1:22" ht="14.25" x14ac:dyDescent="0.2">
      <c r="A142" s="22"/>
      <c r="B142" s="22"/>
      <c r="C142" s="22" t="s">
        <v>833</v>
      </c>
      <c r="D142" s="23" t="s">
        <v>834</v>
      </c>
      <c r="E142" s="10">
        <f>Source!AQ62</f>
        <v>8.2899999999999991</v>
      </c>
      <c r="F142" s="25"/>
      <c r="G142" s="24" t="str">
        <f>Source!DI62</f>
        <v/>
      </c>
      <c r="H142" s="10">
        <f>Source!AV62</f>
        <v>1</v>
      </c>
      <c r="I142" s="10"/>
      <c r="J142" s="25"/>
      <c r="K142" s="25">
        <f>Source!U62</f>
        <v>1.8237999999999999</v>
      </c>
    </row>
    <row r="143" spans="1:22" ht="15" x14ac:dyDescent="0.25">
      <c r="A143" s="29"/>
      <c r="B143" s="29"/>
      <c r="C143" s="29"/>
      <c r="D143" s="29"/>
      <c r="E143" s="29"/>
      <c r="F143" s="29"/>
      <c r="G143" s="29"/>
      <c r="H143" s="29"/>
      <c r="I143" s="104">
        <f>J138+J140+J141+SUM(J139:J139)</f>
        <v>15118.56</v>
      </c>
      <c r="J143" s="104"/>
      <c r="K143" s="30">
        <f>IF(Source!I62&lt;&gt;0, ROUND(I143/Source!I62, 2), 0)</f>
        <v>68720.73</v>
      </c>
      <c r="P143" s="27">
        <f>I143</f>
        <v>15118.56</v>
      </c>
    </row>
    <row r="144" spans="1:22" ht="42.75" x14ac:dyDescent="0.2">
      <c r="A144" s="22">
        <v>13</v>
      </c>
      <c r="B144" s="22" t="str">
        <f>Source!F65</f>
        <v>1.21-3103-31-2/3</v>
      </c>
      <c r="C144" s="22" t="str">
        <f>Source!G65</f>
        <v>Прокладка пластикового кабель-канала - по бетонному основанию / сечение 60х40 мм</v>
      </c>
      <c r="D144" s="23" t="str">
        <f>Source!H65</f>
        <v>100 м</v>
      </c>
      <c r="E144" s="10">
        <f>Source!I65</f>
        <v>0.91</v>
      </c>
      <c r="F144" s="25"/>
      <c r="G144" s="24"/>
      <c r="H144" s="10"/>
      <c r="I144" s="10"/>
      <c r="J144" s="25"/>
      <c r="K144" s="25"/>
      <c r="Q144">
        <f>ROUND((Source!BZ65/100)*ROUND((Source!AF65*Source!AV65)*Source!I65, 2), 2)</f>
        <v>6924.82</v>
      </c>
      <c r="R144">
        <f>Source!X65</f>
        <v>6924.82</v>
      </c>
      <c r="S144">
        <f>ROUND((Source!CA65/100)*ROUND((Source!AF65*Source!AV65)*Source!I65, 2), 2)</f>
        <v>989.26</v>
      </c>
      <c r="T144">
        <f>Source!Y65</f>
        <v>989.26</v>
      </c>
      <c r="U144">
        <f>ROUND((175/100)*ROUND((Source!AE65*Source!AV65)*Source!I65, 2), 2)</f>
        <v>0.44</v>
      </c>
      <c r="V144">
        <f>ROUND((108/100)*ROUND(Source!CS65*Source!I65, 2), 2)</f>
        <v>0.27</v>
      </c>
    </row>
    <row r="145" spans="1:22" x14ac:dyDescent="0.2">
      <c r="C145" s="32" t="str">
        <f>"Объем: "&amp;Source!I65&amp;"=91/"&amp;"100"</f>
        <v>Объем: 0,91=91/100</v>
      </c>
    </row>
    <row r="146" spans="1:22" ht="14.25" x14ac:dyDescent="0.2">
      <c r="A146" s="22"/>
      <c r="B146" s="22"/>
      <c r="C146" s="22" t="s">
        <v>825</v>
      </c>
      <c r="D146" s="23"/>
      <c r="E146" s="10"/>
      <c r="F146" s="25">
        <f>Source!AO65</f>
        <v>10870.99</v>
      </c>
      <c r="G146" s="24" t="str">
        <f>Source!DG65</f>
        <v/>
      </c>
      <c r="H146" s="10">
        <f>Source!AV65</f>
        <v>1</v>
      </c>
      <c r="I146" s="10">
        <f>IF(Source!BA65&lt;&gt; 0, Source!BA65, 1)</f>
        <v>1</v>
      </c>
      <c r="J146" s="25">
        <f>Source!S65</f>
        <v>9892.6</v>
      </c>
      <c r="K146" s="25"/>
    </row>
    <row r="147" spans="1:22" ht="14.25" x14ac:dyDescent="0.2">
      <c r="A147" s="22"/>
      <c r="B147" s="22"/>
      <c r="C147" s="22" t="s">
        <v>826</v>
      </c>
      <c r="D147" s="23"/>
      <c r="E147" s="10"/>
      <c r="F147" s="25">
        <f>Source!AM65</f>
        <v>41.99</v>
      </c>
      <c r="G147" s="24" t="str">
        <f>Source!DE65</f>
        <v/>
      </c>
      <c r="H147" s="10">
        <f>Source!AV65</f>
        <v>1</v>
      </c>
      <c r="I147" s="10">
        <f>IF(Source!BB65&lt;&gt; 0, Source!BB65, 1)</f>
        <v>1</v>
      </c>
      <c r="J147" s="25">
        <f>Source!Q65</f>
        <v>38.21</v>
      </c>
      <c r="K147" s="25"/>
    </row>
    <row r="148" spans="1:22" ht="14.25" x14ac:dyDescent="0.2">
      <c r="A148" s="22"/>
      <c r="B148" s="22"/>
      <c r="C148" s="22" t="s">
        <v>827</v>
      </c>
      <c r="D148" s="23"/>
      <c r="E148" s="10"/>
      <c r="F148" s="25">
        <f>Source!AN65</f>
        <v>0.28000000000000003</v>
      </c>
      <c r="G148" s="24" t="str">
        <f>Source!DF65</f>
        <v/>
      </c>
      <c r="H148" s="10">
        <f>Source!AV65</f>
        <v>1</v>
      </c>
      <c r="I148" s="10">
        <f>IF(Source!BS65&lt;&gt; 0, Source!BS65, 1)</f>
        <v>1</v>
      </c>
      <c r="J148" s="26">
        <f>Source!R65</f>
        <v>0.25</v>
      </c>
      <c r="K148" s="25"/>
    </row>
    <row r="149" spans="1:22" ht="14.25" x14ac:dyDescent="0.2">
      <c r="A149" s="22"/>
      <c r="B149" s="22"/>
      <c r="C149" s="22" t="s">
        <v>828</v>
      </c>
      <c r="D149" s="23"/>
      <c r="E149" s="10"/>
      <c r="F149" s="25">
        <f>Source!AL65</f>
        <v>32327.86</v>
      </c>
      <c r="G149" s="24" t="str">
        <f>Source!DD65</f>
        <v/>
      </c>
      <c r="H149" s="10">
        <f>Source!AW65</f>
        <v>1</v>
      </c>
      <c r="I149" s="10">
        <f>IF(Source!BC65&lt;&gt; 0, Source!BC65, 1)</f>
        <v>1</v>
      </c>
      <c r="J149" s="25">
        <f>Source!P65</f>
        <v>29418.35</v>
      </c>
      <c r="K149" s="25"/>
    </row>
    <row r="150" spans="1:22" ht="41.25" x14ac:dyDescent="0.2">
      <c r="A150" s="22" t="s">
        <v>168</v>
      </c>
      <c r="B150" s="22" t="str">
        <f>Source!F66</f>
        <v>Цена поставщика</v>
      </c>
      <c r="C150" s="22" t="s">
        <v>841</v>
      </c>
      <c r="D150" s="23" t="str">
        <f>Source!H66</f>
        <v>м</v>
      </c>
      <c r="E150" s="10">
        <f>Source!I66</f>
        <v>91</v>
      </c>
      <c r="F150" s="25">
        <f>Source!AK66</f>
        <v>238.33</v>
      </c>
      <c r="G150" s="31" t="s">
        <v>3</v>
      </c>
      <c r="H150" s="10">
        <f>Source!AW66</f>
        <v>1</v>
      </c>
      <c r="I150" s="10">
        <f>IF(Source!BC66&lt;&gt; 0, Source!BC66, 1)</f>
        <v>1</v>
      </c>
      <c r="J150" s="25">
        <f>Source!O66</f>
        <v>21688.03</v>
      </c>
      <c r="K150" s="25"/>
      <c r="Q150">
        <f>ROUND((Source!BZ66/100)*ROUND((Source!AF66*Source!AV66)*Source!I66, 2), 2)</f>
        <v>0</v>
      </c>
      <c r="R150">
        <f>Source!X66</f>
        <v>0</v>
      </c>
      <c r="S150">
        <f>ROUND((Source!CA66/100)*ROUND((Source!AF66*Source!AV66)*Source!I66, 2), 2)</f>
        <v>0</v>
      </c>
      <c r="T150">
        <f>Source!Y66</f>
        <v>0</v>
      </c>
      <c r="U150">
        <f>ROUND((175/100)*ROUND((Source!AE66*Source!AV66)*Source!I66, 2), 2)</f>
        <v>0</v>
      </c>
      <c r="V150">
        <f>ROUND((108/100)*ROUND(Source!CS66*Source!I66, 2), 2)</f>
        <v>0</v>
      </c>
    </row>
    <row r="151" spans="1:22" ht="28.5" x14ac:dyDescent="0.2">
      <c r="A151" s="22" t="s">
        <v>183</v>
      </c>
      <c r="B151" s="22" t="str">
        <f>Source!F71</f>
        <v>21.1-25-1027</v>
      </c>
      <c r="C151" s="22" t="str">
        <f>Source!G71</f>
        <v>Кабель-каналы, размер 60х40 мм: кабель-каналы</v>
      </c>
      <c r="D151" s="23" t="str">
        <f>Source!H71</f>
        <v>м</v>
      </c>
      <c r="E151" s="10">
        <f>Source!I71</f>
        <v>-91</v>
      </c>
      <c r="F151" s="25">
        <f>Source!AK71</f>
        <v>165.94</v>
      </c>
      <c r="G151" s="31" t="s">
        <v>3</v>
      </c>
      <c r="H151" s="10">
        <f>Source!AW71</f>
        <v>1</v>
      </c>
      <c r="I151" s="10">
        <f>IF(Source!BC71&lt;&gt; 0, Source!BC71, 1)</f>
        <v>1</v>
      </c>
      <c r="J151" s="25">
        <f>Source!O71</f>
        <v>-15100.54</v>
      </c>
      <c r="K151" s="25"/>
      <c r="Q151">
        <f>ROUND((Source!BZ71/100)*ROUND((Source!AF71*Source!AV71)*Source!I71, 2), 2)</f>
        <v>0</v>
      </c>
      <c r="R151">
        <f>Source!X71</f>
        <v>0</v>
      </c>
      <c r="S151">
        <f>ROUND((Source!CA71/100)*ROUND((Source!AF71*Source!AV71)*Source!I71, 2), 2)</f>
        <v>0</v>
      </c>
      <c r="T151">
        <f>Source!Y71</f>
        <v>0</v>
      </c>
      <c r="U151">
        <f>ROUND((175/100)*ROUND((Source!AE71*Source!AV71)*Source!I71, 2), 2)</f>
        <v>0</v>
      </c>
      <c r="V151">
        <f>ROUND((108/100)*ROUND(Source!CS71*Source!I71, 2), 2)</f>
        <v>0</v>
      </c>
    </row>
    <row r="152" spans="1:22" ht="28.5" x14ac:dyDescent="0.2">
      <c r="A152" s="22" t="s">
        <v>187</v>
      </c>
      <c r="B152" s="22" t="str">
        <f>Source!F72</f>
        <v>21.1-25-1028</v>
      </c>
      <c r="C152" s="22" t="str">
        <f>Source!G72</f>
        <v>Кабель-каналы, размер 60х40 мм: заглушки</v>
      </c>
      <c r="D152" s="23" t="str">
        <f>Source!H72</f>
        <v>шт.</v>
      </c>
      <c r="E152" s="10">
        <f>Source!I72</f>
        <v>-13.65</v>
      </c>
      <c r="F152" s="25">
        <f>Source!AK72</f>
        <v>86.79</v>
      </c>
      <c r="G152" s="31" t="s">
        <v>3</v>
      </c>
      <c r="H152" s="10">
        <f>Source!AW72</f>
        <v>1</v>
      </c>
      <c r="I152" s="10">
        <f>IF(Source!BC72&lt;&gt; 0, Source!BC72, 1)</f>
        <v>1</v>
      </c>
      <c r="J152" s="25">
        <f>Source!O72</f>
        <v>-1184.68</v>
      </c>
      <c r="K152" s="25"/>
      <c r="Q152">
        <f>ROUND((Source!BZ72/100)*ROUND((Source!AF72*Source!AV72)*Source!I72, 2), 2)</f>
        <v>0</v>
      </c>
      <c r="R152">
        <f>Source!X72</f>
        <v>0</v>
      </c>
      <c r="S152">
        <f>ROUND((Source!CA72/100)*ROUND((Source!AF72*Source!AV72)*Source!I72, 2), 2)</f>
        <v>0</v>
      </c>
      <c r="T152">
        <f>Source!Y72</f>
        <v>0</v>
      </c>
      <c r="U152">
        <f>ROUND((175/100)*ROUND((Source!AE72*Source!AV72)*Source!I72, 2), 2)</f>
        <v>0</v>
      </c>
      <c r="V152">
        <f>ROUND((108/100)*ROUND(Source!CS72*Source!I72, 2), 2)</f>
        <v>0</v>
      </c>
    </row>
    <row r="153" spans="1:22" ht="28.5" x14ac:dyDescent="0.2">
      <c r="A153" s="22" t="s">
        <v>191</v>
      </c>
      <c r="B153" s="22" t="str">
        <f>Source!F73</f>
        <v>21.1-25-1029</v>
      </c>
      <c r="C153" s="22" t="str">
        <f>Source!G73</f>
        <v>Кабель-каналы, размер 60х40 мм: накладки стыковые</v>
      </c>
      <c r="D153" s="23" t="str">
        <f>Source!H73</f>
        <v>шт.</v>
      </c>
      <c r="E153" s="10">
        <f>Source!I73</f>
        <v>-3.64</v>
      </c>
      <c r="F153" s="25">
        <f>Source!AK73</f>
        <v>74.03</v>
      </c>
      <c r="G153" s="31" t="s">
        <v>3</v>
      </c>
      <c r="H153" s="10">
        <f>Source!AW73</f>
        <v>1</v>
      </c>
      <c r="I153" s="10">
        <f>IF(Source!BC73&lt;&gt; 0, Source!BC73, 1)</f>
        <v>1</v>
      </c>
      <c r="J153" s="25">
        <f>Source!O73</f>
        <v>-269.47000000000003</v>
      </c>
      <c r="K153" s="25"/>
      <c r="Q153">
        <f>ROUND((Source!BZ73/100)*ROUND((Source!AF73*Source!AV73)*Source!I73, 2), 2)</f>
        <v>0</v>
      </c>
      <c r="R153">
        <f>Source!X73</f>
        <v>0</v>
      </c>
      <c r="S153">
        <f>ROUND((Source!CA73/100)*ROUND((Source!AF73*Source!AV73)*Source!I73, 2), 2)</f>
        <v>0</v>
      </c>
      <c r="T153">
        <f>Source!Y73</f>
        <v>0</v>
      </c>
      <c r="U153">
        <f>ROUND((175/100)*ROUND((Source!AE73*Source!AV73)*Source!I73, 2), 2)</f>
        <v>0</v>
      </c>
      <c r="V153">
        <f>ROUND((108/100)*ROUND(Source!CS73*Source!I73, 2), 2)</f>
        <v>0</v>
      </c>
    </row>
    <row r="154" spans="1:22" ht="28.5" x14ac:dyDescent="0.2">
      <c r="A154" s="22" t="s">
        <v>195</v>
      </c>
      <c r="B154" s="22" t="str">
        <f>Source!F74</f>
        <v>21.1-25-1031</v>
      </c>
      <c r="C154" s="22" t="str">
        <f>Source!G74</f>
        <v>Кабель-каналы, размер 60х40 мм: тройники</v>
      </c>
      <c r="D154" s="23" t="str">
        <f>Source!H74</f>
        <v>шт.</v>
      </c>
      <c r="E154" s="10">
        <f>Source!I74</f>
        <v>-1.82</v>
      </c>
      <c r="F154" s="25">
        <f>Source!AK74</f>
        <v>178.03</v>
      </c>
      <c r="G154" s="31" t="s">
        <v>3</v>
      </c>
      <c r="H154" s="10">
        <f>Source!AW74</f>
        <v>1</v>
      </c>
      <c r="I154" s="10">
        <f>IF(Source!BC74&lt;&gt; 0, Source!BC74, 1)</f>
        <v>1</v>
      </c>
      <c r="J154" s="25">
        <f>Source!O74</f>
        <v>-324.01</v>
      </c>
      <c r="K154" s="25"/>
      <c r="Q154">
        <f>ROUND((Source!BZ74/100)*ROUND((Source!AF74*Source!AV74)*Source!I74, 2), 2)</f>
        <v>0</v>
      </c>
      <c r="R154">
        <f>Source!X74</f>
        <v>0</v>
      </c>
      <c r="S154">
        <f>ROUND((Source!CA74/100)*ROUND((Source!AF74*Source!AV74)*Source!I74, 2), 2)</f>
        <v>0</v>
      </c>
      <c r="T154">
        <f>Source!Y74</f>
        <v>0</v>
      </c>
      <c r="U154">
        <f>ROUND((175/100)*ROUND((Source!AE74*Source!AV74)*Source!I74, 2), 2)</f>
        <v>0</v>
      </c>
      <c r="V154">
        <f>ROUND((108/100)*ROUND(Source!CS74*Source!I74, 2), 2)</f>
        <v>0</v>
      </c>
    </row>
    <row r="155" spans="1:22" ht="28.5" x14ac:dyDescent="0.2">
      <c r="A155" s="22" t="s">
        <v>199</v>
      </c>
      <c r="B155" s="22" t="str">
        <f>Source!F75</f>
        <v>21.1-25-1032</v>
      </c>
      <c r="C155" s="22" t="str">
        <f>Source!G75</f>
        <v>Кабель-каналы, размер 60х40 мм: углы внутренние</v>
      </c>
      <c r="D155" s="23" t="str">
        <f>Source!H75</f>
        <v>шт.</v>
      </c>
      <c r="E155" s="10">
        <f>Source!I75</f>
        <v>-1.82</v>
      </c>
      <c r="F155" s="25">
        <f>Source!AK75</f>
        <v>136.5</v>
      </c>
      <c r="G155" s="31" t="s">
        <v>3</v>
      </c>
      <c r="H155" s="10">
        <f>Source!AW75</f>
        <v>1</v>
      </c>
      <c r="I155" s="10">
        <f>IF(Source!BC75&lt;&gt; 0, Source!BC75, 1)</f>
        <v>1</v>
      </c>
      <c r="J155" s="25">
        <f>Source!O75</f>
        <v>-248.43</v>
      </c>
      <c r="K155" s="25"/>
      <c r="Q155">
        <f>ROUND((Source!BZ75/100)*ROUND((Source!AF75*Source!AV75)*Source!I75, 2), 2)</f>
        <v>0</v>
      </c>
      <c r="R155">
        <f>Source!X75</f>
        <v>0</v>
      </c>
      <c r="S155">
        <f>ROUND((Source!CA75/100)*ROUND((Source!AF75*Source!AV75)*Source!I75, 2), 2)</f>
        <v>0</v>
      </c>
      <c r="T155">
        <f>Source!Y75</f>
        <v>0</v>
      </c>
      <c r="U155">
        <f>ROUND((175/100)*ROUND((Source!AE75*Source!AV75)*Source!I75, 2), 2)</f>
        <v>0</v>
      </c>
      <c r="V155">
        <f>ROUND((108/100)*ROUND(Source!CS75*Source!I75, 2), 2)</f>
        <v>0</v>
      </c>
    </row>
    <row r="156" spans="1:22" ht="28.5" x14ac:dyDescent="0.2">
      <c r="A156" s="22" t="s">
        <v>203</v>
      </c>
      <c r="B156" s="22" t="str">
        <f>Source!F76</f>
        <v>21.1-25-1033</v>
      </c>
      <c r="C156" s="22" t="str">
        <f>Source!G76</f>
        <v>Кабель-каналы, размер 60х40 мм: углы наружные</v>
      </c>
      <c r="D156" s="23" t="str">
        <f>Source!H76</f>
        <v>шт.</v>
      </c>
      <c r="E156" s="10">
        <f>Source!I76</f>
        <v>-13.65</v>
      </c>
      <c r="F156" s="25">
        <f>Source!AK76</f>
        <v>141.79</v>
      </c>
      <c r="G156" s="31" t="s">
        <v>3</v>
      </c>
      <c r="H156" s="10">
        <f>Source!AW76</f>
        <v>1</v>
      </c>
      <c r="I156" s="10">
        <f>IF(Source!BC76&lt;&gt; 0, Source!BC76, 1)</f>
        <v>1</v>
      </c>
      <c r="J156" s="25">
        <f>Source!O76</f>
        <v>-1935.43</v>
      </c>
      <c r="K156" s="25"/>
      <c r="Q156">
        <f>ROUND((Source!BZ76/100)*ROUND((Source!AF76*Source!AV76)*Source!I76, 2), 2)</f>
        <v>0</v>
      </c>
      <c r="R156">
        <f>Source!X76</f>
        <v>0</v>
      </c>
      <c r="S156">
        <f>ROUND((Source!CA76/100)*ROUND((Source!AF76*Source!AV76)*Source!I76, 2), 2)</f>
        <v>0</v>
      </c>
      <c r="T156">
        <f>Source!Y76</f>
        <v>0</v>
      </c>
      <c r="U156">
        <f>ROUND((175/100)*ROUND((Source!AE76*Source!AV76)*Source!I76, 2), 2)</f>
        <v>0</v>
      </c>
      <c r="V156">
        <f>ROUND((108/100)*ROUND(Source!CS76*Source!I76, 2), 2)</f>
        <v>0</v>
      </c>
    </row>
    <row r="157" spans="1:22" ht="28.5" x14ac:dyDescent="0.2">
      <c r="A157" s="22" t="s">
        <v>207</v>
      </c>
      <c r="B157" s="22" t="str">
        <f>Source!F77</f>
        <v>21.1-25-1034</v>
      </c>
      <c r="C157" s="22" t="str">
        <f>Source!G77</f>
        <v>Кабель-каналы, размер 60х40 мм: углы плоские</v>
      </c>
      <c r="D157" s="23" t="str">
        <f>Source!H77</f>
        <v>шт.</v>
      </c>
      <c r="E157" s="10">
        <f>Source!I77</f>
        <v>-1.82</v>
      </c>
      <c r="F157" s="25">
        <f>Source!AK77</f>
        <v>192.42</v>
      </c>
      <c r="G157" s="31" t="s">
        <v>3</v>
      </c>
      <c r="H157" s="10">
        <f>Source!AW77</f>
        <v>1</v>
      </c>
      <c r="I157" s="10">
        <f>IF(Source!BC77&lt;&gt; 0, Source!BC77, 1)</f>
        <v>1</v>
      </c>
      <c r="J157" s="25">
        <f>Source!O77</f>
        <v>-350.2</v>
      </c>
      <c r="K157" s="25"/>
      <c r="Q157">
        <f>ROUND((Source!BZ77/100)*ROUND((Source!AF77*Source!AV77)*Source!I77, 2), 2)</f>
        <v>0</v>
      </c>
      <c r="R157">
        <f>Source!X77</f>
        <v>0</v>
      </c>
      <c r="S157">
        <f>ROUND((Source!CA77/100)*ROUND((Source!AF77*Source!AV77)*Source!I77, 2), 2)</f>
        <v>0</v>
      </c>
      <c r="T157">
        <f>Source!Y77</f>
        <v>0</v>
      </c>
      <c r="U157">
        <f>ROUND((175/100)*ROUND((Source!AE77*Source!AV77)*Source!I77, 2), 2)</f>
        <v>0</v>
      </c>
      <c r="V157">
        <f>ROUND((108/100)*ROUND(Source!CS77*Source!I77, 2), 2)</f>
        <v>0</v>
      </c>
    </row>
    <row r="158" spans="1:22" ht="14.25" x14ac:dyDescent="0.2">
      <c r="A158" s="22"/>
      <c r="B158" s="22"/>
      <c r="C158" s="22" t="s">
        <v>829</v>
      </c>
      <c r="D158" s="23" t="s">
        <v>830</v>
      </c>
      <c r="E158" s="10">
        <f>Source!AT65</f>
        <v>70</v>
      </c>
      <c r="F158" s="25"/>
      <c r="G158" s="24"/>
      <c r="H158" s="10"/>
      <c r="I158" s="10"/>
      <c r="J158" s="25">
        <f>SUM(R144:R157)</f>
        <v>6924.82</v>
      </c>
      <c r="K158" s="25"/>
    </row>
    <row r="159" spans="1:22" ht="14.25" x14ac:dyDescent="0.2">
      <c r="A159" s="22"/>
      <c r="B159" s="22"/>
      <c r="C159" s="22" t="s">
        <v>831</v>
      </c>
      <c r="D159" s="23" t="s">
        <v>830</v>
      </c>
      <c r="E159" s="10">
        <f>Source!AU65</f>
        <v>10</v>
      </c>
      <c r="F159" s="25"/>
      <c r="G159" s="24"/>
      <c r="H159" s="10"/>
      <c r="I159" s="10"/>
      <c r="J159" s="25">
        <f>SUM(T144:T158)</f>
        <v>989.26</v>
      </c>
      <c r="K159" s="25"/>
    </row>
    <row r="160" spans="1:22" ht="14.25" x14ac:dyDescent="0.2">
      <c r="A160" s="22"/>
      <c r="B160" s="22"/>
      <c r="C160" s="22" t="s">
        <v>832</v>
      </c>
      <c r="D160" s="23" t="s">
        <v>830</v>
      </c>
      <c r="E160" s="10">
        <f>108</f>
        <v>108</v>
      </c>
      <c r="F160" s="25"/>
      <c r="G160" s="24"/>
      <c r="H160" s="10"/>
      <c r="I160" s="10"/>
      <c r="J160" s="25">
        <f>SUM(V144:V159)</f>
        <v>0.27</v>
      </c>
      <c r="K160" s="25"/>
    </row>
    <row r="161" spans="1:22" ht="14.25" x14ac:dyDescent="0.2">
      <c r="A161" s="22"/>
      <c r="B161" s="22"/>
      <c r="C161" s="22" t="s">
        <v>833</v>
      </c>
      <c r="D161" s="23" t="s">
        <v>834</v>
      </c>
      <c r="E161" s="10">
        <f>Source!AQ65</f>
        <v>46.78</v>
      </c>
      <c r="F161" s="25"/>
      <c r="G161" s="24" t="str">
        <f>Source!DI65</f>
        <v/>
      </c>
      <c r="H161" s="10">
        <f>Source!AV65</f>
        <v>1</v>
      </c>
      <c r="I161" s="10"/>
      <c r="J161" s="25"/>
      <c r="K161" s="25">
        <f>Source!U65</f>
        <v>42.569800000000001</v>
      </c>
    </row>
    <row r="162" spans="1:22" ht="15" x14ac:dyDescent="0.25">
      <c r="A162" s="29"/>
      <c r="B162" s="29"/>
      <c r="C162" s="29"/>
      <c r="D162" s="29"/>
      <c r="E162" s="29"/>
      <c r="F162" s="29"/>
      <c r="G162" s="29"/>
      <c r="H162" s="29"/>
      <c r="I162" s="104">
        <f>J146+J147+J149+J158+J159+J160+SUM(J150:J157)</f>
        <v>49538.779999999992</v>
      </c>
      <c r="J162" s="104"/>
      <c r="K162" s="30">
        <f>IF(Source!I65&lt;&gt;0, ROUND(I162/Source!I65, 2), 0)</f>
        <v>54438.22</v>
      </c>
      <c r="P162" s="27">
        <f>I162</f>
        <v>49538.779999999992</v>
      </c>
    </row>
    <row r="163" spans="1:22" ht="28.5" x14ac:dyDescent="0.2">
      <c r="A163" s="22">
        <v>14</v>
      </c>
      <c r="B163" s="22" t="str">
        <f>Source!F78</f>
        <v>1.21-3103-8-2/1</v>
      </c>
      <c r="C163" s="22" t="str">
        <f>Source!G78</f>
        <v>Прокладка проводов и кабелей в коробах, провод сечением до 35 мм2</v>
      </c>
      <c r="D163" s="23" t="str">
        <f>Source!H78</f>
        <v>100 м</v>
      </c>
      <c r="E163" s="10">
        <f>Source!I78</f>
        <v>1.44</v>
      </c>
      <c r="F163" s="25"/>
      <c r="G163" s="24"/>
      <c r="H163" s="10"/>
      <c r="I163" s="10"/>
      <c r="J163" s="25"/>
      <c r="K163" s="25"/>
      <c r="Q163">
        <f>ROUND((Source!BZ78/100)*ROUND((Source!AF78*Source!AV78)*Source!I78, 2), 2)</f>
        <v>1191.32</v>
      </c>
      <c r="R163">
        <f>Source!X78</f>
        <v>1191.32</v>
      </c>
      <c r="S163">
        <f>ROUND((Source!CA78/100)*ROUND((Source!AF78*Source!AV78)*Source!I78, 2), 2)</f>
        <v>170.19</v>
      </c>
      <c r="T163">
        <f>Source!Y78</f>
        <v>170.19</v>
      </c>
      <c r="U163">
        <f>ROUND((175/100)*ROUND((Source!AE78*Source!AV78)*Source!I78, 2), 2)</f>
        <v>0</v>
      </c>
      <c r="V163">
        <f>ROUND((108/100)*ROUND(Source!CS78*Source!I78, 2), 2)</f>
        <v>0</v>
      </c>
    </row>
    <row r="164" spans="1:22" x14ac:dyDescent="0.2">
      <c r="C164" s="32" t="str">
        <f>"Объем: "&amp;Source!I78&amp;"=144/"&amp;"100"</f>
        <v>Объем: 1,44=144/100</v>
      </c>
    </row>
    <row r="165" spans="1:22" ht="14.25" x14ac:dyDescent="0.2">
      <c r="A165" s="22"/>
      <c r="B165" s="22"/>
      <c r="C165" s="22" t="s">
        <v>825</v>
      </c>
      <c r="D165" s="23"/>
      <c r="E165" s="10"/>
      <c r="F165" s="25">
        <f>Source!AO78</f>
        <v>1181.8699999999999</v>
      </c>
      <c r="G165" s="24" t="str">
        <f>Source!DG78</f>
        <v/>
      </c>
      <c r="H165" s="10">
        <f>Source!AV78</f>
        <v>1</v>
      </c>
      <c r="I165" s="10">
        <f>IF(Source!BA78&lt;&gt; 0, Source!BA78, 1)</f>
        <v>1</v>
      </c>
      <c r="J165" s="25">
        <f>Source!S78</f>
        <v>1701.89</v>
      </c>
      <c r="K165" s="25"/>
    </row>
    <row r="166" spans="1:22" ht="14.25" x14ac:dyDescent="0.2">
      <c r="A166" s="22"/>
      <c r="B166" s="22"/>
      <c r="C166" s="22" t="s">
        <v>828</v>
      </c>
      <c r="D166" s="23"/>
      <c r="E166" s="10"/>
      <c r="F166" s="25">
        <f>Source!AL78</f>
        <v>16876.650000000001</v>
      </c>
      <c r="G166" s="24" t="str">
        <f>Source!DD78</f>
        <v/>
      </c>
      <c r="H166" s="10">
        <f>Source!AW78</f>
        <v>1</v>
      </c>
      <c r="I166" s="10">
        <f>IF(Source!BC78&lt;&gt; 0, Source!BC78, 1)</f>
        <v>1</v>
      </c>
      <c r="J166" s="25">
        <f>Source!P78</f>
        <v>24302.38</v>
      </c>
      <c r="K166" s="25"/>
    </row>
    <row r="167" spans="1:22" ht="41.25" x14ac:dyDescent="0.2">
      <c r="A167" s="22" t="s">
        <v>215</v>
      </c>
      <c r="B167" s="22" t="str">
        <f>Source!F79</f>
        <v>Цена поставщика</v>
      </c>
      <c r="C167" s="22" t="s">
        <v>842</v>
      </c>
      <c r="D167" s="23" t="str">
        <f>Source!H79</f>
        <v>м</v>
      </c>
      <c r="E167" s="10">
        <f>Source!I79</f>
        <v>148.32</v>
      </c>
      <c r="F167" s="25">
        <f>Source!AK79</f>
        <v>154.24</v>
      </c>
      <c r="G167" s="31" t="s">
        <v>3</v>
      </c>
      <c r="H167" s="10">
        <f>Source!AW79</f>
        <v>1</v>
      </c>
      <c r="I167" s="10">
        <f>IF(Source!BC79&lt;&gt; 0, Source!BC79, 1)</f>
        <v>1</v>
      </c>
      <c r="J167" s="25">
        <f>Source!O79</f>
        <v>22876.880000000001</v>
      </c>
      <c r="K167" s="25"/>
      <c r="Q167">
        <f>ROUND((Source!BZ79/100)*ROUND((Source!AF79*Source!AV79)*Source!I79, 2), 2)</f>
        <v>0</v>
      </c>
      <c r="R167">
        <f>Source!X79</f>
        <v>0</v>
      </c>
      <c r="S167">
        <f>ROUND((Source!CA79/100)*ROUND((Source!AF79*Source!AV79)*Source!I79, 2), 2)</f>
        <v>0</v>
      </c>
      <c r="T167">
        <f>Source!Y79</f>
        <v>0</v>
      </c>
      <c r="U167">
        <f>ROUND((175/100)*ROUND((Source!AE79*Source!AV79)*Source!I79, 2), 2)</f>
        <v>0</v>
      </c>
      <c r="V167">
        <f>ROUND((108/100)*ROUND(Source!CS79*Source!I79, 2), 2)</f>
        <v>0</v>
      </c>
    </row>
    <row r="168" spans="1:22" ht="57" x14ac:dyDescent="0.2">
      <c r="A168" s="22" t="s">
        <v>216</v>
      </c>
      <c r="B168" s="22" t="str">
        <f>Source!F80</f>
        <v>21.23-13-15</v>
      </c>
      <c r="C168" s="22" t="str">
        <f>Source!G80</f>
        <v>Провода силовые с медными жилами в поливинилхлоридной изоляции, марка ПуГВ, номинальное напряжение до 450 В, число жил и сечение 1х10 мм2</v>
      </c>
      <c r="D168" s="23" t="str">
        <f>Source!H80</f>
        <v>км</v>
      </c>
      <c r="E168" s="10">
        <f>Source!I80</f>
        <v>-0.14832000000000001</v>
      </c>
      <c r="F168" s="25">
        <f>Source!AK80</f>
        <v>160962.20000000001</v>
      </c>
      <c r="G168" s="31" t="s">
        <v>3</v>
      </c>
      <c r="H168" s="10">
        <f>Source!AW80</f>
        <v>1</v>
      </c>
      <c r="I168" s="10">
        <f>IF(Source!BC80&lt;&gt; 0, Source!BC80, 1)</f>
        <v>1</v>
      </c>
      <c r="J168" s="25">
        <f>Source!O80</f>
        <v>-23873.91</v>
      </c>
      <c r="K168" s="25"/>
      <c r="Q168">
        <f>ROUND((Source!BZ80/100)*ROUND((Source!AF80*Source!AV80)*Source!I80, 2), 2)</f>
        <v>0</v>
      </c>
      <c r="R168">
        <f>Source!X80</f>
        <v>0</v>
      </c>
      <c r="S168">
        <f>ROUND((Source!CA80/100)*ROUND((Source!AF80*Source!AV80)*Source!I80, 2), 2)</f>
        <v>0</v>
      </c>
      <c r="T168">
        <f>Source!Y80</f>
        <v>0</v>
      </c>
      <c r="U168">
        <f>ROUND((175/100)*ROUND((Source!AE80*Source!AV80)*Source!I80, 2), 2)</f>
        <v>0</v>
      </c>
      <c r="V168">
        <f>ROUND((108/100)*ROUND(Source!CS80*Source!I80, 2), 2)</f>
        <v>0</v>
      </c>
    </row>
    <row r="169" spans="1:22" ht="14.25" x14ac:dyDescent="0.2">
      <c r="A169" s="22"/>
      <c r="B169" s="22"/>
      <c r="C169" s="22" t="s">
        <v>829</v>
      </c>
      <c r="D169" s="23" t="s">
        <v>830</v>
      </c>
      <c r="E169" s="10">
        <f>Source!AT78</f>
        <v>70</v>
      </c>
      <c r="F169" s="25"/>
      <c r="G169" s="24"/>
      <c r="H169" s="10"/>
      <c r="I169" s="10"/>
      <c r="J169" s="25">
        <f>SUM(R163:R168)</f>
        <v>1191.32</v>
      </c>
      <c r="K169" s="25"/>
    </row>
    <row r="170" spans="1:22" ht="14.25" x14ac:dyDescent="0.2">
      <c r="A170" s="22"/>
      <c r="B170" s="22"/>
      <c r="C170" s="22" t="s">
        <v>831</v>
      </c>
      <c r="D170" s="23" t="s">
        <v>830</v>
      </c>
      <c r="E170" s="10">
        <f>Source!AU78</f>
        <v>10</v>
      </c>
      <c r="F170" s="25"/>
      <c r="G170" s="24"/>
      <c r="H170" s="10"/>
      <c r="I170" s="10"/>
      <c r="J170" s="25">
        <f>SUM(T163:T169)</f>
        <v>170.19</v>
      </c>
      <c r="K170" s="25"/>
    </row>
    <row r="171" spans="1:22" ht="14.25" x14ac:dyDescent="0.2">
      <c r="A171" s="22"/>
      <c r="B171" s="22"/>
      <c r="C171" s="22" t="s">
        <v>833</v>
      </c>
      <c r="D171" s="23" t="s">
        <v>834</v>
      </c>
      <c r="E171" s="10">
        <f>Source!AQ78</f>
        <v>4.74</v>
      </c>
      <c r="F171" s="25"/>
      <c r="G171" s="24" t="str">
        <f>Source!DI78</f>
        <v/>
      </c>
      <c r="H171" s="10">
        <f>Source!AV78</f>
        <v>1</v>
      </c>
      <c r="I171" s="10"/>
      <c r="J171" s="25"/>
      <c r="K171" s="25">
        <f>Source!U78</f>
        <v>6.8255999999999997</v>
      </c>
    </row>
    <row r="172" spans="1:22" ht="15" x14ac:dyDescent="0.25">
      <c r="A172" s="29"/>
      <c r="B172" s="29"/>
      <c r="C172" s="29"/>
      <c r="D172" s="29"/>
      <c r="E172" s="29"/>
      <c r="F172" s="29"/>
      <c r="G172" s="29"/>
      <c r="H172" s="29"/>
      <c r="I172" s="104">
        <f>J165+J166+J169+J170+SUM(J167:J168)</f>
        <v>26368.75</v>
      </c>
      <c r="J172" s="104"/>
      <c r="K172" s="30">
        <f>IF(Source!I78&lt;&gt;0, ROUND(I172/Source!I78, 2), 0)</f>
        <v>18311.63</v>
      </c>
      <c r="P172" s="27">
        <f>I172</f>
        <v>26368.75</v>
      </c>
    </row>
    <row r="173" spans="1:22" ht="42.75" x14ac:dyDescent="0.2">
      <c r="A173" s="22">
        <v>15</v>
      </c>
      <c r="B173" s="22" t="str">
        <f>Source!F81</f>
        <v>1.16-3103-4-1/1</v>
      </c>
      <c r="C173" s="22" t="str">
        <f>Source!G81</f>
        <v>Прокладка трубопроводов канализации из ПВХ труб диаметром до 50 мм (без стоимости арматуры)</v>
      </c>
      <c r="D173" s="23" t="str">
        <f>Source!H81</f>
        <v>100 м</v>
      </c>
      <c r="E173" s="10">
        <f>Source!I81</f>
        <v>1.61</v>
      </c>
      <c r="F173" s="25"/>
      <c r="G173" s="24"/>
      <c r="H173" s="10"/>
      <c r="I173" s="10"/>
      <c r="J173" s="25"/>
      <c r="K173" s="25"/>
      <c r="Q173">
        <f>ROUND((Source!BZ81/100)*ROUND((Source!AF81*Source!AV81)*Source!I81, 2), 2)</f>
        <v>19866.18</v>
      </c>
      <c r="R173">
        <f>Source!X81</f>
        <v>19866.18</v>
      </c>
      <c r="S173">
        <f>ROUND((Source!CA81/100)*ROUND((Source!AF81*Source!AV81)*Source!I81, 2), 2)</f>
        <v>2838.03</v>
      </c>
      <c r="T173">
        <f>Source!Y81</f>
        <v>2838.03</v>
      </c>
      <c r="U173">
        <f>ROUND((175/100)*ROUND((Source!AE81*Source!AV81)*Source!I81, 2), 2)</f>
        <v>0</v>
      </c>
      <c r="V173">
        <f>ROUND((108/100)*ROUND(Source!CS81*Source!I81, 2), 2)</f>
        <v>0</v>
      </c>
    </row>
    <row r="174" spans="1:22" x14ac:dyDescent="0.2">
      <c r="C174" s="32" t="str">
        <f>"Объем: "&amp;Source!I81&amp;"=161/"&amp;"100"</f>
        <v>Объем: 1,61=161/100</v>
      </c>
    </row>
    <row r="175" spans="1:22" ht="14.25" x14ac:dyDescent="0.2">
      <c r="A175" s="22"/>
      <c r="B175" s="22"/>
      <c r="C175" s="22" t="s">
        <v>825</v>
      </c>
      <c r="D175" s="23"/>
      <c r="E175" s="10"/>
      <c r="F175" s="25">
        <f>Source!AO81</f>
        <v>17627.490000000002</v>
      </c>
      <c r="G175" s="24" t="str">
        <f>Source!DG81</f>
        <v/>
      </c>
      <c r="H175" s="10">
        <f>Source!AV81</f>
        <v>1</v>
      </c>
      <c r="I175" s="10">
        <f>IF(Source!BA81&lt;&gt; 0, Source!BA81, 1)</f>
        <v>1</v>
      </c>
      <c r="J175" s="25">
        <f>Source!S81</f>
        <v>28380.26</v>
      </c>
      <c r="K175" s="25"/>
    </row>
    <row r="176" spans="1:22" ht="14.25" x14ac:dyDescent="0.2">
      <c r="A176" s="22"/>
      <c r="B176" s="22"/>
      <c r="C176" s="22" t="s">
        <v>828</v>
      </c>
      <c r="D176" s="23"/>
      <c r="E176" s="10"/>
      <c r="F176" s="25">
        <f>Source!AL81</f>
        <v>22628.21</v>
      </c>
      <c r="G176" s="24" t="str">
        <f>Source!DD81</f>
        <v/>
      </c>
      <c r="H176" s="10">
        <f>Source!AW81</f>
        <v>1</v>
      </c>
      <c r="I176" s="10">
        <f>IF(Source!BC81&lt;&gt; 0, Source!BC81, 1)</f>
        <v>1</v>
      </c>
      <c r="J176" s="25">
        <f>Source!P81</f>
        <v>36431.42</v>
      </c>
      <c r="K176" s="25"/>
    </row>
    <row r="177" spans="1:22" ht="28.5" x14ac:dyDescent="0.2">
      <c r="A177" s="22" t="s">
        <v>225</v>
      </c>
      <c r="B177" s="22" t="str">
        <f>Source!F82</f>
        <v>21.12-5-235</v>
      </c>
      <c r="C177" s="22" t="str">
        <f>Source!G82</f>
        <v>Трубки дренажные поливинилхлоридные, диаметр 16мм</v>
      </c>
      <c r="D177" s="23" t="str">
        <f>Source!H82</f>
        <v>м</v>
      </c>
      <c r="E177" s="10">
        <f>Source!I82</f>
        <v>161</v>
      </c>
      <c r="F177" s="25">
        <f>Source!AK82</f>
        <v>29.15</v>
      </c>
      <c r="G177" s="31" t="s">
        <v>3</v>
      </c>
      <c r="H177" s="10">
        <f>Source!AW82</f>
        <v>1</v>
      </c>
      <c r="I177" s="10">
        <f>IF(Source!BC82&lt;&gt; 0, Source!BC82, 1)</f>
        <v>1</v>
      </c>
      <c r="J177" s="25">
        <f>Source!O82</f>
        <v>4693.1499999999996</v>
      </c>
      <c r="K177" s="25"/>
      <c r="Q177">
        <f>ROUND((Source!BZ82/100)*ROUND((Source!AF82*Source!AV82)*Source!I82, 2), 2)</f>
        <v>0</v>
      </c>
      <c r="R177">
        <f>Source!X82</f>
        <v>0</v>
      </c>
      <c r="S177">
        <f>ROUND((Source!CA82/100)*ROUND((Source!AF82*Source!AV82)*Source!I82, 2), 2)</f>
        <v>0</v>
      </c>
      <c r="T177">
        <f>Source!Y82</f>
        <v>0</v>
      </c>
      <c r="U177">
        <f>ROUND((175/100)*ROUND((Source!AE82*Source!AV82)*Source!I82, 2), 2)</f>
        <v>0</v>
      </c>
      <c r="V177">
        <f>ROUND((108/100)*ROUND(Source!CS82*Source!I82, 2), 2)</f>
        <v>0</v>
      </c>
    </row>
    <row r="178" spans="1:22" ht="41.25" x14ac:dyDescent="0.2">
      <c r="A178" s="22" t="s">
        <v>229</v>
      </c>
      <c r="B178" s="22" t="str">
        <f>Source!F83</f>
        <v>Цена поставщика</v>
      </c>
      <c r="C178" s="22" t="s">
        <v>843</v>
      </c>
      <c r="D178" s="23" t="str">
        <f>Source!H83</f>
        <v>м</v>
      </c>
      <c r="E178" s="10">
        <f>Source!I83</f>
        <v>24</v>
      </c>
      <c r="F178" s="25">
        <f>Source!AK83</f>
        <v>43.33</v>
      </c>
      <c r="G178" s="31" t="s">
        <v>3</v>
      </c>
      <c r="H178" s="10">
        <f>Source!AW83</f>
        <v>1</v>
      </c>
      <c r="I178" s="10">
        <f>IF(Source!BC83&lt;&gt; 0, Source!BC83, 1)</f>
        <v>1</v>
      </c>
      <c r="J178" s="25">
        <f>Source!O83</f>
        <v>1039.92</v>
      </c>
      <c r="K178" s="25"/>
      <c r="Q178">
        <f>ROUND((Source!BZ83/100)*ROUND((Source!AF83*Source!AV83)*Source!I83, 2), 2)</f>
        <v>0</v>
      </c>
      <c r="R178">
        <f>Source!X83</f>
        <v>0</v>
      </c>
      <c r="S178">
        <f>ROUND((Source!CA83/100)*ROUND((Source!AF83*Source!AV83)*Source!I83, 2), 2)</f>
        <v>0</v>
      </c>
      <c r="T178">
        <f>Source!Y83</f>
        <v>0</v>
      </c>
      <c r="U178">
        <f>ROUND((175/100)*ROUND((Source!AE83*Source!AV83)*Source!I83, 2), 2)</f>
        <v>0</v>
      </c>
      <c r="V178">
        <f>ROUND((108/100)*ROUND(Source!CS83*Source!I83, 2), 2)</f>
        <v>0</v>
      </c>
    </row>
    <row r="179" spans="1:22" ht="14.25" x14ac:dyDescent="0.2">
      <c r="A179" s="22" t="s">
        <v>238</v>
      </c>
      <c r="B179" s="22" t="str">
        <f>Source!F86</f>
        <v>21.1-25-13</v>
      </c>
      <c r="C179" s="22" t="str">
        <f>Source!G86</f>
        <v>Вода</v>
      </c>
      <c r="D179" s="23" t="str">
        <f>Source!H86</f>
        <v>м3</v>
      </c>
      <c r="E179" s="10">
        <f>Source!I86</f>
        <v>-0.31717000000000001</v>
      </c>
      <c r="F179" s="25">
        <f>Source!AK86</f>
        <v>36.31</v>
      </c>
      <c r="G179" s="31" t="s">
        <v>3</v>
      </c>
      <c r="H179" s="10">
        <f>Source!AW86</f>
        <v>1</v>
      </c>
      <c r="I179" s="10">
        <f>IF(Source!BC86&lt;&gt; 0, Source!BC86, 1)</f>
        <v>1</v>
      </c>
      <c r="J179" s="25">
        <f>Source!O86</f>
        <v>-11.52</v>
      </c>
      <c r="K179" s="25"/>
      <c r="Q179">
        <f>ROUND((Source!BZ86/100)*ROUND((Source!AF86*Source!AV86)*Source!I86, 2), 2)</f>
        <v>0</v>
      </c>
      <c r="R179">
        <f>Source!X86</f>
        <v>0</v>
      </c>
      <c r="S179">
        <f>ROUND((Source!CA86/100)*ROUND((Source!AF86*Source!AV86)*Source!I86, 2), 2)</f>
        <v>0</v>
      </c>
      <c r="T179">
        <f>Source!Y86</f>
        <v>0</v>
      </c>
      <c r="U179">
        <f>ROUND((175/100)*ROUND((Source!AE86*Source!AV86)*Source!I86, 2), 2)</f>
        <v>0</v>
      </c>
      <c r="V179">
        <f>ROUND((108/100)*ROUND(Source!CS86*Source!I86, 2), 2)</f>
        <v>0</v>
      </c>
    </row>
    <row r="180" spans="1:22" ht="57" x14ac:dyDescent="0.2">
      <c r="A180" s="22" t="s">
        <v>239</v>
      </c>
      <c r="B180" s="22" t="str">
        <f>Source!F87</f>
        <v>21.12-1-21</v>
      </c>
      <c r="C180" s="22" t="str">
        <f>Source!G87</f>
        <v>Заготовки трубные поливинилхлоридные, внутренней канализации без средств крепления, диаметр 50 мм</v>
      </c>
      <c r="D180" s="23" t="str">
        <f>Source!H87</f>
        <v>м</v>
      </c>
      <c r="E180" s="10">
        <f>Source!I87</f>
        <v>-160.678</v>
      </c>
      <c r="F180" s="25">
        <f>Source!AK87</f>
        <v>224.03</v>
      </c>
      <c r="G180" s="31" t="s">
        <v>3</v>
      </c>
      <c r="H180" s="10">
        <f>Source!AW87</f>
        <v>1</v>
      </c>
      <c r="I180" s="10">
        <f>IF(Source!BC87&lt;&gt; 0, Source!BC87, 1)</f>
        <v>1</v>
      </c>
      <c r="J180" s="25">
        <f>Source!O87</f>
        <v>-35996.69</v>
      </c>
      <c r="K180" s="25"/>
      <c r="Q180">
        <f>ROUND((Source!BZ87/100)*ROUND((Source!AF87*Source!AV87)*Source!I87, 2), 2)</f>
        <v>0</v>
      </c>
      <c r="R180">
        <f>Source!X87</f>
        <v>0</v>
      </c>
      <c r="S180">
        <f>ROUND((Source!CA87/100)*ROUND((Source!AF87*Source!AV87)*Source!I87, 2), 2)</f>
        <v>0</v>
      </c>
      <c r="T180">
        <f>Source!Y87</f>
        <v>0</v>
      </c>
      <c r="U180">
        <f>ROUND((175/100)*ROUND((Source!AE87*Source!AV87)*Source!I87, 2), 2)</f>
        <v>0</v>
      </c>
      <c r="V180">
        <f>ROUND((108/100)*ROUND(Source!CS87*Source!I87, 2), 2)</f>
        <v>0</v>
      </c>
    </row>
    <row r="181" spans="1:22" ht="57" x14ac:dyDescent="0.2">
      <c r="A181" s="22" t="s">
        <v>243</v>
      </c>
      <c r="B181" s="22" t="str">
        <f>Source!F88</f>
        <v>21.12-5-292</v>
      </c>
      <c r="C181" s="22" t="str">
        <f>Source!G88</f>
        <v>Кольца резиновые уплотнительные для канализации из поливинилхлоридных труб, диаметр 110 мм</v>
      </c>
      <c r="D181" s="23" t="str">
        <f>Source!H88</f>
        <v>шт.</v>
      </c>
      <c r="E181" s="10">
        <f>Source!I88</f>
        <v>-19.32</v>
      </c>
      <c r="F181" s="25">
        <f>Source!AK88</f>
        <v>7.26</v>
      </c>
      <c r="G181" s="31" t="s">
        <v>3</v>
      </c>
      <c r="H181" s="10">
        <f>Source!AW88</f>
        <v>1</v>
      </c>
      <c r="I181" s="10">
        <f>IF(Source!BC88&lt;&gt; 0, Source!BC88, 1)</f>
        <v>1</v>
      </c>
      <c r="J181" s="25">
        <f>Source!O88</f>
        <v>-140.26</v>
      </c>
      <c r="K181" s="25"/>
      <c r="Q181">
        <f>ROUND((Source!BZ88/100)*ROUND((Source!AF88*Source!AV88)*Source!I88, 2), 2)</f>
        <v>0</v>
      </c>
      <c r="R181">
        <f>Source!X88</f>
        <v>0</v>
      </c>
      <c r="S181">
        <f>ROUND((Source!CA88/100)*ROUND((Source!AF88*Source!AV88)*Source!I88, 2), 2)</f>
        <v>0</v>
      </c>
      <c r="T181">
        <f>Source!Y88</f>
        <v>0</v>
      </c>
      <c r="U181">
        <f>ROUND((175/100)*ROUND((Source!AE88*Source!AV88)*Source!I88, 2), 2)</f>
        <v>0</v>
      </c>
      <c r="V181">
        <f>ROUND((108/100)*ROUND(Source!CS88*Source!I88, 2), 2)</f>
        <v>0</v>
      </c>
    </row>
    <row r="182" spans="1:22" ht="14.25" x14ac:dyDescent="0.2">
      <c r="A182" s="22"/>
      <c r="B182" s="22"/>
      <c r="C182" s="22" t="s">
        <v>829</v>
      </c>
      <c r="D182" s="23" t="s">
        <v>830</v>
      </c>
      <c r="E182" s="10">
        <f>Source!AT81</f>
        <v>70</v>
      </c>
      <c r="F182" s="25"/>
      <c r="G182" s="24"/>
      <c r="H182" s="10"/>
      <c r="I182" s="10"/>
      <c r="J182" s="25">
        <f>SUM(R173:R181)</f>
        <v>19866.18</v>
      </c>
      <c r="K182" s="25"/>
    </row>
    <row r="183" spans="1:22" ht="14.25" x14ac:dyDescent="0.2">
      <c r="A183" s="22"/>
      <c r="B183" s="22"/>
      <c r="C183" s="22" t="s">
        <v>831</v>
      </c>
      <c r="D183" s="23" t="s">
        <v>830</v>
      </c>
      <c r="E183" s="10">
        <f>Source!AU81</f>
        <v>10</v>
      </c>
      <c r="F183" s="25"/>
      <c r="G183" s="24"/>
      <c r="H183" s="10"/>
      <c r="I183" s="10"/>
      <c r="J183" s="25">
        <f>SUM(T173:T182)</f>
        <v>2838.03</v>
      </c>
      <c r="K183" s="25"/>
    </row>
    <row r="184" spans="1:22" ht="14.25" x14ac:dyDescent="0.2">
      <c r="A184" s="22"/>
      <c r="B184" s="22"/>
      <c r="C184" s="22" t="s">
        <v>833</v>
      </c>
      <c r="D184" s="23" t="s">
        <v>834</v>
      </c>
      <c r="E184" s="10">
        <f>Source!AQ81</f>
        <v>67.16</v>
      </c>
      <c r="F184" s="25"/>
      <c r="G184" s="24" t="str">
        <f>Source!DI81</f>
        <v/>
      </c>
      <c r="H184" s="10">
        <f>Source!AV81</f>
        <v>1</v>
      </c>
      <c r="I184" s="10"/>
      <c r="J184" s="25"/>
      <c r="K184" s="25">
        <f>Source!U81</f>
        <v>108.1276</v>
      </c>
    </row>
    <row r="185" spans="1:22" ht="15" x14ac:dyDescent="0.25">
      <c r="A185" s="29"/>
      <c r="B185" s="29"/>
      <c r="C185" s="29"/>
      <c r="D185" s="29"/>
      <c r="E185" s="29"/>
      <c r="F185" s="29"/>
      <c r="G185" s="29"/>
      <c r="H185" s="29"/>
      <c r="I185" s="104">
        <f>J175+J176+J182+J183+SUM(J177:J181)</f>
        <v>57100.489999999983</v>
      </c>
      <c r="J185" s="104"/>
      <c r="K185" s="30">
        <f>IF(Source!I81&lt;&gt;0, ROUND(I185/Source!I81, 2), 0)</f>
        <v>35466.14</v>
      </c>
      <c r="P185" s="27">
        <f>I185</f>
        <v>57100.489999999983</v>
      </c>
    </row>
    <row r="186" spans="1:22" ht="42.75" x14ac:dyDescent="0.2">
      <c r="A186" s="22">
        <v>17</v>
      </c>
      <c r="B186" s="22" t="str">
        <f>Source!F90</f>
        <v>1.20-3203-1-9/1</v>
      </c>
      <c r="C186" s="22" t="str">
        <f>Source!G90</f>
        <v>Установка щитков осветительных на стене распорными дюбелями, масса щитка до 6 кг (без стоимости щитков)</v>
      </c>
      <c r="D186" s="23" t="str">
        <f>Source!H90</f>
        <v>шт.</v>
      </c>
      <c r="E186" s="10">
        <f>Source!I90</f>
        <v>27</v>
      </c>
      <c r="F186" s="25"/>
      <c r="G186" s="24"/>
      <c r="H186" s="10"/>
      <c r="I186" s="10"/>
      <c r="J186" s="25"/>
      <c r="K186" s="25"/>
      <c r="Q186">
        <f>ROUND((Source!BZ90/100)*ROUND((Source!AF90*Source!AV90)*Source!I90, 2), 2)</f>
        <v>16812.310000000001</v>
      </c>
      <c r="R186">
        <f>Source!X90</f>
        <v>16812.310000000001</v>
      </c>
      <c r="S186">
        <f>ROUND((Source!CA90/100)*ROUND((Source!AF90*Source!AV90)*Source!I90, 2), 2)</f>
        <v>2401.7600000000002</v>
      </c>
      <c r="T186">
        <f>Source!Y90</f>
        <v>2401.7600000000002</v>
      </c>
      <c r="U186">
        <f>ROUND((175/100)*ROUND((Source!AE90*Source!AV90)*Source!I90, 2), 2)</f>
        <v>0.47</v>
      </c>
      <c r="V186">
        <f>ROUND((108/100)*ROUND(Source!CS90*Source!I90, 2), 2)</f>
        <v>0.28999999999999998</v>
      </c>
    </row>
    <row r="187" spans="1:22" ht="14.25" x14ac:dyDescent="0.2">
      <c r="A187" s="22"/>
      <c r="B187" s="22"/>
      <c r="C187" s="22" t="s">
        <v>825</v>
      </c>
      <c r="D187" s="23"/>
      <c r="E187" s="10"/>
      <c r="F187" s="25">
        <f>Source!AO90</f>
        <v>889.54</v>
      </c>
      <c r="G187" s="24" t="str">
        <f>Source!DG90</f>
        <v/>
      </c>
      <c r="H187" s="10">
        <f>Source!AV90</f>
        <v>1</v>
      </c>
      <c r="I187" s="10">
        <f>IF(Source!BA90&lt;&gt; 0, Source!BA90, 1)</f>
        <v>1</v>
      </c>
      <c r="J187" s="25">
        <f>Source!S90</f>
        <v>24017.58</v>
      </c>
      <c r="K187" s="25"/>
    </row>
    <row r="188" spans="1:22" ht="14.25" x14ac:dyDescent="0.2">
      <c r="A188" s="22"/>
      <c r="B188" s="22"/>
      <c r="C188" s="22" t="s">
        <v>826</v>
      </c>
      <c r="D188" s="23"/>
      <c r="E188" s="10"/>
      <c r="F188" s="25">
        <f>Source!AM90</f>
        <v>1.73</v>
      </c>
      <c r="G188" s="24" t="str">
        <f>Source!DE90</f>
        <v/>
      </c>
      <c r="H188" s="10">
        <f>Source!AV90</f>
        <v>1</v>
      </c>
      <c r="I188" s="10">
        <f>IF(Source!BB90&lt;&gt; 0, Source!BB90, 1)</f>
        <v>1</v>
      </c>
      <c r="J188" s="25">
        <f>Source!Q90</f>
        <v>46.71</v>
      </c>
      <c r="K188" s="25"/>
    </row>
    <row r="189" spans="1:22" ht="14.25" x14ac:dyDescent="0.2">
      <c r="A189" s="22"/>
      <c r="B189" s="22"/>
      <c r="C189" s="22" t="s">
        <v>827</v>
      </c>
      <c r="D189" s="23"/>
      <c r="E189" s="10"/>
      <c r="F189" s="25">
        <f>Source!AN90</f>
        <v>0.01</v>
      </c>
      <c r="G189" s="24" t="str">
        <f>Source!DF90</f>
        <v/>
      </c>
      <c r="H189" s="10">
        <f>Source!AV90</f>
        <v>1</v>
      </c>
      <c r="I189" s="10">
        <f>IF(Source!BS90&lt;&gt; 0, Source!BS90, 1)</f>
        <v>1</v>
      </c>
      <c r="J189" s="26">
        <f>Source!R90</f>
        <v>0.27</v>
      </c>
      <c r="K189" s="25"/>
    </row>
    <row r="190" spans="1:22" ht="55.5" x14ac:dyDescent="0.2">
      <c r="A190" s="22" t="s">
        <v>255</v>
      </c>
      <c r="B190" s="22" t="str">
        <f>Source!F91</f>
        <v>Цена поставщика</v>
      </c>
      <c r="C190" s="22" t="s">
        <v>844</v>
      </c>
      <c r="D190" s="23" t="str">
        <f>Source!H91</f>
        <v>шт.</v>
      </c>
      <c r="E190" s="10">
        <f>Source!I91</f>
        <v>27</v>
      </c>
      <c r="F190" s="25">
        <f>Source!AK91</f>
        <v>313.04000000000002</v>
      </c>
      <c r="G190" s="31" t="s">
        <v>3</v>
      </c>
      <c r="H190" s="10">
        <f>Source!AW91</f>
        <v>1</v>
      </c>
      <c r="I190" s="10">
        <f>IF(Source!BC91&lt;&gt; 0, Source!BC91, 1)</f>
        <v>1</v>
      </c>
      <c r="J190" s="25">
        <f>Source!O91</f>
        <v>8452.08</v>
      </c>
      <c r="K190" s="25"/>
      <c r="Q190">
        <f>ROUND((Source!BZ91/100)*ROUND((Source!AF91*Source!AV91)*Source!I91, 2), 2)</f>
        <v>0</v>
      </c>
      <c r="R190">
        <f>Source!X91</f>
        <v>0</v>
      </c>
      <c r="S190">
        <f>ROUND((Source!CA91/100)*ROUND((Source!AF91*Source!AV91)*Source!I91, 2), 2)</f>
        <v>0</v>
      </c>
      <c r="T190">
        <f>Source!Y91</f>
        <v>0</v>
      </c>
      <c r="U190">
        <f>ROUND((175/100)*ROUND((Source!AE91*Source!AV91)*Source!I91, 2), 2)</f>
        <v>0</v>
      </c>
      <c r="V190">
        <f>ROUND((108/100)*ROUND(Source!CS91*Source!I91, 2), 2)</f>
        <v>0</v>
      </c>
    </row>
    <row r="191" spans="1:22" ht="14.25" x14ac:dyDescent="0.2">
      <c r="A191" s="22"/>
      <c r="B191" s="22"/>
      <c r="C191" s="22" t="s">
        <v>829</v>
      </c>
      <c r="D191" s="23" t="s">
        <v>830</v>
      </c>
      <c r="E191" s="10">
        <f>Source!AT90</f>
        <v>70</v>
      </c>
      <c r="F191" s="25"/>
      <c r="G191" s="24"/>
      <c r="H191" s="10"/>
      <c r="I191" s="10"/>
      <c r="J191" s="25">
        <f>SUM(R186:R190)</f>
        <v>16812.310000000001</v>
      </c>
      <c r="K191" s="25"/>
    </row>
    <row r="192" spans="1:22" ht="14.25" x14ac:dyDescent="0.2">
      <c r="A192" s="22"/>
      <c r="B192" s="22"/>
      <c r="C192" s="22" t="s">
        <v>831</v>
      </c>
      <c r="D192" s="23" t="s">
        <v>830</v>
      </c>
      <c r="E192" s="10">
        <f>Source!AU90</f>
        <v>10</v>
      </c>
      <c r="F192" s="25"/>
      <c r="G192" s="24"/>
      <c r="H192" s="10"/>
      <c r="I192" s="10"/>
      <c r="J192" s="25">
        <f>SUM(T186:T191)</f>
        <v>2401.7600000000002</v>
      </c>
      <c r="K192" s="25"/>
    </row>
    <row r="193" spans="1:22" ht="14.25" x14ac:dyDescent="0.2">
      <c r="A193" s="22"/>
      <c r="B193" s="22"/>
      <c r="C193" s="22" t="s">
        <v>832</v>
      </c>
      <c r="D193" s="23" t="s">
        <v>830</v>
      </c>
      <c r="E193" s="10">
        <f>108</f>
        <v>108</v>
      </c>
      <c r="F193" s="25"/>
      <c r="G193" s="24"/>
      <c r="H193" s="10"/>
      <c r="I193" s="10"/>
      <c r="J193" s="25">
        <f>SUM(V186:V192)</f>
        <v>0.28999999999999998</v>
      </c>
      <c r="K193" s="25"/>
    </row>
    <row r="194" spans="1:22" ht="14.25" x14ac:dyDescent="0.2">
      <c r="A194" s="22"/>
      <c r="B194" s="22"/>
      <c r="C194" s="22" t="s">
        <v>833</v>
      </c>
      <c r="D194" s="23" t="s">
        <v>834</v>
      </c>
      <c r="E194" s="10">
        <f>Source!AQ90</f>
        <v>3.34</v>
      </c>
      <c r="F194" s="25"/>
      <c r="G194" s="24" t="str">
        <f>Source!DI90</f>
        <v/>
      </c>
      <c r="H194" s="10">
        <f>Source!AV90</f>
        <v>1</v>
      </c>
      <c r="I194" s="10"/>
      <c r="J194" s="25"/>
      <c r="K194" s="25">
        <f>Source!U90</f>
        <v>90.179999999999993</v>
      </c>
    </row>
    <row r="195" spans="1:22" ht="15" x14ac:dyDescent="0.25">
      <c r="A195" s="29"/>
      <c r="B195" s="29"/>
      <c r="C195" s="29"/>
      <c r="D195" s="29"/>
      <c r="E195" s="29"/>
      <c r="F195" s="29"/>
      <c r="G195" s="29"/>
      <c r="H195" s="29"/>
      <c r="I195" s="104">
        <f>J187+J188+J191+J192+J193+SUM(J190:J190)</f>
        <v>51730.73000000001</v>
      </c>
      <c r="J195" s="104"/>
      <c r="K195" s="30">
        <f>IF(Source!I90&lt;&gt;0, ROUND(I195/Source!I90, 2), 0)</f>
        <v>1915.95</v>
      </c>
      <c r="P195" s="27">
        <f>I195</f>
        <v>51730.73000000001</v>
      </c>
    </row>
    <row r="196" spans="1:22" ht="28.5" x14ac:dyDescent="0.2">
      <c r="A196" s="22">
        <v>18</v>
      </c>
      <c r="B196" s="22" t="str">
        <f>Source!F92</f>
        <v>1.21-3203-3-1/1</v>
      </c>
      <c r="C196" s="22" t="str">
        <f>Source!G92</f>
        <v>Установка DIN-рейки (без стоимости DIN-рейки)</v>
      </c>
      <c r="D196" s="23" t="str">
        <f>Source!H92</f>
        <v>100 м</v>
      </c>
      <c r="E196" s="10">
        <f>Source!I92</f>
        <v>2.0250000000000001E-2</v>
      </c>
      <c r="F196" s="25"/>
      <c r="G196" s="24"/>
      <c r="H196" s="10"/>
      <c r="I196" s="10"/>
      <c r="J196" s="25"/>
      <c r="K196" s="25"/>
      <c r="Q196">
        <f>ROUND((Source!BZ92/100)*ROUND((Source!AF92*Source!AV92)*Source!I92, 2), 2)</f>
        <v>104.92</v>
      </c>
      <c r="R196">
        <f>Source!X92</f>
        <v>104.92</v>
      </c>
      <c r="S196">
        <f>ROUND((Source!CA92/100)*ROUND((Source!AF92*Source!AV92)*Source!I92, 2), 2)</f>
        <v>14.99</v>
      </c>
      <c r="T196">
        <f>Source!Y92</f>
        <v>14.99</v>
      </c>
      <c r="U196">
        <f>ROUND((175/100)*ROUND((Source!AE92*Source!AV92)*Source!I92, 2), 2)</f>
        <v>6.44</v>
      </c>
      <c r="V196">
        <f>ROUND((108/100)*ROUND(Source!CS92*Source!I92, 2), 2)</f>
        <v>3.97</v>
      </c>
    </row>
    <row r="197" spans="1:22" x14ac:dyDescent="0.2">
      <c r="C197" s="32" t="str">
        <f>"Объем: "&amp;Source!I92&amp;"=2,025/"&amp;"100"</f>
        <v>Объем: 0,02025=2,025/100</v>
      </c>
    </row>
    <row r="198" spans="1:22" ht="14.25" x14ac:dyDescent="0.2">
      <c r="A198" s="22"/>
      <c r="B198" s="22"/>
      <c r="C198" s="22" t="s">
        <v>825</v>
      </c>
      <c r="D198" s="23"/>
      <c r="E198" s="10"/>
      <c r="F198" s="25">
        <f>Source!AO92</f>
        <v>7401.48</v>
      </c>
      <c r="G198" s="24" t="str">
        <f>Source!DG92</f>
        <v/>
      </c>
      <c r="H198" s="10">
        <f>Source!AV92</f>
        <v>1</v>
      </c>
      <c r="I198" s="10">
        <f>IF(Source!BA92&lt;&gt; 0, Source!BA92, 1)</f>
        <v>1</v>
      </c>
      <c r="J198" s="25">
        <f>Source!S92</f>
        <v>149.88</v>
      </c>
      <c r="K198" s="25"/>
    </row>
    <row r="199" spans="1:22" ht="14.25" x14ac:dyDescent="0.2">
      <c r="A199" s="22"/>
      <c r="B199" s="22"/>
      <c r="C199" s="22" t="s">
        <v>826</v>
      </c>
      <c r="D199" s="23"/>
      <c r="E199" s="10"/>
      <c r="F199" s="25">
        <f>Source!AM92</f>
        <v>448.81</v>
      </c>
      <c r="G199" s="24" t="str">
        <f>Source!DE92</f>
        <v/>
      </c>
      <c r="H199" s="10">
        <f>Source!AV92</f>
        <v>1</v>
      </c>
      <c r="I199" s="10">
        <f>IF(Source!BB92&lt;&gt; 0, Source!BB92, 1)</f>
        <v>1</v>
      </c>
      <c r="J199" s="25">
        <f>Source!Q92</f>
        <v>9.09</v>
      </c>
      <c r="K199" s="25"/>
    </row>
    <row r="200" spans="1:22" ht="14.25" x14ac:dyDescent="0.2">
      <c r="A200" s="22"/>
      <c r="B200" s="22"/>
      <c r="C200" s="22" t="s">
        <v>827</v>
      </c>
      <c r="D200" s="23"/>
      <c r="E200" s="10"/>
      <c r="F200" s="25">
        <f>Source!AN92</f>
        <v>181.97</v>
      </c>
      <c r="G200" s="24" t="str">
        <f>Source!DF92</f>
        <v/>
      </c>
      <c r="H200" s="10">
        <f>Source!AV92</f>
        <v>1</v>
      </c>
      <c r="I200" s="10">
        <f>IF(Source!BS92&lt;&gt; 0, Source!BS92, 1)</f>
        <v>1</v>
      </c>
      <c r="J200" s="26">
        <f>Source!R92</f>
        <v>3.68</v>
      </c>
      <c r="K200" s="25"/>
    </row>
    <row r="201" spans="1:22" ht="14.25" x14ac:dyDescent="0.2">
      <c r="A201" s="22"/>
      <c r="B201" s="22"/>
      <c r="C201" s="22" t="s">
        <v>828</v>
      </c>
      <c r="D201" s="23"/>
      <c r="E201" s="10"/>
      <c r="F201" s="25">
        <f>Source!AL92</f>
        <v>201.8</v>
      </c>
      <c r="G201" s="24" t="str">
        <f>Source!DD92</f>
        <v/>
      </c>
      <c r="H201" s="10">
        <f>Source!AW92</f>
        <v>1</v>
      </c>
      <c r="I201" s="10">
        <f>IF(Source!BC92&lt;&gt; 0, Source!BC92, 1)</f>
        <v>1</v>
      </c>
      <c r="J201" s="25">
        <f>Source!P92</f>
        <v>4.09</v>
      </c>
      <c r="K201" s="25"/>
    </row>
    <row r="202" spans="1:22" ht="69.75" x14ac:dyDescent="0.2">
      <c r="A202" s="22" t="s">
        <v>262</v>
      </c>
      <c r="B202" s="22" t="str">
        <f>Source!F93</f>
        <v>Цена поставщика</v>
      </c>
      <c r="C202" s="22" t="s">
        <v>845</v>
      </c>
      <c r="D202" s="23" t="str">
        <f>Source!H93</f>
        <v>шт.</v>
      </c>
      <c r="E202" s="10">
        <f>Source!I93</f>
        <v>27</v>
      </c>
      <c r="F202" s="25">
        <f>Source!AK93</f>
        <v>16.510000000000002</v>
      </c>
      <c r="G202" s="31" t="s">
        <v>3</v>
      </c>
      <c r="H202" s="10">
        <f>Source!AW93</f>
        <v>1</v>
      </c>
      <c r="I202" s="10">
        <f>IF(Source!BC93&lt;&gt; 0, Source!BC93, 1)</f>
        <v>1</v>
      </c>
      <c r="J202" s="25">
        <f>Source!O93</f>
        <v>445.77</v>
      </c>
      <c r="K202" s="25"/>
      <c r="Q202">
        <f>ROUND((Source!BZ93/100)*ROUND((Source!AF93*Source!AV93)*Source!I93, 2), 2)</f>
        <v>0</v>
      </c>
      <c r="R202">
        <f>Source!X93</f>
        <v>0</v>
      </c>
      <c r="S202">
        <f>ROUND((Source!CA93/100)*ROUND((Source!AF93*Source!AV93)*Source!I93, 2), 2)</f>
        <v>0</v>
      </c>
      <c r="T202">
        <f>Source!Y93</f>
        <v>0</v>
      </c>
      <c r="U202">
        <f>ROUND((175/100)*ROUND((Source!AE93*Source!AV93)*Source!I93, 2), 2)</f>
        <v>0</v>
      </c>
      <c r="V202">
        <f>ROUND((108/100)*ROUND(Source!CS93*Source!I93, 2), 2)</f>
        <v>0</v>
      </c>
    </row>
    <row r="203" spans="1:22" ht="14.25" x14ac:dyDescent="0.2">
      <c r="A203" s="22"/>
      <c r="B203" s="22"/>
      <c r="C203" s="22" t="s">
        <v>829</v>
      </c>
      <c r="D203" s="23" t="s">
        <v>830</v>
      </c>
      <c r="E203" s="10">
        <f>Source!AT92</f>
        <v>70</v>
      </c>
      <c r="F203" s="25"/>
      <c r="G203" s="24"/>
      <c r="H203" s="10"/>
      <c r="I203" s="10"/>
      <c r="J203" s="25">
        <f>SUM(R196:R202)</f>
        <v>104.92</v>
      </c>
      <c r="K203" s="25"/>
    </row>
    <row r="204" spans="1:22" ht="14.25" x14ac:dyDescent="0.2">
      <c r="A204" s="22"/>
      <c r="B204" s="22"/>
      <c r="C204" s="22" t="s">
        <v>831</v>
      </c>
      <c r="D204" s="23" t="s">
        <v>830</v>
      </c>
      <c r="E204" s="10">
        <f>Source!AU92</f>
        <v>10</v>
      </c>
      <c r="F204" s="25"/>
      <c r="G204" s="24"/>
      <c r="H204" s="10"/>
      <c r="I204" s="10"/>
      <c r="J204" s="25">
        <f>SUM(T196:T203)</f>
        <v>14.99</v>
      </c>
      <c r="K204" s="25"/>
    </row>
    <row r="205" spans="1:22" ht="14.25" x14ac:dyDescent="0.2">
      <c r="A205" s="22"/>
      <c r="B205" s="22"/>
      <c r="C205" s="22" t="s">
        <v>832</v>
      </c>
      <c r="D205" s="23" t="s">
        <v>830</v>
      </c>
      <c r="E205" s="10">
        <f>108</f>
        <v>108</v>
      </c>
      <c r="F205" s="25"/>
      <c r="G205" s="24"/>
      <c r="H205" s="10"/>
      <c r="I205" s="10"/>
      <c r="J205" s="25">
        <f>SUM(V196:V204)</f>
        <v>3.97</v>
      </c>
      <c r="K205" s="25"/>
    </row>
    <row r="206" spans="1:22" ht="14.25" x14ac:dyDescent="0.2">
      <c r="A206" s="22"/>
      <c r="B206" s="22"/>
      <c r="C206" s="22" t="s">
        <v>833</v>
      </c>
      <c r="D206" s="23" t="s">
        <v>834</v>
      </c>
      <c r="E206" s="10">
        <f>Source!AQ92</f>
        <v>31.59</v>
      </c>
      <c r="F206" s="25"/>
      <c r="G206" s="24" t="str">
        <f>Source!DI92</f>
        <v/>
      </c>
      <c r="H206" s="10">
        <f>Source!AV92</f>
        <v>1</v>
      </c>
      <c r="I206" s="10"/>
      <c r="J206" s="25"/>
      <c r="K206" s="25">
        <f>Source!U92</f>
        <v>0.63969750000000003</v>
      </c>
    </row>
    <row r="207" spans="1:22" ht="15" x14ac:dyDescent="0.25">
      <c r="A207" s="29"/>
      <c r="B207" s="29"/>
      <c r="C207" s="29"/>
      <c r="D207" s="29"/>
      <c r="E207" s="29"/>
      <c r="F207" s="29"/>
      <c r="G207" s="29"/>
      <c r="H207" s="29"/>
      <c r="I207" s="104">
        <f>J198+J199+J201+J203+J204+J205+SUM(J202:J202)</f>
        <v>732.71</v>
      </c>
      <c r="J207" s="104"/>
      <c r="K207" s="30">
        <f>IF(Source!I92&lt;&gt;0, ROUND(I207/Source!I92, 2), 0)</f>
        <v>36183.21</v>
      </c>
      <c r="P207" s="27">
        <f>I207</f>
        <v>732.71</v>
      </c>
    </row>
    <row r="208" spans="1:22" ht="135" x14ac:dyDescent="0.2">
      <c r="A208" s="22">
        <v>19</v>
      </c>
      <c r="B208" s="22" t="s">
        <v>846</v>
      </c>
      <c r="C208" s="22" t="s">
        <v>847</v>
      </c>
      <c r="D208" s="23" t="str">
        <f>Source!H94</f>
        <v>шт.</v>
      </c>
      <c r="E208" s="10">
        <f>Source!I94</f>
        <v>49</v>
      </c>
      <c r="F208" s="25"/>
      <c r="G208" s="24"/>
      <c r="H208" s="10"/>
      <c r="I208" s="10"/>
      <c r="J208" s="25"/>
      <c r="K208" s="25"/>
      <c r="Q208">
        <f>ROUND((Source!BZ94/100)*ROUND((Source!AF94*Source!AV94)*Source!I94, 2), 2)</f>
        <v>10732.61</v>
      </c>
      <c r="R208">
        <f>Source!X94</f>
        <v>10732.61</v>
      </c>
      <c r="S208">
        <f>ROUND((Source!CA94/100)*ROUND((Source!AF94*Source!AV94)*Source!I94, 2), 2)</f>
        <v>1533.23</v>
      </c>
      <c r="T208">
        <f>Source!Y94</f>
        <v>1533.23</v>
      </c>
      <c r="U208">
        <f>ROUND((175/100)*ROUND((Source!AE94*Source!AV94)*Source!I94, 2), 2)</f>
        <v>73.400000000000006</v>
      </c>
      <c r="V208">
        <f>ROUND((108/100)*ROUND(Source!CS94*Source!I94, 2), 2)</f>
        <v>45.3</v>
      </c>
    </row>
    <row r="209" spans="1:22" ht="14.25" x14ac:dyDescent="0.2">
      <c r="A209" s="22"/>
      <c r="B209" s="22"/>
      <c r="C209" s="22" t="s">
        <v>825</v>
      </c>
      <c r="D209" s="23"/>
      <c r="E209" s="10"/>
      <c r="F209" s="25">
        <f>Source!AO94</f>
        <v>391.13</v>
      </c>
      <c r="G209" s="24" t="str">
        <f>Source!DG94</f>
        <v>)*0,8</v>
      </c>
      <c r="H209" s="10">
        <f>Source!AV94</f>
        <v>1</v>
      </c>
      <c r="I209" s="10">
        <f>IF(Source!BA94&lt;&gt; 0, Source!BA94, 1)</f>
        <v>1</v>
      </c>
      <c r="J209" s="25">
        <f>Source!S94</f>
        <v>15332.3</v>
      </c>
      <c r="K209" s="25"/>
    </row>
    <row r="210" spans="1:22" ht="14.25" x14ac:dyDescent="0.2">
      <c r="A210" s="22"/>
      <c r="B210" s="22"/>
      <c r="C210" s="22" t="s">
        <v>826</v>
      </c>
      <c r="D210" s="23"/>
      <c r="E210" s="10"/>
      <c r="F210" s="25">
        <f>Source!AM94</f>
        <v>51.58</v>
      </c>
      <c r="G210" s="24" t="str">
        <f>Source!DE94</f>
        <v>)*0,8</v>
      </c>
      <c r="H210" s="10">
        <f>Source!AV94</f>
        <v>1</v>
      </c>
      <c r="I210" s="10">
        <f>IF(Source!BB94&lt;&gt; 0, Source!BB94, 1)</f>
        <v>1</v>
      </c>
      <c r="J210" s="25">
        <f>Source!Q94</f>
        <v>2021.94</v>
      </c>
      <c r="K210" s="25"/>
    </row>
    <row r="211" spans="1:22" ht="14.25" x14ac:dyDescent="0.2">
      <c r="A211" s="22"/>
      <c r="B211" s="22"/>
      <c r="C211" s="22" t="s">
        <v>827</v>
      </c>
      <c r="D211" s="23"/>
      <c r="E211" s="10"/>
      <c r="F211" s="25">
        <f>Source!AN94</f>
        <v>1.07</v>
      </c>
      <c r="G211" s="24" t="str">
        <f>Source!DF94</f>
        <v>)*0,8</v>
      </c>
      <c r="H211" s="10">
        <f>Source!AV94</f>
        <v>1</v>
      </c>
      <c r="I211" s="10">
        <f>IF(Source!BS94&lt;&gt; 0, Source!BS94, 1)</f>
        <v>1</v>
      </c>
      <c r="J211" s="26">
        <f>Source!R94</f>
        <v>41.94</v>
      </c>
      <c r="K211" s="25"/>
    </row>
    <row r="212" spans="1:22" ht="14.25" x14ac:dyDescent="0.2">
      <c r="A212" s="22"/>
      <c r="B212" s="22"/>
      <c r="C212" s="22" t="s">
        <v>828</v>
      </c>
      <c r="D212" s="23"/>
      <c r="E212" s="10"/>
      <c r="F212" s="25">
        <f>Source!AL94</f>
        <v>281.12</v>
      </c>
      <c r="G212" s="24" t="str">
        <f>Source!DD94</f>
        <v/>
      </c>
      <c r="H212" s="10">
        <f>Source!AW94</f>
        <v>1</v>
      </c>
      <c r="I212" s="10">
        <f>IF(Source!BC94&lt;&gt; 0, Source!BC94, 1)</f>
        <v>1</v>
      </c>
      <c r="J212" s="25">
        <f>Source!P94</f>
        <v>13774.88</v>
      </c>
      <c r="K212" s="25"/>
    </row>
    <row r="213" spans="1:22" ht="14.25" x14ac:dyDescent="0.2">
      <c r="A213" s="22"/>
      <c r="B213" s="22"/>
      <c r="C213" s="22" t="s">
        <v>829</v>
      </c>
      <c r="D213" s="23" t="s">
        <v>830</v>
      </c>
      <c r="E213" s="10">
        <f>Source!AT94</f>
        <v>70</v>
      </c>
      <c r="F213" s="25"/>
      <c r="G213" s="24"/>
      <c r="H213" s="10"/>
      <c r="I213" s="10"/>
      <c r="J213" s="25">
        <f>SUM(R208:R212)</f>
        <v>10732.61</v>
      </c>
      <c r="K213" s="25"/>
    </row>
    <row r="214" spans="1:22" ht="14.25" x14ac:dyDescent="0.2">
      <c r="A214" s="22"/>
      <c r="B214" s="22"/>
      <c r="C214" s="22" t="s">
        <v>831</v>
      </c>
      <c r="D214" s="23" t="s">
        <v>830</v>
      </c>
      <c r="E214" s="10">
        <f>Source!AU94</f>
        <v>10</v>
      </c>
      <c r="F214" s="25"/>
      <c r="G214" s="24"/>
      <c r="H214" s="10"/>
      <c r="I214" s="10"/>
      <c r="J214" s="25">
        <f>SUM(T208:T213)</f>
        <v>1533.23</v>
      </c>
      <c r="K214" s="25"/>
    </row>
    <row r="215" spans="1:22" ht="14.25" x14ac:dyDescent="0.2">
      <c r="A215" s="22"/>
      <c r="B215" s="22"/>
      <c r="C215" s="22" t="s">
        <v>832</v>
      </c>
      <c r="D215" s="23" t="s">
        <v>830</v>
      </c>
      <c r="E215" s="10">
        <f>108</f>
        <v>108</v>
      </c>
      <c r="F215" s="25"/>
      <c r="G215" s="24"/>
      <c r="H215" s="10"/>
      <c r="I215" s="10"/>
      <c r="J215" s="25">
        <f>SUM(V208:V214)</f>
        <v>45.3</v>
      </c>
      <c r="K215" s="25"/>
    </row>
    <row r="216" spans="1:22" ht="14.25" x14ac:dyDescent="0.2">
      <c r="A216" s="22"/>
      <c r="B216" s="22"/>
      <c r="C216" s="22" t="s">
        <v>833</v>
      </c>
      <c r="D216" s="23" t="s">
        <v>834</v>
      </c>
      <c r="E216" s="10">
        <f>Source!AQ94</f>
        <v>1.54</v>
      </c>
      <c r="F216" s="25"/>
      <c r="G216" s="24" t="str">
        <f>Source!DI94</f>
        <v>)*0,8</v>
      </c>
      <c r="H216" s="10">
        <f>Source!AV94</f>
        <v>1</v>
      </c>
      <c r="I216" s="10"/>
      <c r="J216" s="25"/>
      <c r="K216" s="25">
        <f>Source!U94</f>
        <v>60.368000000000009</v>
      </c>
    </row>
    <row r="217" spans="1:22" ht="15" x14ac:dyDescent="0.25">
      <c r="A217" s="29"/>
      <c r="B217" s="29"/>
      <c r="C217" s="29"/>
      <c r="D217" s="29"/>
      <c r="E217" s="29"/>
      <c r="F217" s="29"/>
      <c r="G217" s="29"/>
      <c r="H217" s="29"/>
      <c r="I217" s="104">
        <f>J209+J210+J212+J213+J214+J215</f>
        <v>43440.26</v>
      </c>
      <c r="J217" s="104"/>
      <c r="K217" s="30">
        <f>IF(Source!I94&lt;&gt;0, ROUND(I217/Source!I94, 2), 0)</f>
        <v>886.54</v>
      </c>
      <c r="P217" s="27">
        <f>I217</f>
        <v>43440.26</v>
      </c>
    </row>
    <row r="218" spans="1:22" ht="71.25" x14ac:dyDescent="0.2">
      <c r="A218" s="22">
        <v>20</v>
      </c>
      <c r="B218" s="22" t="str">
        <f>Source!F95</f>
        <v>1.21-3103-33-2/1</v>
      </c>
      <c r="C218" s="22" t="str">
        <f>Source!G95</f>
        <v>Прокладка труб гофрированных поливинилхлоридных наружным диаметром 20 мм открыто по стенам и потолкам с установкой соединительных коробок</v>
      </c>
      <c r="D218" s="23" t="str">
        <f>Source!H95</f>
        <v>100 м</v>
      </c>
      <c r="E218" s="10">
        <f>Source!I95</f>
        <v>0.27</v>
      </c>
      <c r="F218" s="25"/>
      <c r="G218" s="24"/>
      <c r="H218" s="10"/>
      <c r="I218" s="10"/>
      <c r="J218" s="25"/>
      <c r="K218" s="25"/>
      <c r="Q218">
        <f>ROUND((Source!BZ95/100)*ROUND((Source!AF95*Source!AV95)*Source!I95, 2), 2)</f>
        <v>833.56</v>
      </c>
      <c r="R218">
        <f>Source!X95</f>
        <v>833.56</v>
      </c>
      <c r="S218">
        <f>ROUND((Source!CA95/100)*ROUND((Source!AF95*Source!AV95)*Source!I95, 2), 2)</f>
        <v>119.08</v>
      </c>
      <c r="T218">
        <f>Source!Y95</f>
        <v>119.08</v>
      </c>
      <c r="U218">
        <f>ROUND((175/100)*ROUND((Source!AE95*Source!AV95)*Source!I95, 2), 2)</f>
        <v>2.36</v>
      </c>
      <c r="V218">
        <f>ROUND((108/100)*ROUND(Source!CS95*Source!I95, 2), 2)</f>
        <v>1.46</v>
      </c>
    </row>
    <row r="219" spans="1:22" x14ac:dyDescent="0.2">
      <c r="C219" s="32" t="str">
        <f>"Объем: "&amp;Source!I95&amp;"=27/"&amp;"100"</f>
        <v>Объем: 0,27=27/100</v>
      </c>
    </row>
    <row r="220" spans="1:22" ht="14.25" x14ac:dyDescent="0.2">
      <c r="A220" s="22"/>
      <c r="B220" s="22"/>
      <c r="C220" s="22" t="s">
        <v>825</v>
      </c>
      <c r="D220" s="23"/>
      <c r="E220" s="10"/>
      <c r="F220" s="25">
        <f>Source!AO95</f>
        <v>4410.37</v>
      </c>
      <c r="G220" s="24" t="str">
        <f>Source!DG95</f>
        <v/>
      </c>
      <c r="H220" s="10">
        <f>Source!AV95</f>
        <v>1</v>
      </c>
      <c r="I220" s="10">
        <f>IF(Source!BA95&lt;&gt; 0, Source!BA95, 1)</f>
        <v>1</v>
      </c>
      <c r="J220" s="25">
        <f>Source!S95</f>
        <v>1190.8</v>
      </c>
      <c r="K220" s="25"/>
    </row>
    <row r="221" spans="1:22" ht="14.25" x14ac:dyDescent="0.2">
      <c r="A221" s="22"/>
      <c r="B221" s="22"/>
      <c r="C221" s="22" t="s">
        <v>826</v>
      </c>
      <c r="D221" s="23"/>
      <c r="E221" s="10"/>
      <c r="F221" s="25">
        <f>Source!AM95</f>
        <v>41.77</v>
      </c>
      <c r="G221" s="24" t="str">
        <f>Source!DE95</f>
        <v/>
      </c>
      <c r="H221" s="10">
        <f>Source!AV95</f>
        <v>1</v>
      </c>
      <c r="I221" s="10">
        <f>IF(Source!BB95&lt;&gt; 0, Source!BB95, 1)</f>
        <v>1</v>
      </c>
      <c r="J221" s="25">
        <f>Source!Q95</f>
        <v>11.28</v>
      </c>
      <c r="K221" s="25"/>
    </row>
    <row r="222" spans="1:22" ht="14.25" x14ac:dyDescent="0.2">
      <c r="A222" s="22"/>
      <c r="B222" s="22"/>
      <c r="C222" s="22" t="s">
        <v>827</v>
      </c>
      <c r="D222" s="23"/>
      <c r="E222" s="10"/>
      <c r="F222" s="25">
        <f>Source!AN95</f>
        <v>5</v>
      </c>
      <c r="G222" s="24" t="str">
        <f>Source!DF95</f>
        <v/>
      </c>
      <c r="H222" s="10">
        <f>Source!AV95</f>
        <v>1</v>
      </c>
      <c r="I222" s="10">
        <f>IF(Source!BS95&lt;&gt; 0, Source!BS95, 1)</f>
        <v>1</v>
      </c>
      <c r="J222" s="26">
        <f>Source!R95</f>
        <v>1.35</v>
      </c>
      <c r="K222" s="25"/>
    </row>
    <row r="223" spans="1:22" ht="14.25" x14ac:dyDescent="0.2">
      <c r="A223" s="22"/>
      <c r="B223" s="22"/>
      <c r="C223" s="22" t="s">
        <v>828</v>
      </c>
      <c r="D223" s="23"/>
      <c r="E223" s="10"/>
      <c r="F223" s="25">
        <f>Source!AL95</f>
        <v>2915.8</v>
      </c>
      <c r="G223" s="24" t="str">
        <f>Source!DD95</f>
        <v/>
      </c>
      <c r="H223" s="10">
        <f>Source!AW95</f>
        <v>1</v>
      </c>
      <c r="I223" s="10">
        <f>IF(Source!BC95&lt;&gt; 0, Source!BC95, 1)</f>
        <v>1</v>
      </c>
      <c r="J223" s="25">
        <f>Source!P95</f>
        <v>787.27</v>
      </c>
      <c r="K223" s="25"/>
    </row>
    <row r="224" spans="1:22" ht="71.25" x14ac:dyDescent="0.2">
      <c r="A224" s="22" t="s">
        <v>273</v>
      </c>
      <c r="B224" s="22" t="str">
        <f>Source!F96</f>
        <v>21.21-5-61</v>
      </c>
      <c r="C224" s="22" t="str">
        <f>Source!G96</f>
        <v>Коробки для выполнения соединений и ответвлений электрических кабелей и проводов сечением до 4 мм2, прокладываемых в неметаллических трубах, тип КОР-73 УЗ</v>
      </c>
      <c r="D224" s="23" t="str">
        <f>Source!H96</f>
        <v>шт.</v>
      </c>
      <c r="E224" s="10">
        <f>Source!I96</f>
        <v>-1.35</v>
      </c>
      <c r="F224" s="25">
        <f>Source!AK96</f>
        <v>30.24</v>
      </c>
      <c r="G224" s="31" t="s">
        <v>3</v>
      </c>
      <c r="H224" s="10">
        <f>Source!AW96</f>
        <v>1</v>
      </c>
      <c r="I224" s="10">
        <f>IF(Source!BC96&lt;&gt; 0, Source!BC96, 1)</f>
        <v>1</v>
      </c>
      <c r="J224" s="25">
        <f>Source!O96</f>
        <v>-40.82</v>
      </c>
      <c r="K224" s="25"/>
      <c r="Q224">
        <f>ROUND((Source!BZ96/100)*ROUND((Source!AF96*Source!AV96)*Source!I96, 2), 2)</f>
        <v>0</v>
      </c>
      <c r="R224">
        <f>Source!X96</f>
        <v>0</v>
      </c>
      <c r="S224">
        <f>ROUND((Source!CA96/100)*ROUND((Source!AF96*Source!AV96)*Source!I96, 2), 2)</f>
        <v>0</v>
      </c>
      <c r="T224">
        <f>Source!Y96</f>
        <v>0</v>
      </c>
      <c r="U224">
        <f>ROUND((175/100)*ROUND((Source!AE96*Source!AV96)*Source!I96, 2), 2)</f>
        <v>0</v>
      </c>
      <c r="V224">
        <f>ROUND((108/100)*ROUND(Source!CS96*Source!I96, 2), 2)</f>
        <v>0</v>
      </c>
    </row>
    <row r="225" spans="1:22" ht="14.25" x14ac:dyDescent="0.2">
      <c r="A225" s="22"/>
      <c r="B225" s="22"/>
      <c r="C225" s="22" t="s">
        <v>829</v>
      </c>
      <c r="D225" s="23" t="s">
        <v>830</v>
      </c>
      <c r="E225" s="10">
        <f>Source!AT95</f>
        <v>70</v>
      </c>
      <c r="F225" s="25"/>
      <c r="G225" s="24"/>
      <c r="H225" s="10"/>
      <c r="I225" s="10"/>
      <c r="J225" s="25">
        <f>SUM(R218:R224)</f>
        <v>833.56</v>
      </c>
      <c r="K225" s="25"/>
    </row>
    <row r="226" spans="1:22" ht="14.25" x14ac:dyDescent="0.2">
      <c r="A226" s="22"/>
      <c r="B226" s="22"/>
      <c r="C226" s="22" t="s">
        <v>831</v>
      </c>
      <c r="D226" s="23" t="s">
        <v>830</v>
      </c>
      <c r="E226" s="10">
        <f>Source!AU95</f>
        <v>10</v>
      </c>
      <c r="F226" s="25"/>
      <c r="G226" s="24"/>
      <c r="H226" s="10"/>
      <c r="I226" s="10"/>
      <c r="J226" s="25">
        <f>SUM(T218:T225)</f>
        <v>119.08</v>
      </c>
      <c r="K226" s="25"/>
    </row>
    <row r="227" spans="1:22" ht="14.25" x14ac:dyDescent="0.2">
      <c r="A227" s="22"/>
      <c r="B227" s="22"/>
      <c r="C227" s="22" t="s">
        <v>832</v>
      </c>
      <c r="D227" s="23" t="s">
        <v>830</v>
      </c>
      <c r="E227" s="10">
        <f>108</f>
        <v>108</v>
      </c>
      <c r="F227" s="25"/>
      <c r="G227" s="24"/>
      <c r="H227" s="10"/>
      <c r="I227" s="10"/>
      <c r="J227" s="25">
        <f>SUM(V218:V226)</f>
        <v>1.46</v>
      </c>
      <c r="K227" s="25"/>
    </row>
    <row r="228" spans="1:22" ht="14.25" x14ac:dyDescent="0.2">
      <c r="A228" s="22"/>
      <c r="B228" s="22"/>
      <c r="C228" s="22" t="s">
        <v>833</v>
      </c>
      <c r="D228" s="23" t="s">
        <v>834</v>
      </c>
      <c r="E228" s="10">
        <f>Source!AQ95</f>
        <v>17.260000000000002</v>
      </c>
      <c r="F228" s="25"/>
      <c r="G228" s="24" t="str">
        <f>Source!DI95</f>
        <v/>
      </c>
      <c r="H228" s="10">
        <f>Source!AV95</f>
        <v>1</v>
      </c>
      <c r="I228" s="10"/>
      <c r="J228" s="25"/>
      <c r="K228" s="25">
        <f>Source!U95</f>
        <v>4.6602000000000006</v>
      </c>
    </row>
    <row r="229" spans="1:22" ht="15" x14ac:dyDescent="0.25">
      <c r="A229" s="29"/>
      <c r="B229" s="29"/>
      <c r="C229" s="29"/>
      <c r="D229" s="29"/>
      <c r="E229" s="29"/>
      <c r="F229" s="29"/>
      <c r="G229" s="29"/>
      <c r="H229" s="29"/>
      <c r="I229" s="104">
        <f>J220+J221+J223+J225+J226+J227+SUM(J224:J224)</f>
        <v>2902.6299999999997</v>
      </c>
      <c r="J229" s="104"/>
      <c r="K229" s="30">
        <f>IF(Source!I95&lt;&gt;0, ROUND(I229/Source!I95, 2), 0)</f>
        <v>10750.48</v>
      </c>
      <c r="P229" s="27">
        <f>I229</f>
        <v>2902.6299999999997</v>
      </c>
    </row>
    <row r="230" spans="1:22" ht="42.75" x14ac:dyDescent="0.2">
      <c r="A230" s="22">
        <v>22</v>
      </c>
      <c r="B230" s="22" t="str">
        <f>Source!F105</f>
        <v>1.21-3103-31-2/2</v>
      </c>
      <c r="C230" s="22" t="str">
        <f>Source!G105</f>
        <v>Прокладка пластикового кабель-канала - по бетонному основанию / сечение 40х20 мм</v>
      </c>
      <c r="D230" s="23" t="str">
        <f>Source!H105</f>
        <v>100 м</v>
      </c>
      <c r="E230" s="10">
        <f>Source!I105</f>
        <v>0.74</v>
      </c>
      <c r="F230" s="25"/>
      <c r="G230" s="24"/>
      <c r="H230" s="10"/>
      <c r="I230" s="10"/>
      <c r="J230" s="25"/>
      <c r="K230" s="25"/>
      <c r="Q230">
        <f>ROUND((Source!BZ105/100)*ROUND((Source!AF105*Source!AV105)*Source!I105, 2), 2)</f>
        <v>5631.17</v>
      </c>
      <c r="R230">
        <f>Source!X105</f>
        <v>5631.17</v>
      </c>
      <c r="S230">
        <f>ROUND((Source!CA105/100)*ROUND((Source!AF105*Source!AV105)*Source!I105, 2), 2)</f>
        <v>804.45</v>
      </c>
      <c r="T230">
        <f>Source!Y105</f>
        <v>804.45</v>
      </c>
      <c r="U230">
        <f>ROUND((175/100)*ROUND((Source!AE105*Source!AV105)*Source!I105, 2), 2)</f>
        <v>0.37</v>
      </c>
      <c r="V230">
        <f>ROUND((108/100)*ROUND(Source!CS105*Source!I105, 2), 2)</f>
        <v>0.23</v>
      </c>
    </row>
    <row r="231" spans="1:22" x14ac:dyDescent="0.2">
      <c r="C231" s="32" t="str">
        <f>"Объем: "&amp;Source!I105&amp;"=74/"&amp;"100"</f>
        <v>Объем: 0,74=74/100</v>
      </c>
    </row>
    <row r="232" spans="1:22" ht="14.25" x14ac:dyDescent="0.2">
      <c r="A232" s="22"/>
      <c r="B232" s="22"/>
      <c r="C232" s="22" t="s">
        <v>825</v>
      </c>
      <c r="D232" s="23"/>
      <c r="E232" s="10"/>
      <c r="F232" s="25">
        <f>Source!AO105</f>
        <v>10870.99</v>
      </c>
      <c r="G232" s="24" t="str">
        <f>Source!DG105</f>
        <v/>
      </c>
      <c r="H232" s="10">
        <f>Source!AV105</f>
        <v>1</v>
      </c>
      <c r="I232" s="10">
        <f>IF(Source!BA105&lt;&gt; 0, Source!BA105, 1)</f>
        <v>1</v>
      </c>
      <c r="J232" s="25">
        <f>Source!S105</f>
        <v>8044.53</v>
      </c>
      <c r="K232" s="25"/>
    </row>
    <row r="233" spans="1:22" ht="14.25" x14ac:dyDescent="0.2">
      <c r="A233" s="22"/>
      <c r="B233" s="22"/>
      <c r="C233" s="22" t="s">
        <v>826</v>
      </c>
      <c r="D233" s="23"/>
      <c r="E233" s="10"/>
      <c r="F233" s="25">
        <f>Source!AM105</f>
        <v>41.99</v>
      </c>
      <c r="G233" s="24" t="str">
        <f>Source!DE105</f>
        <v/>
      </c>
      <c r="H233" s="10">
        <f>Source!AV105</f>
        <v>1</v>
      </c>
      <c r="I233" s="10">
        <f>IF(Source!BB105&lt;&gt; 0, Source!BB105, 1)</f>
        <v>1</v>
      </c>
      <c r="J233" s="25">
        <f>Source!Q105</f>
        <v>31.07</v>
      </c>
      <c r="K233" s="25"/>
    </row>
    <row r="234" spans="1:22" ht="14.25" x14ac:dyDescent="0.2">
      <c r="A234" s="22"/>
      <c r="B234" s="22"/>
      <c r="C234" s="22" t="s">
        <v>827</v>
      </c>
      <c r="D234" s="23"/>
      <c r="E234" s="10"/>
      <c r="F234" s="25">
        <f>Source!AN105</f>
        <v>0.28000000000000003</v>
      </c>
      <c r="G234" s="24" t="str">
        <f>Source!DF105</f>
        <v/>
      </c>
      <c r="H234" s="10">
        <f>Source!AV105</f>
        <v>1</v>
      </c>
      <c r="I234" s="10">
        <f>IF(Source!BS105&lt;&gt; 0, Source!BS105, 1)</f>
        <v>1</v>
      </c>
      <c r="J234" s="26">
        <f>Source!R105</f>
        <v>0.21</v>
      </c>
      <c r="K234" s="25"/>
    </row>
    <row r="235" spans="1:22" ht="14.25" x14ac:dyDescent="0.2">
      <c r="A235" s="22"/>
      <c r="B235" s="22"/>
      <c r="C235" s="22" t="s">
        <v>828</v>
      </c>
      <c r="D235" s="23"/>
      <c r="E235" s="10"/>
      <c r="F235" s="25">
        <f>Source!AL105</f>
        <v>30535.43</v>
      </c>
      <c r="G235" s="24" t="str">
        <f>Source!DD105</f>
        <v/>
      </c>
      <c r="H235" s="10">
        <f>Source!AW105</f>
        <v>1</v>
      </c>
      <c r="I235" s="10">
        <f>IF(Source!BC105&lt;&gt; 0, Source!BC105, 1)</f>
        <v>1</v>
      </c>
      <c r="J235" s="25">
        <f>Source!P105</f>
        <v>22596.22</v>
      </c>
      <c r="K235" s="25"/>
    </row>
    <row r="236" spans="1:22" ht="28.5" x14ac:dyDescent="0.2">
      <c r="A236" s="22" t="s">
        <v>311</v>
      </c>
      <c r="B236" s="22" t="str">
        <f>Source!F106</f>
        <v>21.1-25-1022</v>
      </c>
      <c r="C236" s="22" t="str">
        <f>Source!G106</f>
        <v>Кабель-каналы, размер 40х20 мм: заглушки</v>
      </c>
      <c r="D236" s="23" t="str">
        <f>Source!H106</f>
        <v>шт.</v>
      </c>
      <c r="E236" s="10">
        <f>Source!I106</f>
        <v>-11.1</v>
      </c>
      <c r="F236" s="25">
        <f>Source!AK106</f>
        <v>67.209999999999994</v>
      </c>
      <c r="G236" s="31" t="s">
        <v>3</v>
      </c>
      <c r="H236" s="10">
        <f>Source!AW106</f>
        <v>1</v>
      </c>
      <c r="I236" s="10">
        <f>IF(Source!BC106&lt;&gt; 0, Source!BC106, 1)</f>
        <v>1</v>
      </c>
      <c r="J236" s="25">
        <f>Source!O106</f>
        <v>-746.03</v>
      </c>
      <c r="K236" s="25"/>
      <c r="Q236">
        <f>ROUND((Source!BZ106/100)*ROUND((Source!AF106*Source!AV106)*Source!I106, 2), 2)</f>
        <v>0</v>
      </c>
      <c r="R236">
        <f>Source!X106</f>
        <v>0</v>
      </c>
      <c r="S236">
        <f>ROUND((Source!CA106/100)*ROUND((Source!AF106*Source!AV106)*Source!I106, 2), 2)</f>
        <v>0</v>
      </c>
      <c r="T236">
        <f>Source!Y106</f>
        <v>0</v>
      </c>
      <c r="U236">
        <f>ROUND((175/100)*ROUND((Source!AE106*Source!AV106)*Source!I106, 2), 2)</f>
        <v>0</v>
      </c>
      <c r="V236">
        <f>ROUND((108/100)*ROUND(Source!CS106*Source!I106, 2), 2)</f>
        <v>0</v>
      </c>
    </row>
    <row r="237" spans="1:22" ht="28.5" x14ac:dyDescent="0.2">
      <c r="A237" s="22" t="s">
        <v>315</v>
      </c>
      <c r="B237" s="22" t="str">
        <f>Source!F107</f>
        <v>21.1-25-1023</v>
      </c>
      <c r="C237" s="22" t="str">
        <f>Source!G107</f>
        <v>Кабель-каналы, размер 40х20 мм: накладки стыковые</v>
      </c>
      <c r="D237" s="23" t="str">
        <f>Source!H107</f>
        <v>шт.</v>
      </c>
      <c r="E237" s="10">
        <f>Source!I107</f>
        <v>-2.96</v>
      </c>
      <c r="F237" s="25">
        <f>Source!AK107</f>
        <v>41.66</v>
      </c>
      <c r="G237" s="31" t="s">
        <v>3</v>
      </c>
      <c r="H237" s="10">
        <f>Source!AW107</f>
        <v>1</v>
      </c>
      <c r="I237" s="10">
        <f>IF(Source!BC107&lt;&gt; 0, Source!BC107, 1)</f>
        <v>1</v>
      </c>
      <c r="J237" s="25">
        <f>Source!O107</f>
        <v>-123.31</v>
      </c>
      <c r="K237" s="25"/>
      <c r="Q237">
        <f>ROUND((Source!BZ107/100)*ROUND((Source!AF107*Source!AV107)*Source!I107, 2), 2)</f>
        <v>0</v>
      </c>
      <c r="R237">
        <f>Source!X107</f>
        <v>0</v>
      </c>
      <c r="S237">
        <f>ROUND((Source!CA107/100)*ROUND((Source!AF107*Source!AV107)*Source!I107, 2), 2)</f>
        <v>0</v>
      </c>
      <c r="T237">
        <f>Source!Y107</f>
        <v>0</v>
      </c>
      <c r="U237">
        <f>ROUND((175/100)*ROUND((Source!AE107*Source!AV107)*Source!I107, 2), 2)</f>
        <v>0</v>
      </c>
      <c r="V237">
        <f>ROUND((108/100)*ROUND(Source!CS107*Source!I107, 2), 2)</f>
        <v>0</v>
      </c>
    </row>
    <row r="238" spans="1:22" ht="28.5" x14ac:dyDescent="0.2">
      <c r="A238" s="22" t="s">
        <v>319</v>
      </c>
      <c r="B238" s="22" t="str">
        <f>Source!F108</f>
        <v>21.1-25-1024</v>
      </c>
      <c r="C238" s="22" t="str">
        <f>Source!G108</f>
        <v>Кабель-каналы, размер 40х20 мм: углы внутренние</v>
      </c>
      <c r="D238" s="23" t="str">
        <f>Source!H108</f>
        <v>шт.</v>
      </c>
      <c r="E238" s="10">
        <f>Source!I108</f>
        <v>-1.48</v>
      </c>
      <c r="F238" s="25">
        <f>Source!AK108</f>
        <v>89.44</v>
      </c>
      <c r="G238" s="31" t="s">
        <v>3</v>
      </c>
      <c r="H238" s="10">
        <f>Source!AW108</f>
        <v>1</v>
      </c>
      <c r="I238" s="10">
        <f>IF(Source!BC108&lt;&gt; 0, Source!BC108, 1)</f>
        <v>1</v>
      </c>
      <c r="J238" s="25">
        <f>Source!O108</f>
        <v>-132.37</v>
      </c>
      <c r="K238" s="25"/>
      <c r="Q238">
        <f>ROUND((Source!BZ108/100)*ROUND((Source!AF108*Source!AV108)*Source!I108, 2), 2)</f>
        <v>0</v>
      </c>
      <c r="R238">
        <f>Source!X108</f>
        <v>0</v>
      </c>
      <c r="S238">
        <f>ROUND((Source!CA108/100)*ROUND((Source!AF108*Source!AV108)*Source!I108, 2), 2)</f>
        <v>0</v>
      </c>
      <c r="T238">
        <f>Source!Y108</f>
        <v>0</v>
      </c>
      <c r="U238">
        <f>ROUND((175/100)*ROUND((Source!AE108*Source!AV108)*Source!I108, 2), 2)</f>
        <v>0</v>
      </c>
      <c r="V238">
        <f>ROUND((108/100)*ROUND(Source!CS108*Source!I108, 2), 2)</f>
        <v>0</v>
      </c>
    </row>
    <row r="239" spans="1:22" ht="28.5" x14ac:dyDescent="0.2">
      <c r="A239" s="22" t="s">
        <v>323</v>
      </c>
      <c r="B239" s="22" t="str">
        <f>Source!F109</f>
        <v>21.1-25-1025</v>
      </c>
      <c r="C239" s="22" t="str">
        <f>Source!G109</f>
        <v>Кабель-каналы, размер 40х20 мм: углы наружные</v>
      </c>
      <c r="D239" s="23" t="str">
        <f>Source!H109</f>
        <v>шт.</v>
      </c>
      <c r="E239" s="10">
        <f>Source!I109</f>
        <v>-11.1</v>
      </c>
      <c r="F239" s="25">
        <f>Source!AK109</f>
        <v>89.44</v>
      </c>
      <c r="G239" s="31" t="s">
        <v>3</v>
      </c>
      <c r="H239" s="10">
        <f>Source!AW109</f>
        <v>1</v>
      </c>
      <c r="I239" s="10">
        <f>IF(Source!BC109&lt;&gt; 0, Source!BC109, 1)</f>
        <v>1</v>
      </c>
      <c r="J239" s="25">
        <f>Source!O109</f>
        <v>-992.78</v>
      </c>
      <c r="K239" s="25"/>
      <c r="Q239">
        <f>ROUND((Source!BZ109/100)*ROUND((Source!AF109*Source!AV109)*Source!I109, 2), 2)</f>
        <v>0</v>
      </c>
      <c r="R239">
        <f>Source!X109</f>
        <v>0</v>
      </c>
      <c r="S239">
        <f>ROUND((Source!CA109/100)*ROUND((Source!AF109*Source!AV109)*Source!I109, 2), 2)</f>
        <v>0</v>
      </c>
      <c r="T239">
        <f>Source!Y109</f>
        <v>0</v>
      </c>
      <c r="U239">
        <f>ROUND((175/100)*ROUND((Source!AE109*Source!AV109)*Source!I109, 2), 2)</f>
        <v>0</v>
      </c>
      <c r="V239">
        <f>ROUND((108/100)*ROUND(Source!CS109*Source!I109, 2), 2)</f>
        <v>0</v>
      </c>
    </row>
    <row r="240" spans="1:22" ht="28.5" x14ac:dyDescent="0.2">
      <c r="A240" s="22" t="s">
        <v>327</v>
      </c>
      <c r="B240" s="22" t="str">
        <f>Source!F110</f>
        <v>21.1-25-1026</v>
      </c>
      <c r="C240" s="22" t="str">
        <f>Source!G110</f>
        <v>Кабель-каналы, размер 40х20 мм: углы плоские</v>
      </c>
      <c r="D240" s="23" t="str">
        <f>Source!H110</f>
        <v>шт.</v>
      </c>
      <c r="E240" s="10">
        <f>Source!I110</f>
        <v>-1.48</v>
      </c>
      <c r="F240" s="25">
        <f>Source!AK110</f>
        <v>101.51</v>
      </c>
      <c r="G240" s="31" t="s">
        <v>3</v>
      </c>
      <c r="H240" s="10">
        <f>Source!AW110</f>
        <v>1</v>
      </c>
      <c r="I240" s="10">
        <f>IF(Source!BC110&lt;&gt; 0, Source!BC110, 1)</f>
        <v>1</v>
      </c>
      <c r="J240" s="25">
        <f>Source!O110</f>
        <v>-150.22999999999999</v>
      </c>
      <c r="K240" s="25"/>
      <c r="Q240">
        <f>ROUND((Source!BZ110/100)*ROUND((Source!AF110*Source!AV110)*Source!I110, 2), 2)</f>
        <v>0</v>
      </c>
      <c r="R240">
        <f>Source!X110</f>
        <v>0</v>
      </c>
      <c r="S240">
        <f>ROUND((Source!CA110/100)*ROUND((Source!AF110*Source!AV110)*Source!I110, 2), 2)</f>
        <v>0</v>
      </c>
      <c r="T240">
        <f>Source!Y110</f>
        <v>0</v>
      </c>
      <c r="U240">
        <f>ROUND((175/100)*ROUND((Source!AE110*Source!AV110)*Source!I110, 2), 2)</f>
        <v>0</v>
      </c>
      <c r="V240">
        <f>ROUND((108/100)*ROUND(Source!CS110*Source!I110, 2), 2)</f>
        <v>0</v>
      </c>
    </row>
    <row r="241" spans="1:22" ht="14.25" x14ac:dyDescent="0.2">
      <c r="A241" s="22"/>
      <c r="B241" s="22"/>
      <c r="C241" s="22" t="s">
        <v>829</v>
      </c>
      <c r="D241" s="23" t="s">
        <v>830</v>
      </c>
      <c r="E241" s="10">
        <f>Source!AT105</f>
        <v>70</v>
      </c>
      <c r="F241" s="25"/>
      <c r="G241" s="24"/>
      <c r="H241" s="10"/>
      <c r="I241" s="10"/>
      <c r="J241" s="25">
        <f>SUM(R230:R240)</f>
        <v>5631.17</v>
      </c>
      <c r="K241" s="25"/>
    </row>
    <row r="242" spans="1:22" ht="14.25" x14ac:dyDescent="0.2">
      <c r="A242" s="22"/>
      <c r="B242" s="22"/>
      <c r="C242" s="22" t="s">
        <v>831</v>
      </c>
      <c r="D242" s="23" t="s">
        <v>830</v>
      </c>
      <c r="E242" s="10">
        <f>Source!AU105</f>
        <v>10</v>
      </c>
      <c r="F242" s="25"/>
      <c r="G242" s="24"/>
      <c r="H242" s="10"/>
      <c r="I242" s="10"/>
      <c r="J242" s="25">
        <f>SUM(T230:T241)</f>
        <v>804.45</v>
      </c>
      <c r="K242" s="25"/>
    </row>
    <row r="243" spans="1:22" ht="14.25" x14ac:dyDescent="0.2">
      <c r="A243" s="22"/>
      <c r="B243" s="22"/>
      <c r="C243" s="22" t="s">
        <v>832</v>
      </c>
      <c r="D243" s="23" t="s">
        <v>830</v>
      </c>
      <c r="E243" s="10">
        <f>108</f>
        <v>108</v>
      </c>
      <c r="F243" s="25"/>
      <c r="G243" s="24"/>
      <c r="H243" s="10"/>
      <c r="I243" s="10"/>
      <c r="J243" s="25">
        <f>SUM(V230:V242)</f>
        <v>0.23</v>
      </c>
      <c r="K243" s="25"/>
    </row>
    <row r="244" spans="1:22" ht="14.25" x14ac:dyDescent="0.2">
      <c r="A244" s="22"/>
      <c r="B244" s="22"/>
      <c r="C244" s="22" t="s">
        <v>833</v>
      </c>
      <c r="D244" s="23" t="s">
        <v>834</v>
      </c>
      <c r="E244" s="10">
        <f>Source!AQ105</f>
        <v>46.78</v>
      </c>
      <c r="F244" s="25"/>
      <c r="G244" s="24" t="str">
        <f>Source!DI105</f>
        <v/>
      </c>
      <c r="H244" s="10">
        <f>Source!AV105</f>
        <v>1</v>
      </c>
      <c r="I244" s="10"/>
      <c r="J244" s="25"/>
      <c r="K244" s="25">
        <f>Source!U105</f>
        <v>34.617200000000004</v>
      </c>
    </row>
    <row r="245" spans="1:22" ht="15" x14ac:dyDescent="0.25">
      <c r="A245" s="29"/>
      <c r="B245" s="29"/>
      <c r="C245" s="29"/>
      <c r="D245" s="29"/>
      <c r="E245" s="29"/>
      <c r="F245" s="29"/>
      <c r="G245" s="29"/>
      <c r="H245" s="29"/>
      <c r="I245" s="104">
        <f>J232+J233+J235+J241+J242+J243+SUM(J236:J240)</f>
        <v>34962.949999999997</v>
      </c>
      <c r="J245" s="104"/>
      <c r="K245" s="30">
        <f>IF(Source!I105&lt;&gt;0, ROUND(I245/Source!I105, 2), 0)</f>
        <v>47247.23</v>
      </c>
      <c r="P245" s="27">
        <f>I245</f>
        <v>34962.949999999997</v>
      </c>
    </row>
    <row r="246" spans="1:22" ht="85.5" x14ac:dyDescent="0.2">
      <c r="A246" s="22">
        <v>23</v>
      </c>
      <c r="B246" s="22" t="str">
        <f>Source!F111</f>
        <v>1.21-3103-21-3/1</v>
      </c>
      <c r="C246" s="22" t="str">
        <f>Source!G111</f>
        <v>Затягивание проводов и кабелей в проложенные трубы и металлические рукава, провод первый одножильный или многожильный в общей оплетке, суммарное сечение до 16 мм2 (без стоимости материалов)</v>
      </c>
      <c r="D246" s="23" t="str">
        <f>Source!H111</f>
        <v>100 м</v>
      </c>
      <c r="E246" s="10">
        <f>Source!I111</f>
        <v>0.33</v>
      </c>
      <c r="F246" s="25"/>
      <c r="G246" s="24"/>
      <c r="H246" s="10"/>
      <c r="I246" s="10"/>
      <c r="J246" s="25"/>
      <c r="K246" s="25"/>
      <c r="Q246">
        <f>ROUND((Source!BZ111/100)*ROUND((Source!AF111*Source!AV111)*Source!I111, 2), 2)</f>
        <v>477.48</v>
      </c>
      <c r="R246">
        <f>Source!X111</f>
        <v>477.48</v>
      </c>
      <c r="S246">
        <f>ROUND((Source!CA111/100)*ROUND((Source!AF111*Source!AV111)*Source!I111, 2), 2)</f>
        <v>68.209999999999994</v>
      </c>
      <c r="T246">
        <f>Source!Y111</f>
        <v>68.209999999999994</v>
      </c>
      <c r="U246">
        <f>ROUND((175/100)*ROUND((Source!AE111*Source!AV111)*Source!I111, 2), 2)</f>
        <v>0</v>
      </c>
      <c r="V246">
        <f>ROUND((108/100)*ROUND(Source!CS111*Source!I111, 2), 2)</f>
        <v>0</v>
      </c>
    </row>
    <row r="247" spans="1:22" x14ac:dyDescent="0.2">
      <c r="C247" s="32" t="str">
        <f>"Объем: "&amp;Source!I111&amp;"=33/"&amp;"100"</f>
        <v>Объем: 0,33=33/100</v>
      </c>
    </row>
    <row r="248" spans="1:22" ht="14.25" x14ac:dyDescent="0.2">
      <c r="A248" s="22"/>
      <c r="B248" s="22"/>
      <c r="C248" s="22" t="s">
        <v>825</v>
      </c>
      <c r="D248" s="23"/>
      <c r="E248" s="10"/>
      <c r="F248" s="25">
        <f>Source!AO111</f>
        <v>2067.0300000000002</v>
      </c>
      <c r="G248" s="24" t="str">
        <f>Source!DG111</f>
        <v/>
      </c>
      <c r="H248" s="10">
        <f>Source!AV111</f>
        <v>1</v>
      </c>
      <c r="I248" s="10">
        <f>IF(Source!BA111&lt;&gt; 0, Source!BA111, 1)</f>
        <v>1</v>
      </c>
      <c r="J248" s="25">
        <f>Source!S111</f>
        <v>682.12</v>
      </c>
      <c r="K248" s="25"/>
    </row>
    <row r="249" spans="1:22" ht="114" x14ac:dyDescent="0.2">
      <c r="A249" s="22" t="s">
        <v>332</v>
      </c>
      <c r="B249" s="22" t="str">
        <f>Source!F112</f>
        <v>21.23-8-270</v>
      </c>
      <c r="C249" s="22" t="str">
        <f>Source!G112</f>
        <v>Кабели силовые, с медными жилами, с изоляц. и оболоч.из ПВХ пластиката пониж.пожар.опасности, не распростр.горение, с пониж.дымо- и газовыделением и с низк.токсич-тью продуктов горения, напряж.1000 В, марка ВВГнг(А)-LSLTx, число жил и сечение, мм2: 3х2,5</v>
      </c>
      <c r="D249" s="23" t="str">
        <f>Source!H112</f>
        <v>км</v>
      </c>
      <c r="E249" s="10">
        <f>Source!I112</f>
        <v>3.3660000000000002E-2</v>
      </c>
      <c r="F249" s="25">
        <f>Source!AK112</f>
        <v>180898.67</v>
      </c>
      <c r="G249" s="31" t="s">
        <v>3</v>
      </c>
      <c r="H249" s="10">
        <f>Source!AW112</f>
        <v>1</v>
      </c>
      <c r="I249" s="10">
        <f>IF(Source!BC112&lt;&gt; 0, Source!BC112, 1)</f>
        <v>1</v>
      </c>
      <c r="J249" s="25">
        <f>Source!O112</f>
        <v>6089.05</v>
      </c>
      <c r="K249" s="25"/>
      <c r="Q249">
        <f>ROUND((Source!BZ112/100)*ROUND((Source!AF112*Source!AV112)*Source!I112, 2), 2)</f>
        <v>0</v>
      </c>
      <c r="R249">
        <f>Source!X112</f>
        <v>0</v>
      </c>
      <c r="S249">
        <f>ROUND((Source!CA112/100)*ROUND((Source!AF112*Source!AV112)*Source!I112, 2), 2)</f>
        <v>0</v>
      </c>
      <c r="T249">
        <f>Source!Y112</f>
        <v>0</v>
      </c>
      <c r="U249">
        <f>ROUND((175/100)*ROUND((Source!AE112*Source!AV112)*Source!I112, 2), 2)</f>
        <v>0</v>
      </c>
      <c r="V249">
        <f>ROUND((108/100)*ROUND(Source!CS112*Source!I112, 2), 2)</f>
        <v>0</v>
      </c>
    </row>
    <row r="250" spans="1:22" ht="14.25" x14ac:dyDescent="0.2">
      <c r="A250" s="22"/>
      <c r="B250" s="22"/>
      <c r="C250" s="22" t="s">
        <v>829</v>
      </c>
      <c r="D250" s="23" t="s">
        <v>830</v>
      </c>
      <c r="E250" s="10">
        <f>Source!AT111</f>
        <v>70</v>
      </c>
      <c r="F250" s="25"/>
      <c r="G250" s="24"/>
      <c r="H250" s="10"/>
      <c r="I250" s="10"/>
      <c r="J250" s="25">
        <f>SUM(R246:R249)</f>
        <v>477.48</v>
      </c>
      <c r="K250" s="25"/>
    </row>
    <row r="251" spans="1:22" ht="14.25" x14ac:dyDescent="0.2">
      <c r="A251" s="22"/>
      <c r="B251" s="22"/>
      <c r="C251" s="22" t="s">
        <v>831</v>
      </c>
      <c r="D251" s="23" t="s">
        <v>830</v>
      </c>
      <c r="E251" s="10">
        <f>Source!AU111</f>
        <v>10</v>
      </c>
      <c r="F251" s="25"/>
      <c r="G251" s="24"/>
      <c r="H251" s="10"/>
      <c r="I251" s="10"/>
      <c r="J251" s="25">
        <f>SUM(T246:T250)</f>
        <v>68.209999999999994</v>
      </c>
      <c r="K251" s="25"/>
    </row>
    <row r="252" spans="1:22" ht="14.25" x14ac:dyDescent="0.2">
      <c r="A252" s="22"/>
      <c r="B252" s="22"/>
      <c r="C252" s="22" t="s">
        <v>833</v>
      </c>
      <c r="D252" s="23" t="s">
        <v>834</v>
      </c>
      <c r="E252" s="10">
        <f>Source!AQ111</f>
        <v>8.2899999999999991</v>
      </c>
      <c r="F252" s="25"/>
      <c r="G252" s="24" t="str">
        <f>Source!DI111</f>
        <v/>
      </c>
      <c r="H252" s="10">
        <f>Source!AV111</f>
        <v>1</v>
      </c>
      <c r="I252" s="10"/>
      <c r="J252" s="25"/>
      <c r="K252" s="25">
        <f>Source!U111</f>
        <v>2.7357</v>
      </c>
    </row>
    <row r="253" spans="1:22" ht="15" x14ac:dyDescent="0.25">
      <c r="A253" s="29"/>
      <c r="B253" s="29"/>
      <c r="C253" s="29"/>
      <c r="D253" s="29"/>
      <c r="E253" s="29"/>
      <c r="F253" s="29"/>
      <c r="G253" s="29"/>
      <c r="H253" s="29"/>
      <c r="I253" s="104">
        <f>J248+J250+J251+SUM(J249:J249)</f>
        <v>7316.8600000000006</v>
      </c>
      <c r="J253" s="104"/>
      <c r="K253" s="30">
        <f>IF(Source!I111&lt;&gt;0, ROUND(I253/Source!I111, 2), 0)</f>
        <v>22172.3</v>
      </c>
      <c r="P253" s="27">
        <f>I253</f>
        <v>7316.8600000000006</v>
      </c>
    </row>
    <row r="254" spans="1:22" ht="28.5" x14ac:dyDescent="0.2">
      <c r="A254" s="22">
        <v>24</v>
      </c>
      <c r="B254" s="22" t="str">
        <f>Source!F113</f>
        <v>1.21-3103-8-2/1</v>
      </c>
      <c r="C254" s="22" t="str">
        <f>Source!G113</f>
        <v>Прокладка проводов и кабелей в коробах, провод сечением до 35 мм2</v>
      </c>
      <c r="D254" s="23" t="str">
        <f>Source!H113</f>
        <v>100 м</v>
      </c>
      <c r="E254" s="10">
        <f>Source!I113</f>
        <v>4.8</v>
      </c>
      <c r="F254" s="25"/>
      <c r="G254" s="24"/>
      <c r="H254" s="10"/>
      <c r="I254" s="10"/>
      <c r="J254" s="25"/>
      <c r="K254" s="25"/>
      <c r="Q254">
        <f>ROUND((Source!BZ113/100)*ROUND((Source!AF113*Source!AV113)*Source!I113, 2), 2)</f>
        <v>3971.09</v>
      </c>
      <c r="R254">
        <f>Source!X113</f>
        <v>3971.09</v>
      </c>
      <c r="S254">
        <f>ROUND((Source!CA113/100)*ROUND((Source!AF113*Source!AV113)*Source!I113, 2), 2)</f>
        <v>567.29999999999995</v>
      </c>
      <c r="T254">
        <f>Source!Y113</f>
        <v>567.29999999999995</v>
      </c>
      <c r="U254">
        <f>ROUND((175/100)*ROUND((Source!AE113*Source!AV113)*Source!I113, 2), 2)</f>
        <v>0</v>
      </c>
      <c r="V254">
        <f>ROUND((108/100)*ROUND(Source!CS113*Source!I113, 2), 2)</f>
        <v>0</v>
      </c>
    </row>
    <row r="255" spans="1:22" x14ac:dyDescent="0.2">
      <c r="C255" s="32" t="str">
        <f>"Объем: "&amp;Source!I113&amp;"=480/"&amp;"100"</f>
        <v>Объем: 4,8=480/100</v>
      </c>
    </row>
    <row r="256" spans="1:22" ht="14.25" x14ac:dyDescent="0.2">
      <c r="A256" s="22"/>
      <c r="B256" s="22"/>
      <c r="C256" s="22" t="s">
        <v>825</v>
      </c>
      <c r="D256" s="23"/>
      <c r="E256" s="10"/>
      <c r="F256" s="25">
        <f>Source!AO113</f>
        <v>1181.8699999999999</v>
      </c>
      <c r="G256" s="24" t="str">
        <f>Source!DG113</f>
        <v/>
      </c>
      <c r="H256" s="10">
        <f>Source!AV113</f>
        <v>1</v>
      </c>
      <c r="I256" s="10">
        <f>IF(Source!BA113&lt;&gt; 0, Source!BA113, 1)</f>
        <v>1</v>
      </c>
      <c r="J256" s="25">
        <f>Source!S113</f>
        <v>5672.98</v>
      </c>
      <c r="K256" s="25"/>
    </row>
    <row r="257" spans="1:22" ht="14.25" x14ac:dyDescent="0.2">
      <c r="A257" s="22"/>
      <c r="B257" s="22"/>
      <c r="C257" s="22" t="s">
        <v>828</v>
      </c>
      <c r="D257" s="23"/>
      <c r="E257" s="10"/>
      <c r="F257" s="25">
        <f>Source!AL113</f>
        <v>16876.650000000001</v>
      </c>
      <c r="G257" s="24" t="str">
        <f>Source!DD113</f>
        <v/>
      </c>
      <c r="H257" s="10">
        <f>Source!AW113</f>
        <v>1</v>
      </c>
      <c r="I257" s="10">
        <f>IF(Source!BC113&lt;&gt; 0, Source!BC113, 1)</f>
        <v>1</v>
      </c>
      <c r="J257" s="25">
        <f>Source!P113</f>
        <v>81007.92</v>
      </c>
      <c r="K257" s="25"/>
    </row>
    <row r="258" spans="1:22" ht="114" x14ac:dyDescent="0.2">
      <c r="A258" s="22" t="s">
        <v>337</v>
      </c>
      <c r="B258" s="22" t="str">
        <f>Source!F114</f>
        <v>21.23-8-270</v>
      </c>
      <c r="C258" s="22" t="str">
        <f>Source!G114</f>
        <v>Кабели силовые, с медными жилами, с изоляц. и оболоч.из ПВХ пластиката пониж.пожар.опасности, не распростр.горение, с пониж.дымо- и газовыделением и с низк.токсич-тью продуктов горения, напряж.1000 В, марка ВВГнг(А)-LSLTx, число жил и сечение, мм2: 3х2,5</v>
      </c>
      <c r="D258" s="23" t="str">
        <f>Source!H114</f>
        <v>км</v>
      </c>
      <c r="E258" s="10">
        <f>Source!I114</f>
        <v>0.48959999999999992</v>
      </c>
      <c r="F258" s="25">
        <f>Source!AK114</f>
        <v>180898.67</v>
      </c>
      <c r="G258" s="31" t="s">
        <v>3</v>
      </c>
      <c r="H258" s="10">
        <f>Source!AW114</f>
        <v>1</v>
      </c>
      <c r="I258" s="10">
        <f>IF(Source!BC114&lt;&gt; 0, Source!BC114, 1)</f>
        <v>1</v>
      </c>
      <c r="J258" s="25">
        <f>Source!O114</f>
        <v>88567.99</v>
      </c>
      <c r="K258" s="25"/>
      <c r="Q258">
        <f>ROUND((Source!BZ114/100)*ROUND((Source!AF114*Source!AV114)*Source!I114, 2), 2)</f>
        <v>0</v>
      </c>
      <c r="R258">
        <f>Source!X114</f>
        <v>0</v>
      </c>
      <c r="S258">
        <f>ROUND((Source!CA114/100)*ROUND((Source!AF114*Source!AV114)*Source!I114, 2), 2)</f>
        <v>0</v>
      </c>
      <c r="T258">
        <f>Source!Y114</f>
        <v>0</v>
      </c>
      <c r="U258">
        <f>ROUND((175/100)*ROUND((Source!AE114*Source!AV114)*Source!I114, 2), 2)</f>
        <v>0</v>
      </c>
      <c r="V258">
        <f>ROUND((108/100)*ROUND(Source!CS114*Source!I114, 2), 2)</f>
        <v>0</v>
      </c>
    </row>
    <row r="259" spans="1:22" ht="57" x14ac:dyDescent="0.2">
      <c r="A259" s="22" t="s">
        <v>338</v>
      </c>
      <c r="B259" s="22" t="str">
        <f>Source!F115</f>
        <v>21.23-13-15</v>
      </c>
      <c r="C259" s="22" t="str">
        <f>Source!G115</f>
        <v>Провода силовые с медными жилами в поливинилхлоридной изоляции, марка ПуГВ, номинальное напряжение до 450 В, число жил и сечение 1х10 мм2</v>
      </c>
      <c r="D259" s="23" t="str">
        <f>Source!H115</f>
        <v>км</v>
      </c>
      <c r="E259" s="10">
        <f>Source!I115</f>
        <v>-0.49440000000000001</v>
      </c>
      <c r="F259" s="25">
        <f>Source!AK115</f>
        <v>160962.20000000001</v>
      </c>
      <c r="G259" s="31" t="s">
        <v>3</v>
      </c>
      <c r="H259" s="10">
        <f>Source!AW115</f>
        <v>1</v>
      </c>
      <c r="I259" s="10">
        <f>IF(Source!BC115&lt;&gt; 0, Source!BC115, 1)</f>
        <v>1</v>
      </c>
      <c r="J259" s="25">
        <f>Source!O115</f>
        <v>-79579.710000000006</v>
      </c>
      <c r="K259" s="25"/>
      <c r="Q259">
        <f>ROUND((Source!BZ115/100)*ROUND((Source!AF115*Source!AV115)*Source!I115, 2), 2)</f>
        <v>0</v>
      </c>
      <c r="R259">
        <f>Source!X115</f>
        <v>0</v>
      </c>
      <c r="S259">
        <f>ROUND((Source!CA115/100)*ROUND((Source!AF115*Source!AV115)*Source!I115, 2), 2)</f>
        <v>0</v>
      </c>
      <c r="T259">
        <f>Source!Y115</f>
        <v>0</v>
      </c>
      <c r="U259">
        <f>ROUND((175/100)*ROUND((Source!AE115*Source!AV115)*Source!I115, 2), 2)</f>
        <v>0</v>
      </c>
      <c r="V259">
        <f>ROUND((108/100)*ROUND(Source!CS115*Source!I115, 2), 2)</f>
        <v>0</v>
      </c>
    </row>
    <row r="260" spans="1:22" ht="14.25" x14ac:dyDescent="0.2">
      <c r="A260" s="22"/>
      <c r="B260" s="22"/>
      <c r="C260" s="22" t="s">
        <v>829</v>
      </c>
      <c r="D260" s="23" t="s">
        <v>830</v>
      </c>
      <c r="E260" s="10">
        <f>Source!AT113</f>
        <v>70</v>
      </c>
      <c r="F260" s="25"/>
      <c r="G260" s="24"/>
      <c r="H260" s="10"/>
      <c r="I260" s="10"/>
      <c r="J260" s="25">
        <f>SUM(R254:R259)</f>
        <v>3971.09</v>
      </c>
      <c r="K260" s="25"/>
    </row>
    <row r="261" spans="1:22" ht="14.25" x14ac:dyDescent="0.2">
      <c r="A261" s="22"/>
      <c r="B261" s="22"/>
      <c r="C261" s="22" t="s">
        <v>831</v>
      </c>
      <c r="D261" s="23" t="s">
        <v>830</v>
      </c>
      <c r="E261" s="10">
        <f>Source!AU113</f>
        <v>10</v>
      </c>
      <c r="F261" s="25"/>
      <c r="G261" s="24"/>
      <c r="H261" s="10"/>
      <c r="I261" s="10"/>
      <c r="J261" s="25">
        <f>SUM(T254:T260)</f>
        <v>567.29999999999995</v>
      </c>
      <c r="K261" s="25"/>
    </row>
    <row r="262" spans="1:22" ht="14.25" x14ac:dyDescent="0.2">
      <c r="A262" s="22"/>
      <c r="B262" s="22"/>
      <c r="C262" s="22" t="s">
        <v>833</v>
      </c>
      <c r="D262" s="23" t="s">
        <v>834</v>
      </c>
      <c r="E262" s="10">
        <f>Source!AQ113</f>
        <v>4.74</v>
      </c>
      <c r="F262" s="25"/>
      <c r="G262" s="24" t="str">
        <f>Source!DI113</f>
        <v/>
      </c>
      <c r="H262" s="10">
        <f>Source!AV113</f>
        <v>1</v>
      </c>
      <c r="I262" s="10"/>
      <c r="J262" s="25"/>
      <c r="K262" s="25">
        <f>Source!U113</f>
        <v>22.751999999999999</v>
      </c>
    </row>
    <row r="263" spans="1:22" ht="15" x14ac:dyDescent="0.25">
      <c r="A263" s="29"/>
      <c r="B263" s="29"/>
      <c r="C263" s="29"/>
      <c r="D263" s="29"/>
      <c r="E263" s="29"/>
      <c r="F263" s="29"/>
      <c r="G263" s="29"/>
      <c r="H263" s="29"/>
      <c r="I263" s="104">
        <f>J256+J257+J260+J261+SUM(J258:J259)</f>
        <v>100207.56999999999</v>
      </c>
      <c r="J263" s="104"/>
      <c r="K263" s="30">
        <f>IF(Source!I113&lt;&gt;0, ROUND(I263/Source!I113, 2), 0)</f>
        <v>20876.580000000002</v>
      </c>
      <c r="P263" s="27">
        <f>I263</f>
        <v>100207.56999999999</v>
      </c>
    </row>
    <row r="264" spans="1:22" ht="71.25" x14ac:dyDescent="0.2">
      <c r="A264" s="22">
        <v>29</v>
      </c>
      <c r="B264" s="22" t="str">
        <f>Source!F120</f>
        <v>1.50-3204-11-9/1</v>
      </c>
      <c r="C264" s="22" t="str">
        <f>Source!G120</f>
        <v>Сверление сквозных отверстий в бетонных стенах и полах электроперфоратором, диаметр отверстия до 30 мм, глубина сверления 100 мм</v>
      </c>
      <c r="D264" s="23" t="str">
        <f>Source!H120</f>
        <v>100 отверстий</v>
      </c>
      <c r="E264" s="10">
        <f>Source!I120</f>
        <v>0.05</v>
      </c>
      <c r="F264" s="25"/>
      <c r="G264" s="24"/>
      <c r="H264" s="10"/>
      <c r="I264" s="10"/>
      <c r="J264" s="25"/>
      <c r="K264" s="25"/>
      <c r="Q264">
        <f>ROUND((Source!BZ120/100)*ROUND((Source!AF120*Source!AV120)*Source!I120, 2), 2)</f>
        <v>81.73</v>
      </c>
      <c r="R264">
        <f>Source!X120</f>
        <v>81.73</v>
      </c>
      <c r="S264">
        <f>ROUND((Source!CA120/100)*ROUND((Source!AF120*Source!AV120)*Source!I120, 2), 2)</f>
        <v>11.68</v>
      </c>
      <c r="T264">
        <f>Source!Y120</f>
        <v>11.68</v>
      </c>
      <c r="U264">
        <f>ROUND((175/100)*ROUND((Source!AE120*Source!AV120)*Source!I120, 2), 2)</f>
        <v>0.02</v>
      </c>
      <c r="V264">
        <f>ROUND((108/100)*ROUND(Source!CS120*Source!I120, 2), 2)</f>
        <v>0.01</v>
      </c>
    </row>
    <row r="265" spans="1:22" x14ac:dyDescent="0.2">
      <c r="C265" s="32" t="str">
        <f>"Объем: "&amp;Source!I120&amp;"=5/"&amp;"100"</f>
        <v>Объем: 0,05=5/100</v>
      </c>
    </row>
    <row r="266" spans="1:22" ht="14.25" x14ac:dyDescent="0.2">
      <c r="A266" s="22"/>
      <c r="B266" s="22"/>
      <c r="C266" s="22" t="s">
        <v>825</v>
      </c>
      <c r="D266" s="23"/>
      <c r="E266" s="10"/>
      <c r="F266" s="25">
        <f>Source!AO120</f>
        <v>2334.9699999999998</v>
      </c>
      <c r="G266" s="24" t="str">
        <f>Source!DG120</f>
        <v/>
      </c>
      <c r="H266" s="10">
        <f>Source!AV120</f>
        <v>1</v>
      </c>
      <c r="I266" s="10">
        <f>IF(Source!BA120&lt;&gt; 0, Source!BA120, 1)</f>
        <v>1</v>
      </c>
      <c r="J266" s="25">
        <f>Source!S120</f>
        <v>116.75</v>
      </c>
      <c r="K266" s="25"/>
    </row>
    <row r="267" spans="1:22" ht="14.25" x14ac:dyDescent="0.2">
      <c r="A267" s="22"/>
      <c r="B267" s="22"/>
      <c r="C267" s="22" t="s">
        <v>826</v>
      </c>
      <c r="D267" s="23"/>
      <c r="E267" s="10"/>
      <c r="F267" s="25">
        <f>Source!AM120</f>
        <v>34.54</v>
      </c>
      <c r="G267" s="24" t="str">
        <f>Source!DE120</f>
        <v/>
      </c>
      <c r="H267" s="10">
        <f>Source!AV120</f>
        <v>1</v>
      </c>
      <c r="I267" s="10">
        <f>IF(Source!BB120&lt;&gt; 0, Source!BB120, 1)</f>
        <v>1</v>
      </c>
      <c r="J267" s="25">
        <f>Source!Q120</f>
        <v>1.73</v>
      </c>
      <c r="K267" s="25"/>
    </row>
    <row r="268" spans="1:22" ht="14.25" x14ac:dyDescent="0.2">
      <c r="A268" s="22"/>
      <c r="B268" s="22"/>
      <c r="C268" s="22" t="s">
        <v>827</v>
      </c>
      <c r="D268" s="23"/>
      <c r="E268" s="10"/>
      <c r="F268" s="25">
        <f>Source!AN120</f>
        <v>0.11</v>
      </c>
      <c r="G268" s="24" t="str">
        <f>Source!DF120</f>
        <v/>
      </c>
      <c r="H268" s="10">
        <f>Source!AV120</f>
        <v>1</v>
      </c>
      <c r="I268" s="10">
        <f>IF(Source!BS120&lt;&gt; 0, Source!BS120, 1)</f>
        <v>1</v>
      </c>
      <c r="J268" s="26">
        <f>Source!R120</f>
        <v>0.01</v>
      </c>
      <c r="K268" s="25"/>
    </row>
    <row r="269" spans="1:22" ht="14.25" x14ac:dyDescent="0.2">
      <c r="A269" s="22"/>
      <c r="B269" s="22"/>
      <c r="C269" s="22" t="s">
        <v>828</v>
      </c>
      <c r="D269" s="23"/>
      <c r="E269" s="10"/>
      <c r="F269" s="25">
        <f>Source!AL120</f>
        <v>23705.4</v>
      </c>
      <c r="G269" s="24" t="str">
        <f>Source!DD120</f>
        <v/>
      </c>
      <c r="H269" s="10">
        <f>Source!AW120</f>
        <v>1</v>
      </c>
      <c r="I269" s="10">
        <f>IF(Source!BC120&lt;&gt; 0, Source!BC120, 1)</f>
        <v>1</v>
      </c>
      <c r="J269" s="25">
        <f>Source!P120</f>
        <v>1185.27</v>
      </c>
      <c r="K269" s="25"/>
    </row>
    <row r="270" spans="1:22" ht="14.25" x14ac:dyDescent="0.2">
      <c r="A270" s="22"/>
      <c r="B270" s="22"/>
      <c r="C270" s="22" t="s">
        <v>829</v>
      </c>
      <c r="D270" s="23" t="s">
        <v>830</v>
      </c>
      <c r="E270" s="10">
        <f>Source!AT120</f>
        <v>70</v>
      </c>
      <c r="F270" s="25"/>
      <c r="G270" s="24"/>
      <c r="H270" s="10"/>
      <c r="I270" s="10"/>
      <c r="J270" s="25">
        <f>SUM(R264:R269)</f>
        <v>81.73</v>
      </c>
      <c r="K270" s="25"/>
    </row>
    <row r="271" spans="1:22" ht="14.25" x14ac:dyDescent="0.2">
      <c r="A271" s="22"/>
      <c r="B271" s="22"/>
      <c r="C271" s="22" t="s">
        <v>831</v>
      </c>
      <c r="D271" s="23" t="s">
        <v>830</v>
      </c>
      <c r="E271" s="10">
        <f>Source!AU120</f>
        <v>10</v>
      </c>
      <c r="F271" s="25"/>
      <c r="G271" s="24"/>
      <c r="H271" s="10"/>
      <c r="I271" s="10"/>
      <c r="J271" s="25">
        <f>SUM(T264:T270)</f>
        <v>11.68</v>
      </c>
      <c r="K271" s="25"/>
    </row>
    <row r="272" spans="1:22" ht="14.25" x14ac:dyDescent="0.2">
      <c r="A272" s="22"/>
      <c r="B272" s="22"/>
      <c r="C272" s="22" t="s">
        <v>832</v>
      </c>
      <c r="D272" s="23" t="s">
        <v>830</v>
      </c>
      <c r="E272" s="10">
        <f>108</f>
        <v>108</v>
      </c>
      <c r="F272" s="25"/>
      <c r="G272" s="24"/>
      <c r="H272" s="10"/>
      <c r="I272" s="10"/>
      <c r="J272" s="25">
        <f>SUM(V264:V271)</f>
        <v>0.01</v>
      </c>
      <c r="K272" s="25"/>
    </row>
    <row r="273" spans="1:22" ht="14.25" x14ac:dyDescent="0.2">
      <c r="A273" s="22"/>
      <c r="B273" s="22"/>
      <c r="C273" s="22" t="s">
        <v>833</v>
      </c>
      <c r="D273" s="23" t="s">
        <v>834</v>
      </c>
      <c r="E273" s="10">
        <f>Source!AQ120</f>
        <v>11</v>
      </c>
      <c r="F273" s="25"/>
      <c r="G273" s="24" t="str">
        <f>Source!DI120</f>
        <v/>
      </c>
      <c r="H273" s="10">
        <f>Source!AV120</f>
        <v>1</v>
      </c>
      <c r="I273" s="10"/>
      <c r="J273" s="25"/>
      <c r="K273" s="25">
        <f>Source!U120</f>
        <v>0.55000000000000004</v>
      </c>
    </row>
    <row r="274" spans="1:22" ht="15" x14ac:dyDescent="0.25">
      <c r="A274" s="29"/>
      <c r="B274" s="29"/>
      <c r="C274" s="29"/>
      <c r="D274" s="29"/>
      <c r="E274" s="29"/>
      <c r="F274" s="29"/>
      <c r="G274" s="29"/>
      <c r="H274" s="29"/>
      <c r="I274" s="104">
        <f>J266+J267+J269+J270+J271+J272</f>
        <v>1397.17</v>
      </c>
      <c r="J274" s="104"/>
      <c r="K274" s="30">
        <f>IF(Source!I120&lt;&gt;0, ROUND(I274/Source!I120, 2), 0)</f>
        <v>27943.4</v>
      </c>
      <c r="P274" s="27">
        <f>I274</f>
        <v>1397.17</v>
      </c>
    </row>
    <row r="275" spans="1:22" ht="42.75" x14ac:dyDescent="0.2">
      <c r="A275" s="22">
        <v>30</v>
      </c>
      <c r="B275" s="22" t="str">
        <f>Source!F121</f>
        <v>1.50-3204-11-10/1</v>
      </c>
      <c r="C275" s="22" t="str">
        <f>Source!G121</f>
        <v>Добавлять на каждые 50 мм глубины сверления сверх 100 мм к поз. 50-3204-11-9</v>
      </c>
      <c r="D275" s="23" t="str">
        <f>Source!H121</f>
        <v>100 отверстий</v>
      </c>
      <c r="E275" s="10">
        <f>Source!I121</f>
        <v>0.05</v>
      </c>
      <c r="F275" s="25"/>
      <c r="G275" s="24"/>
      <c r="H275" s="10"/>
      <c r="I275" s="10"/>
      <c r="J275" s="25"/>
      <c r="K275" s="25"/>
      <c r="Q275">
        <f>ROUND((Source!BZ121/100)*ROUND((Source!AF121*Source!AV121)*Source!I121, 2), 2)</f>
        <v>27.49</v>
      </c>
      <c r="R275">
        <f>Source!X121</f>
        <v>27.49</v>
      </c>
      <c r="S275">
        <f>ROUND((Source!CA121/100)*ROUND((Source!AF121*Source!AV121)*Source!I121, 2), 2)</f>
        <v>3.93</v>
      </c>
      <c r="T275">
        <f>Source!Y121</f>
        <v>3.93</v>
      </c>
      <c r="U275">
        <f>ROUND((175/100)*ROUND((Source!AE121*Source!AV121)*Source!I121, 2), 2)</f>
        <v>0</v>
      </c>
      <c r="V275">
        <f>ROUND((108/100)*ROUND(Source!CS121*Source!I121, 2), 2)</f>
        <v>0</v>
      </c>
    </row>
    <row r="276" spans="1:22" x14ac:dyDescent="0.2">
      <c r="C276" s="32" t="str">
        <f>"Объем: "&amp;Source!I121&amp;"=5/"&amp;"100"</f>
        <v>Объем: 0,05=5/100</v>
      </c>
    </row>
    <row r="277" spans="1:22" ht="14.25" x14ac:dyDescent="0.2">
      <c r="A277" s="22"/>
      <c r="B277" s="22"/>
      <c r="C277" s="22" t="s">
        <v>825</v>
      </c>
      <c r="D277" s="23"/>
      <c r="E277" s="10"/>
      <c r="F277" s="25">
        <f>Source!AO121</f>
        <v>785.4</v>
      </c>
      <c r="G277" s="24" t="str">
        <f>Source!DG121</f>
        <v/>
      </c>
      <c r="H277" s="10">
        <f>Source!AV121</f>
        <v>1</v>
      </c>
      <c r="I277" s="10">
        <f>IF(Source!BA121&lt;&gt; 0, Source!BA121, 1)</f>
        <v>1</v>
      </c>
      <c r="J277" s="25">
        <f>Source!S121</f>
        <v>39.270000000000003</v>
      </c>
      <c r="K277" s="25"/>
    </row>
    <row r="278" spans="1:22" ht="14.25" x14ac:dyDescent="0.2">
      <c r="A278" s="22"/>
      <c r="B278" s="22"/>
      <c r="C278" s="22" t="s">
        <v>826</v>
      </c>
      <c r="D278" s="23"/>
      <c r="E278" s="10"/>
      <c r="F278" s="25">
        <f>Source!AM121</f>
        <v>11.62</v>
      </c>
      <c r="G278" s="24" t="str">
        <f>Source!DE121</f>
        <v/>
      </c>
      <c r="H278" s="10">
        <f>Source!AV121</f>
        <v>1</v>
      </c>
      <c r="I278" s="10">
        <f>IF(Source!BB121&lt;&gt; 0, Source!BB121, 1)</f>
        <v>1</v>
      </c>
      <c r="J278" s="25">
        <f>Source!Q121</f>
        <v>0.57999999999999996</v>
      </c>
      <c r="K278" s="25"/>
    </row>
    <row r="279" spans="1:22" ht="14.25" x14ac:dyDescent="0.2">
      <c r="A279" s="22"/>
      <c r="B279" s="22"/>
      <c r="C279" s="22" t="s">
        <v>829</v>
      </c>
      <c r="D279" s="23" t="s">
        <v>830</v>
      </c>
      <c r="E279" s="10">
        <f>Source!AT121</f>
        <v>70</v>
      </c>
      <c r="F279" s="25"/>
      <c r="G279" s="24"/>
      <c r="H279" s="10"/>
      <c r="I279" s="10"/>
      <c r="J279" s="25">
        <f>SUM(R275:R278)</f>
        <v>27.49</v>
      </c>
      <c r="K279" s="25"/>
    </row>
    <row r="280" spans="1:22" ht="14.25" x14ac:dyDescent="0.2">
      <c r="A280" s="22"/>
      <c r="B280" s="22"/>
      <c r="C280" s="22" t="s">
        <v>831</v>
      </c>
      <c r="D280" s="23" t="s">
        <v>830</v>
      </c>
      <c r="E280" s="10">
        <f>Source!AU121</f>
        <v>10</v>
      </c>
      <c r="F280" s="25"/>
      <c r="G280" s="24"/>
      <c r="H280" s="10"/>
      <c r="I280" s="10"/>
      <c r="J280" s="25">
        <f>SUM(T275:T279)</f>
        <v>3.93</v>
      </c>
      <c r="K280" s="25"/>
    </row>
    <row r="281" spans="1:22" ht="14.25" x14ac:dyDescent="0.2">
      <c r="A281" s="22"/>
      <c r="B281" s="22"/>
      <c r="C281" s="22" t="s">
        <v>833</v>
      </c>
      <c r="D281" s="23" t="s">
        <v>834</v>
      </c>
      <c r="E281" s="10">
        <f>Source!AQ121</f>
        <v>3.7</v>
      </c>
      <c r="F281" s="25"/>
      <c r="G281" s="24" t="str">
        <f>Source!DI121</f>
        <v/>
      </c>
      <c r="H281" s="10">
        <f>Source!AV121</f>
        <v>1</v>
      </c>
      <c r="I281" s="10"/>
      <c r="J281" s="25"/>
      <c r="K281" s="25">
        <f>Source!U121</f>
        <v>0.18500000000000003</v>
      </c>
    </row>
    <row r="282" spans="1:22" ht="15" x14ac:dyDescent="0.25">
      <c r="A282" s="29"/>
      <c r="B282" s="29"/>
      <c r="C282" s="29"/>
      <c r="D282" s="29"/>
      <c r="E282" s="29"/>
      <c r="F282" s="29"/>
      <c r="G282" s="29"/>
      <c r="H282" s="29"/>
      <c r="I282" s="104">
        <f>J277+J278+J279+J280</f>
        <v>71.27000000000001</v>
      </c>
      <c r="J282" s="104"/>
      <c r="K282" s="30">
        <f>IF(Source!I121&lt;&gt;0, ROUND(I282/Source!I121, 2), 0)</f>
        <v>1425.4</v>
      </c>
      <c r="P282" s="27">
        <f>I282</f>
        <v>71.27000000000001</v>
      </c>
    </row>
    <row r="283" spans="1:22" ht="28.5" x14ac:dyDescent="0.2">
      <c r="A283" s="22">
        <v>35</v>
      </c>
      <c r="B283" s="22" t="str">
        <f>Source!F126</f>
        <v>1.50-3201-1-1/1</v>
      </c>
      <c r="C283" s="22" t="str">
        <f>Source!G126</f>
        <v>Заделка отверстий и гнезд в стенах бетонных, площадь заделки 0,1 м2</v>
      </c>
      <c r="D283" s="23" t="str">
        <f>Source!H126</f>
        <v>м3</v>
      </c>
      <c r="E283" s="10">
        <f>Source!I126</f>
        <v>2.9500000000000001E-4</v>
      </c>
      <c r="F283" s="25"/>
      <c r="G283" s="24"/>
      <c r="H283" s="10"/>
      <c r="I283" s="10"/>
      <c r="J283" s="25"/>
      <c r="K283" s="25"/>
      <c r="Q283">
        <f>ROUND((Source!BZ126/100)*ROUND((Source!AF126*Source!AV126)*Source!I126, 2), 2)</f>
        <v>4.47</v>
      </c>
      <c r="R283">
        <f>Source!X126</f>
        <v>4.47</v>
      </c>
      <c r="S283">
        <f>ROUND((Source!CA126/100)*ROUND((Source!AF126*Source!AV126)*Source!I126, 2), 2)</f>
        <v>0.64</v>
      </c>
      <c r="T283">
        <f>Source!Y126</f>
        <v>0.64</v>
      </c>
      <c r="U283">
        <f>ROUND((175/100)*ROUND((Source!AE126*Source!AV126)*Source!I126, 2), 2)</f>
        <v>0</v>
      </c>
      <c r="V283">
        <f>ROUND((108/100)*ROUND(Source!CS126*Source!I126, 2), 2)</f>
        <v>0</v>
      </c>
    </row>
    <row r="284" spans="1:22" ht="14.25" x14ac:dyDescent="0.2">
      <c r="A284" s="22"/>
      <c r="B284" s="22"/>
      <c r="C284" s="22" t="s">
        <v>825</v>
      </c>
      <c r="D284" s="23"/>
      <c r="E284" s="10"/>
      <c r="F284" s="25">
        <f>Source!AO126</f>
        <v>21676.13</v>
      </c>
      <c r="G284" s="24" t="str">
        <f>Source!DG126</f>
        <v/>
      </c>
      <c r="H284" s="10">
        <f>Source!AV126</f>
        <v>1</v>
      </c>
      <c r="I284" s="10">
        <f>IF(Source!BA126&lt;&gt; 0, Source!BA126, 1)</f>
        <v>1</v>
      </c>
      <c r="J284" s="25">
        <f>Source!S126</f>
        <v>6.39</v>
      </c>
      <c r="K284" s="25"/>
    </row>
    <row r="285" spans="1:22" ht="14.25" x14ac:dyDescent="0.2">
      <c r="A285" s="22"/>
      <c r="B285" s="22"/>
      <c r="C285" s="22" t="s">
        <v>828</v>
      </c>
      <c r="D285" s="23"/>
      <c r="E285" s="10"/>
      <c r="F285" s="25">
        <f>Source!AL126</f>
        <v>8198.49</v>
      </c>
      <c r="G285" s="24" t="str">
        <f>Source!DD126</f>
        <v/>
      </c>
      <c r="H285" s="10">
        <f>Source!AW126</f>
        <v>1</v>
      </c>
      <c r="I285" s="10">
        <f>IF(Source!BC126&lt;&gt; 0, Source!BC126, 1)</f>
        <v>1</v>
      </c>
      <c r="J285" s="25">
        <f>Source!P126</f>
        <v>2.42</v>
      </c>
      <c r="K285" s="25"/>
    </row>
    <row r="286" spans="1:22" ht="14.25" x14ac:dyDescent="0.2">
      <c r="A286" s="22"/>
      <c r="B286" s="22"/>
      <c r="C286" s="22" t="s">
        <v>829</v>
      </c>
      <c r="D286" s="23" t="s">
        <v>830</v>
      </c>
      <c r="E286" s="10">
        <f>Source!AT126</f>
        <v>70</v>
      </c>
      <c r="F286" s="25"/>
      <c r="G286" s="24"/>
      <c r="H286" s="10"/>
      <c r="I286" s="10"/>
      <c r="J286" s="25">
        <f>SUM(R283:R285)</f>
        <v>4.47</v>
      </c>
      <c r="K286" s="25"/>
    </row>
    <row r="287" spans="1:22" ht="14.25" x14ac:dyDescent="0.2">
      <c r="A287" s="22"/>
      <c r="B287" s="22"/>
      <c r="C287" s="22" t="s">
        <v>831</v>
      </c>
      <c r="D287" s="23" t="s">
        <v>830</v>
      </c>
      <c r="E287" s="10">
        <f>Source!AU126</f>
        <v>10</v>
      </c>
      <c r="F287" s="25"/>
      <c r="G287" s="24"/>
      <c r="H287" s="10"/>
      <c r="I287" s="10"/>
      <c r="J287" s="25">
        <f>SUM(T283:T286)</f>
        <v>0.64</v>
      </c>
      <c r="K287" s="25"/>
    </row>
    <row r="288" spans="1:22" ht="14.25" x14ac:dyDescent="0.2">
      <c r="A288" s="22"/>
      <c r="B288" s="22"/>
      <c r="C288" s="22" t="s">
        <v>833</v>
      </c>
      <c r="D288" s="23" t="s">
        <v>834</v>
      </c>
      <c r="E288" s="10">
        <f>Source!AQ126</f>
        <v>95.84</v>
      </c>
      <c r="F288" s="25"/>
      <c r="G288" s="24" t="str">
        <f>Source!DI126</f>
        <v/>
      </c>
      <c r="H288" s="10">
        <f>Source!AV126</f>
        <v>1</v>
      </c>
      <c r="I288" s="10"/>
      <c r="J288" s="25"/>
      <c r="K288" s="25">
        <f>Source!U126</f>
        <v>2.8272800000000001E-2</v>
      </c>
    </row>
    <row r="289" spans="1:22" ht="15" x14ac:dyDescent="0.25">
      <c r="A289" s="29"/>
      <c r="B289" s="29"/>
      <c r="C289" s="29"/>
      <c r="D289" s="29"/>
      <c r="E289" s="29"/>
      <c r="F289" s="29"/>
      <c r="G289" s="29"/>
      <c r="H289" s="29"/>
      <c r="I289" s="104">
        <f>J284+J285+J286+J287</f>
        <v>13.919999999999998</v>
      </c>
      <c r="J289" s="104"/>
      <c r="K289" s="30">
        <f>IF(Source!I126&lt;&gt;0, ROUND(I289/Source!I126, 2), 0)</f>
        <v>47186.44</v>
      </c>
      <c r="P289" s="27">
        <f>I289</f>
        <v>13.919999999999998</v>
      </c>
    </row>
    <row r="290" spans="1:22" ht="28.5" x14ac:dyDescent="0.2">
      <c r="A290" s="22">
        <v>38</v>
      </c>
      <c r="B290" s="22" t="str">
        <f>Source!F129</f>
        <v>1.50-3203-4-1/1</v>
      </c>
      <c r="C290" s="22" t="str">
        <f>Source!G129</f>
        <v>Установка химических анкеров в готовые отверстия</v>
      </c>
      <c r="D290" s="23" t="str">
        <f>Source!H129</f>
        <v>100 компл.</v>
      </c>
      <c r="E290" s="10">
        <f>Source!I129</f>
        <v>0.02</v>
      </c>
      <c r="F290" s="25"/>
      <c r="G290" s="24"/>
      <c r="H290" s="10"/>
      <c r="I290" s="10"/>
      <c r="J290" s="25"/>
      <c r="K290" s="25"/>
      <c r="Q290">
        <f>ROUND((Source!BZ129/100)*ROUND((Source!AF129*Source!AV129)*Source!I129, 2), 2)</f>
        <v>79.11</v>
      </c>
      <c r="R290">
        <f>Source!X129</f>
        <v>79.11</v>
      </c>
      <c r="S290">
        <f>ROUND((Source!CA129/100)*ROUND((Source!AF129*Source!AV129)*Source!I129, 2), 2)</f>
        <v>11.3</v>
      </c>
      <c r="T290">
        <f>Source!Y129</f>
        <v>11.3</v>
      </c>
      <c r="U290">
        <f>ROUND((175/100)*ROUND((Source!AE129*Source!AV129)*Source!I129, 2), 2)</f>
        <v>0</v>
      </c>
      <c r="V290">
        <f>ROUND((108/100)*ROUND(Source!CS129*Source!I129, 2), 2)</f>
        <v>0</v>
      </c>
    </row>
    <row r="291" spans="1:22" x14ac:dyDescent="0.2">
      <c r="C291" s="32" t="str">
        <f>"Объем: "&amp;Source!I129&amp;"=2/"&amp;"100"</f>
        <v>Объем: 0,02=2/100</v>
      </c>
    </row>
    <row r="292" spans="1:22" ht="14.25" x14ac:dyDescent="0.2">
      <c r="A292" s="22"/>
      <c r="B292" s="22"/>
      <c r="C292" s="22" t="s">
        <v>825</v>
      </c>
      <c r="D292" s="23"/>
      <c r="E292" s="10"/>
      <c r="F292" s="25">
        <f>Source!AO129</f>
        <v>5651.11</v>
      </c>
      <c r="G292" s="24" t="str">
        <f>Source!DG129</f>
        <v/>
      </c>
      <c r="H292" s="10">
        <f>Source!AV129</f>
        <v>1</v>
      </c>
      <c r="I292" s="10">
        <f>IF(Source!BA129&lt;&gt; 0, Source!BA129, 1)</f>
        <v>1</v>
      </c>
      <c r="J292" s="25">
        <f>Source!S129</f>
        <v>113.02</v>
      </c>
      <c r="K292" s="25"/>
    </row>
    <row r="293" spans="1:22" ht="14.25" x14ac:dyDescent="0.2">
      <c r="A293" s="22"/>
      <c r="B293" s="22"/>
      <c r="C293" s="22" t="s">
        <v>828</v>
      </c>
      <c r="D293" s="23"/>
      <c r="E293" s="10"/>
      <c r="F293" s="25">
        <f>Source!AL129</f>
        <v>17169</v>
      </c>
      <c r="G293" s="24" t="str">
        <f>Source!DD129</f>
        <v/>
      </c>
      <c r="H293" s="10">
        <f>Source!AW129</f>
        <v>1</v>
      </c>
      <c r="I293" s="10">
        <f>IF(Source!BC129&lt;&gt; 0, Source!BC129, 1)</f>
        <v>1</v>
      </c>
      <c r="J293" s="25">
        <f>Source!P129</f>
        <v>343.38</v>
      </c>
      <c r="K293" s="25"/>
    </row>
    <row r="294" spans="1:22" ht="14.25" x14ac:dyDescent="0.2">
      <c r="A294" s="22"/>
      <c r="B294" s="22"/>
      <c r="C294" s="22" t="s">
        <v>829</v>
      </c>
      <c r="D294" s="23" t="s">
        <v>830</v>
      </c>
      <c r="E294" s="10">
        <f>Source!AT129</f>
        <v>70</v>
      </c>
      <c r="F294" s="25"/>
      <c r="G294" s="24"/>
      <c r="H294" s="10"/>
      <c r="I294" s="10"/>
      <c r="J294" s="25">
        <f>SUM(R290:R293)</f>
        <v>79.11</v>
      </c>
      <c r="K294" s="25"/>
    </row>
    <row r="295" spans="1:22" ht="14.25" x14ac:dyDescent="0.2">
      <c r="A295" s="22"/>
      <c r="B295" s="22"/>
      <c r="C295" s="22" t="s">
        <v>831</v>
      </c>
      <c r="D295" s="23" t="s">
        <v>830</v>
      </c>
      <c r="E295" s="10">
        <f>Source!AU129</f>
        <v>10</v>
      </c>
      <c r="F295" s="25"/>
      <c r="G295" s="24"/>
      <c r="H295" s="10"/>
      <c r="I295" s="10"/>
      <c r="J295" s="25">
        <f>SUM(T290:T294)</f>
        <v>11.3</v>
      </c>
      <c r="K295" s="25"/>
    </row>
    <row r="296" spans="1:22" ht="14.25" x14ac:dyDescent="0.2">
      <c r="A296" s="22"/>
      <c r="B296" s="22"/>
      <c r="C296" s="22" t="s">
        <v>833</v>
      </c>
      <c r="D296" s="23" t="s">
        <v>834</v>
      </c>
      <c r="E296" s="10">
        <f>Source!AQ129</f>
        <v>19.05</v>
      </c>
      <c r="F296" s="25"/>
      <c r="G296" s="24" t="str">
        <f>Source!DI129</f>
        <v/>
      </c>
      <c r="H296" s="10">
        <f>Source!AV129</f>
        <v>1</v>
      </c>
      <c r="I296" s="10"/>
      <c r="J296" s="25"/>
      <c r="K296" s="25">
        <f>Source!U129</f>
        <v>0.38100000000000001</v>
      </c>
    </row>
    <row r="297" spans="1:22" ht="15" x14ac:dyDescent="0.25">
      <c r="A297" s="29"/>
      <c r="B297" s="29"/>
      <c r="C297" s="29"/>
      <c r="D297" s="29"/>
      <c r="E297" s="29"/>
      <c r="F297" s="29"/>
      <c r="G297" s="29"/>
      <c r="H297" s="29"/>
      <c r="I297" s="104">
        <f>J292+J293+J294+J295</f>
        <v>546.80999999999995</v>
      </c>
      <c r="J297" s="104"/>
      <c r="K297" s="30">
        <f>IF(Source!I129&lt;&gt;0, ROUND(I297/Source!I129, 2), 0)</f>
        <v>27340.5</v>
      </c>
      <c r="P297" s="27">
        <f>I297</f>
        <v>546.80999999999995</v>
      </c>
    </row>
    <row r="298" spans="1:22" ht="57" x14ac:dyDescent="0.2">
      <c r="A298" s="22">
        <v>39</v>
      </c>
      <c r="B298" s="22" t="str">
        <f>Source!F130</f>
        <v>1.21-3103-4-1/1</v>
      </c>
      <c r="C298" s="22" t="str">
        <f>Source!G130</f>
        <v>Прокладка лотков металлических штампованных по установленным конструкциям, ширина лотков до 200 мм (без стоимости лотков)</v>
      </c>
      <c r="D298" s="23" t="str">
        <f>Source!H130</f>
        <v>т</v>
      </c>
      <c r="E298" s="10">
        <f>Source!I130</f>
        <v>6.4799999999999996E-3</v>
      </c>
      <c r="F298" s="25"/>
      <c r="G298" s="24"/>
      <c r="H298" s="10"/>
      <c r="I298" s="10"/>
      <c r="J298" s="25"/>
      <c r="K298" s="25"/>
      <c r="Q298">
        <f>ROUND((Source!BZ130/100)*ROUND((Source!AF130*Source!AV130)*Source!I130, 2), 2)</f>
        <v>76.34</v>
      </c>
      <c r="R298">
        <f>Source!X130</f>
        <v>76.34</v>
      </c>
      <c r="S298">
        <f>ROUND((Source!CA130/100)*ROUND((Source!AF130*Source!AV130)*Source!I130, 2), 2)</f>
        <v>10.91</v>
      </c>
      <c r="T298">
        <f>Source!Y130</f>
        <v>10.91</v>
      </c>
      <c r="U298">
        <f>ROUND((175/100)*ROUND((Source!AE130*Source!AV130)*Source!I130, 2), 2)</f>
        <v>1.17</v>
      </c>
      <c r="V298">
        <f>ROUND((108/100)*ROUND(Source!CS130*Source!I130, 2), 2)</f>
        <v>0.72</v>
      </c>
    </row>
    <row r="299" spans="1:22" ht="14.25" x14ac:dyDescent="0.2">
      <c r="A299" s="22"/>
      <c r="B299" s="22"/>
      <c r="C299" s="22" t="s">
        <v>825</v>
      </c>
      <c r="D299" s="23"/>
      <c r="E299" s="10"/>
      <c r="F299" s="25">
        <f>Source!AO130</f>
        <v>16830.45</v>
      </c>
      <c r="G299" s="24" t="str">
        <f>Source!DG130</f>
        <v/>
      </c>
      <c r="H299" s="10">
        <f>Source!AV130</f>
        <v>1</v>
      </c>
      <c r="I299" s="10">
        <f>IF(Source!BA130&lt;&gt; 0, Source!BA130, 1)</f>
        <v>1</v>
      </c>
      <c r="J299" s="25">
        <f>Source!S130</f>
        <v>109.06</v>
      </c>
      <c r="K299" s="25"/>
    </row>
    <row r="300" spans="1:22" ht="14.25" x14ac:dyDescent="0.2">
      <c r="A300" s="22"/>
      <c r="B300" s="22"/>
      <c r="C300" s="22" t="s">
        <v>826</v>
      </c>
      <c r="D300" s="23"/>
      <c r="E300" s="10"/>
      <c r="F300" s="25">
        <f>Source!AM130</f>
        <v>5170.6000000000004</v>
      </c>
      <c r="G300" s="24" t="str">
        <f>Source!DE130</f>
        <v/>
      </c>
      <c r="H300" s="10">
        <f>Source!AV130</f>
        <v>1</v>
      </c>
      <c r="I300" s="10">
        <f>IF(Source!BB130&lt;&gt; 0, Source!BB130, 1)</f>
        <v>1</v>
      </c>
      <c r="J300" s="25">
        <f>Source!Q130</f>
        <v>33.51</v>
      </c>
      <c r="K300" s="25"/>
    </row>
    <row r="301" spans="1:22" ht="14.25" x14ac:dyDescent="0.2">
      <c r="A301" s="22"/>
      <c r="B301" s="22"/>
      <c r="C301" s="22" t="s">
        <v>827</v>
      </c>
      <c r="D301" s="23"/>
      <c r="E301" s="10"/>
      <c r="F301" s="25">
        <f>Source!AN130</f>
        <v>104.06</v>
      </c>
      <c r="G301" s="24" t="str">
        <f>Source!DF130</f>
        <v/>
      </c>
      <c r="H301" s="10">
        <f>Source!AV130</f>
        <v>1</v>
      </c>
      <c r="I301" s="10">
        <f>IF(Source!BS130&lt;&gt; 0, Source!BS130, 1)</f>
        <v>1</v>
      </c>
      <c r="J301" s="26">
        <f>Source!R130</f>
        <v>0.67</v>
      </c>
      <c r="K301" s="25"/>
    </row>
    <row r="302" spans="1:22" ht="14.25" x14ac:dyDescent="0.2">
      <c r="A302" s="22"/>
      <c r="B302" s="22"/>
      <c r="C302" s="22" t="s">
        <v>828</v>
      </c>
      <c r="D302" s="23"/>
      <c r="E302" s="10"/>
      <c r="F302" s="25">
        <f>Source!AL130</f>
        <v>744.39</v>
      </c>
      <c r="G302" s="24" t="str">
        <f>Source!DD130</f>
        <v/>
      </c>
      <c r="H302" s="10">
        <f>Source!AW130</f>
        <v>1</v>
      </c>
      <c r="I302" s="10">
        <f>IF(Source!BC130&lt;&gt; 0, Source!BC130, 1)</f>
        <v>1</v>
      </c>
      <c r="J302" s="25">
        <f>Source!P130</f>
        <v>4.82</v>
      </c>
      <c r="K302" s="25"/>
    </row>
    <row r="303" spans="1:22" ht="55.5" x14ac:dyDescent="0.2">
      <c r="A303" s="22" t="s">
        <v>404</v>
      </c>
      <c r="B303" s="22" t="str">
        <f>Source!F131</f>
        <v>Цена поставщика</v>
      </c>
      <c r="C303" s="22" t="s">
        <v>848</v>
      </c>
      <c r="D303" s="23" t="str">
        <f>Source!H131</f>
        <v>м</v>
      </c>
      <c r="E303" s="10">
        <f>Source!I131</f>
        <v>9</v>
      </c>
      <c r="F303" s="25">
        <f>Source!AK131</f>
        <v>488.8</v>
      </c>
      <c r="G303" s="31" t="s">
        <v>3</v>
      </c>
      <c r="H303" s="10">
        <f>Source!AW131</f>
        <v>1</v>
      </c>
      <c r="I303" s="10">
        <f>IF(Source!BC131&lt;&gt; 0, Source!BC131, 1)</f>
        <v>1</v>
      </c>
      <c r="J303" s="25">
        <f>Source!O131</f>
        <v>4399.2</v>
      </c>
      <c r="K303" s="25"/>
      <c r="Q303">
        <f>ROUND((Source!BZ131/100)*ROUND((Source!AF131*Source!AV131)*Source!I131, 2), 2)</f>
        <v>0</v>
      </c>
      <c r="R303">
        <f>Source!X131</f>
        <v>0</v>
      </c>
      <c r="S303">
        <f>ROUND((Source!CA131/100)*ROUND((Source!AF131*Source!AV131)*Source!I131, 2), 2)</f>
        <v>0</v>
      </c>
      <c r="T303">
        <f>Source!Y131</f>
        <v>0</v>
      </c>
      <c r="U303">
        <f>ROUND((175/100)*ROUND((Source!AE131*Source!AV131)*Source!I131, 2), 2)</f>
        <v>0</v>
      </c>
      <c r="V303">
        <f>ROUND((108/100)*ROUND(Source!CS131*Source!I131, 2), 2)</f>
        <v>0</v>
      </c>
    </row>
    <row r="304" spans="1:22" ht="55.5" x14ac:dyDescent="0.2">
      <c r="A304" s="22" t="s">
        <v>407</v>
      </c>
      <c r="B304" s="22" t="str">
        <f>Source!F132</f>
        <v>Цена поставщика</v>
      </c>
      <c r="C304" s="22" t="s">
        <v>849</v>
      </c>
      <c r="D304" s="23" t="str">
        <f>Source!H132</f>
        <v>м</v>
      </c>
      <c r="E304" s="10">
        <f>Source!I132</f>
        <v>9</v>
      </c>
      <c r="F304" s="25">
        <f>Source!AK132</f>
        <v>272.48</v>
      </c>
      <c r="G304" s="31" t="s">
        <v>3</v>
      </c>
      <c r="H304" s="10">
        <f>Source!AW132</f>
        <v>1</v>
      </c>
      <c r="I304" s="10">
        <f>IF(Source!BC132&lt;&gt; 0, Source!BC132, 1)</f>
        <v>1</v>
      </c>
      <c r="J304" s="25">
        <f>Source!O132</f>
        <v>2452.3200000000002</v>
      </c>
      <c r="K304" s="25"/>
      <c r="Q304">
        <f>ROUND((Source!BZ132/100)*ROUND((Source!AF132*Source!AV132)*Source!I132, 2), 2)</f>
        <v>0</v>
      </c>
      <c r="R304">
        <f>Source!X132</f>
        <v>0</v>
      </c>
      <c r="S304">
        <f>ROUND((Source!CA132/100)*ROUND((Source!AF132*Source!AV132)*Source!I132, 2), 2)</f>
        <v>0</v>
      </c>
      <c r="T304">
        <f>Source!Y132</f>
        <v>0</v>
      </c>
      <c r="U304">
        <f>ROUND((175/100)*ROUND((Source!AE132*Source!AV132)*Source!I132, 2), 2)</f>
        <v>0</v>
      </c>
      <c r="V304">
        <f>ROUND((108/100)*ROUND(Source!CS132*Source!I132, 2), 2)</f>
        <v>0</v>
      </c>
    </row>
    <row r="305" spans="1:22" ht="55.5" x14ac:dyDescent="0.2">
      <c r="A305" s="22" t="s">
        <v>410</v>
      </c>
      <c r="B305" s="22" t="str">
        <f>Source!F133</f>
        <v>Цена поставщика</v>
      </c>
      <c r="C305" s="22" t="s">
        <v>850</v>
      </c>
      <c r="D305" s="23" t="str">
        <f>Source!H133</f>
        <v>шт.</v>
      </c>
      <c r="E305" s="10">
        <f>Source!I133</f>
        <v>9</v>
      </c>
      <c r="F305" s="25">
        <f>Source!AK133</f>
        <v>482.11</v>
      </c>
      <c r="G305" s="31" t="s">
        <v>3</v>
      </c>
      <c r="H305" s="10">
        <f>Source!AW133</f>
        <v>1</v>
      </c>
      <c r="I305" s="10">
        <f>IF(Source!BC133&lt;&gt; 0, Source!BC133, 1)</f>
        <v>1</v>
      </c>
      <c r="J305" s="25">
        <f>Source!O133</f>
        <v>4338.99</v>
      </c>
      <c r="K305" s="25"/>
      <c r="Q305">
        <f>ROUND((Source!BZ133/100)*ROUND((Source!AF133*Source!AV133)*Source!I133, 2), 2)</f>
        <v>0</v>
      </c>
      <c r="R305">
        <f>Source!X133</f>
        <v>0</v>
      </c>
      <c r="S305">
        <f>ROUND((Source!CA133/100)*ROUND((Source!AF133*Source!AV133)*Source!I133, 2), 2)</f>
        <v>0</v>
      </c>
      <c r="T305">
        <f>Source!Y133</f>
        <v>0</v>
      </c>
      <c r="U305">
        <f>ROUND((175/100)*ROUND((Source!AE133*Source!AV133)*Source!I133, 2), 2)</f>
        <v>0</v>
      </c>
      <c r="V305">
        <f>ROUND((108/100)*ROUND(Source!CS133*Source!I133, 2), 2)</f>
        <v>0</v>
      </c>
    </row>
    <row r="306" spans="1:22" ht="14.25" x14ac:dyDescent="0.2">
      <c r="A306" s="22"/>
      <c r="B306" s="22"/>
      <c r="C306" s="22" t="s">
        <v>829</v>
      </c>
      <c r="D306" s="23" t="s">
        <v>830</v>
      </c>
      <c r="E306" s="10">
        <f>Source!AT130</f>
        <v>70</v>
      </c>
      <c r="F306" s="25"/>
      <c r="G306" s="24"/>
      <c r="H306" s="10"/>
      <c r="I306" s="10"/>
      <c r="J306" s="25">
        <f>SUM(R298:R305)</f>
        <v>76.34</v>
      </c>
      <c r="K306" s="25"/>
    </row>
    <row r="307" spans="1:22" ht="14.25" x14ac:dyDescent="0.2">
      <c r="A307" s="22"/>
      <c r="B307" s="22"/>
      <c r="C307" s="22" t="s">
        <v>831</v>
      </c>
      <c r="D307" s="23" t="s">
        <v>830</v>
      </c>
      <c r="E307" s="10">
        <f>Source!AU130</f>
        <v>10</v>
      </c>
      <c r="F307" s="25"/>
      <c r="G307" s="24"/>
      <c r="H307" s="10"/>
      <c r="I307" s="10"/>
      <c r="J307" s="25">
        <f>SUM(T298:T306)</f>
        <v>10.91</v>
      </c>
      <c r="K307" s="25"/>
    </row>
    <row r="308" spans="1:22" ht="14.25" x14ac:dyDescent="0.2">
      <c r="A308" s="22"/>
      <c r="B308" s="22"/>
      <c r="C308" s="22" t="s">
        <v>832</v>
      </c>
      <c r="D308" s="23" t="s">
        <v>830</v>
      </c>
      <c r="E308" s="10">
        <f>108</f>
        <v>108</v>
      </c>
      <c r="F308" s="25"/>
      <c r="G308" s="24"/>
      <c r="H308" s="10"/>
      <c r="I308" s="10"/>
      <c r="J308" s="25">
        <f>SUM(V298:V307)</f>
        <v>0.72</v>
      </c>
      <c r="K308" s="25"/>
    </row>
    <row r="309" spans="1:22" ht="14.25" x14ac:dyDescent="0.2">
      <c r="A309" s="22"/>
      <c r="B309" s="22"/>
      <c r="C309" s="22" t="s">
        <v>833</v>
      </c>
      <c r="D309" s="23" t="s">
        <v>834</v>
      </c>
      <c r="E309" s="10">
        <f>Source!AQ130</f>
        <v>67.5</v>
      </c>
      <c r="F309" s="25"/>
      <c r="G309" s="24" t="str">
        <f>Source!DI130</f>
        <v/>
      </c>
      <c r="H309" s="10">
        <f>Source!AV130</f>
        <v>1</v>
      </c>
      <c r="I309" s="10"/>
      <c r="J309" s="25"/>
      <c r="K309" s="25">
        <f>Source!U130</f>
        <v>0.43739999999999996</v>
      </c>
    </row>
    <row r="310" spans="1:22" ht="15" x14ac:dyDescent="0.25">
      <c r="A310" s="29"/>
      <c r="B310" s="29"/>
      <c r="C310" s="29"/>
      <c r="D310" s="29"/>
      <c r="E310" s="29"/>
      <c r="F310" s="29"/>
      <c r="G310" s="29"/>
      <c r="H310" s="29"/>
      <c r="I310" s="104">
        <f>J299+J300+J302+J306+J307+J308+SUM(J303:J305)</f>
        <v>11425.87</v>
      </c>
      <c r="J310" s="104"/>
      <c r="K310" s="30">
        <f>IF(Source!I130&lt;&gt;0, ROUND(I310/Source!I130, 2), 0)</f>
        <v>1763251.54</v>
      </c>
      <c r="P310" s="27">
        <f>I310</f>
        <v>11425.87</v>
      </c>
    </row>
    <row r="311" spans="1:22" ht="42.75" x14ac:dyDescent="0.2">
      <c r="A311" s="22">
        <v>40</v>
      </c>
      <c r="B311" s="22" t="str">
        <f>Source!F135</f>
        <v>1.21-3103-6-1/1</v>
      </c>
      <c r="C311" s="22" t="str">
        <f>Source!G135</f>
        <v>Прокладка профиля перфорированного монтажного длиной 2 м (без стоимости профиля)</v>
      </c>
      <c r="D311" s="23" t="str">
        <f>Source!H135</f>
        <v>100 шт.</v>
      </c>
      <c r="E311" s="10">
        <f>Source!I135</f>
        <v>0.11</v>
      </c>
      <c r="F311" s="25"/>
      <c r="G311" s="24"/>
      <c r="H311" s="10"/>
      <c r="I311" s="10"/>
      <c r="J311" s="25"/>
      <c r="K311" s="25"/>
      <c r="Q311">
        <f>ROUND((Source!BZ135/100)*ROUND((Source!AF135*Source!AV135)*Source!I135, 2), 2)</f>
        <v>204.67</v>
      </c>
      <c r="R311">
        <f>Source!X135</f>
        <v>204.67</v>
      </c>
      <c r="S311">
        <f>ROUND((Source!CA135/100)*ROUND((Source!AF135*Source!AV135)*Source!I135, 2), 2)</f>
        <v>29.24</v>
      </c>
      <c r="T311">
        <f>Source!Y135</f>
        <v>29.24</v>
      </c>
      <c r="U311">
        <f>ROUND((175/100)*ROUND((Source!AE135*Source!AV135)*Source!I135, 2), 2)</f>
        <v>381.47</v>
      </c>
      <c r="V311">
        <f>ROUND((108/100)*ROUND(Source!CS135*Source!I135, 2), 2)</f>
        <v>235.42</v>
      </c>
    </row>
    <row r="312" spans="1:22" x14ac:dyDescent="0.2">
      <c r="C312" s="32" t="str">
        <f>"Объем: "&amp;Source!I135&amp;"=11/"&amp;"100"</f>
        <v>Объем: 0,11=11/100</v>
      </c>
    </row>
    <row r="313" spans="1:22" ht="14.25" x14ac:dyDescent="0.2">
      <c r="A313" s="22"/>
      <c r="B313" s="22"/>
      <c r="C313" s="22" t="s">
        <v>825</v>
      </c>
      <c r="D313" s="23"/>
      <c r="E313" s="10"/>
      <c r="F313" s="25">
        <f>Source!AO135</f>
        <v>2657.96</v>
      </c>
      <c r="G313" s="24" t="str">
        <f>Source!DG135</f>
        <v/>
      </c>
      <c r="H313" s="10">
        <f>Source!AV135</f>
        <v>1</v>
      </c>
      <c r="I313" s="10">
        <f>IF(Source!BA135&lt;&gt; 0, Source!BA135, 1)</f>
        <v>1</v>
      </c>
      <c r="J313" s="25">
        <f>Source!S135</f>
        <v>292.38</v>
      </c>
      <c r="K313" s="25"/>
    </row>
    <row r="314" spans="1:22" ht="14.25" x14ac:dyDescent="0.2">
      <c r="A314" s="22"/>
      <c r="B314" s="22"/>
      <c r="C314" s="22" t="s">
        <v>826</v>
      </c>
      <c r="D314" s="23"/>
      <c r="E314" s="10"/>
      <c r="F314" s="25">
        <f>Source!AM135</f>
        <v>5217.67</v>
      </c>
      <c r="G314" s="24" t="str">
        <f>Source!DE135</f>
        <v/>
      </c>
      <c r="H314" s="10">
        <f>Source!AV135</f>
        <v>1</v>
      </c>
      <c r="I314" s="10">
        <f>IF(Source!BB135&lt;&gt; 0, Source!BB135, 1)</f>
        <v>1</v>
      </c>
      <c r="J314" s="25">
        <f>Source!Q135</f>
        <v>573.94000000000005</v>
      </c>
      <c r="K314" s="25"/>
    </row>
    <row r="315" spans="1:22" ht="14.25" x14ac:dyDescent="0.2">
      <c r="A315" s="22"/>
      <c r="B315" s="22"/>
      <c r="C315" s="22" t="s">
        <v>827</v>
      </c>
      <c r="D315" s="23"/>
      <c r="E315" s="10"/>
      <c r="F315" s="25">
        <f>Source!AN135</f>
        <v>1981.67</v>
      </c>
      <c r="G315" s="24" t="str">
        <f>Source!DF135</f>
        <v/>
      </c>
      <c r="H315" s="10">
        <f>Source!AV135</f>
        <v>1</v>
      </c>
      <c r="I315" s="10">
        <f>IF(Source!BS135&lt;&gt; 0, Source!BS135, 1)</f>
        <v>1</v>
      </c>
      <c r="J315" s="26">
        <f>Source!R135</f>
        <v>217.98</v>
      </c>
      <c r="K315" s="25"/>
    </row>
    <row r="316" spans="1:22" ht="14.25" x14ac:dyDescent="0.2">
      <c r="A316" s="22"/>
      <c r="B316" s="22"/>
      <c r="C316" s="22" t="s">
        <v>828</v>
      </c>
      <c r="D316" s="23"/>
      <c r="E316" s="10"/>
      <c r="F316" s="25">
        <f>Source!AL135</f>
        <v>902.86</v>
      </c>
      <c r="G316" s="24" t="str">
        <f>Source!DD135</f>
        <v/>
      </c>
      <c r="H316" s="10">
        <f>Source!AW135</f>
        <v>1</v>
      </c>
      <c r="I316" s="10">
        <f>IF(Source!BC135&lt;&gt; 0, Source!BC135, 1)</f>
        <v>1</v>
      </c>
      <c r="J316" s="25">
        <f>Source!P135</f>
        <v>99.31</v>
      </c>
      <c r="K316" s="25"/>
    </row>
    <row r="317" spans="1:22" ht="69.75" x14ac:dyDescent="0.2">
      <c r="A317" s="22" t="s">
        <v>419</v>
      </c>
      <c r="B317" s="22" t="str">
        <f>Source!F136</f>
        <v>Цена поставщика</v>
      </c>
      <c r="C317" s="22" t="s">
        <v>851</v>
      </c>
      <c r="D317" s="23" t="str">
        <f>Source!H136</f>
        <v>м</v>
      </c>
      <c r="E317" s="10">
        <f>Source!I136</f>
        <v>22</v>
      </c>
      <c r="F317" s="25">
        <f>Source!AK136</f>
        <v>562.38</v>
      </c>
      <c r="G317" s="31" t="s">
        <v>3</v>
      </c>
      <c r="H317" s="10">
        <f>Source!AW136</f>
        <v>1</v>
      </c>
      <c r="I317" s="10">
        <f>IF(Source!BC136&lt;&gt; 0, Source!BC136, 1)</f>
        <v>1</v>
      </c>
      <c r="J317" s="25">
        <f>Source!O136</f>
        <v>12372.36</v>
      </c>
      <c r="K317" s="25"/>
      <c r="Q317">
        <f>ROUND((Source!BZ136/100)*ROUND((Source!AF136*Source!AV136)*Source!I136, 2), 2)</f>
        <v>0</v>
      </c>
      <c r="R317">
        <f>Source!X136</f>
        <v>0</v>
      </c>
      <c r="S317">
        <f>ROUND((Source!CA136/100)*ROUND((Source!AF136*Source!AV136)*Source!I136, 2), 2)</f>
        <v>0</v>
      </c>
      <c r="T317">
        <f>Source!Y136</f>
        <v>0</v>
      </c>
      <c r="U317">
        <f>ROUND((175/100)*ROUND((Source!AE136*Source!AV136)*Source!I136, 2), 2)</f>
        <v>0</v>
      </c>
      <c r="V317">
        <f>ROUND((108/100)*ROUND(Source!CS136*Source!I136, 2), 2)</f>
        <v>0</v>
      </c>
    </row>
    <row r="318" spans="1:22" ht="14.25" x14ac:dyDescent="0.2">
      <c r="A318" s="22"/>
      <c r="B318" s="22"/>
      <c r="C318" s="22" t="s">
        <v>829</v>
      </c>
      <c r="D318" s="23" t="s">
        <v>830</v>
      </c>
      <c r="E318" s="10">
        <f>Source!AT135</f>
        <v>70</v>
      </c>
      <c r="F318" s="25"/>
      <c r="G318" s="24"/>
      <c r="H318" s="10"/>
      <c r="I318" s="10"/>
      <c r="J318" s="25">
        <f>SUM(R311:R317)</f>
        <v>204.67</v>
      </c>
      <c r="K318" s="25"/>
    </row>
    <row r="319" spans="1:22" ht="14.25" x14ac:dyDescent="0.2">
      <c r="A319" s="22"/>
      <c r="B319" s="22"/>
      <c r="C319" s="22" t="s">
        <v>831</v>
      </c>
      <c r="D319" s="23" t="s">
        <v>830</v>
      </c>
      <c r="E319" s="10">
        <f>Source!AU135</f>
        <v>10</v>
      </c>
      <c r="F319" s="25"/>
      <c r="G319" s="24"/>
      <c r="H319" s="10"/>
      <c r="I319" s="10"/>
      <c r="J319" s="25">
        <f>SUM(T311:T318)</f>
        <v>29.24</v>
      </c>
      <c r="K319" s="25"/>
    </row>
    <row r="320" spans="1:22" ht="14.25" x14ac:dyDescent="0.2">
      <c r="A320" s="22"/>
      <c r="B320" s="22"/>
      <c r="C320" s="22" t="s">
        <v>832</v>
      </c>
      <c r="D320" s="23" t="s">
        <v>830</v>
      </c>
      <c r="E320" s="10">
        <f>108</f>
        <v>108</v>
      </c>
      <c r="F320" s="25"/>
      <c r="G320" s="24"/>
      <c r="H320" s="10"/>
      <c r="I320" s="10"/>
      <c r="J320" s="25">
        <f>SUM(V311:V319)</f>
        <v>235.42</v>
      </c>
      <c r="K320" s="25"/>
    </row>
    <row r="321" spans="1:32" ht="14.25" x14ac:dyDescent="0.2">
      <c r="A321" s="22"/>
      <c r="B321" s="22"/>
      <c r="C321" s="22" t="s">
        <v>833</v>
      </c>
      <c r="D321" s="23" t="s">
        <v>834</v>
      </c>
      <c r="E321" s="10">
        <f>Source!AQ135</f>
        <v>10.66</v>
      </c>
      <c r="F321" s="25"/>
      <c r="G321" s="24" t="str">
        <f>Source!DI135</f>
        <v/>
      </c>
      <c r="H321" s="10">
        <f>Source!AV135</f>
        <v>1</v>
      </c>
      <c r="I321" s="10"/>
      <c r="J321" s="25"/>
      <c r="K321" s="25">
        <f>Source!U135</f>
        <v>1.1726000000000001</v>
      </c>
    </row>
    <row r="322" spans="1:32" ht="15" x14ac:dyDescent="0.25">
      <c r="A322" s="29"/>
      <c r="B322" s="29"/>
      <c r="C322" s="29"/>
      <c r="D322" s="29"/>
      <c r="E322" s="29"/>
      <c r="F322" s="29"/>
      <c r="G322" s="29"/>
      <c r="H322" s="29"/>
      <c r="I322" s="104">
        <f>J313+J314+J316+J318+J319+J320+SUM(J317:J317)</f>
        <v>13807.320000000002</v>
      </c>
      <c r="J322" s="104"/>
      <c r="K322" s="30">
        <f>IF(Source!I135&lt;&gt;0, ROUND(I322/Source!I135, 2), 0)</f>
        <v>125521.09</v>
      </c>
      <c r="P322" s="27">
        <f>I322</f>
        <v>13807.320000000002</v>
      </c>
    </row>
    <row r="323" spans="1:32" ht="28.5" x14ac:dyDescent="0.2">
      <c r="A323" s="22">
        <v>45</v>
      </c>
      <c r="B323" s="22" t="str">
        <f>Source!F151</f>
        <v>22.1-4-23</v>
      </c>
      <c r="C323" s="22" t="str">
        <f>Source!G151</f>
        <v>Вышки телескопические на автомобиле, высота до 25 м</v>
      </c>
      <c r="D323" s="23" t="str">
        <f>Source!H151</f>
        <v>маш.-ч</v>
      </c>
      <c r="E323" s="10">
        <f>Source!I151</f>
        <v>16</v>
      </c>
      <c r="F323" s="25"/>
      <c r="G323" s="24"/>
      <c r="H323" s="10"/>
      <c r="I323" s="10"/>
      <c r="J323" s="25"/>
      <c r="K323" s="25"/>
      <c r="Q323">
        <f>ROUND((Source!BZ151/100)*ROUND((Source!AF151*Source!AV151)*Source!I151, 2), 2)</f>
        <v>0</v>
      </c>
      <c r="R323">
        <f>Source!X151</f>
        <v>0</v>
      </c>
      <c r="S323">
        <f>ROUND((Source!CA151/100)*ROUND((Source!AF151*Source!AV151)*Source!I151, 2), 2)</f>
        <v>0</v>
      </c>
      <c r="T323">
        <f>Source!Y151</f>
        <v>0</v>
      </c>
      <c r="U323">
        <f>ROUND((175/100)*ROUND((Source!AE151*Source!AV151)*Source!I151, 2), 2)</f>
        <v>22118.880000000001</v>
      </c>
      <c r="V323">
        <f>ROUND((108/100)*ROUND(Source!CS151*Source!I151, 2), 2)</f>
        <v>13650.51</v>
      </c>
    </row>
    <row r="324" spans="1:32" ht="14.25" x14ac:dyDescent="0.2">
      <c r="A324" s="22"/>
      <c r="B324" s="22"/>
      <c r="C324" s="22" t="s">
        <v>826</v>
      </c>
      <c r="D324" s="23"/>
      <c r="E324" s="10"/>
      <c r="F324" s="25">
        <f>Source!AM151</f>
        <v>1070.02</v>
      </c>
      <c r="G324" s="24" t="str">
        <f>Source!DE151</f>
        <v/>
      </c>
      <c r="H324" s="10">
        <f>Source!AV151</f>
        <v>1</v>
      </c>
      <c r="I324" s="10">
        <f>IF(Source!BB151&lt;&gt; 0, Source!BB151, 1)</f>
        <v>1</v>
      </c>
      <c r="J324" s="25">
        <f>Source!Q151</f>
        <v>17120.32</v>
      </c>
      <c r="K324" s="25"/>
    </row>
    <row r="325" spans="1:32" ht="14.25" x14ac:dyDescent="0.2">
      <c r="A325" s="22"/>
      <c r="B325" s="22"/>
      <c r="C325" s="22" t="s">
        <v>827</v>
      </c>
      <c r="D325" s="23"/>
      <c r="E325" s="10"/>
      <c r="F325" s="25">
        <f>Source!AN151</f>
        <v>789.96</v>
      </c>
      <c r="G325" s="24" t="str">
        <f>Source!DF151</f>
        <v/>
      </c>
      <c r="H325" s="10">
        <f>Source!AV151</f>
        <v>1</v>
      </c>
      <c r="I325" s="10">
        <f>IF(Source!BS151&lt;&gt; 0, Source!BS151, 1)</f>
        <v>1</v>
      </c>
      <c r="J325" s="26">
        <f>Source!R151</f>
        <v>12639.36</v>
      </c>
      <c r="K325" s="25"/>
    </row>
    <row r="326" spans="1:32" ht="14.25" x14ac:dyDescent="0.2">
      <c r="A326" s="22"/>
      <c r="B326" s="22"/>
      <c r="C326" s="22" t="s">
        <v>832</v>
      </c>
      <c r="D326" s="23" t="s">
        <v>830</v>
      </c>
      <c r="E326" s="10">
        <f>108</f>
        <v>108</v>
      </c>
      <c r="F326" s="25"/>
      <c r="G326" s="24"/>
      <c r="H326" s="10"/>
      <c r="I326" s="10"/>
      <c r="J326" s="25">
        <f>SUM(V323:V325)</f>
        <v>13650.51</v>
      </c>
      <c r="K326" s="25"/>
    </row>
    <row r="327" spans="1:32" ht="15" x14ac:dyDescent="0.25">
      <c r="A327" s="29"/>
      <c r="B327" s="29"/>
      <c r="C327" s="29"/>
      <c r="D327" s="29"/>
      <c r="E327" s="29"/>
      <c r="F327" s="29"/>
      <c r="G327" s="29"/>
      <c r="H327" s="29"/>
      <c r="I327" s="104">
        <f>J324+J326</f>
        <v>30770.83</v>
      </c>
      <c r="J327" s="104"/>
      <c r="K327" s="30">
        <f>IF(Source!I151&lt;&gt;0, ROUND(I327/Source!I151, 2), 0)</f>
        <v>1923.18</v>
      </c>
      <c r="P327" s="27">
        <f>I327</f>
        <v>30770.83</v>
      </c>
    </row>
    <row r="329" spans="1:32" ht="15" x14ac:dyDescent="0.25">
      <c r="A329" s="100" t="str">
        <f>CONCATENATE("Итого по локальной смете: ",IF(Source!G156&lt;&gt;"Новая локальная смета", Source!G156, ""))</f>
        <v>Итого по локальной смете: Установка сплит-систем</v>
      </c>
      <c r="B329" s="100"/>
      <c r="C329" s="100"/>
      <c r="D329" s="100"/>
      <c r="E329" s="100"/>
      <c r="F329" s="100"/>
      <c r="G329" s="100"/>
      <c r="H329" s="100"/>
      <c r="I329" s="98">
        <f>SUM(P32:P328)</f>
        <v>2778148.8199999989</v>
      </c>
      <c r="J329" s="99"/>
      <c r="K329" s="33"/>
    </row>
    <row r="332" spans="1:32" ht="45" x14ac:dyDescent="0.25">
      <c r="A332" s="100" t="str">
        <f>CONCATENATE("Итого по смете: ",IF(Source!G186&lt;&gt;"Новый объект", Source!G186, ""))</f>
        <v xml:space="preserve">Итого по смете: Установка сплит-систем </v>
      </c>
      <c r="B332" s="100"/>
      <c r="C332" s="100"/>
      <c r="D332" s="100"/>
      <c r="E332" s="100"/>
      <c r="F332" s="100"/>
      <c r="G332" s="100"/>
      <c r="H332" s="100"/>
      <c r="I332" s="98">
        <f>SUM(P1:P331)</f>
        <v>2778148.8199999989</v>
      </c>
      <c r="J332" s="99"/>
      <c r="K332" s="33"/>
      <c r="AF332" s="34" t="str">
        <f>CONCATENATE("Итого по смете: ",IF(Source!G186&lt;&gt;"Новый объект", Source!G186, ""))</f>
        <v xml:space="preserve">Итого по смете: Установка сплит-систем </v>
      </c>
    </row>
    <row r="333" spans="1:32" ht="14.25" x14ac:dyDescent="0.2">
      <c r="C333" s="101" t="str">
        <f>Source!H215</f>
        <v>НДС 20%</v>
      </c>
      <c r="D333" s="101"/>
      <c r="E333" s="101"/>
      <c r="F333" s="101"/>
      <c r="G333" s="101"/>
      <c r="H333" s="101"/>
      <c r="I333" s="102">
        <f>IF(Source!F215=0, "", Source!F215)</f>
        <v>555629.76</v>
      </c>
      <c r="J333" s="102"/>
    </row>
    <row r="334" spans="1:32" ht="14.25" x14ac:dyDescent="0.2">
      <c r="C334" s="101" t="str">
        <f>Source!H216</f>
        <v>Итого с НДС</v>
      </c>
      <c r="D334" s="101"/>
      <c r="E334" s="101"/>
      <c r="F334" s="101"/>
      <c r="G334" s="101"/>
      <c r="H334" s="101"/>
      <c r="I334" s="102">
        <f>IF(Source!F216=0, "", Source!F216)</f>
        <v>3333778.58</v>
      </c>
      <c r="J334" s="102"/>
    </row>
    <row r="341" spans="1:11" ht="14.25" x14ac:dyDescent="0.2">
      <c r="A341" s="103" t="s">
        <v>852</v>
      </c>
      <c r="B341" s="103"/>
      <c r="C341" s="35" t="str">
        <f>IF(Source!AC12&lt;&gt;"", Source!AC12," ")</f>
        <v xml:space="preserve"> </v>
      </c>
      <c r="D341" s="35"/>
      <c r="E341" s="35"/>
      <c r="F341" s="35"/>
      <c r="G341" s="35"/>
      <c r="H341" s="11" t="str">
        <f>IF(Source!AB12&lt;&gt;"", Source!AB12," ")</f>
        <v xml:space="preserve"> </v>
      </c>
      <c r="I341" s="11"/>
      <c r="J341" s="11"/>
      <c r="K341" s="11"/>
    </row>
    <row r="342" spans="1:11" ht="14.25" x14ac:dyDescent="0.2">
      <c r="A342" s="11"/>
      <c r="B342" s="11"/>
      <c r="C342" s="97" t="s">
        <v>853</v>
      </c>
      <c r="D342" s="97"/>
      <c r="E342" s="97"/>
      <c r="F342" s="97"/>
      <c r="G342" s="97"/>
      <c r="H342" s="11"/>
      <c r="I342" s="11"/>
      <c r="J342" s="11"/>
      <c r="K342" s="11"/>
    </row>
    <row r="343" spans="1:11" ht="14.25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</row>
    <row r="344" spans="1:11" ht="14.25" x14ac:dyDescent="0.2">
      <c r="A344" s="103" t="s">
        <v>854</v>
      </c>
      <c r="B344" s="103"/>
      <c r="C344" s="35" t="str">
        <f>IF(Source!AE12&lt;&gt;"", Source!AE12," ")</f>
        <v xml:space="preserve"> </v>
      </c>
      <c r="D344" s="35"/>
      <c r="E344" s="35"/>
      <c r="F344" s="35"/>
      <c r="G344" s="35"/>
      <c r="H344" s="11" t="str">
        <f>IF(Source!AD12&lt;&gt;"", Source!AD12," ")</f>
        <v xml:space="preserve"> </v>
      </c>
      <c r="I344" s="11"/>
      <c r="J344" s="11"/>
      <c r="K344" s="11"/>
    </row>
    <row r="345" spans="1:11" ht="14.25" x14ac:dyDescent="0.2">
      <c r="A345" s="11"/>
      <c r="B345" s="11"/>
      <c r="C345" s="97" t="s">
        <v>853</v>
      </c>
      <c r="D345" s="97"/>
      <c r="E345" s="97"/>
      <c r="F345" s="97"/>
      <c r="G345" s="97"/>
      <c r="H345" s="11"/>
      <c r="I345" s="11"/>
      <c r="J345" s="11"/>
      <c r="K345" s="11"/>
    </row>
  </sheetData>
  <mergeCells count="77">
    <mergeCell ref="G7:K7"/>
    <mergeCell ref="F22:H22"/>
    <mergeCell ref="I22:J22"/>
    <mergeCell ref="F21:H21"/>
    <mergeCell ref="I21:J21"/>
    <mergeCell ref="J2:K2"/>
    <mergeCell ref="A10:K10"/>
    <mergeCell ref="A11:K11"/>
    <mergeCell ref="A18:K18"/>
    <mergeCell ref="F20:H20"/>
    <mergeCell ref="I20:J20"/>
    <mergeCell ref="A15:K15"/>
    <mergeCell ref="A16:K16"/>
    <mergeCell ref="A13:K13"/>
    <mergeCell ref="B3:E3"/>
    <mergeCell ref="G3:K3"/>
    <mergeCell ref="B4:E4"/>
    <mergeCell ref="G4:K4"/>
    <mergeCell ref="B6:E6"/>
    <mergeCell ref="G6:K6"/>
    <mergeCell ref="B7:E7"/>
    <mergeCell ref="F23:H23"/>
    <mergeCell ref="I23:J23"/>
    <mergeCell ref="F24:H24"/>
    <mergeCell ref="I24:J24"/>
    <mergeCell ref="I65:J65"/>
    <mergeCell ref="F25:H25"/>
    <mergeCell ref="I25:J25"/>
    <mergeCell ref="F27:F29"/>
    <mergeCell ref="G27:G29"/>
    <mergeCell ref="H27:H29"/>
    <mergeCell ref="I27:I29"/>
    <mergeCell ref="J27:J29"/>
    <mergeCell ref="A32:K32"/>
    <mergeCell ref="I42:J42"/>
    <mergeCell ref="I52:J52"/>
    <mergeCell ref="A27:A29"/>
    <mergeCell ref="B27:B29"/>
    <mergeCell ref="C27:C29"/>
    <mergeCell ref="D27:D29"/>
    <mergeCell ref="E27:E29"/>
    <mergeCell ref="I207:J207"/>
    <mergeCell ref="I77:J77"/>
    <mergeCell ref="I93:J93"/>
    <mergeCell ref="I106:J106"/>
    <mergeCell ref="I116:J116"/>
    <mergeCell ref="I123:J123"/>
    <mergeCell ref="I135:J135"/>
    <mergeCell ref="I143:J143"/>
    <mergeCell ref="I162:J162"/>
    <mergeCell ref="I172:J172"/>
    <mergeCell ref="I185:J185"/>
    <mergeCell ref="I195:J195"/>
    <mergeCell ref="I327:J327"/>
    <mergeCell ref="I217:J217"/>
    <mergeCell ref="I229:J229"/>
    <mergeCell ref="I245:J245"/>
    <mergeCell ref="I253:J253"/>
    <mergeCell ref="I263:J263"/>
    <mergeCell ref="I274:J274"/>
    <mergeCell ref="I282:J282"/>
    <mergeCell ref="I289:J289"/>
    <mergeCell ref="I297:J297"/>
    <mergeCell ref="I310:J310"/>
    <mergeCell ref="I322:J322"/>
    <mergeCell ref="C345:G345"/>
    <mergeCell ref="I329:J329"/>
    <mergeCell ref="A329:H329"/>
    <mergeCell ref="I332:J332"/>
    <mergeCell ref="A332:H332"/>
    <mergeCell ref="C333:H333"/>
    <mergeCell ref="I333:J333"/>
    <mergeCell ref="C334:H334"/>
    <mergeCell ref="I334:J334"/>
    <mergeCell ref="A341:B341"/>
    <mergeCell ref="C342:G342"/>
    <mergeCell ref="A344:B344"/>
  </mergeCells>
  <pageMargins left="0.4" right="0.2" top="0.2" bottom="0.4" header="0.2" footer="0.2"/>
  <pageSetup paperSize="9" scale="64" fitToHeight="0" orientation="portrait" verticalDpi="0" r:id="rId1"/>
  <headerFooter>
    <oddHeader>&amp;L&amp;8</oddHeader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269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07" x14ac:dyDescent="0.2">
      <c r="A1">
        <f>ROW(Source!A24)</f>
        <v>24</v>
      </c>
      <c r="B1">
        <v>43095088</v>
      </c>
      <c r="C1">
        <v>43095165</v>
      </c>
      <c r="D1">
        <v>42301367</v>
      </c>
      <c r="E1">
        <v>29</v>
      </c>
      <c r="F1">
        <v>1</v>
      </c>
      <c r="G1">
        <v>29</v>
      </c>
      <c r="H1">
        <v>1</v>
      </c>
      <c r="I1" t="s">
        <v>555</v>
      </c>
      <c r="J1" t="s">
        <v>3</v>
      </c>
      <c r="K1" t="s">
        <v>556</v>
      </c>
      <c r="L1">
        <v>1191</v>
      </c>
      <c r="N1">
        <v>1013</v>
      </c>
      <c r="O1" t="s">
        <v>557</v>
      </c>
      <c r="P1" t="s">
        <v>557</v>
      </c>
      <c r="Q1">
        <v>1</v>
      </c>
      <c r="W1">
        <v>0</v>
      </c>
      <c r="X1">
        <v>476480486</v>
      </c>
      <c r="Y1">
        <v>10.42</v>
      </c>
      <c r="AA1">
        <v>0</v>
      </c>
      <c r="AB1">
        <v>0</v>
      </c>
      <c r="AC1">
        <v>0</v>
      </c>
      <c r="AD1">
        <v>0</v>
      </c>
      <c r="AE1">
        <v>0</v>
      </c>
      <c r="AF1">
        <v>0</v>
      </c>
      <c r="AG1">
        <v>0</v>
      </c>
      <c r="AH1">
        <v>0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3</v>
      </c>
      <c r="AT1">
        <v>10.42</v>
      </c>
      <c r="AU1" t="s">
        <v>3</v>
      </c>
      <c r="AV1">
        <v>1</v>
      </c>
      <c r="AW1">
        <v>2</v>
      </c>
      <c r="AX1">
        <v>43095181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Y1*Source!I24</f>
        <v>239.66</v>
      </c>
      <c r="CY1">
        <f>AD1</f>
        <v>0</v>
      </c>
      <c r="CZ1">
        <f>AH1</f>
        <v>0</v>
      </c>
      <c r="DA1">
        <f>AL1</f>
        <v>1</v>
      </c>
      <c r="DB1">
        <f t="shared" ref="DB1:DB32" si="0">ROUND(ROUND(AT1*CZ1,2),6)</f>
        <v>0</v>
      </c>
      <c r="DC1">
        <f t="shared" ref="DC1:DC32" si="1">ROUND(ROUND(AT1*AG1,2),6)</f>
        <v>0</v>
      </c>
    </row>
    <row r="2" spans="1:107" x14ac:dyDescent="0.2">
      <c r="A2">
        <f>ROW(Source!A24)</f>
        <v>24</v>
      </c>
      <c r="B2">
        <v>43095088</v>
      </c>
      <c r="C2">
        <v>43095165</v>
      </c>
      <c r="D2">
        <v>42303205</v>
      </c>
      <c r="E2">
        <v>1</v>
      </c>
      <c r="F2">
        <v>1</v>
      </c>
      <c r="G2">
        <v>29</v>
      </c>
      <c r="H2">
        <v>2</v>
      </c>
      <c r="I2" t="s">
        <v>558</v>
      </c>
      <c r="J2" t="s">
        <v>559</v>
      </c>
      <c r="K2" t="s">
        <v>560</v>
      </c>
      <c r="L2">
        <v>1368</v>
      </c>
      <c r="N2">
        <v>1011</v>
      </c>
      <c r="O2" t="s">
        <v>480</v>
      </c>
      <c r="P2" t="s">
        <v>480</v>
      </c>
      <c r="Q2">
        <v>1</v>
      </c>
      <c r="W2">
        <v>0</v>
      </c>
      <c r="X2">
        <v>259953263</v>
      </c>
      <c r="Y2">
        <v>0.25</v>
      </c>
      <c r="AA2">
        <v>0</v>
      </c>
      <c r="AB2">
        <v>8.1</v>
      </c>
      <c r="AC2">
        <v>1.03</v>
      </c>
      <c r="AD2">
        <v>0</v>
      </c>
      <c r="AE2">
        <v>0</v>
      </c>
      <c r="AF2">
        <v>8.1</v>
      </c>
      <c r="AG2">
        <v>1.03</v>
      </c>
      <c r="AH2">
        <v>0</v>
      </c>
      <c r="AI2">
        <v>1</v>
      </c>
      <c r="AJ2">
        <v>1</v>
      </c>
      <c r="AK2">
        <v>1</v>
      </c>
      <c r="AL2">
        <v>1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3</v>
      </c>
      <c r="AT2">
        <v>0.25</v>
      </c>
      <c r="AU2" t="s">
        <v>3</v>
      </c>
      <c r="AV2">
        <v>0</v>
      </c>
      <c r="AW2">
        <v>2</v>
      </c>
      <c r="AX2">
        <v>43095182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Y2*Source!I24</f>
        <v>5.75</v>
      </c>
      <c r="CY2">
        <f>AB2</f>
        <v>8.1</v>
      </c>
      <c r="CZ2">
        <f>AF2</f>
        <v>8.1</v>
      </c>
      <c r="DA2">
        <f>AJ2</f>
        <v>1</v>
      </c>
      <c r="DB2">
        <f t="shared" si="0"/>
        <v>2.0299999999999998</v>
      </c>
      <c r="DC2">
        <f t="shared" si="1"/>
        <v>0.26</v>
      </c>
    </row>
    <row r="3" spans="1:107" x14ac:dyDescent="0.2">
      <c r="A3">
        <f>ROW(Source!A24)</f>
        <v>24</v>
      </c>
      <c r="B3">
        <v>43095088</v>
      </c>
      <c r="C3">
        <v>43095165</v>
      </c>
      <c r="D3">
        <v>42303166</v>
      </c>
      <c r="E3">
        <v>1</v>
      </c>
      <c r="F3">
        <v>1</v>
      </c>
      <c r="G3">
        <v>29</v>
      </c>
      <c r="H3">
        <v>2</v>
      </c>
      <c r="I3" t="s">
        <v>561</v>
      </c>
      <c r="J3" t="s">
        <v>562</v>
      </c>
      <c r="K3" t="s">
        <v>563</v>
      </c>
      <c r="L3">
        <v>1368</v>
      </c>
      <c r="N3">
        <v>1011</v>
      </c>
      <c r="O3" t="s">
        <v>480</v>
      </c>
      <c r="P3" t="s">
        <v>480</v>
      </c>
      <c r="Q3">
        <v>1</v>
      </c>
      <c r="W3">
        <v>0</v>
      </c>
      <c r="X3">
        <v>1197532078</v>
      </c>
      <c r="Y3">
        <v>0.14000000000000001</v>
      </c>
      <c r="AA3">
        <v>0</v>
      </c>
      <c r="AB3">
        <v>5.17</v>
      </c>
      <c r="AC3">
        <v>0.01</v>
      </c>
      <c r="AD3">
        <v>0</v>
      </c>
      <c r="AE3">
        <v>0</v>
      </c>
      <c r="AF3">
        <v>5.17</v>
      </c>
      <c r="AG3">
        <v>0.01</v>
      </c>
      <c r="AH3">
        <v>0</v>
      </c>
      <c r="AI3">
        <v>1</v>
      </c>
      <c r="AJ3">
        <v>1</v>
      </c>
      <c r="AK3">
        <v>1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</v>
      </c>
      <c r="AT3">
        <v>0.14000000000000001</v>
      </c>
      <c r="AU3" t="s">
        <v>3</v>
      </c>
      <c r="AV3">
        <v>0</v>
      </c>
      <c r="AW3">
        <v>2</v>
      </c>
      <c r="AX3">
        <v>43095183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Y3*Source!I24</f>
        <v>3.22</v>
      </c>
      <c r="CY3">
        <f>AB3</f>
        <v>5.17</v>
      </c>
      <c r="CZ3">
        <f>AF3</f>
        <v>5.17</v>
      </c>
      <c r="DA3">
        <f>AJ3</f>
        <v>1</v>
      </c>
      <c r="DB3">
        <f t="shared" si="0"/>
        <v>0.72</v>
      </c>
      <c r="DC3">
        <f t="shared" si="1"/>
        <v>0</v>
      </c>
    </row>
    <row r="4" spans="1:107" x14ac:dyDescent="0.2">
      <c r="A4">
        <f>ROW(Source!A24)</f>
        <v>24</v>
      </c>
      <c r="B4">
        <v>43095088</v>
      </c>
      <c r="C4">
        <v>43095165</v>
      </c>
      <c r="D4">
        <v>42304431</v>
      </c>
      <c r="E4">
        <v>1</v>
      </c>
      <c r="F4">
        <v>1</v>
      </c>
      <c r="G4">
        <v>29</v>
      </c>
      <c r="H4">
        <v>3</v>
      </c>
      <c r="I4" t="s">
        <v>564</v>
      </c>
      <c r="J4" t="s">
        <v>565</v>
      </c>
      <c r="K4" t="s">
        <v>566</v>
      </c>
      <c r="L4">
        <v>1354</v>
      </c>
      <c r="N4">
        <v>1010</v>
      </c>
      <c r="O4" t="s">
        <v>20</v>
      </c>
      <c r="P4" t="s">
        <v>20</v>
      </c>
      <c r="Q4">
        <v>1</v>
      </c>
      <c r="W4">
        <v>0</v>
      </c>
      <c r="X4">
        <v>447429166</v>
      </c>
      <c r="Y4">
        <v>4</v>
      </c>
      <c r="AA4">
        <v>1.43</v>
      </c>
      <c r="AB4">
        <v>0</v>
      </c>
      <c r="AC4">
        <v>0</v>
      </c>
      <c r="AD4">
        <v>0</v>
      </c>
      <c r="AE4">
        <v>1.43</v>
      </c>
      <c r="AF4">
        <v>0</v>
      </c>
      <c r="AG4">
        <v>0</v>
      </c>
      <c r="AH4">
        <v>0</v>
      </c>
      <c r="AI4">
        <v>1</v>
      </c>
      <c r="AJ4">
        <v>1</v>
      </c>
      <c r="AK4">
        <v>1</v>
      </c>
      <c r="AL4">
        <v>1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3</v>
      </c>
      <c r="AT4">
        <v>4</v>
      </c>
      <c r="AU4" t="s">
        <v>3</v>
      </c>
      <c r="AV4">
        <v>0</v>
      </c>
      <c r="AW4">
        <v>2</v>
      </c>
      <c r="AX4">
        <v>43095184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Y4*Source!I24</f>
        <v>92</v>
      </c>
      <c r="CY4">
        <f>AA4</f>
        <v>1.43</v>
      </c>
      <c r="CZ4">
        <f>AE4</f>
        <v>1.43</v>
      </c>
      <c r="DA4">
        <f>AI4</f>
        <v>1</v>
      </c>
      <c r="DB4">
        <f t="shared" si="0"/>
        <v>5.72</v>
      </c>
      <c r="DC4">
        <f t="shared" si="1"/>
        <v>0</v>
      </c>
    </row>
    <row r="5" spans="1:107" x14ac:dyDescent="0.2">
      <c r="A5">
        <f>ROW(Source!A24)</f>
        <v>24</v>
      </c>
      <c r="B5">
        <v>43095088</v>
      </c>
      <c r="C5">
        <v>43095165</v>
      </c>
      <c r="D5">
        <v>42305330</v>
      </c>
      <c r="E5">
        <v>1</v>
      </c>
      <c r="F5">
        <v>1</v>
      </c>
      <c r="G5">
        <v>29</v>
      </c>
      <c r="H5">
        <v>3</v>
      </c>
      <c r="I5" t="s">
        <v>567</v>
      </c>
      <c r="J5" t="s">
        <v>568</v>
      </c>
      <c r="K5" t="s">
        <v>569</v>
      </c>
      <c r="L5">
        <v>1354</v>
      </c>
      <c r="N5">
        <v>1010</v>
      </c>
      <c r="O5" t="s">
        <v>20</v>
      </c>
      <c r="P5" t="s">
        <v>20</v>
      </c>
      <c r="Q5">
        <v>1</v>
      </c>
      <c r="W5">
        <v>0</v>
      </c>
      <c r="X5">
        <v>941169148</v>
      </c>
      <c r="Y5">
        <v>1</v>
      </c>
      <c r="AA5">
        <v>24.65</v>
      </c>
      <c r="AB5">
        <v>0</v>
      </c>
      <c r="AC5">
        <v>0</v>
      </c>
      <c r="AD5">
        <v>0</v>
      </c>
      <c r="AE5">
        <v>24.65</v>
      </c>
      <c r="AF5">
        <v>0</v>
      </c>
      <c r="AG5">
        <v>0</v>
      </c>
      <c r="AH5">
        <v>0</v>
      </c>
      <c r="AI5">
        <v>1</v>
      </c>
      <c r="AJ5">
        <v>1</v>
      </c>
      <c r="AK5">
        <v>1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3</v>
      </c>
      <c r="AT5">
        <v>1</v>
      </c>
      <c r="AU5" t="s">
        <v>3</v>
      </c>
      <c r="AV5">
        <v>0</v>
      </c>
      <c r="AW5">
        <v>2</v>
      </c>
      <c r="AX5">
        <v>43095185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Y5*Source!I24</f>
        <v>23</v>
      </c>
      <c r="CY5">
        <f>AA5</f>
        <v>24.65</v>
      </c>
      <c r="CZ5">
        <f>AE5</f>
        <v>24.65</v>
      </c>
      <c r="DA5">
        <f>AI5</f>
        <v>1</v>
      </c>
      <c r="DB5">
        <f t="shared" si="0"/>
        <v>24.65</v>
      </c>
      <c r="DC5">
        <f t="shared" si="1"/>
        <v>0</v>
      </c>
    </row>
    <row r="6" spans="1:107" x14ac:dyDescent="0.2">
      <c r="A6">
        <f>ROW(Source!A25)</f>
        <v>25</v>
      </c>
      <c r="B6">
        <v>43095088</v>
      </c>
      <c r="C6">
        <v>43095186</v>
      </c>
      <c r="D6">
        <v>42301367</v>
      </c>
      <c r="E6">
        <v>29</v>
      </c>
      <c r="F6">
        <v>1</v>
      </c>
      <c r="G6">
        <v>29</v>
      </c>
      <c r="H6">
        <v>1</v>
      </c>
      <c r="I6" t="s">
        <v>555</v>
      </c>
      <c r="J6" t="s">
        <v>3</v>
      </c>
      <c r="K6" t="s">
        <v>556</v>
      </c>
      <c r="L6">
        <v>1191</v>
      </c>
      <c r="N6">
        <v>1013</v>
      </c>
      <c r="O6" t="s">
        <v>557</v>
      </c>
      <c r="P6" t="s">
        <v>557</v>
      </c>
      <c r="Q6">
        <v>1</v>
      </c>
      <c r="W6">
        <v>0</v>
      </c>
      <c r="X6">
        <v>476480486</v>
      </c>
      <c r="Y6">
        <v>14.22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</v>
      </c>
      <c r="AT6">
        <v>14.22</v>
      </c>
      <c r="AU6" t="s">
        <v>3</v>
      </c>
      <c r="AV6">
        <v>1</v>
      </c>
      <c r="AW6">
        <v>2</v>
      </c>
      <c r="AX6">
        <v>43095202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Y6*Source!I25</f>
        <v>42.660000000000004</v>
      </c>
      <c r="CY6">
        <f>AD6</f>
        <v>0</v>
      </c>
      <c r="CZ6">
        <f>AH6</f>
        <v>0</v>
      </c>
      <c r="DA6">
        <f>AL6</f>
        <v>1</v>
      </c>
      <c r="DB6">
        <f t="shared" si="0"/>
        <v>0</v>
      </c>
      <c r="DC6">
        <f t="shared" si="1"/>
        <v>0</v>
      </c>
    </row>
    <row r="7" spans="1:107" x14ac:dyDescent="0.2">
      <c r="A7">
        <f>ROW(Source!A25)</f>
        <v>25</v>
      </c>
      <c r="B7">
        <v>43095088</v>
      </c>
      <c r="C7">
        <v>43095186</v>
      </c>
      <c r="D7">
        <v>42303205</v>
      </c>
      <c r="E7">
        <v>1</v>
      </c>
      <c r="F7">
        <v>1</v>
      </c>
      <c r="G7">
        <v>29</v>
      </c>
      <c r="H7">
        <v>2</v>
      </c>
      <c r="I7" t="s">
        <v>558</v>
      </c>
      <c r="J7" t="s">
        <v>559</v>
      </c>
      <c r="K7" t="s">
        <v>560</v>
      </c>
      <c r="L7">
        <v>1368</v>
      </c>
      <c r="N7">
        <v>1011</v>
      </c>
      <c r="O7" t="s">
        <v>480</v>
      </c>
      <c r="P7" t="s">
        <v>480</v>
      </c>
      <c r="Q7">
        <v>1</v>
      </c>
      <c r="W7">
        <v>0</v>
      </c>
      <c r="X7">
        <v>259953263</v>
      </c>
      <c r="Y7">
        <v>0.25</v>
      </c>
      <c r="AA7">
        <v>0</v>
      </c>
      <c r="AB7">
        <v>8.1</v>
      </c>
      <c r="AC7">
        <v>1.03</v>
      </c>
      <c r="AD7">
        <v>0</v>
      </c>
      <c r="AE7">
        <v>0</v>
      </c>
      <c r="AF7">
        <v>8.1</v>
      </c>
      <c r="AG7">
        <v>1.03</v>
      </c>
      <c r="AH7">
        <v>0</v>
      </c>
      <c r="AI7">
        <v>1</v>
      </c>
      <c r="AJ7">
        <v>1</v>
      </c>
      <c r="AK7">
        <v>1</v>
      </c>
      <c r="AL7">
        <v>1</v>
      </c>
      <c r="AN7">
        <v>0</v>
      </c>
      <c r="AO7">
        <v>1</v>
      </c>
      <c r="AP7">
        <v>0</v>
      </c>
      <c r="AQ7">
        <v>0</v>
      </c>
      <c r="AR7">
        <v>0</v>
      </c>
      <c r="AS7" t="s">
        <v>3</v>
      </c>
      <c r="AT7">
        <v>0.25</v>
      </c>
      <c r="AU7" t="s">
        <v>3</v>
      </c>
      <c r="AV7">
        <v>0</v>
      </c>
      <c r="AW7">
        <v>2</v>
      </c>
      <c r="AX7">
        <v>43095203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Y7*Source!I25</f>
        <v>0.75</v>
      </c>
      <c r="CY7">
        <f>AB7</f>
        <v>8.1</v>
      </c>
      <c r="CZ7">
        <f>AF7</f>
        <v>8.1</v>
      </c>
      <c r="DA7">
        <f>AJ7</f>
        <v>1</v>
      </c>
      <c r="DB7">
        <f t="shared" si="0"/>
        <v>2.0299999999999998</v>
      </c>
      <c r="DC7">
        <f t="shared" si="1"/>
        <v>0.26</v>
      </c>
    </row>
    <row r="8" spans="1:107" x14ac:dyDescent="0.2">
      <c r="A8">
        <f>ROW(Source!A25)</f>
        <v>25</v>
      </c>
      <c r="B8">
        <v>43095088</v>
      </c>
      <c r="C8">
        <v>43095186</v>
      </c>
      <c r="D8">
        <v>42303166</v>
      </c>
      <c r="E8">
        <v>1</v>
      </c>
      <c r="F8">
        <v>1</v>
      </c>
      <c r="G8">
        <v>29</v>
      </c>
      <c r="H8">
        <v>2</v>
      </c>
      <c r="I8" t="s">
        <v>561</v>
      </c>
      <c r="J8" t="s">
        <v>562</v>
      </c>
      <c r="K8" t="s">
        <v>563</v>
      </c>
      <c r="L8">
        <v>1368</v>
      </c>
      <c r="N8">
        <v>1011</v>
      </c>
      <c r="O8" t="s">
        <v>480</v>
      </c>
      <c r="P8" t="s">
        <v>480</v>
      </c>
      <c r="Q8">
        <v>1</v>
      </c>
      <c r="W8">
        <v>0</v>
      </c>
      <c r="X8">
        <v>1197532078</v>
      </c>
      <c r="Y8">
        <v>0.14000000000000001</v>
      </c>
      <c r="AA8">
        <v>0</v>
      </c>
      <c r="AB8">
        <v>5.17</v>
      </c>
      <c r="AC8">
        <v>0.01</v>
      </c>
      <c r="AD8">
        <v>0</v>
      </c>
      <c r="AE8">
        <v>0</v>
      </c>
      <c r="AF8">
        <v>5.17</v>
      </c>
      <c r="AG8">
        <v>0.01</v>
      </c>
      <c r="AH8">
        <v>0</v>
      </c>
      <c r="AI8">
        <v>1</v>
      </c>
      <c r="AJ8">
        <v>1</v>
      </c>
      <c r="AK8">
        <v>1</v>
      </c>
      <c r="AL8">
        <v>1</v>
      </c>
      <c r="AN8">
        <v>0</v>
      </c>
      <c r="AO8">
        <v>1</v>
      </c>
      <c r="AP8">
        <v>0</v>
      </c>
      <c r="AQ8">
        <v>0</v>
      </c>
      <c r="AR8">
        <v>0</v>
      </c>
      <c r="AS8" t="s">
        <v>3</v>
      </c>
      <c r="AT8">
        <v>0.14000000000000001</v>
      </c>
      <c r="AU8" t="s">
        <v>3</v>
      </c>
      <c r="AV8">
        <v>0</v>
      </c>
      <c r="AW8">
        <v>2</v>
      </c>
      <c r="AX8">
        <v>43095204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Y8*Source!I25</f>
        <v>0.42000000000000004</v>
      </c>
      <c r="CY8">
        <f>AB8</f>
        <v>5.17</v>
      </c>
      <c r="CZ8">
        <f>AF8</f>
        <v>5.17</v>
      </c>
      <c r="DA8">
        <f>AJ8</f>
        <v>1</v>
      </c>
      <c r="DB8">
        <f t="shared" si="0"/>
        <v>0.72</v>
      </c>
      <c r="DC8">
        <f t="shared" si="1"/>
        <v>0</v>
      </c>
    </row>
    <row r="9" spans="1:107" x14ac:dyDescent="0.2">
      <c r="A9">
        <f>ROW(Source!A25)</f>
        <v>25</v>
      </c>
      <c r="B9">
        <v>43095088</v>
      </c>
      <c r="C9">
        <v>43095186</v>
      </c>
      <c r="D9">
        <v>42304431</v>
      </c>
      <c r="E9">
        <v>1</v>
      </c>
      <c r="F9">
        <v>1</v>
      </c>
      <c r="G9">
        <v>29</v>
      </c>
      <c r="H9">
        <v>3</v>
      </c>
      <c r="I9" t="s">
        <v>564</v>
      </c>
      <c r="J9" t="s">
        <v>565</v>
      </c>
      <c r="K9" t="s">
        <v>566</v>
      </c>
      <c r="L9">
        <v>1354</v>
      </c>
      <c r="N9">
        <v>1010</v>
      </c>
      <c r="O9" t="s">
        <v>20</v>
      </c>
      <c r="P9" t="s">
        <v>20</v>
      </c>
      <c r="Q9">
        <v>1</v>
      </c>
      <c r="W9">
        <v>0</v>
      </c>
      <c r="X9">
        <v>447429166</v>
      </c>
      <c r="Y9">
        <v>4</v>
      </c>
      <c r="AA9">
        <v>1.43</v>
      </c>
      <c r="AB9">
        <v>0</v>
      </c>
      <c r="AC9">
        <v>0</v>
      </c>
      <c r="AD9">
        <v>0</v>
      </c>
      <c r="AE9">
        <v>1.43</v>
      </c>
      <c r="AF9">
        <v>0</v>
      </c>
      <c r="AG9">
        <v>0</v>
      </c>
      <c r="AH9">
        <v>0</v>
      </c>
      <c r="AI9">
        <v>1</v>
      </c>
      <c r="AJ9">
        <v>1</v>
      </c>
      <c r="AK9">
        <v>1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4</v>
      </c>
      <c r="AU9" t="s">
        <v>3</v>
      </c>
      <c r="AV9">
        <v>0</v>
      </c>
      <c r="AW9">
        <v>2</v>
      </c>
      <c r="AX9">
        <v>43095205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Y9*Source!I25</f>
        <v>12</v>
      </c>
      <c r="CY9">
        <f>AA9</f>
        <v>1.43</v>
      </c>
      <c r="CZ9">
        <f>AE9</f>
        <v>1.43</v>
      </c>
      <c r="DA9">
        <f>AI9</f>
        <v>1</v>
      </c>
      <c r="DB9">
        <f t="shared" si="0"/>
        <v>5.72</v>
      </c>
      <c r="DC9">
        <f t="shared" si="1"/>
        <v>0</v>
      </c>
    </row>
    <row r="10" spans="1:107" x14ac:dyDescent="0.2">
      <c r="A10">
        <f>ROW(Source!A25)</f>
        <v>25</v>
      </c>
      <c r="B10">
        <v>43095088</v>
      </c>
      <c r="C10">
        <v>43095186</v>
      </c>
      <c r="D10">
        <v>42305330</v>
      </c>
      <c r="E10">
        <v>1</v>
      </c>
      <c r="F10">
        <v>1</v>
      </c>
      <c r="G10">
        <v>29</v>
      </c>
      <c r="H10">
        <v>3</v>
      </c>
      <c r="I10" t="s">
        <v>567</v>
      </c>
      <c r="J10" t="s">
        <v>568</v>
      </c>
      <c r="K10" t="s">
        <v>569</v>
      </c>
      <c r="L10">
        <v>1354</v>
      </c>
      <c r="N10">
        <v>1010</v>
      </c>
      <c r="O10" t="s">
        <v>20</v>
      </c>
      <c r="P10" t="s">
        <v>20</v>
      </c>
      <c r="Q10">
        <v>1</v>
      </c>
      <c r="W10">
        <v>0</v>
      </c>
      <c r="X10">
        <v>941169148</v>
      </c>
      <c r="Y10">
        <v>1</v>
      </c>
      <c r="AA10">
        <v>24.65</v>
      </c>
      <c r="AB10">
        <v>0</v>
      </c>
      <c r="AC10">
        <v>0</v>
      </c>
      <c r="AD10">
        <v>0</v>
      </c>
      <c r="AE10">
        <v>24.65</v>
      </c>
      <c r="AF10">
        <v>0</v>
      </c>
      <c r="AG10">
        <v>0</v>
      </c>
      <c r="AH10">
        <v>0</v>
      </c>
      <c r="AI10">
        <v>1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1</v>
      </c>
      <c r="AU10" t="s">
        <v>3</v>
      </c>
      <c r="AV10">
        <v>0</v>
      </c>
      <c r="AW10">
        <v>2</v>
      </c>
      <c r="AX10">
        <v>43095206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Y10*Source!I25</f>
        <v>3</v>
      </c>
      <c r="CY10">
        <f>AA10</f>
        <v>24.65</v>
      </c>
      <c r="CZ10">
        <f>AE10</f>
        <v>24.65</v>
      </c>
      <c r="DA10">
        <f>AI10</f>
        <v>1</v>
      </c>
      <c r="DB10">
        <f t="shared" si="0"/>
        <v>24.65</v>
      </c>
      <c r="DC10">
        <f t="shared" si="1"/>
        <v>0</v>
      </c>
    </row>
    <row r="11" spans="1:107" x14ac:dyDescent="0.2">
      <c r="A11">
        <f>ROW(Source!A26)</f>
        <v>26</v>
      </c>
      <c r="B11">
        <v>43095088</v>
      </c>
      <c r="C11">
        <v>43095207</v>
      </c>
      <c r="D11">
        <v>42301367</v>
      </c>
      <c r="E11">
        <v>29</v>
      </c>
      <c r="F11">
        <v>1</v>
      </c>
      <c r="G11">
        <v>29</v>
      </c>
      <c r="H11">
        <v>1</v>
      </c>
      <c r="I11" t="s">
        <v>555</v>
      </c>
      <c r="J11" t="s">
        <v>3</v>
      </c>
      <c r="K11" t="s">
        <v>556</v>
      </c>
      <c r="L11">
        <v>1191</v>
      </c>
      <c r="N11">
        <v>1013</v>
      </c>
      <c r="O11" t="s">
        <v>557</v>
      </c>
      <c r="P11" t="s">
        <v>557</v>
      </c>
      <c r="Q11">
        <v>1</v>
      </c>
      <c r="W11">
        <v>0</v>
      </c>
      <c r="X11">
        <v>476480486</v>
      </c>
      <c r="Y11">
        <v>15.78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1</v>
      </c>
      <c r="AJ11">
        <v>1</v>
      </c>
      <c r="AK11">
        <v>1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</v>
      </c>
      <c r="AT11">
        <v>15.78</v>
      </c>
      <c r="AU11" t="s">
        <v>3</v>
      </c>
      <c r="AV11">
        <v>1</v>
      </c>
      <c r="AW11">
        <v>2</v>
      </c>
      <c r="AX11">
        <v>43095240</v>
      </c>
      <c r="AY11">
        <v>1</v>
      </c>
      <c r="AZ11">
        <v>0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Y11*Source!I26</f>
        <v>362.94</v>
      </c>
      <c r="CY11">
        <f>AD11</f>
        <v>0</v>
      </c>
      <c r="CZ11">
        <f>AH11</f>
        <v>0</v>
      </c>
      <c r="DA11">
        <f>AL11</f>
        <v>1</v>
      </c>
      <c r="DB11">
        <f t="shared" si="0"/>
        <v>0</v>
      </c>
      <c r="DC11">
        <f t="shared" si="1"/>
        <v>0</v>
      </c>
    </row>
    <row r="12" spans="1:107" x14ac:dyDescent="0.2">
      <c r="A12">
        <f>ROW(Source!A26)</f>
        <v>26</v>
      </c>
      <c r="B12">
        <v>43095088</v>
      </c>
      <c r="C12">
        <v>43095207</v>
      </c>
      <c r="D12">
        <v>42303205</v>
      </c>
      <c r="E12">
        <v>1</v>
      </c>
      <c r="F12">
        <v>1</v>
      </c>
      <c r="G12">
        <v>29</v>
      </c>
      <c r="H12">
        <v>2</v>
      </c>
      <c r="I12" t="s">
        <v>558</v>
      </c>
      <c r="J12" t="s">
        <v>559</v>
      </c>
      <c r="K12" t="s">
        <v>560</v>
      </c>
      <c r="L12">
        <v>1368</v>
      </c>
      <c r="N12">
        <v>1011</v>
      </c>
      <c r="O12" t="s">
        <v>480</v>
      </c>
      <c r="P12" t="s">
        <v>480</v>
      </c>
      <c r="Q12">
        <v>1</v>
      </c>
      <c r="W12">
        <v>0</v>
      </c>
      <c r="X12">
        <v>259953263</v>
      </c>
      <c r="Y12">
        <v>0.38</v>
      </c>
      <c r="AA12">
        <v>0</v>
      </c>
      <c r="AB12">
        <v>8.1</v>
      </c>
      <c r="AC12">
        <v>1.03</v>
      </c>
      <c r="AD12">
        <v>0</v>
      </c>
      <c r="AE12">
        <v>0</v>
      </c>
      <c r="AF12">
        <v>8.1</v>
      </c>
      <c r="AG12">
        <v>1.03</v>
      </c>
      <c r="AH12">
        <v>0</v>
      </c>
      <c r="AI12">
        <v>1</v>
      </c>
      <c r="AJ12">
        <v>1</v>
      </c>
      <c r="AK12">
        <v>1</v>
      </c>
      <c r="AL12">
        <v>1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3</v>
      </c>
      <c r="AT12">
        <v>0.38</v>
      </c>
      <c r="AU12" t="s">
        <v>3</v>
      </c>
      <c r="AV12">
        <v>0</v>
      </c>
      <c r="AW12">
        <v>2</v>
      </c>
      <c r="AX12">
        <v>43095241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Y12*Source!I26</f>
        <v>8.74</v>
      </c>
      <c r="CY12">
        <f>AB12</f>
        <v>8.1</v>
      </c>
      <c r="CZ12">
        <f>AF12</f>
        <v>8.1</v>
      </c>
      <c r="DA12">
        <f>AJ12</f>
        <v>1</v>
      </c>
      <c r="DB12">
        <f t="shared" si="0"/>
        <v>3.08</v>
      </c>
      <c r="DC12">
        <f t="shared" si="1"/>
        <v>0.39</v>
      </c>
    </row>
    <row r="13" spans="1:107" x14ac:dyDescent="0.2">
      <c r="A13">
        <f>ROW(Source!A26)</f>
        <v>26</v>
      </c>
      <c r="B13">
        <v>43095088</v>
      </c>
      <c r="C13">
        <v>43095207</v>
      </c>
      <c r="D13">
        <v>42303166</v>
      </c>
      <c r="E13">
        <v>1</v>
      </c>
      <c r="F13">
        <v>1</v>
      </c>
      <c r="G13">
        <v>29</v>
      </c>
      <c r="H13">
        <v>2</v>
      </c>
      <c r="I13" t="s">
        <v>561</v>
      </c>
      <c r="J13" t="s">
        <v>562</v>
      </c>
      <c r="K13" t="s">
        <v>563</v>
      </c>
      <c r="L13">
        <v>1368</v>
      </c>
      <c r="N13">
        <v>1011</v>
      </c>
      <c r="O13" t="s">
        <v>480</v>
      </c>
      <c r="P13" t="s">
        <v>480</v>
      </c>
      <c r="Q13">
        <v>1</v>
      </c>
      <c r="W13">
        <v>0</v>
      </c>
      <c r="X13">
        <v>1197532078</v>
      </c>
      <c r="Y13">
        <v>0.19</v>
      </c>
      <c r="AA13">
        <v>0</v>
      </c>
      <c r="AB13">
        <v>5.17</v>
      </c>
      <c r="AC13">
        <v>0.01</v>
      </c>
      <c r="AD13">
        <v>0</v>
      </c>
      <c r="AE13">
        <v>0</v>
      </c>
      <c r="AF13">
        <v>5.17</v>
      </c>
      <c r="AG13">
        <v>0.01</v>
      </c>
      <c r="AH13">
        <v>0</v>
      </c>
      <c r="AI13">
        <v>1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0.19</v>
      </c>
      <c r="AU13" t="s">
        <v>3</v>
      </c>
      <c r="AV13">
        <v>0</v>
      </c>
      <c r="AW13">
        <v>2</v>
      </c>
      <c r="AX13">
        <v>43095242</v>
      </c>
      <c r="AY13">
        <v>1</v>
      </c>
      <c r="AZ13">
        <v>0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Y13*Source!I26</f>
        <v>4.37</v>
      </c>
      <c r="CY13">
        <f>AB13</f>
        <v>5.17</v>
      </c>
      <c r="CZ13">
        <f>AF13</f>
        <v>5.17</v>
      </c>
      <c r="DA13">
        <f>AJ13</f>
        <v>1</v>
      </c>
      <c r="DB13">
        <f t="shared" si="0"/>
        <v>0.98</v>
      </c>
      <c r="DC13">
        <f t="shared" si="1"/>
        <v>0</v>
      </c>
    </row>
    <row r="14" spans="1:107" x14ac:dyDescent="0.2">
      <c r="A14">
        <f>ROW(Source!A26)</f>
        <v>26</v>
      </c>
      <c r="B14">
        <v>43095088</v>
      </c>
      <c r="C14">
        <v>43095207</v>
      </c>
      <c r="D14">
        <v>42302405</v>
      </c>
      <c r="E14">
        <v>1</v>
      </c>
      <c r="F14">
        <v>1</v>
      </c>
      <c r="G14">
        <v>29</v>
      </c>
      <c r="H14">
        <v>2</v>
      </c>
      <c r="I14" t="s">
        <v>570</v>
      </c>
      <c r="J14" t="s">
        <v>571</v>
      </c>
      <c r="K14" t="s">
        <v>572</v>
      </c>
      <c r="L14">
        <v>1368</v>
      </c>
      <c r="N14">
        <v>1011</v>
      </c>
      <c r="O14" t="s">
        <v>480</v>
      </c>
      <c r="P14" t="s">
        <v>480</v>
      </c>
      <c r="Q14">
        <v>1</v>
      </c>
      <c r="W14">
        <v>0</v>
      </c>
      <c r="X14">
        <v>-1622335805</v>
      </c>
      <c r="Y14">
        <v>0.21</v>
      </c>
      <c r="AA14">
        <v>0</v>
      </c>
      <c r="AB14">
        <v>2.85</v>
      </c>
      <c r="AC14">
        <v>1.32</v>
      </c>
      <c r="AD14">
        <v>0</v>
      </c>
      <c r="AE14">
        <v>0</v>
      </c>
      <c r="AF14">
        <v>2.85</v>
      </c>
      <c r="AG14">
        <v>1.32</v>
      </c>
      <c r="AH14">
        <v>0</v>
      </c>
      <c r="AI14">
        <v>1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0.21</v>
      </c>
      <c r="AU14" t="s">
        <v>3</v>
      </c>
      <c r="AV14">
        <v>0</v>
      </c>
      <c r="AW14">
        <v>2</v>
      </c>
      <c r="AX14">
        <v>43095243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Y14*Source!I26</f>
        <v>4.83</v>
      </c>
      <c r="CY14">
        <f>AB14</f>
        <v>2.85</v>
      </c>
      <c r="CZ14">
        <f>AF14</f>
        <v>2.85</v>
      </c>
      <c r="DA14">
        <f>AJ14</f>
        <v>1</v>
      </c>
      <c r="DB14">
        <f t="shared" si="0"/>
        <v>0.6</v>
      </c>
      <c r="DC14">
        <f t="shared" si="1"/>
        <v>0.28000000000000003</v>
      </c>
    </row>
    <row r="15" spans="1:107" x14ac:dyDescent="0.2">
      <c r="A15">
        <f>ROW(Source!A26)</f>
        <v>26</v>
      </c>
      <c r="B15">
        <v>43095088</v>
      </c>
      <c r="C15">
        <v>43095207</v>
      </c>
      <c r="D15">
        <v>42301719</v>
      </c>
      <c r="E15">
        <v>29</v>
      </c>
      <c r="F15">
        <v>1</v>
      </c>
      <c r="G15">
        <v>29</v>
      </c>
      <c r="H15">
        <v>3</v>
      </c>
      <c r="I15" t="s">
        <v>573</v>
      </c>
      <c r="J15" t="s">
        <v>3</v>
      </c>
      <c r="K15" t="s">
        <v>574</v>
      </c>
      <c r="L15">
        <v>1346</v>
      </c>
      <c r="N15">
        <v>1009</v>
      </c>
      <c r="O15" t="s">
        <v>46</v>
      </c>
      <c r="P15" t="s">
        <v>46</v>
      </c>
      <c r="Q15">
        <v>1</v>
      </c>
      <c r="W15">
        <v>0</v>
      </c>
      <c r="X15">
        <v>1515502647</v>
      </c>
      <c r="Y15">
        <v>0.8</v>
      </c>
      <c r="AA15">
        <v>169.23</v>
      </c>
      <c r="AB15">
        <v>0</v>
      </c>
      <c r="AC15">
        <v>0</v>
      </c>
      <c r="AD15">
        <v>0</v>
      </c>
      <c r="AE15">
        <v>169.23478</v>
      </c>
      <c r="AF15">
        <v>0</v>
      </c>
      <c r="AG15">
        <v>0</v>
      </c>
      <c r="AH15">
        <v>0</v>
      </c>
      <c r="AI15">
        <v>1</v>
      </c>
      <c r="AJ15">
        <v>1</v>
      </c>
      <c r="AK15">
        <v>1</v>
      </c>
      <c r="AL15">
        <v>1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</v>
      </c>
      <c r="AT15">
        <v>0.8</v>
      </c>
      <c r="AU15" t="s">
        <v>3</v>
      </c>
      <c r="AV15">
        <v>0</v>
      </c>
      <c r="AW15">
        <v>2</v>
      </c>
      <c r="AX15">
        <v>43095244</v>
      </c>
      <c r="AY15">
        <v>1</v>
      </c>
      <c r="AZ15">
        <v>0</v>
      </c>
      <c r="BA15">
        <v>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Y15*Source!I26</f>
        <v>18.400000000000002</v>
      </c>
      <c r="CY15">
        <f t="shared" ref="CY15:CY20" si="2">AA15</f>
        <v>169.23</v>
      </c>
      <c r="CZ15">
        <f t="shared" ref="CZ15:CZ20" si="3">AE15</f>
        <v>169.23478</v>
      </c>
      <c r="DA15">
        <f t="shared" ref="DA15:DA20" si="4">AI15</f>
        <v>1</v>
      </c>
      <c r="DB15">
        <f t="shared" si="0"/>
        <v>135.38999999999999</v>
      </c>
      <c r="DC15">
        <f t="shared" si="1"/>
        <v>0</v>
      </c>
    </row>
    <row r="16" spans="1:107" x14ac:dyDescent="0.2">
      <c r="A16">
        <f>ROW(Source!A26)</f>
        <v>26</v>
      </c>
      <c r="B16">
        <v>43095088</v>
      </c>
      <c r="C16">
        <v>43095207</v>
      </c>
      <c r="D16">
        <v>42304431</v>
      </c>
      <c r="E16">
        <v>1</v>
      </c>
      <c r="F16">
        <v>1</v>
      </c>
      <c r="G16">
        <v>29</v>
      </c>
      <c r="H16">
        <v>3</v>
      </c>
      <c r="I16" t="s">
        <v>564</v>
      </c>
      <c r="J16" t="s">
        <v>565</v>
      </c>
      <c r="K16" t="s">
        <v>566</v>
      </c>
      <c r="L16">
        <v>1354</v>
      </c>
      <c r="N16">
        <v>1010</v>
      </c>
      <c r="O16" t="s">
        <v>20</v>
      </c>
      <c r="P16" t="s">
        <v>20</v>
      </c>
      <c r="Q16">
        <v>1</v>
      </c>
      <c r="W16">
        <v>0</v>
      </c>
      <c r="X16">
        <v>447429166</v>
      </c>
      <c r="Y16">
        <v>4</v>
      </c>
      <c r="AA16">
        <v>1.43</v>
      </c>
      <c r="AB16">
        <v>0</v>
      </c>
      <c r="AC16">
        <v>0</v>
      </c>
      <c r="AD16">
        <v>0</v>
      </c>
      <c r="AE16">
        <v>1.43</v>
      </c>
      <c r="AF16">
        <v>0</v>
      </c>
      <c r="AG16">
        <v>0</v>
      </c>
      <c r="AH16">
        <v>0</v>
      </c>
      <c r="AI16">
        <v>1</v>
      </c>
      <c r="AJ16">
        <v>1</v>
      </c>
      <c r="AK16">
        <v>1</v>
      </c>
      <c r="AL16">
        <v>1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3</v>
      </c>
      <c r="AT16">
        <v>4</v>
      </c>
      <c r="AU16" t="s">
        <v>3</v>
      </c>
      <c r="AV16">
        <v>0</v>
      </c>
      <c r="AW16">
        <v>2</v>
      </c>
      <c r="AX16">
        <v>43095245</v>
      </c>
      <c r="AY16">
        <v>1</v>
      </c>
      <c r="AZ16">
        <v>0</v>
      </c>
      <c r="BA16">
        <v>16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Y16*Source!I26</f>
        <v>92</v>
      </c>
      <c r="CY16">
        <f t="shared" si="2"/>
        <v>1.43</v>
      </c>
      <c r="CZ16">
        <f t="shared" si="3"/>
        <v>1.43</v>
      </c>
      <c r="DA16">
        <f t="shared" si="4"/>
        <v>1</v>
      </c>
      <c r="DB16">
        <f t="shared" si="0"/>
        <v>5.72</v>
      </c>
      <c r="DC16">
        <f t="shared" si="1"/>
        <v>0</v>
      </c>
    </row>
    <row r="17" spans="1:107" x14ac:dyDescent="0.2">
      <c r="A17">
        <f>ROW(Source!A26)</f>
        <v>26</v>
      </c>
      <c r="B17">
        <v>43095088</v>
      </c>
      <c r="C17">
        <v>43095207</v>
      </c>
      <c r="D17">
        <v>42305330</v>
      </c>
      <c r="E17">
        <v>1</v>
      </c>
      <c r="F17">
        <v>1</v>
      </c>
      <c r="G17">
        <v>29</v>
      </c>
      <c r="H17">
        <v>3</v>
      </c>
      <c r="I17" t="s">
        <v>567</v>
      </c>
      <c r="J17" t="s">
        <v>568</v>
      </c>
      <c r="K17" t="s">
        <v>569</v>
      </c>
      <c r="L17">
        <v>1354</v>
      </c>
      <c r="N17">
        <v>1010</v>
      </c>
      <c r="O17" t="s">
        <v>20</v>
      </c>
      <c r="P17" t="s">
        <v>20</v>
      </c>
      <c r="Q17">
        <v>1</v>
      </c>
      <c r="W17">
        <v>0</v>
      </c>
      <c r="X17">
        <v>941169148</v>
      </c>
      <c r="Y17">
        <v>1</v>
      </c>
      <c r="AA17">
        <v>24.65</v>
      </c>
      <c r="AB17">
        <v>0</v>
      </c>
      <c r="AC17">
        <v>0</v>
      </c>
      <c r="AD17">
        <v>0</v>
      </c>
      <c r="AE17">
        <v>24.65</v>
      </c>
      <c r="AF17">
        <v>0</v>
      </c>
      <c r="AG17">
        <v>0</v>
      </c>
      <c r="AH17">
        <v>0</v>
      </c>
      <c r="AI17">
        <v>1</v>
      </c>
      <c r="AJ17">
        <v>1</v>
      </c>
      <c r="AK17">
        <v>1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1</v>
      </c>
      <c r="AU17" t="s">
        <v>3</v>
      </c>
      <c r="AV17">
        <v>0</v>
      </c>
      <c r="AW17">
        <v>2</v>
      </c>
      <c r="AX17">
        <v>43095246</v>
      </c>
      <c r="AY17">
        <v>1</v>
      </c>
      <c r="AZ17">
        <v>0</v>
      </c>
      <c r="BA17">
        <v>17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Y17*Source!I26</f>
        <v>23</v>
      </c>
      <c r="CY17">
        <f t="shared" si="2"/>
        <v>24.65</v>
      </c>
      <c r="CZ17">
        <f t="shared" si="3"/>
        <v>24.65</v>
      </c>
      <c r="DA17">
        <f t="shared" si="4"/>
        <v>1</v>
      </c>
      <c r="DB17">
        <f t="shared" si="0"/>
        <v>24.65</v>
      </c>
      <c r="DC17">
        <f t="shared" si="1"/>
        <v>0</v>
      </c>
    </row>
    <row r="18" spans="1:107" x14ac:dyDescent="0.2">
      <c r="A18">
        <f>ROW(Source!A26)</f>
        <v>26</v>
      </c>
      <c r="B18">
        <v>43095088</v>
      </c>
      <c r="C18">
        <v>43095207</v>
      </c>
      <c r="D18">
        <v>42305411</v>
      </c>
      <c r="E18">
        <v>1</v>
      </c>
      <c r="F18">
        <v>1</v>
      </c>
      <c r="G18">
        <v>29</v>
      </c>
      <c r="H18">
        <v>3</v>
      </c>
      <c r="I18" t="s">
        <v>575</v>
      </c>
      <c r="J18" t="s">
        <v>576</v>
      </c>
      <c r="K18" t="s">
        <v>577</v>
      </c>
      <c r="L18">
        <v>1296</v>
      </c>
      <c r="N18">
        <v>1002</v>
      </c>
      <c r="O18" t="s">
        <v>114</v>
      </c>
      <c r="P18" t="s">
        <v>114</v>
      </c>
      <c r="Q18">
        <v>1</v>
      </c>
      <c r="W18">
        <v>0</v>
      </c>
      <c r="X18">
        <v>766870025</v>
      </c>
      <c r="Y18">
        <v>0.75</v>
      </c>
      <c r="AA18">
        <v>265.52999999999997</v>
      </c>
      <c r="AB18">
        <v>0</v>
      </c>
      <c r="AC18">
        <v>0</v>
      </c>
      <c r="AD18">
        <v>0</v>
      </c>
      <c r="AE18">
        <v>265.52999999999997</v>
      </c>
      <c r="AF18">
        <v>0</v>
      </c>
      <c r="AG18">
        <v>0</v>
      </c>
      <c r="AH18">
        <v>0</v>
      </c>
      <c r="AI18">
        <v>1</v>
      </c>
      <c r="AJ18">
        <v>1</v>
      </c>
      <c r="AK18">
        <v>1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0.75</v>
      </c>
      <c r="AU18" t="s">
        <v>3</v>
      </c>
      <c r="AV18">
        <v>0</v>
      </c>
      <c r="AW18">
        <v>2</v>
      </c>
      <c r="AX18">
        <v>43095247</v>
      </c>
      <c r="AY18">
        <v>1</v>
      </c>
      <c r="AZ18">
        <v>0</v>
      </c>
      <c r="BA18">
        <v>18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Y18*Source!I26</f>
        <v>17.25</v>
      </c>
      <c r="CY18">
        <f t="shared" si="2"/>
        <v>265.52999999999997</v>
      </c>
      <c r="CZ18">
        <f t="shared" si="3"/>
        <v>265.52999999999997</v>
      </c>
      <c r="DA18">
        <f t="shared" si="4"/>
        <v>1</v>
      </c>
      <c r="DB18">
        <f t="shared" si="0"/>
        <v>199.15</v>
      </c>
      <c r="DC18">
        <f t="shared" si="1"/>
        <v>0</v>
      </c>
    </row>
    <row r="19" spans="1:107" x14ac:dyDescent="0.2">
      <c r="A19">
        <f>ROW(Source!A26)</f>
        <v>26</v>
      </c>
      <c r="B19">
        <v>43095088</v>
      </c>
      <c r="C19">
        <v>43095207</v>
      </c>
      <c r="D19">
        <v>42305493</v>
      </c>
      <c r="E19">
        <v>1</v>
      </c>
      <c r="F19">
        <v>1</v>
      </c>
      <c r="G19">
        <v>29</v>
      </c>
      <c r="H19">
        <v>3</v>
      </c>
      <c r="I19" t="s">
        <v>578</v>
      </c>
      <c r="J19" t="s">
        <v>579</v>
      </c>
      <c r="K19" t="s">
        <v>580</v>
      </c>
      <c r="L19">
        <v>1346</v>
      </c>
      <c r="N19">
        <v>1009</v>
      </c>
      <c r="O19" t="s">
        <v>46</v>
      </c>
      <c r="P19" t="s">
        <v>46</v>
      </c>
      <c r="Q19">
        <v>1</v>
      </c>
      <c r="W19">
        <v>0</v>
      </c>
      <c r="X19">
        <v>-2022254214</v>
      </c>
      <c r="Y19">
        <v>0.8</v>
      </c>
      <c r="AA19">
        <v>332.92</v>
      </c>
      <c r="AB19">
        <v>0</v>
      </c>
      <c r="AC19">
        <v>0</v>
      </c>
      <c r="AD19">
        <v>0</v>
      </c>
      <c r="AE19">
        <v>332.92</v>
      </c>
      <c r="AF19">
        <v>0</v>
      </c>
      <c r="AG19">
        <v>0</v>
      </c>
      <c r="AH19">
        <v>0</v>
      </c>
      <c r="AI19">
        <v>1</v>
      </c>
      <c r="AJ19">
        <v>1</v>
      </c>
      <c r="AK19">
        <v>1</v>
      </c>
      <c r="AL19">
        <v>1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</v>
      </c>
      <c r="AT19">
        <v>0.8</v>
      </c>
      <c r="AU19" t="s">
        <v>3</v>
      </c>
      <c r="AV19">
        <v>0</v>
      </c>
      <c r="AW19">
        <v>2</v>
      </c>
      <c r="AX19">
        <v>43095248</v>
      </c>
      <c r="AY19">
        <v>1</v>
      </c>
      <c r="AZ19">
        <v>0</v>
      </c>
      <c r="BA19">
        <v>19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Y19*Source!I26</f>
        <v>18.400000000000002</v>
      </c>
      <c r="CY19">
        <f t="shared" si="2"/>
        <v>332.92</v>
      </c>
      <c r="CZ19">
        <f t="shared" si="3"/>
        <v>332.92</v>
      </c>
      <c r="DA19">
        <f t="shared" si="4"/>
        <v>1</v>
      </c>
      <c r="DB19">
        <f t="shared" si="0"/>
        <v>266.33999999999997</v>
      </c>
      <c r="DC19">
        <f t="shared" si="1"/>
        <v>0</v>
      </c>
    </row>
    <row r="20" spans="1:107" x14ac:dyDescent="0.2">
      <c r="A20">
        <f>ROW(Source!A26)</f>
        <v>26</v>
      </c>
      <c r="B20">
        <v>43095088</v>
      </c>
      <c r="C20">
        <v>43095207</v>
      </c>
      <c r="D20">
        <v>42311955</v>
      </c>
      <c r="E20">
        <v>1</v>
      </c>
      <c r="F20">
        <v>1</v>
      </c>
      <c r="G20">
        <v>29</v>
      </c>
      <c r="H20">
        <v>3</v>
      </c>
      <c r="I20" t="s">
        <v>44</v>
      </c>
      <c r="J20" t="s">
        <v>47</v>
      </c>
      <c r="K20" t="s">
        <v>45</v>
      </c>
      <c r="L20">
        <v>1346</v>
      </c>
      <c r="N20">
        <v>1009</v>
      </c>
      <c r="O20" t="s">
        <v>46</v>
      </c>
      <c r="P20" t="s">
        <v>46</v>
      </c>
      <c r="Q20">
        <v>1</v>
      </c>
      <c r="W20">
        <v>0</v>
      </c>
      <c r="X20">
        <v>-764671881</v>
      </c>
      <c r="Y20">
        <v>4.4000000000000004</v>
      </c>
      <c r="AA20">
        <v>156.56</v>
      </c>
      <c r="AB20">
        <v>0</v>
      </c>
      <c r="AC20">
        <v>0</v>
      </c>
      <c r="AD20">
        <v>0</v>
      </c>
      <c r="AE20">
        <v>156.56</v>
      </c>
      <c r="AF20">
        <v>0</v>
      </c>
      <c r="AG20">
        <v>0</v>
      </c>
      <c r="AH20">
        <v>0</v>
      </c>
      <c r="AI20">
        <v>1</v>
      </c>
      <c r="AJ20">
        <v>1</v>
      </c>
      <c r="AK20">
        <v>1</v>
      </c>
      <c r="AL20">
        <v>1</v>
      </c>
      <c r="AN20">
        <v>0</v>
      </c>
      <c r="AO20">
        <v>0</v>
      </c>
      <c r="AP20">
        <v>0</v>
      </c>
      <c r="AQ20">
        <v>0</v>
      </c>
      <c r="AR20">
        <v>0</v>
      </c>
      <c r="AS20" t="s">
        <v>3</v>
      </c>
      <c r="AT20">
        <v>4.4000000000000004</v>
      </c>
      <c r="AU20" t="s">
        <v>3</v>
      </c>
      <c r="AV20">
        <v>0</v>
      </c>
      <c r="AW20">
        <v>1</v>
      </c>
      <c r="AX20">
        <v>-1</v>
      </c>
      <c r="AY20">
        <v>0</v>
      </c>
      <c r="AZ20">
        <v>0</v>
      </c>
      <c r="BA20" t="s">
        <v>3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Y20*Source!I26</f>
        <v>101.2</v>
      </c>
      <c r="CY20">
        <f t="shared" si="2"/>
        <v>156.56</v>
      </c>
      <c r="CZ20">
        <f t="shared" si="3"/>
        <v>156.56</v>
      </c>
      <c r="DA20">
        <f t="shared" si="4"/>
        <v>1</v>
      </c>
      <c r="DB20">
        <f t="shared" si="0"/>
        <v>688.86</v>
      </c>
      <c r="DC20">
        <f t="shared" si="1"/>
        <v>0</v>
      </c>
    </row>
    <row r="21" spans="1:107" x14ac:dyDescent="0.2">
      <c r="A21">
        <f>ROW(Source!A31)</f>
        <v>31</v>
      </c>
      <c r="B21">
        <v>43095088</v>
      </c>
      <c r="C21">
        <v>43095254</v>
      </c>
      <c r="D21">
        <v>42301367</v>
      </c>
      <c r="E21">
        <v>29</v>
      </c>
      <c r="F21">
        <v>1</v>
      </c>
      <c r="G21">
        <v>29</v>
      </c>
      <c r="H21">
        <v>1</v>
      </c>
      <c r="I21" t="s">
        <v>555</v>
      </c>
      <c r="J21" t="s">
        <v>3</v>
      </c>
      <c r="K21" t="s">
        <v>556</v>
      </c>
      <c r="L21">
        <v>1191</v>
      </c>
      <c r="N21">
        <v>1013</v>
      </c>
      <c r="O21" t="s">
        <v>557</v>
      </c>
      <c r="P21" t="s">
        <v>557</v>
      </c>
      <c r="Q21">
        <v>1</v>
      </c>
      <c r="W21">
        <v>0</v>
      </c>
      <c r="X21">
        <v>476480486</v>
      </c>
      <c r="Y21">
        <v>22.01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1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3</v>
      </c>
      <c r="AT21">
        <v>22.01</v>
      </c>
      <c r="AU21" t="s">
        <v>3</v>
      </c>
      <c r="AV21">
        <v>1</v>
      </c>
      <c r="AW21">
        <v>2</v>
      </c>
      <c r="AX21">
        <v>43095285</v>
      </c>
      <c r="AY21">
        <v>1</v>
      </c>
      <c r="AZ21">
        <v>0</v>
      </c>
      <c r="BA21">
        <v>21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Y21*Source!I31</f>
        <v>66.03</v>
      </c>
      <c r="CY21">
        <f>AD21</f>
        <v>0</v>
      </c>
      <c r="CZ21">
        <f>AH21</f>
        <v>0</v>
      </c>
      <c r="DA21">
        <f>AL21</f>
        <v>1</v>
      </c>
      <c r="DB21">
        <f t="shared" si="0"/>
        <v>0</v>
      </c>
      <c r="DC21">
        <f t="shared" si="1"/>
        <v>0</v>
      </c>
    </row>
    <row r="22" spans="1:107" x14ac:dyDescent="0.2">
      <c r="A22">
        <f>ROW(Source!A31)</f>
        <v>31</v>
      </c>
      <c r="B22">
        <v>43095088</v>
      </c>
      <c r="C22">
        <v>43095254</v>
      </c>
      <c r="D22">
        <v>42303205</v>
      </c>
      <c r="E22">
        <v>1</v>
      </c>
      <c r="F22">
        <v>1</v>
      </c>
      <c r="G22">
        <v>29</v>
      </c>
      <c r="H22">
        <v>2</v>
      </c>
      <c r="I22" t="s">
        <v>558</v>
      </c>
      <c r="J22" t="s">
        <v>559</v>
      </c>
      <c r="K22" t="s">
        <v>560</v>
      </c>
      <c r="L22">
        <v>1368</v>
      </c>
      <c r="N22">
        <v>1011</v>
      </c>
      <c r="O22" t="s">
        <v>480</v>
      </c>
      <c r="P22" t="s">
        <v>480</v>
      </c>
      <c r="Q22">
        <v>1</v>
      </c>
      <c r="W22">
        <v>0</v>
      </c>
      <c r="X22">
        <v>259953263</v>
      </c>
      <c r="Y22">
        <v>0.38</v>
      </c>
      <c r="AA22">
        <v>0</v>
      </c>
      <c r="AB22">
        <v>8.1</v>
      </c>
      <c r="AC22">
        <v>1.03</v>
      </c>
      <c r="AD22">
        <v>0</v>
      </c>
      <c r="AE22">
        <v>0</v>
      </c>
      <c r="AF22">
        <v>8.1</v>
      </c>
      <c r="AG22">
        <v>1.03</v>
      </c>
      <c r="AH22">
        <v>0</v>
      </c>
      <c r="AI22">
        <v>1</v>
      </c>
      <c r="AJ22">
        <v>1</v>
      </c>
      <c r="AK22">
        <v>1</v>
      </c>
      <c r="AL22">
        <v>1</v>
      </c>
      <c r="AN22">
        <v>0</v>
      </c>
      <c r="AO22">
        <v>1</v>
      </c>
      <c r="AP22">
        <v>0</v>
      </c>
      <c r="AQ22">
        <v>0</v>
      </c>
      <c r="AR22">
        <v>0</v>
      </c>
      <c r="AS22" t="s">
        <v>3</v>
      </c>
      <c r="AT22">
        <v>0.38</v>
      </c>
      <c r="AU22" t="s">
        <v>3</v>
      </c>
      <c r="AV22">
        <v>0</v>
      </c>
      <c r="AW22">
        <v>2</v>
      </c>
      <c r="AX22">
        <v>43095286</v>
      </c>
      <c r="AY22">
        <v>1</v>
      </c>
      <c r="AZ22">
        <v>0</v>
      </c>
      <c r="BA22">
        <v>22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Y22*Source!I31</f>
        <v>1.1400000000000001</v>
      </c>
      <c r="CY22">
        <f>AB22</f>
        <v>8.1</v>
      </c>
      <c r="CZ22">
        <f>AF22</f>
        <v>8.1</v>
      </c>
      <c r="DA22">
        <f>AJ22</f>
        <v>1</v>
      </c>
      <c r="DB22">
        <f t="shared" si="0"/>
        <v>3.08</v>
      </c>
      <c r="DC22">
        <f t="shared" si="1"/>
        <v>0.39</v>
      </c>
    </row>
    <row r="23" spans="1:107" x14ac:dyDescent="0.2">
      <c r="A23">
        <f>ROW(Source!A31)</f>
        <v>31</v>
      </c>
      <c r="B23">
        <v>43095088</v>
      </c>
      <c r="C23">
        <v>43095254</v>
      </c>
      <c r="D23">
        <v>42303166</v>
      </c>
      <c r="E23">
        <v>1</v>
      </c>
      <c r="F23">
        <v>1</v>
      </c>
      <c r="G23">
        <v>29</v>
      </c>
      <c r="H23">
        <v>2</v>
      </c>
      <c r="I23" t="s">
        <v>561</v>
      </c>
      <c r="J23" t="s">
        <v>562</v>
      </c>
      <c r="K23" t="s">
        <v>563</v>
      </c>
      <c r="L23">
        <v>1368</v>
      </c>
      <c r="N23">
        <v>1011</v>
      </c>
      <c r="O23" t="s">
        <v>480</v>
      </c>
      <c r="P23" t="s">
        <v>480</v>
      </c>
      <c r="Q23">
        <v>1</v>
      </c>
      <c r="W23">
        <v>0</v>
      </c>
      <c r="X23">
        <v>1197532078</v>
      </c>
      <c r="Y23">
        <v>0.19</v>
      </c>
      <c r="AA23">
        <v>0</v>
      </c>
      <c r="AB23">
        <v>5.17</v>
      </c>
      <c r="AC23">
        <v>0.01</v>
      </c>
      <c r="AD23">
        <v>0</v>
      </c>
      <c r="AE23">
        <v>0</v>
      </c>
      <c r="AF23">
        <v>5.17</v>
      </c>
      <c r="AG23">
        <v>0.01</v>
      </c>
      <c r="AH23">
        <v>0</v>
      </c>
      <c r="AI23">
        <v>1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</v>
      </c>
      <c r="AT23">
        <v>0.19</v>
      </c>
      <c r="AU23" t="s">
        <v>3</v>
      </c>
      <c r="AV23">
        <v>0</v>
      </c>
      <c r="AW23">
        <v>2</v>
      </c>
      <c r="AX23">
        <v>43095287</v>
      </c>
      <c r="AY23">
        <v>1</v>
      </c>
      <c r="AZ23">
        <v>0</v>
      </c>
      <c r="BA23">
        <v>23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Y23*Source!I31</f>
        <v>0.57000000000000006</v>
      </c>
      <c r="CY23">
        <f>AB23</f>
        <v>5.17</v>
      </c>
      <c r="CZ23">
        <f>AF23</f>
        <v>5.17</v>
      </c>
      <c r="DA23">
        <f>AJ23</f>
        <v>1</v>
      </c>
      <c r="DB23">
        <f t="shared" si="0"/>
        <v>0.98</v>
      </c>
      <c r="DC23">
        <f t="shared" si="1"/>
        <v>0</v>
      </c>
    </row>
    <row r="24" spans="1:107" x14ac:dyDescent="0.2">
      <c r="A24">
        <f>ROW(Source!A31)</f>
        <v>31</v>
      </c>
      <c r="B24">
        <v>43095088</v>
      </c>
      <c r="C24">
        <v>43095254</v>
      </c>
      <c r="D24">
        <v>42302405</v>
      </c>
      <c r="E24">
        <v>1</v>
      </c>
      <c r="F24">
        <v>1</v>
      </c>
      <c r="G24">
        <v>29</v>
      </c>
      <c r="H24">
        <v>2</v>
      </c>
      <c r="I24" t="s">
        <v>570</v>
      </c>
      <c r="J24" t="s">
        <v>571</v>
      </c>
      <c r="K24" t="s">
        <v>572</v>
      </c>
      <c r="L24">
        <v>1368</v>
      </c>
      <c r="N24">
        <v>1011</v>
      </c>
      <c r="O24" t="s">
        <v>480</v>
      </c>
      <c r="P24" t="s">
        <v>480</v>
      </c>
      <c r="Q24">
        <v>1</v>
      </c>
      <c r="W24">
        <v>0</v>
      </c>
      <c r="X24">
        <v>-1622335805</v>
      </c>
      <c r="Y24">
        <v>0.21</v>
      </c>
      <c r="AA24">
        <v>0</v>
      </c>
      <c r="AB24">
        <v>2.85</v>
      </c>
      <c r="AC24">
        <v>1.32</v>
      </c>
      <c r="AD24">
        <v>0</v>
      </c>
      <c r="AE24">
        <v>0</v>
      </c>
      <c r="AF24">
        <v>2.85</v>
      </c>
      <c r="AG24">
        <v>1.32</v>
      </c>
      <c r="AH24">
        <v>0</v>
      </c>
      <c r="AI24">
        <v>1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0.21</v>
      </c>
      <c r="AU24" t="s">
        <v>3</v>
      </c>
      <c r="AV24">
        <v>0</v>
      </c>
      <c r="AW24">
        <v>2</v>
      </c>
      <c r="AX24">
        <v>43095288</v>
      </c>
      <c r="AY24">
        <v>1</v>
      </c>
      <c r="AZ24">
        <v>0</v>
      </c>
      <c r="BA24">
        <v>24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Y24*Source!I31</f>
        <v>0.63</v>
      </c>
      <c r="CY24">
        <f>AB24</f>
        <v>2.85</v>
      </c>
      <c r="CZ24">
        <f>AF24</f>
        <v>2.85</v>
      </c>
      <c r="DA24">
        <f>AJ24</f>
        <v>1</v>
      </c>
      <c r="DB24">
        <f t="shared" si="0"/>
        <v>0.6</v>
      </c>
      <c r="DC24">
        <f t="shared" si="1"/>
        <v>0.28000000000000003</v>
      </c>
    </row>
    <row r="25" spans="1:107" x14ac:dyDescent="0.2">
      <c r="A25">
        <f>ROW(Source!A31)</f>
        <v>31</v>
      </c>
      <c r="B25">
        <v>43095088</v>
      </c>
      <c r="C25">
        <v>43095254</v>
      </c>
      <c r="D25">
        <v>42301719</v>
      </c>
      <c r="E25">
        <v>29</v>
      </c>
      <c r="F25">
        <v>1</v>
      </c>
      <c r="G25">
        <v>29</v>
      </c>
      <c r="H25">
        <v>3</v>
      </c>
      <c r="I25" t="s">
        <v>573</v>
      </c>
      <c r="J25" t="s">
        <v>3</v>
      </c>
      <c r="K25" t="s">
        <v>574</v>
      </c>
      <c r="L25">
        <v>1346</v>
      </c>
      <c r="N25">
        <v>1009</v>
      </c>
      <c r="O25" t="s">
        <v>46</v>
      </c>
      <c r="P25" t="s">
        <v>46</v>
      </c>
      <c r="Q25">
        <v>1</v>
      </c>
      <c r="W25">
        <v>0</v>
      </c>
      <c r="X25">
        <v>1515502647</v>
      </c>
      <c r="Y25">
        <v>0.8</v>
      </c>
      <c r="AA25">
        <v>169.23</v>
      </c>
      <c r="AB25">
        <v>0</v>
      </c>
      <c r="AC25">
        <v>0</v>
      </c>
      <c r="AD25">
        <v>0</v>
      </c>
      <c r="AE25">
        <v>169.23478</v>
      </c>
      <c r="AF25">
        <v>0</v>
      </c>
      <c r="AG25">
        <v>0</v>
      </c>
      <c r="AH25">
        <v>0</v>
      </c>
      <c r="AI25">
        <v>1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</v>
      </c>
      <c r="AT25">
        <v>0.8</v>
      </c>
      <c r="AU25" t="s">
        <v>3</v>
      </c>
      <c r="AV25">
        <v>0</v>
      </c>
      <c r="AW25">
        <v>2</v>
      </c>
      <c r="AX25">
        <v>43095289</v>
      </c>
      <c r="AY25">
        <v>1</v>
      </c>
      <c r="AZ25">
        <v>0</v>
      </c>
      <c r="BA25">
        <v>25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Y25*Source!I31</f>
        <v>2.4000000000000004</v>
      </c>
      <c r="CY25">
        <f t="shared" ref="CY25:CY30" si="5">AA25</f>
        <v>169.23</v>
      </c>
      <c r="CZ25">
        <f t="shared" ref="CZ25:CZ30" si="6">AE25</f>
        <v>169.23478</v>
      </c>
      <c r="DA25">
        <f t="shared" ref="DA25:DA30" si="7">AI25</f>
        <v>1</v>
      </c>
      <c r="DB25">
        <f t="shared" si="0"/>
        <v>135.38999999999999</v>
      </c>
      <c r="DC25">
        <f t="shared" si="1"/>
        <v>0</v>
      </c>
    </row>
    <row r="26" spans="1:107" x14ac:dyDescent="0.2">
      <c r="A26">
        <f>ROW(Source!A31)</f>
        <v>31</v>
      </c>
      <c r="B26">
        <v>43095088</v>
      </c>
      <c r="C26">
        <v>43095254</v>
      </c>
      <c r="D26">
        <v>42304431</v>
      </c>
      <c r="E26">
        <v>1</v>
      </c>
      <c r="F26">
        <v>1</v>
      </c>
      <c r="G26">
        <v>29</v>
      </c>
      <c r="H26">
        <v>3</v>
      </c>
      <c r="I26" t="s">
        <v>564</v>
      </c>
      <c r="J26" t="s">
        <v>565</v>
      </c>
      <c r="K26" t="s">
        <v>566</v>
      </c>
      <c r="L26">
        <v>1354</v>
      </c>
      <c r="N26">
        <v>1010</v>
      </c>
      <c r="O26" t="s">
        <v>20</v>
      </c>
      <c r="P26" t="s">
        <v>20</v>
      </c>
      <c r="Q26">
        <v>1</v>
      </c>
      <c r="W26">
        <v>0</v>
      </c>
      <c r="X26">
        <v>447429166</v>
      </c>
      <c r="Y26">
        <v>4</v>
      </c>
      <c r="AA26">
        <v>1.43</v>
      </c>
      <c r="AB26">
        <v>0</v>
      </c>
      <c r="AC26">
        <v>0</v>
      </c>
      <c r="AD26">
        <v>0</v>
      </c>
      <c r="AE26">
        <v>1.43</v>
      </c>
      <c r="AF26">
        <v>0</v>
      </c>
      <c r="AG26">
        <v>0</v>
      </c>
      <c r="AH26">
        <v>0</v>
      </c>
      <c r="AI26">
        <v>1</v>
      </c>
      <c r="AJ26">
        <v>1</v>
      </c>
      <c r="AK26">
        <v>1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4</v>
      </c>
      <c r="AU26" t="s">
        <v>3</v>
      </c>
      <c r="AV26">
        <v>0</v>
      </c>
      <c r="AW26">
        <v>2</v>
      </c>
      <c r="AX26">
        <v>43095290</v>
      </c>
      <c r="AY26">
        <v>1</v>
      </c>
      <c r="AZ26">
        <v>0</v>
      </c>
      <c r="BA26">
        <v>26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Y26*Source!I31</f>
        <v>12</v>
      </c>
      <c r="CY26">
        <f t="shared" si="5"/>
        <v>1.43</v>
      </c>
      <c r="CZ26">
        <f t="shared" si="6"/>
        <v>1.43</v>
      </c>
      <c r="DA26">
        <f t="shared" si="7"/>
        <v>1</v>
      </c>
      <c r="DB26">
        <f t="shared" si="0"/>
        <v>5.72</v>
      </c>
      <c r="DC26">
        <f t="shared" si="1"/>
        <v>0</v>
      </c>
    </row>
    <row r="27" spans="1:107" x14ac:dyDescent="0.2">
      <c r="A27">
        <f>ROW(Source!A31)</f>
        <v>31</v>
      </c>
      <c r="B27">
        <v>43095088</v>
      </c>
      <c r="C27">
        <v>43095254</v>
      </c>
      <c r="D27">
        <v>42305330</v>
      </c>
      <c r="E27">
        <v>1</v>
      </c>
      <c r="F27">
        <v>1</v>
      </c>
      <c r="G27">
        <v>29</v>
      </c>
      <c r="H27">
        <v>3</v>
      </c>
      <c r="I27" t="s">
        <v>567</v>
      </c>
      <c r="J27" t="s">
        <v>568</v>
      </c>
      <c r="K27" t="s">
        <v>569</v>
      </c>
      <c r="L27">
        <v>1354</v>
      </c>
      <c r="N27">
        <v>1010</v>
      </c>
      <c r="O27" t="s">
        <v>20</v>
      </c>
      <c r="P27" t="s">
        <v>20</v>
      </c>
      <c r="Q27">
        <v>1</v>
      </c>
      <c r="W27">
        <v>0</v>
      </c>
      <c r="X27">
        <v>941169148</v>
      </c>
      <c r="Y27">
        <v>1</v>
      </c>
      <c r="AA27">
        <v>24.65</v>
      </c>
      <c r="AB27">
        <v>0</v>
      </c>
      <c r="AC27">
        <v>0</v>
      </c>
      <c r="AD27">
        <v>0</v>
      </c>
      <c r="AE27">
        <v>24.65</v>
      </c>
      <c r="AF27">
        <v>0</v>
      </c>
      <c r="AG27">
        <v>0</v>
      </c>
      <c r="AH27">
        <v>0</v>
      </c>
      <c r="AI27">
        <v>1</v>
      </c>
      <c r="AJ27">
        <v>1</v>
      </c>
      <c r="AK27">
        <v>1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1</v>
      </c>
      <c r="AU27" t="s">
        <v>3</v>
      </c>
      <c r="AV27">
        <v>0</v>
      </c>
      <c r="AW27">
        <v>2</v>
      </c>
      <c r="AX27">
        <v>43095291</v>
      </c>
      <c r="AY27">
        <v>1</v>
      </c>
      <c r="AZ27">
        <v>0</v>
      </c>
      <c r="BA27">
        <v>27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Y27*Source!I31</f>
        <v>3</v>
      </c>
      <c r="CY27">
        <f t="shared" si="5"/>
        <v>24.65</v>
      </c>
      <c r="CZ27">
        <f t="shared" si="6"/>
        <v>24.65</v>
      </c>
      <c r="DA27">
        <f t="shared" si="7"/>
        <v>1</v>
      </c>
      <c r="DB27">
        <f t="shared" si="0"/>
        <v>24.65</v>
      </c>
      <c r="DC27">
        <f t="shared" si="1"/>
        <v>0</v>
      </c>
    </row>
    <row r="28" spans="1:107" x14ac:dyDescent="0.2">
      <c r="A28">
        <f>ROW(Source!A31)</f>
        <v>31</v>
      </c>
      <c r="B28">
        <v>43095088</v>
      </c>
      <c r="C28">
        <v>43095254</v>
      </c>
      <c r="D28">
        <v>42305411</v>
      </c>
      <c r="E28">
        <v>1</v>
      </c>
      <c r="F28">
        <v>1</v>
      </c>
      <c r="G28">
        <v>29</v>
      </c>
      <c r="H28">
        <v>3</v>
      </c>
      <c r="I28" t="s">
        <v>575</v>
      </c>
      <c r="J28" t="s">
        <v>576</v>
      </c>
      <c r="K28" t="s">
        <v>577</v>
      </c>
      <c r="L28">
        <v>1296</v>
      </c>
      <c r="N28">
        <v>1002</v>
      </c>
      <c r="O28" t="s">
        <v>114</v>
      </c>
      <c r="P28" t="s">
        <v>114</v>
      </c>
      <c r="Q28">
        <v>1</v>
      </c>
      <c r="W28">
        <v>0</v>
      </c>
      <c r="X28">
        <v>766870025</v>
      </c>
      <c r="Y28">
        <v>0.75</v>
      </c>
      <c r="AA28">
        <v>265.52999999999997</v>
      </c>
      <c r="AB28">
        <v>0</v>
      </c>
      <c r="AC28">
        <v>0</v>
      </c>
      <c r="AD28">
        <v>0</v>
      </c>
      <c r="AE28">
        <v>265.52999999999997</v>
      </c>
      <c r="AF28">
        <v>0</v>
      </c>
      <c r="AG28">
        <v>0</v>
      </c>
      <c r="AH28">
        <v>0</v>
      </c>
      <c r="AI28">
        <v>1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0.75</v>
      </c>
      <c r="AU28" t="s">
        <v>3</v>
      </c>
      <c r="AV28">
        <v>0</v>
      </c>
      <c r="AW28">
        <v>2</v>
      </c>
      <c r="AX28">
        <v>43095292</v>
      </c>
      <c r="AY28">
        <v>1</v>
      </c>
      <c r="AZ28">
        <v>0</v>
      </c>
      <c r="BA28">
        <v>28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Y28*Source!I31</f>
        <v>2.25</v>
      </c>
      <c r="CY28">
        <f t="shared" si="5"/>
        <v>265.52999999999997</v>
      </c>
      <c r="CZ28">
        <f t="shared" si="6"/>
        <v>265.52999999999997</v>
      </c>
      <c r="DA28">
        <f t="shared" si="7"/>
        <v>1</v>
      </c>
      <c r="DB28">
        <f t="shared" si="0"/>
        <v>199.15</v>
      </c>
      <c r="DC28">
        <f t="shared" si="1"/>
        <v>0</v>
      </c>
    </row>
    <row r="29" spans="1:107" x14ac:dyDescent="0.2">
      <c r="A29">
        <f>ROW(Source!A31)</f>
        <v>31</v>
      </c>
      <c r="B29">
        <v>43095088</v>
      </c>
      <c r="C29">
        <v>43095254</v>
      </c>
      <c r="D29">
        <v>42305493</v>
      </c>
      <c r="E29">
        <v>1</v>
      </c>
      <c r="F29">
        <v>1</v>
      </c>
      <c r="G29">
        <v>29</v>
      </c>
      <c r="H29">
        <v>3</v>
      </c>
      <c r="I29" t="s">
        <v>578</v>
      </c>
      <c r="J29" t="s">
        <v>579</v>
      </c>
      <c r="K29" t="s">
        <v>580</v>
      </c>
      <c r="L29">
        <v>1346</v>
      </c>
      <c r="N29">
        <v>1009</v>
      </c>
      <c r="O29" t="s">
        <v>46</v>
      </c>
      <c r="P29" t="s">
        <v>46</v>
      </c>
      <c r="Q29">
        <v>1</v>
      </c>
      <c r="W29">
        <v>0</v>
      </c>
      <c r="X29">
        <v>-2022254214</v>
      </c>
      <c r="Y29">
        <v>0.8</v>
      </c>
      <c r="AA29">
        <v>332.92</v>
      </c>
      <c r="AB29">
        <v>0</v>
      </c>
      <c r="AC29">
        <v>0</v>
      </c>
      <c r="AD29">
        <v>0</v>
      </c>
      <c r="AE29">
        <v>332.92</v>
      </c>
      <c r="AF29">
        <v>0</v>
      </c>
      <c r="AG29">
        <v>0</v>
      </c>
      <c r="AH29">
        <v>0</v>
      </c>
      <c r="AI29">
        <v>1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3</v>
      </c>
      <c r="AT29">
        <v>0.8</v>
      </c>
      <c r="AU29" t="s">
        <v>3</v>
      </c>
      <c r="AV29">
        <v>0</v>
      </c>
      <c r="AW29">
        <v>2</v>
      </c>
      <c r="AX29">
        <v>43095293</v>
      </c>
      <c r="AY29">
        <v>1</v>
      </c>
      <c r="AZ29">
        <v>0</v>
      </c>
      <c r="BA29">
        <v>29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Y29*Source!I31</f>
        <v>2.4000000000000004</v>
      </c>
      <c r="CY29">
        <f t="shared" si="5"/>
        <v>332.92</v>
      </c>
      <c r="CZ29">
        <f t="shared" si="6"/>
        <v>332.92</v>
      </c>
      <c r="DA29">
        <f t="shared" si="7"/>
        <v>1</v>
      </c>
      <c r="DB29">
        <f t="shared" si="0"/>
        <v>266.33999999999997</v>
      </c>
      <c r="DC29">
        <f t="shared" si="1"/>
        <v>0</v>
      </c>
    </row>
    <row r="30" spans="1:107" x14ac:dyDescent="0.2">
      <c r="A30">
        <f>ROW(Source!A31)</f>
        <v>31</v>
      </c>
      <c r="B30">
        <v>43095088</v>
      </c>
      <c r="C30">
        <v>43095254</v>
      </c>
      <c r="D30">
        <v>42311955</v>
      </c>
      <c r="E30">
        <v>1</v>
      </c>
      <c r="F30">
        <v>1</v>
      </c>
      <c r="G30">
        <v>29</v>
      </c>
      <c r="H30">
        <v>3</v>
      </c>
      <c r="I30" t="s">
        <v>44</v>
      </c>
      <c r="J30" t="s">
        <v>47</v>
      </c>
      <c r="K30" t="s">
        <v>45</v>
      </c>
      <c r="L30">
        <v>1346</v>
      </c>
      <c r="N30">
        <v>1009</v>
      </c>
      <c r="O30" t="s">
        <v>46</v>
      </c>
      <c r="P30" t="s">
        <v>46</v>
      </c>
      <c r="Q30">
        <v>1</v>
      </c>
      <c r="W30">
        <v>0</v>
      </c>
      <c r="X30">
        <v>-764671881</v>
      </c>
      <c r="Y30">
        <v>5</v>
      </c>
      <c r="AA30">
        <v>156.56</v>
      </c>
      <c r="AB30">
        <v>0</v>
      </c>
      <c r="AC30">
        <v>0</v>
      </c>
      <c r="AD30">
        <v>0</v>
      </c>
      <c r="AE30">
        <v>156.56</v>
      </c>
      <c r="AF30">
        <v>0</v>
      </c>
      <c r="AG30">
        <v>0</v>
      </c>
      <c r="AH30">
        <v>0</v>
      </c>
      <c r="AI30">
        <v>1</v>
      </c>
      <c r="AJ30">
        <v>1</v>
      </c>
      <c r="AK30">
        <v>1</v>
      </c>
      <c r="AL30">
        <v>1</v>
      </c>
      <c r="AN30">
        <v>0</v>
      </c>
      <c r="AO30">
        <v>0</v>
      </c>
      <c r="AP30">
        <v>0</v>
      </c>
      <c r="AQ30">
        <v>0</v>
      </c>
      <c r="AR30">
        <v>0</v>
      </c>
      <c r="AS30" t="s">
        <v>3</v>
      </c>
      <c r="AT30">
        <v>5</v>
      </c>
      <c r="AU30" t="s">
        <v>3</v>
      </c>
      <c r="AV30">
        <v>0</v>
      </c>
      <c r="AW30">
        <v>1</v>
      </c>
      <c r="AX30">
        <v>-1</v>
      </c>
      <c r="AY30">
        <v>0</v>
      </c>
      <c r="AZ30">
        <v>0</v>
      </c>
      <c r="BA30" t="s">
        <v>3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Y30*Source!I31</f>
        <v>15</v>
      </c>
      <c r="CY30">
        <f t="shared" si="5"/>
        <v>156.56</v>
      </c>
      <c r="CZ30">
        <f t="shared" si="6"/>
        <v>156.56</v>
      </c>
      <c r="DA30">
        <f t="shared" si="7"/>
        <v>1</v>
      </c>
      <c r="DB30">
        <f t="shared" si="0"/>
        <v>782.8</v>
      </c>
      <c r="DC30">
        <f t="shared" si="1"/>
        <v>0</v>
      </c>
    </row>
    <row r="31" spans="1:107" x14ac:dyDescent="0.2">
      <c r="A31">
        <f>ROW(Source!A34)</f>
        <v>34</v>
      </c>
      <c r="B31">
        <v>43095088</v>
      </c>
      <c r="C31">
        <v>43095297</v>
      </c>
      <c r="D31">
        <v>42301367</v>
      </c>
      <c r="E31">
        <v>29</v>
      </c>
      <c r="F31">
        <v>1</v>
      </c>
      <c r="G31">
        <v>29</v>
      </c>
      <c r="H31">
        <v>1</v>
      </c>
      <c r="I31" t="s">
        <v>555</v>
      </c>
      <c r="J31" t="s">
        <v>3</v>
      </c>
      <c r="K31" t="s">
        <v>556</v>
      </c>
      <c r="L31">
        <v>1191</v>
      </c>
      <c r="N31">
        <v>1013</v>
      </c>
      <c r="O31" t="s">
        <v>557</v>
      </c>
      <c r="P31" t="s">
        <v>557</v>
      </c>
      <c r="Q31">
        <v>1</v>
      </c>
      <c r="W31">
        <v>0</v>
      </c>
      <c r="X31">
        <v>476480486</v>
      </c>
      <c r="Y31">
        <v>9.1999999999999993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1</v>
      </c>
      <c r="AJ31">
        <v>1</v>
      </c>
      <c r="AK31">
        <v>1</v>
      </c>
      <c r="AL31">
        <v>1</v>
      </c>
      <c r="AN31">
        <v>0</v>
      </c>
      <c r="AO31">
        <v>1</v>
      </c>
      <c r="AP31">
        <v>0</v>
      </c>
      <c r="AQ31">
        <v>0</v>
      </c>
      <c r="AR31">
        <v>0</v>
      </c>
      <c r="AS31" t="s">
        <v>3</v>
      </c>
      <c r="AT31">
        <v>9.1999999999999993</v>
      </c>
      <c r="AU31" t="s">
        <v>3</v>
      </c>
      <c r="AV31">
        <v>1</v>
      </c>
      <c r="AW31">
        <v>2</v>
      </c>
      <c r="AX31">
        <v>43095333</v>
      </c>
      <c r="AY31">
        <v>1</v>
      </c>
      <c r="AZ31">
        <v>0</v>
      </c>
      <c r="BA31">
        <v>31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Y31*Source!I34</f>
        <v>264.95999999999998</v>
      </c>
      <c r="CY31">
        <f>AD31</f>
        <v>0</v>
      </c>
      <c r="CZ31">
        <f>AH31</f>
        <v>0</v>
      </c>
      <c r="DA31">
        <f>AL31</f>
        <v>1</v>
      </c>
      <c r="DB31">
        <f t="shared" si="0"/>
        <v>0</v>
      </c>
      <c r="DC31">
        <f t="shared" si="1"/>
        <v>0</v>
      </c>
    </row>
    <row r="32" spans="1:107" x14ac:dyDescent="0.2">
      <c r="A32">
        <f>ROW(Source!A34)</f>
        <v>34</v>
      </c>
      <c r="B32">
        <v>43095088</v>
      </c>
      <c r="C32">
        <v>43095297</v>
      </c>
      <c r="D32">
        <v>42302869</v>
      </c>
      <c r="E32">
        <v>1</v>
      </c>
      <c r="F32">
        <v>1</v>
      </c>
      <c r="G32">
        <v>29</v>
      </c>
      <c r="H32">
        <v>2</v>
      </c>
      <c r="I32" t="s">
        <v>581</v>
      </c>
      <c r="J32" t="s">
        <v>582</v>
      </c>
      <c r="K32" t="s">
        <v>583</v>
      </c>
      <c r="L32">
        <v>1368</v>
      </c>
      <c r="N32">
        <v>1011</v>
      </c>
      <c r="O32" t="s">
        <v>480</v>
      </c>
      <c r="P32" t="s">
        <v>480</v>
      </c>
      <c r="Q32">
        <v>1</v>
      </c>
      <c r="W32">
        <v>0</v>
      </c>
      <c r="X32">
        <v>315489092</v>
      </c>
      <c r="Y32">
        <v>0.06</v>
      </c>
      <c r="AA32">
        <v>0</v>
      </c>
      <c r="AB32">
        <v>6.37</v>
      </c>
      <c r="AC32">
        <v>3.12</v>
      </c>
      <c r="AD32">
        <v>0</v>
      </c>
      <c r="AE32">
        <v>0</v>
      </c>
      <c r="AF32">
        <v>6.37</v>
      </c>
      <c r="AG32">
        <v>3.12</v>
      </c>
      <c r="AH32">
        <v>0</v>
      </c>
      <c r="AI32">
        <v>1</v>
      </c>
      <c r="AJ32">
        <v>1</v>
      </c>
      <c r="AK32">
        <v>1</v>
      </c>
      <c r="AL32">
        <v>1</v>
      </c>
      <c r="AN32">
        <v>0</v>
      </c>
      <c r="AO32">
        <v>1</v>
      </c>
      <c r="AP32">
        <v>0</v>
      </c>
      <c r="AQ32">
        <v>0</v>
      </c>
      <c r="AR32">
        <v>0</v>
      </c>
      <c r="AS32" t="s">
        <v>3</v>
      </c>
      <c r="AT32">
        <v>0.06</v>
      </c>
      <c r="AU32" t="s">
        <v>3</v>
      </c>
      <c r="AV32">
        <v>0</v>
      </c>
      <c r="AW32">
        <v>2</v>
      </c>
      <c r="AX32">
        <v>43095334</v>
      </c>
      <c r="AY32">
        <v>1</v>
      </c>
      <c r="AZ32">
        <v>0</v>
      </c>
      <c r="BA32">
        <v>32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Y32*Source!I34</f>
        <v>1.728</v>
      </c>
      <c r="CY32">
        <f>AB32</f>
        <v>6.37</v>
      </c>
      <c r="CZ32">
        <f>AF32</f>
        <v>6.37</v>
      </c>
      <c r="DA32">
        <f>AJ32</f>
        <v>1</v>
      </c>
      <c r="DB32">
        <f t="shared" si="0"/>
        <v>0.38</v>
      </c>
      <c r="DC32">
        <f t="shared" si="1"/>
        <v>0.19</v>
      </c>
    </row>
    <row r="33" spans="1:107" x14ac:dyDescent="0.2">
      <c r="A33">
        <f>ROW(Source!A34)</f>
        <v>34</v>
      </c>
      <c r="B33">
        <v>43095088</v>
      </c>
      <c r="C33">
        <v>43095297</v>
      </c>
      <c r="D33">
        <v>42303085</v>
      </c>
      <c r="E33">
        <v>1</v>
      </c>
      <c r="F33">
        <v>1</v>
      </c>
      <c r="G33">
        <v>29</v>
      </c>
      <c r="H33">
        <v>2</v>
      </c>
      <c r="I33" t="s">
        <v>584</v>
      </c>
      <c r="J33" t="s">
        <v>585</v>
      </c>
      <c r="K33" t="s">
        <v>586</v>
      </c>
      <c r="L33">
        <v>1368</v>
      </c>
      <c r="N33">
        <v>1011</v>
      </c>
      <c r="O33" t="s">
        <v>480</v>
      </c>
      <c r="P33" t="s">
        <v>480</v>
      </c>
      <c r="Q33">
        <v>1</v>
      </c>
      <c r="W33">
        <v>0</v>
      </c>
      <c r="X33">
        <v>1686702969</v>
      </c>
      <c r="Y33">
        <v>0.11</v>
      </c>
      <c r="AA33">
        <v>0</v>
      </c>
      <c r="AB33">
        <v>1187.6300000000001</v>
      </c>
      <c r="AC33">
        <v>328.19</v>
      </c>
      <c r="AD33">
        <v>0</v>
      </c>
      <c r="AE33">
        <v>0</v>
      </c>
      <c r="AF33">
        <v>1187.6300000000001</v>
      </c>
      <c r="AG33">
        <v>328.19</v>
      </c>
      <c r="AH33">
        <v>0</v>
      </c>
      <c r="AI33">
        <v>1</v>
      </c>
      <c r="AJ33">
        <v>1</v>
      </c>
      <c r="AK33">
        <v>1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3</v>
      </c>
      <c r="AT33">
        <v>0.11</v>
      </c>
      <c r="AU33" t="s">
        <v>3</v>
      </c>
      <c r="AV33">
        <v>0</v>
      </c>
      <c r="AW33">
        <v>2</v>
      </c>
      <c r="AX33">
        <v>43095335</v>
      </c>
      <c r="AY33">
        <v>1</v>
      </c>
      <c r="AZ33">
        <v>0</v>
      </c>
      <c r="BA33">
        <v>33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Y33*Source!I34</f>
        <v>3.1680000000000001</v>
      </c>
      <c r="CY33">
        <f>AB33</f>
        <v>1187.6300000000001</v>
      </c>
      <c r="CZ33">
        <f>AF33</f>
        <v>1187.6300000000001</v>
      </c>
      <c r="DA33">
        <f>AJ33</f>
        <v>1</v>
      </c>
      <c r="DB33">
        <f t="shared" ref="DB33:DB64" si="8">ROUND(ROUND(AT33*CZ33,2),6)</f>
        <v>130.63999999999999</v>
      </c>
      <c r="DC33">
        <f t="shared" ref="DC33:DC64" si="9">ROUND(ROUND(AT33*AG33,2),6)</f>
        <v>36.1</v>
      </c>
    </row>
    <row r="34" spans="1:107" x14ac:dyDescent="0.2">
      <c r="A34">
        <f>ROW(Source!A34)</f>
        <v>34</v>
      </c>
      <c r="B34">
        <v>43095088</v>
      </c>
      <c r="C34">
        <v>43095297</v>
      </c>
      <c r="D34">
        <v>42303153</v>
      </c>
      <c r="E34">
        <v>1</v>
      </c>
      <c r="F34">
        <v>1</v>
      </c>
      <c r="G34">
        <v>29</v>
      </c>
      <c r="H34">
        <v>2</v>
      </c>
      <c r="I34" t="s">
        <v>587</v>
      </c>
      <c r="J34" t="s">
        <v>588</v>
      </c>
      <c r="K34" t="s">
        <v>589</v>
      </c>
      <c r="L34">
        <v>1368</v>
      </c>
      <c r="N34">
        <v>1011</v>
      </c>
      <c r="O34" t="s">
        <v>480</v>
      </c>
      <c r="P34" t="s">
        <v>480</v>
      </c>
      <c r="Q34">
        <v>1</v>
      </c>
      <c r="W34">
        <v>0</v>
      </c>
      <c r="X34">
        <v>817349807</v>
      </c>
      <c r="Y34">
        <v>0.05</v>
      </c>
      <c r="AA34">
        <v>0</v>
      </c>
      <c r="AB34">
        <v>530.82000000000005</v>
      </c>
      <c r="AC34">
        <v>445.52</v>
      </c>
      <c r="AD34">
        <v>0</v>
      </c>
      <c r="AE34">
        <v>0</v>
      </c>
      <c r="AF34">
        <v>530.82000000000005</v>
      </c>
      <c r="AG34">
        <v>445.52</v>
      </c>
      <c r="AH34">
        <v>0</v>
      </c>
      <c r="AI34">
        <v>1</v>
      </c>
      <c r="AJ34">
        <v>1</v>
      </c>
      <c r="AK34">
        <v>1</v>
      </c>
      <c r="AL34">
        <v>1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3</v>
      </c>
      <c r="AT34">
        <v>0.05</v>
      </c>
      <c r="AU34" t="s">
        <v>3</v>
      </c>
      <c r="AV34">
        <v>0</v>
      </c>
      <c r="AW34">
        <v>2</v>
      </c>
      <c r="AX34">
        <v>43095336</v>
      </c>
      <c r="AY34">
        <v>1</v>
      </c>
      <c r="AZ34">
        <v>0</v>
      </c>
      <c r="BA34">
        <v>34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Y34*Source!I34</f>
        <v>1.4400000000000002</v>
      </c>
      <c r="CY34">
        <f>AB34</f>
        <v>530.82000000000005</v>
      </c>
      <c r="CZ34">
        <f>AF34</f>
        <v>530.82000000000005</v>
      </c>
      <c r="DA34">
        <f>AJ34</f>
        <v>1</v>
      </c>
      <c r="DB34">
        <f t="shared" si="8"/>
        <v>26.54</v>
      </c>
      <c r="DC34">
        <f t="shared" si="9"/>
        <v>22.28</v>
      </c>
    </row>
    <row r="35" spans="1:107" x14ac:dyDescent="0.2">
      <c r="A35">
        <f>ROW(Source!A34)</f>
        <v>34</v>
      </c>
      <c r="B35">
        <v>43095088</v>
      </c>
      <c r="C35">
        <v>43095297</v>
      </c>
      <c r="D35">
        <v>42302409</v>
      </c>
      <c r="E35">
        <v>1</v>
      </c>
      <c r="F35">
        <v>1</v>
      </c>
      <c r="G35">
        <v>29</v>
      </c>
      <c r="H35">
        <v>2</v>
      </c>
      <c r="I35" t="s">
        <v>590</v>
      </c>
      <c r="J35" t="s">
        <v>591</v>
      </c>
      <c r="K35" t="s">
        <v>592</v>
      </c>
      <c r="L35">
        <v>1368</v>
      </c>
      <c r="N35">
        <v>1011</v>
      </c>
      <c r="O35" t="s">
        <v>480</v>
      </c>
      <c r="P35" t="s">
        <v>480</v>
      </c>
      <c r="Q35">
        <v>1</v>
      </c>
      <c r="W35">
        <v>0</v>
      </c>
      <c r="X35">
        <v>-1274881073</v>
      </c>
      <c r="Y35">
        <v>0.45</v>
      </c>
      <c r="AA35">
        <v>0</v>
      </c>
      <c r="AB35">
        <v>17.3</v>
      </c>
      <c r="AC35">
        <v>0.09</v>
      </c>
      <c r="AD35">
        <v>0</v>
      </c>
      <c r="AE35">
        <v>0</v>
      </c>
      <c r="AF35">
        <v>17.3</v>
      </c>
      <c r="AG35">
        <v>0.09</v>
      </c>
      <c r="AH35">
        <v>0</v>
      </c>
      <c r="AI35">
        <v>1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3</v>
      </c>
      <c r="AT35">
        <v>0.45</v>
      </c>
      <c r="AU35" t="s">
        <v>3</v>
      </c>
      <c r="AV35">
        <v>0</v>
      </c>
      <c r="AW35">
        <v>2</v>
      </c>
      <c r="AX35">
        <v>43095337</v>
      </c>
      <c r="AY35">
        <v>1</v>
      </c>
      <c r="AZ35">
        <v>0</v>
      </c>
      <c r="BA35">
        <v>35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Y35*Source!I34</f>
        <v>12.96</v>
      </c>
      <c r="CY35">
        <f>AB35</f>
        <v>17.3</v>
      </c>
      <c r="CZ35">
        <f>AF35</f>
        <v>17.3</v>
      </c>
      <c r="DA35">
        <f>AJ35</f>
        <v>1</v>
      </c>
      <c r="DB35">
        <f t="shared" si="8"/>
        <v>7.79</v>
      </c>
      <c r="DC35">
        <f t="shared" si="9"/>
        <v>0.04</v>
      </c>
    </row>
    <row r="36" spans="1:107" x14ac:dyDescent="0.2">
      <c r="A36">
        <f>ROW(Source!A34)</f>
        <v>34</v>
      </c>
      <c r="B36">
        <v>43095088</v>
      </c>
      <c r="C36">
        <v>43095297</v>
      </c>
      <c r="D36">
        <v>42301754</v>
      </c>
      <c r="E36">
        <v>29</v>
      </c>
      <c r="F36">
        <v>1</v>
      </c>
      <c r="G36">
        <v>29</v>
      </c>
      <c r="H36">
        <v>3</v>
      </c>
      <c r="I36" t="s">
        <v>593</v>
      </c>
      <c r="J36" t="s">
        <v>3</v>
      </c>
      <c r="K36" t="s">
        <v>594</v>
      </c>
      <c r="L36">
        <v>1346</v>
      </c>
      <c r="N36">
        <v>1009</v>
      </c>
      <c r="O36" t="s">
        <v>46</v>
      </c>
      <c r="P36" t="s">
        <v>46</v>
      </c>
      <c r="Q36">
        <v>1</v>
      </c>
      <c r="W36">
        <v>0</v>
      </c>
      <c r="X36">
        <v>-501209439</v>
      </c>
      <c r="Y36">
        <v>2.1000000000000001E-2</v>
      </c>
      <c r="AA36">
        <v>844.33</v>
      </c>
      <c r="AB36">
        <v>0</v>
      </c>
      <c r="AC36">
        <v>0</v>
      </c>
      <c r="AD36">
        <v>0</v>
      </c>
      <c r="AE36">
        <v>844.32962999999995</v>
      </c>
      <c r="AF36">
        <v>0</v>
      </c>
      <c r="AG36">
        <v>0</v>
      </c>
      <c r="AH36">
        <v>0</v>
      </c>
      <c r="AI36">
        <v>1</v>
      </c>
      <c r="AJ36">
        <v>1</v>
      </c>
      <c r="AK36">
        <v>1</v>
      </c>
      <c r="AL36">
        <v>1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2.1000000000000001E-2</v>
      </c>
      <c r="AU36" t="s">
        <v>3</v>
      </c>
      <c r="AV36">
        <v>0</v>
      </c>
      <c r="AW36">
        <v>2</v>
      </c>
      <c r="AX36">
        <v>43095338</v>
      </c>
      <c r="AY36">
        <v>1</v>
      </c>
      <c r="AZ36">
        <v>0</v>
      </c>
      <c r="BA36">
        <v>36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Y36*Source!I34</f>
        <v>0.6048</v>
      </c>
      <c r="CY36">
        <f t="shared" ref="CY36:CY44" si="10">AA36</f>
        <v>844.33</v>
      </c>
      <c r="CZ36">
        <f t="shared" ref="CZ36:CZ44" si="11">AE36</f>
        <v>844.32962999999995</v>
      </c>
      <c r="DA36">
        <f t="shared" ref="DA36:DA44" si="12">AI36</f>
        <v>1</v>
      </c>
      <c r="DB36">
        <f t="shared" si="8"/>
        <v>17.73</v>
      </c>
      <c r="DC36">
        <f t="shared" si="9"/>
        <v>0</v>
      </c>
    </row>
    <row r="37" spans="1:107" x14ac:dyDescent="0.2">
      <c r="A37">
        <f>ROW(Source!A34)</f>
        <v>34</v>
      </c>
      <c r="B37">
        <v>43095088</v>
      </c>
      <c r="C37">
        <v>43095297</v>
      </c>
      <c r="D37">
        <v>42304890</v>
      </c>
      <c r="E37">
        <v>1</v>
      </c>
      <c r="F37">
        <v>1</v>
      </c>
      <c r="G37">
        <v>29</v>
      </c>
      <c r="H37">
        <v>3</v>
      </c>
      <c r="I37" t="s">
        <v>595</v>
      </c>
      <c r="J37" t="s">
        <v>596</v>
      </c>
      <c r="K37" t="s">
        <v>597</v>
      </c>
      <c r="L37">
        <v>1346</v>
      </c>
      <c r="N37">
        <v>1009</v>
      </c>
      <c r="O37" t="s">
        <v>46</v>
      </c>
      <c r="P37" t="s">
        <v>46</v>
      </c>
      <c r="Q37">
        <v>1</v>
      </c>
      <c r="W37">
        <v>0</v>
      </c>
      <c r="X37">
        <v>1126836785</v>
      </c>
      <c r="Y37">
        <v>2.0999999999999999E-3</v>
      </c>
      <c r="AA37">
        <v>232.27</v>
      </c>
      <c r="AB37">
        <v>0</v>
      </c>
      <c r="AC37">
        <v>0</v>
      </c>
      <c r="AD37">
        <v>0</v>
      </c>
      <c r="AE37">
        <v>232.27</v>
      </c>
      <c r="AF37">
        <v>0</v>
      </c>
      <c r="AG37">
        <v>0</v>
      </c>
      <c r="AH37">
        <v>0</v>
      </c>
      <c r="AI37">
        <v>1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2.0999999999999999E-3</v>
      </c>
      <c r="AU37" t="s">
        <v>3</v>
      </c>
      <c r="AV37">
        <v>0</v>
      </c>
      <c r="AW37">
        <v>2</v>
      </c>
      <c r="AX37">
        <v>43095339</v>
      </c>
      <c r="AY37">
        <v>1</v>
      </c>
      <c r="AZ37">
        <v>0</v>
      </c>
      <c r="BA37">
        <v>37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Y37*Source!I34</f>
        <v>6.0479999999999999E-2</v>
      </c>
      <c r="CY37">
        <f t="shared" si="10"/>
        <v>232.27</v>
      </c>
      <c r="CZ37">
        <f t="shared" si="11"/>
        <v>232.27</v>
      </c>
      <c r="DA37">
        <f t="shared" si="12"/>
        <v>1</v>
      </c>
      <c r="DB37">
        <f t="shared" si="8"/>
        <v>0.49</v>
      </c>
      <c r="DC37">
        <f t="shared" si="9"/>
        <v>0</v>
      </c>
    </row>
    <row r="38" spans="1:107" x14ac:dyDescent="0.2">
      <c r="A38">
        <f>ROW(Source!A34)</f>
        <v>34</v>
      </c>
      <c r="B38">
        <v>43095088</v>
      </c>
      <c r="C38">
        <v>43095297</v>
      </c>
      <c r="D38">
        <v>42305225</v>
      </c>
      <c r="E38">
        <v>1</v>
      </c>
      <c r="F38">
        <v>1</v>
      </c>
      <c r="G38">
        <v>29</v>
      </c>
      <c r="H38">
        <v>3</v>
      </c>
      <c r="I38" t="s">
        <v>79</v>
      </c>
      <c r="J38" t="s">
        <v>82</v>
      </c>
      <c r="K38" t="s">
        <v>80</v>
      </c>
      <c r="L38">
        <v>1339</v>
      </c>
      <c r="N38">
        <v>1007</v>
      </c>
      <c r="O38" t="s">
        <v>81</v>
      </c>
      <c r="P38" t="s">
        <v>81</v>
      </c>
      <c r="Q38">
        <v>1</v>
      </c>
      <c r="W38">
        <v>1</v>
      </c>
      <c r="X38">
        <v>-1142489294</v>
      </c>
      <c r="Y38">
        <v>-8.1000000000000003E-2</v>
      </c>
      <c r="AA38">
        <v>36.31</v>
      </c>
      <c r="AB38">
        <v>0</v>
      </c>
      <c r="AC38">
        <v>0</v>
      </c>
      <c r="AD38">
        <v>0</v>
      </c>
      <c r="AE38">
        <v>36.31</v>
      </c>
      <c r="AF38">
        <v>0</v>
      </c>
      <c r="AG38">
        <v>0</v>
      </c>
      <c r="AH38">
        <v>0</v>
      </c>
      <c r="AI38">
        <v>1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</v>
      </c>
      <c r="AT38">
        <v>-8.1000000000000003E-2</v>
      </c>
      <c r="AU38" t="s">
        <v>3</v>
      </c>
      <c r="AV38">
        <v>0</v>
      </c>
      <c r="AW38">
        <v>2</v>
      </c>
      <c r="AX38">
        <v>43095340</v>
      </c>
      <c r="AY38">
        <v>1</v>
      </c>
      <c r="AZ38">
        <v>6144</v>
      </c>
      <c r="BA38">
        <v>38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Y38*Source!I34</f>
        <v>-2.3328000000000002</v>
      </c>
      <c r="CY38">
        <f t="shared" si="10"/>
        <v>36.31</v>
      </c>
      <c r="CZ38">
        <f t="shared" si="11"/>
        <v>36.31</v>
      </c>
      <c r="DA38">
        <f t="shared" si="12"/>
        <v>1</v>
      </c>
      <c r="DB38">
        <f t="shared" si="8"/>
        <v>-2.94</v>
      </c>
      <c r="DC38">
        <f t="shared" si="9"/>
        <v>0</v>
      </c>
    </row>
    <row r="39" spans="1:107" x14ac:dyDescent="0.2">
      <c r="A39">
        <f>ROW(Source!A34)</f>
        <v>34</v>
      </c>
      <c r="B39">
        <v>43095088</v>
      </c>
      <c r="C39">
        <v>43095297</v>
      </c>
      <c r="D39">
        <v>42309868</v>
      </c>
      <c r="E39">
        <v>1</v>
      </c>
      <c r="F39">
        <v>1</v>
      </c>
      <c r="G39">
        <v>29</v>
      </c>
      <c r="H39">
        <v>3</v>
      </c>
      <c r="I39" t="s">
        <v>67</v>
      </c>
      <c r="J39" t="s">
        <v>69</v>
      </c>
      <c r="K39" t="s">
        <v>68</v>
      </c>
      <c r="L39">
        <v>1301</v>
      </c>
      <c r="N39">
        <v>1003</v>
      </c>
      <c r="O39" t="s">
        <v>64</v>
      </c>
      <c r="P39" t="s">
        <v>64</v>
      </c>
      <c r="Q39">
        <v>1</v>
      </c>
      <c r="W39">
        <v>0</v>
      </c>
      <c r="X39">
        <v>1049557422</v>
      </c>
      <c r="Y39">
        <v>3.8982640000000002</v>
      </c>
      <c r="AA39">
        <v>230.24</v>
      </c>
      <c r="AB39">
        <v>0</v>
      </c>
      <c r="AC39">
        <v>0</v>
      </c>
      <c r="AD39">
        <v>0</v>
      </c>
      <c r="AE39">
        <v>230.24</v>
      </c>
      <c r="AF39">
        <v>0</v>
      </c>
      <c r="AG39">
        <v>0</v>
      </c>
      <c r="AH39">
        <v>0</v>
      </c>
      <c r="AI39">
        <v>1</v>
      </c>
      <c r="AJ39">
        <v>1</v>
      </c>
      <c r="AK39">
        <v>1</v>
      </c>
      <c r="AL39">
        <v>1</v>
      </c>
      <c r="AN39">
        <v>0</v>
      </c>
      <c r="AO39">
        <v>0</v>
      </c>
      <c r="AP39">
        <v>0</v>
      </c>
      <c r="AQ39">
        <v>0</v>
      </c>
      <c r="AR39">
        <v>0</v>
      </c>
      <c r="AS39" t="s">
        <v>3</v>
      </c>
      <c r="AT39">
        <v>3.8982640000000002</v>
      </c>
      <c r="AU39" t="s">
        <v>3</v>
      </c>
      <c r="AV39">
        <v>0</v>
      </c>
      <c r="AW39">
        <v>1</v>
      </c>
      <c r="AX39">
        <v>-1</v>
      </c>
      <c r="AY39">
        <v>0</v>
      </c>
      <c r="AZ39">
        <v>0</v>
      </c>
      <c r="BA39" t="s">
        <v>3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Y39*Source!I34</f>
        <v>112.2700032</v>
      </c>
      <c r="CY39">
        <f t="shared" si="10"/>
        <v>230.24</v>
      </c>
      <c r="CZ39">
        <f t="shared" si="11"/>
        <v>230.24</v>
      </c>
      <c r="DA39">
        <f t="shared" si="12"/>
        <v>1</v>
      </c>
      <c r="DB39">
        <f t="shared" si="8"/>
        <v>897.54</v>
      </c>
      <c r="DC39">
        <f t="shared" si="9"/>
        <v>0</v>
      </c>
    </row>
    <row r="40" spans="1:107" x14ac:dyDescent="0.2">
      <c r="A40">
        <f>ROW(Source!A34)</f>
        <v>34</v>
      </c>
      <c r="B40">
        <v>43095088</v>
      </c>
      <c r="C40">
        <v>43095297</v>
      </c>
      <c r="D40">
        <v>42309869</v>
      </c>
      <c r="E40">
        <v>1</v>
      </c>
      <c r="F40">
        <v>1</v>
      </c>
      <c r="G40">
        <v>29</v>
      </c>
      <c r="H40">
        <v>3</v>
      </c>
      <c r="I40" t="s">
        <v>71</v>
      </c>
      <c r="J40" t="s">
        <v>73</v>
      </c>
      <c r="K40" t="s">
        <v>72</v>
      </c>
      <c r="L40">
        <v>1301</v>
      </c>
      <c r="N40">
        <v>1003</v>
      </c>
      <c r="O40" t="s">
        <v>64</v>
      </c>
      <c r="P40" t="s">
        <v>64</v>
      </c>
      <c r="Q40">
        <v>1</v>
      </c>
      <c r="W40">
        <v>0</v>
      </c>
      <c r="X40">
        <v>-253640361</v>
      </c>
      <c r="Y40">
        <v>1.251736</v>
      </c>
      <c r="AA40">
        <v>314.05</v>
      </c>
      <c r="AB40">
        <v>0</v>
      </c>
      <c r="AC40">
        <v>0</v>
      </c>
      <c r="AD40">
        <v>0</v>
      </c>
      <c r="AE40">
        <v>314.05</v>
      </c>
      <c r="AF40">
        <v>0</v>
      </c>
      <c r="AG40">
        <v>0</v>
      </c>
      <c r="AH40">
        <v>0</v>
      </c>
      <c r="AI40">
        <v>1</v>
      </c>
      <c r="AJ40">
        <v>1</v>
      </c>
      <c r="AK40">
        <v>1</v>
      </c>
      <c r="AL40">
        <v>1</v>
      </c>
      <c r="AN40">
        <v>0</v>
      </c>
      <c r="AO40">
        <v>0</v>
      </c>
      <c r="AP40">
        <v>0</v>
      </c>
      <c r="AQ40">
        <v>0</v>
      </c>
      <c r="AR40">
        <v>0</v>
      </c>
      <c r="AS40" t="s">
        <v>3</v>
      </c>
      <c r="AT40">
        <v>1.251736</v>
      </c>
      <c r="AU40" t="s">
        <v>3</v>
      </c>
      <c r="AV40">
        <v>0</v>
      </c>
      <c r="AW40">
        <v>1</v>
      </c>
      <c r="AX40">
        <v>-1</v>
      </c>
      <c r="AY40">
        <v>0</v>
      </c>
      <c r="AZ40">
        <v>0</v>
      </c>
      <c r="BA40" t="s">
        <v>3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Y40*Source!I34</f>
        <v>36.049996800000002</v>
      </c>
      <c r="CY40">
        <f t="shared" si="10"/>
        <v>314.05</v>
      </c>
      <c r="CZ40">
        <f t="shared" si="11"/>
        <v>314.05</v>
      </c>
      <c r="DA40">
        <f t="shared" si="12"/>
        <v>1</v>
      </c>
      <c r="DB40">
        <f t="shared" si="8"/>
        <v>393.11</v>
      </c>
      <c r="DC40">
        <f t="shared" si="9"/>
        <v>0</v>
      </c>
    </row>
    <row r="41" spans="1:107" x14ac:dyDescent="0.2">
      <c r="A41">
        <f>ROW(Source!A34)</f>
        <v>34</v>
      </c>
      <c r="B41">
        <v>43095088</v>
      </c>
      <c r="C41">
        <v>43095297</v>
      </c>
      <c r="D41">
        <v>42309873</v>
      </c>
      <c r="E41">
        <v>1</v>
      </c>
      <c r="F41">
        <v>1</v>
      </c>
      <c r="G41">
        <v>29</v>
      </c>
      <c r="H41">
        <v>3</v>
      </c>
      <c r="I41" t="s">
        <v>75</v>
      </c>
      <c r="J41" t="s">
        <v>77</v>
      </c>
      <c r="K41" t="s">
        <v>76</v>
      </c>
      <c r="L41">
        <v>1301</v>
      </c>
      <c r="N41">
        <v>1003</v>
      </c>
      <c r="O41" t="s">
        <v>64</v>
      </c>
      <c r="P41" t="s">
        <v>64</v>
      </c>
      <c r="Q41">
        <v>1</v>
      </c>
      <c r="W41">
        <v>0</v>
      </c>
      <c r="X41">
        <v>1741320992</v>
      </c>
      <c r="Y41">
        <v>0.89409700000000003</v>
      </c>
      <c r="AA41">
        <v>423.43</v>
      </c>
      <c r="AB41">
        <v>0</v>
      </c>
      <c r="AC41">
        <v>0</v>
      </c>
      <c r="AD41">
        <v>0</v>
      </c>
      <c r="AE41">
        <v>423.43</v>
      </c>
      <c r="AF41">
        <v>0</v>
      </c>
      <c r="AG41">
        <v>0</v>
      </c>
      <c r="AH41">
        <v>0</v>
      </c>
      <c r="AI41">
        <v>1</v>
      </c>
      <c r="AJ41">
        <v>1</v>
      </c>
      <c r="AK41">
        <v>1</v>
      </c>
      <c r="AL41">
        <v>1</v>
      </c>
      <c r="AN41">
        <v>0</v>
      </c>
      <c r="AO41">
        <v>0</v>
      </c>
      <c r="AP41">
        <v>0</v>
      </c>
      <c r="AQ41">
        <v>0</v>
      </c>
      <c r="AR41">
        <v>0</v>
      </c>
      <c r="AS41" t="s">
        <v>3</v>
      </c>
      <c r="AT41">
        <v>0.89409700000000003</v>
      </c>
      <c r="AU41" t="s">
        <v>3</v>
      </c>
      <c r="AV41">
        <v>0</v>
      </c>
      <c r="AW41">
        <v>1</v>
      </c>
      <c r="AX41">
        <v>-1</v>
      </c>
      <c r="AY41">
        <v>0</v>
      </c>
      <c r="AZ41">
        <v>0</v>
      </c>
      <c r="BA41" t="s">
        <v>3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Y41*Source!I34</f>
        <v>25.7499936</v>
      </c>
      <c r="CY41">
        <f t="shared" si="10"/>
        <v>423.43</v>
      </c>
      <c r="CZ41">
        <f t="shared" si="11"/>
        <v>423.43</v>
      </c>
      <c r="DA41">
        <f t="shared" si="12"/>
        <v>1</v>
      </c>
      <c r="DB41">
        <f t="shared" si="8"/>
        <v>378.59</v>
      </c>
      <c r="DC41">
        <f t="shared" si="9"/>
        <v>0</v>
      </c>
    </row>
    <row r="42" spans="1:107" x14ac:dyDescent="0.2">
      <c r="A42">
        <f>ROW(Source!A34)</f>
        <v>34</v>
      </c>
      <c r="B42">
        <v>43095088</v>
      </c>
      <c r="C42">
        <v>43095297</v>
      </c>
      <c r="D42">
        <v>42309874</v>
      </c>
      <c r="E42">
        <v>1</v>
      </c>
      <c r="F42">
        <v>1</v>
      </c>
      <c r="G42">
        <v>29</v>
      </c>
      <c r="H42">
        <v>3</v>
      </c>
      <c r="I42" t="s">
        <v>62</v>
      </c>
      <c r="J42" t="s">
        <v>65</v>
      </c>
      <c r="K42" t="s">
        <v>63</v>
      </c>
      <c r="L42">
        <v>1301</v>
      </c>
      <c r="N42">
        <v>1003</v>
      </c>
      <c r="O42" t="s">
        <v>64</v>
      </c>
      <c r="P42" t="s">
        <v>64</v>
      </c>
      <c r="Q42">
        <v>1</v>
      </c>
      <c r="W42">
        <v>0</v>
      </c>
      <c r="X42">
        <v>-797199161</v>
      </c>
      <c r="Y42">
        <v>4.255903</v>
      </c>
      <c r="AA42">
        <v>128.81</v>
      </c>
      <c r="AB42">
        <v>0</v>
      </c>
      <c r="AC42">
        <v>0</v>
      </c>
      <c r="AD42">
        <v>0</v>
      </c>
      <c r="AE42">
        <v>128.81</v>
      </c>
      <c r="AF42">
        <v>0</v>
      </c>
      <c r="AG42">
        <v>0</v>
      </c>
      <c r="AH42">
        <v>0</v>
      </c>
      <c r="AI42">
        <v>1</v>
      </c>
      <c r="AJ42">
        <v>1</v>
      </c>
      <c r="AK42">
        <v>1</v>
      </c>
      <c r="AL42">
        <v>1</v>
      </c>
      <c r="AN42">
        <v>0</v>
      </c>
      <c r="AO42">
        <v>0</v>
      </c>
      <c r="AP42">
        <v>0</v>
      </c>
      <c r="AQ42">
        <v>0</v>
      </c>
      <c r="AR42">
        <v>0</v>
      </c>
      <c r="AS42" t="s">
        <v>3</v>
      </c>
      <c r="AT42">
        <v>4.255903</v>
      </c>
      <c r="AU42" t="s">
        <v>3</v>
      </c>
      <c r="AV42">
        <v>0</v>
      </c>
      <c r="AW42">
        <v>1</v>
      </c>
      <c r="AX42">
        <v>-1</v>
      </c>
      <c r="AY42">
        <v>0</v>
      </c>
      <c r="AZ42">
        <v>0</v>
      </c>
      <c r="BA42" t="s">
        <v>3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Y42*Source!I34</f>
        <v>122.5700064</v>
      </c>
      <c r="CY42">
        <f t="shared" si="10"/>
        <v>128.81</v>
      </c>
      <c r="CZ42">
        <f t="shared" si="11"/>
        <v>128.81</v>
      </c>
      <c r="DA42">
        <f t="shared" si="12"/>
        <v>1</v>
      </c>
      <c r="DB42">
        <f t="shared" si="8"/>
        <v>548.20000000000005</v>
      </c>
      <c r="DC42">
        <f t="shared" si="9"/>
        <v>0</v>
      </c>
    </row>
    <row r="43" spans="1:107" x14ac:dyDescent="0.2">
      <c r="A43">
        <f>ROW(Source!A34)</f>
        <v>34</v>
      </c>
      <c r="B43">
        <v>43095088</v>
      </c>
      <c r="C43">
        <v>43095297</v>
      </c>
      <c r="D43">
        <v>42303485</v>
      </c>
      <c r="E43">
        <v>1</v>
      </c>
      <c r="F43">
        <v>1</v>
      </c>
      <c r="G43">
        <v>29</v>
      </c>
      <c r="H43">
        <v>3</v>
      </c>
      <c r="I43" t="s">
        <v>598</v>
      </c>
      <c r="J43" t="s">
        <v>599</v>
      </c>
      <c r="K43" t="s">
        <v>600</v>
      </c>
      <c r="L43">
        <v>1339</v>
      </c>
      <c r="N43">
        <v>1007</v>
      </c>
      <c r="O43" t="s">
        <v>81</v>
      </c>
      <c r="P43" t="s">
        <v>81</v>
      </c>
      <c r="Q43">
        <v>1</v>
      </c>
      <c r="W43">
        <v>0</v>
      </c>
      <c r="X43">
        <v>-619323657</v>
      </c>
      <c r="Y43">
        <v>5.3999999999999999E-2</v>
      </c>
      <c r="AA43">
        <v>53.64</v>
      </c>
      <c r="AB43">
        <v>0</v>
      </c>
      <c r="AC43">
        <v>0</v>
      </c>
      <c r="AD43">
        <v>0</v>
      </c>
      <c r="AE43">
        <v>53.64</v>
      </c>
      <c r="AF43">
        <v>0</v>
      </c>
      <c r="AG43">
        <v>0</v>
      </c>
      <c r="AH43">
        <v>0</v>
      </c>
      <c r="AI43">
        <v>1</v>
      </c>
      <c r="AJ43">
        <v>1</v>
      </c>
      <c r="AK43">
        <v>1</v>
      </c>
      <c r="AL43">
        <v>1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3</v>
      </c>
      <c r="AT43">
        <v>5.3999999999999999E-2</v>
      </c>
      <c r="AU43" t="s">
        <v>3</v>
      </c>
      <c r="AV43">
        <v>0</v>
      </c>
      <c r="AW43">
        <v>2</v>
      </c>
      <c r="AX43">
        <v>43095341</v>
      </c>
      <c r="AY43">
        <v>1</v>
      </c>
      <c r="AZ43">
        <v>0</v>
      </c>
      <c r="BA43">
        <v>39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Y43*Source!I34</f>
        <v>1.5551999999999999</v>
      </c>
      <c r="CY43">
        <f t="shared" si="10"/>
        <v>53.64</v>
      </c>
      <c r="CZ43">
        <f t="shared" si="11"/>
        <v>53.64</v>
      </c>
      <c r="DA43">
        <f t="shared" si="12"/>
        <v>1</v>
      </c>
      <c r="DB43">
        <f t="shared" si="8"/>
        <v>2.9</v>
      </c>
      <c r="DC43">
        <f t="shared" si="9"/>
        <v>0</v>
      </c>
    </row>
    <row r="44" spans="1:107" x14ac:dyDescent="0.2">
      <c r="A44">
        <f>ROW(Source!A34)</f>
        <v>34</v>
      </c>
      <c r="B44">
        <v>43095088</v>
      </c>
      <c r="C44">
        <v>43095297</v>
      </c>
      <c r="D44">
        <v>42303477</v>
      </c>
      <c r="E44">
        <v>1</v>
      </c>
      <c r="F44">
        <v>1</v>
      </c>
      <c r="G44">
        <v>29</v>
      </c>
      <c r="H44">
        <v>3</v>
      </c>
      <c r="I44" t="s">
        <v>601</v>
      </c>
      <c r="J44" t="s">
        <v>602</v>
      </c>
      <c r="K44" t="s">
        <v>603</v>
      </c>
      <c r="L44">
        <v>1339</v>
      </c>
      <c r="N44">
        <v>1007</v>
      </c>
      <c r="O44" t="s">
        <v>81</v>
      </c>
      <c r="P44" t="s">
        <v>81</v>
      </c>
      <c r="Q44">
        <v>1</v>
      </c>
      <c r="W44">
        <v>0</v>
      </c>
      <c r="X44">
        <v>-1697252500</v>
      </c>
      <c r="Y44">
        <v>4.7E-2</v>
      </c>
      <c r="AA44">
        <v>630.86</v>
      </c>
      <c r="AB44">
        <v>0</v>
      </c>
      <c r="AC44">
        <v>0</v>
      </c>
      <c r="AD44">
        <v>0</v>
      </c>
      <c r="AE44">
        <v>630.86</v>
      </c>
      <c r="AF44">
        <v>0</v>
      </c>
      <c r="AG44">
        <v>0</v>
      </c>
      <c r="AH44">
        <v>0</v>
      </c>
      <c r="AI44">
        <v>1</v>
      </c>
      <c r="AJ44">
        <v>1</v>
      </c>
      <c r="AK44">
        <v>1</v>
      </c>
      <c r="AL44">
        <v>1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</v>
      </c>
      <c r="AT44">
        <v>4.7E-2</v>
      </c>
      <c r="AU44" t="s">
        <v>3</v>
      </c>
      <c r="AV44">
        <v>0</v>
      </c>
      <c r="AW44">
        <v>2</v>
      </c>
      <c r="AX44">
        <v>43095342</v>
      </c>
      <c r="AY44">
        <v>1</v>
      </c>
      <c r="AZ44">
        <v>0</v>
      </c>
      <c r="BA44">
        <v>40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Y44*Source!I34</f>
        <v>1.3536000000000001</v>
      </c>
      <c r="CY44">
        <f t="shared" si="10"/>
        <v>630.86</v>
      </c>
      <c r="CZ44">
        <f t="shared" si="11"/>
        <v>630.86</v>
      </c>
      <c r="DA44">
        <f t="shared" si="12"/>
        <v>1</v>
      </c>
      <c r="DB44">
        <f t="shared" si="8"/>
        <v>29.65</v>
      </c>
      <c r="DC44">
        <f t="shared" si="9"/>
        <v>0</v>
      </c>
    </row>
    <row r="45" spans="1:107" x14ac:dyDescent="0.2">
      <c r="A45">
        <f>ROW(Source!A40)</f>
        <v>40</v>
      </c>
      <c r="B45">
        <v>43095088</v>
      </c>
      <c r="C45">
        <v>43095349</v>
      </c>
      <c r="D45">
        <v>42301367</v>
      </c>
      <c r="E45">
        <v>29</v>
      </c>
      <c r="F45">
        <v>1</v>
      </c>
      <c r="G45">
        <v>29</v>
      </c>
      <c r="H45">
        <v>1</v>
      </c>
      <c r="I45" t="s">
        <v>555</v>
      </c>
      <c r="J45" t="s">
        <v>3</v>
      </c>
      <c r="K45" t="s">
        <v>556</v>
      </c>
      <c r="L45">
        <v>1191</v>
      </c>
      <c r="N45">
        <v>1013</v>
      </c>
      <c r="O45" t="s">
        <v>557</v>
      </c>
      <c r="P45" t="s">
        <v>557</v>
      </c>
      <c r="Q45">
        <v>1</v>
      </c>
      <c r="W45">
        <v>0</v>
      </c>
      <c r="X45">
        <v>476480486</v>
      </c>
      <c r="Y45">
        <v>2.15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1</v>
      </c>
      <c r="AJ45">
        <v>1</v>
      </c>
      <c r="AK45">
        <v>1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2.15</v>
      </c>
      <c r="AU45" t="s">
        <v>3</v>
      </c>
      <c r="AV45">
        <v>1</v>
      </c>
      <c r="AW45">
        <v>2</v>
      </c>
      <c r="AX45">
        <v>43095367</v>
      </c>
      <c r="AY45">
        <v>1</v>
      </c>
      <c r="AZ45">
        <v>0</v>
      </c>
      <c r="BA45">
        <v>42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Y45*Source!I40</f>
        <v>61.92</v>
      </c>
      <c r="CY45">
        <f>AD45</f>
        <v>0</v>
      </c>
      <c r="CZ45">
        <f>AH45</f>
        <v>0</v>
      </c>
      <c r="DA45">
        <f>AL45</f>
        <v>1</v>
      </c>
      <c r="DB45">
        <f t="shared" si="8"/>
        <v>0</v>
      </c>
      <c r="DC45">
        <f t="shared" si="9"/>
        <v>0</v>
      </c>
    </row>
    <row r="46" spans="1:107" x14ac:dyDescent="0.2">
      <c r="A46">
        <f>ROW(Source!A40)</f>
        <v>40</v>
      </c>
      <c r="B46">
        <v>43095088</v>
      </c>
      <c r="C46">
        <v>43095349</v>
      </c>
      <c r="D46">
        <v>42304367</v>
      </c>
      <c r="E46">
        <v>1</v>
      </c>
      <c r="F46">
        <v>1</v>
      </c>
      <c r="G46">
        <v>29</v>
      </c>
      <c r="H46">
        <v>3</v>
      </c>
      <c r="I46" t="s">
        <v>604</v>
      </c>
      <c r="J46" t="s">
        <v>605</v>
      </c>
      <c r="K46" t="s">
        <v>606</v>
      </c>
      <c r="L46">
        <v>1354</v>
      </c>
      <c r="N46">
        <v>1010</v>
      </c>
      <c r="O46" t="s">
        <v>20</v>
      </c>
      <c r="P46" t="s">
        <v>20</v>
      </c>
      <c r="Q46">
        <v>1</v>
      </c>
      <c r="W46">
        <v>0</v>
      </c>
      <c r="X46">
        <v>101651921</v>
      </c>
      <c r="Y46">
        <v>3</v>
      </c>
      <c r="AA46">
        <v>2.25</v>
      </c>
      <c r="AB46">
        <v>0</v>
      </c>
      <c r="AC46">
        <v>0</v>
      </c>
      <c r="AD46">
        <v>0</v>
      </c>
      <c r="AE46">
        <v>2.25</v>
      </c>
      <c r="AF46">
        <v>0</v>
      </c>
      <c r="AG46">
        <v>0</v>
      </c>
      <c r="AH46">
        <v>0</v>
      </c>
      <c r="AI46">
        <v>1</v>
      </c>
      <c r="AJ46">
        <v>1</v>
      </c>
      <c r="AK46">
        <v>1</v>
      </c>
      <c r="AL46">
        <v>1</v>
      </c>
      <c r="AN46">
        <v>0</v>
      </c>
      <c r="AO46">
        <v>1</v>
      </c>
      <c r="AP46">
        <v>0</v>
      </c>
      <c r="AQ46">
        <v>0</v>
      </c>
      <c r="AR46">
        <v>0</v>
      </c>
      <c r="AS46" t="s">
        <v>3</v>
      </c>
      <c r="AT46">
        <v>3</v>
      </c>
      <c r="AU46" t="s">
        <v>3</v>
      </c>
      <c r="AV46">
        <v>0</v>
      </c>
      <c r="AW46">
        <v>2</v>
      </c>
      <c r="AX46">
        <v>43095368</v>
      </c>
      <c r="AY46">
        <v>1</v>
      </c>
      <c r="AZ46">
        <v>0</v>
      </c>
      <c r="BA46">
        <v>43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Y46*Source!I40</f>
        <v>86.4</v>
      </c>
      <c r="CY46">
        <f t="shared" ref="CY46:CY53" si="13">AA46</f>
        <v>2.25</v>
      </c>
      <c r="CZ46">
        <f t="shared" ref="CZ46:CZ53" si="14">AE46</f>
        <v>2.25</v>
      </c>
      <c r="DA46">
        <f t="shared" ref="DA46:DA53" si="15">AI46</f>
        <v>1</v>
      </c>
      <c r="DB46">
        <f t="shared" si="8"/>
        <v>6.75</v>
      </c>
      <c r="DC46">
        <f t="shared" si="9"/>
        <v>0</v>
      </c>
    </row>
    <row r="47" spans="1:107" x14ac:dyDescent="0.2">
      <c r="A47">
        <f>ROW(Source!A40)</f>
        <v>40</v>
      </c>
      <c r="B47">
        <v>43095088</v>
      </c>
      <c r="C47">
        <v>43095349</v>
      </c>
      <c r="D47">
        <v>42304630</v>
      </c>
      <c r="E47">
        <v>1</v>
      </c>
      <c r="F47">
        <v>1</v>
      </c>
      <c r="G47">
        <v>29</v>
      </c>
      <c r="H47">
        <v>3</v>
      </c>
      <c r="I47" t="s">
        <v>96</v>
      </c>
      <c r="J47" t="s">
        <v>98</v>
      </c>
      <c r="K47" t="s">
        <v>97</v>
      </c>
      <c r="L47">
        <v>1301</v>
      </c>
      <c r="N47">
        <v>1003</v>
      </c>
      <c r="O47" t="s">
        <v>64</v>
      </c>
      <c r="P47" t="s">
        <v>64</v>
      </c>
      <c r="Q47">
        <v>1</v>
      </c>
      <c r="W47">
        <v>0</v>
      </c>
      <c r="X47">
        <v>569689119</v>
      </c>
      <c r="Y47">
        <v>4.3385420000000003</v>
      </c>
      <c r="AA47">
        <v>28.54</v>
      </c>
      <c r="AB47">
        <v>0</v>
      </c>
      <c r="AC47">
        <v>0</v>
      </c>
      <c r="AD47">
        <v>0</v>
      </c>
      <c r="AE47">
        <v>28.54</v>
      </c>
      <c r="AF47">
        <v>0</v>
      </c>
      <c r="AG47">
        <v>0</v>
      </c>
      <c r="AH47">
        <v>0</v>
      </c>
      <c r="AI47">
        <v>1</v>
      </c>
      <c r="AJ47">
        <v>1</v>
      </c>
      <c r="AK47">
        <v>1</v>
      </c>
      <c r="AL47">
        <v>1</v>
      </c>
      <c r="AN47">
        <v>0</v>
      </c>
      <c r="AO47">
        <v>0</v>
      </c>
      <c r="AP47">
        <v>0</v>
      </c>
      <c r="AQ47">
        <v>0</v>
      </c>
      <c r="AR47">
        <v>0</v>
      </c>
      <c r="AS47" t="s">
        <v>3</v>
      </c>
      <c r="AT47">
        <v>4.3385420000000003</v>
      </c>
      <c r="AU47" t="s">
        <v>3</v>
      </c>
      <c r="AV47">
        <v>0</v>
      </c>
      <c r="AW47">
        <v>1</v>
      </c>
      <c r="AX47">
        <v>-1</v>
      </c>
      <c r="AY47">
        <v>0</v>
      </c>
      <c r="AZ47">
        <v>0</v>
      </c>
      <c r="BA47" t="s">
        <v>3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Y47*Source!I40</f>
        <v>124.95000960000002</v>
      </c>
      <c r="CY47">
        <f t="shared" si="13"/>
        <v>28.54</v>
      </c>
      <c r="CZ47">
        <f t="shared" si="14"/>
        <v>28.54</v>
      </c>
      <c r="DA47">
        <f t="shared" si="15"/>
        <v>1</v>
      </c>
      <c r="DB47">
        <f t="shared" si="8"/>
        <v>123.82</v>
      </c>
      <c r="DC47">
        <f t="shared" si="9"/>
        <v>0</v>
      </c>
    </row>
    <row r="48" spans="1:107" x14ac:dyDescent="0.2">
      <c r="A48">
        <f>ROW(Source!A40)</f>
        <v>40</v>
      </c>
      <c r="B48">
        <v>43095088</v>
      </c>
      <c r="C48">
        <v>43095349</v>
      </c>
      <c r="D48">
        <v>42304631</v>
      </c>
      <c r="E48">
        <v>1</v>
      </c>
      <c r="F48">
        <v>1</v>
      </c>
      <c r="G48">
        <v>29</v>
      </c>
      <c r="H48">
        <v>3</v>
      </c>
      <c r="I48" t="s">
        <v>100</v>
      </c>
      <c r="J48" t="s">
        <v>102</v>
      </c>
      <c r="K48" t="s">
        <v>101</v>
      </c>
      <c r="L48">
        <v>1301</v>
      </c>
      <c r="N48">
        <v>1003</v>
      </c>
      <c r="O48" t="s">
        <v>64</v>
      </c>
      <c r="P48" t="s">
        <v>64</v>
      </c>
      <c r="Q48">
        <v>1</v>
      </c>
      <c r="W48">
        <v>0</v>
      </c>
      <c r="X48">
        <v>1778712650</v>
      </c>
      <c r="Y48">
        <v>0.50173599999999996</v>
      </c>
      <c r="AA48">
        <v>49.21</v>
      </c>
      <c r="AB48">
        <v>0</v>
      </c>
      <c r="AC48">
        <v>0</v>
      </c>
      <c r="AD48">
        <v>0</v>
      </c>
      <c r="AE48">
        <v>49.21</v>
      </c>
      <c r="AF48">
        <v>0</v>
      </c>
      <c r="AG48">
        <v>0</v>
      </c>
      <c r="AH48">
        <v>0</v>
      </c>
      <c r="AI48">
        <v>1</v>
      </c>
      <c r="AJ48">
        <v>1</v>
      </c>
      <c r="AK48">
        <v>1</v>
      </c>
      <c r="AL48">
        <v>1</v>
      </c>
      <c r="AN48">
        <v>0</v>
      </c>
      <c r="AO48">
        <v>0</v>
      </c>
      <c r="AP48">
        <v>0</v>
      </c>
      <c r="AQ48">
        <v>0</v>
      </c>
      <c r="AR48">
        <v>0</v>
      </c>
      <c r="AS48" t="s">
        <v>3</v>
      </c>
      <c r="AT48">
        <v>0.50173599999999996</v>
      </c>
      <c r="AU48" t="s">
        <v>3</v>
      </c>
      <c r="AV48">
        <v>0</v>
      </c>
      <c r="AW48">
        <v>1</v>
      </c>
      <c r="AX48">
        <v>-1</v>
      </c>
      <c r="AY48">
        <v>0</v>
      </c>
      <c r="AZ48">
        <v>0</v>
      </c>
      <c r="BA48" t="s">
        <v>3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Y48*Source!I40</f>
        <v>14.449996799999999</v>
      </c>
      <c r="CY48">
        <f t="shared" si="13"/>
        <v>49.21</v>
      </c>
      <c r="CZ48">
        <f t="shared" si="14"/>
        <v>49.21</v>
      </c>
      <c r="DA48">
        <f t="shared" si="15"/>
        <v>1</v>
      </c>
      <c r="DB48">
        <f t="shared" si="8"/>
        <v>24.69</v>
      </c>
      <c r="DC48">
        <f t="shared" si="9"/>
        <v>0</v>
      </c>
    </row>
    <row r="49" spans="1:107" x14ac:dyDescent="0.2">
      <c r="A49">
        <f>ROW(Source!A40)</f>
        <v>40</v>
      </c>
      <c r="B49">
        <v>43095088</v>
      </c>
      <c r="C49">
        <v>43095349</v>
      </c>
      <c r="D49">
        <v>42304633</v>
      </c>
      <c r="E49">
        <v>1</v>
      </c>
      <c r="F49">
        <v>1</v>
      </c>
      <c r="G49">
        <v>29</v>
      </c>
      <c r="H49">
        <v>3</v>
      </c>
      <c r="I49" t="s">
        <v>104</v>
      </c>
      <c r="J49" t="s">
        <v>106</v>
      </c>
      <c r="K49" t="s">
        <v>105</v>
      </c>
      <c r="L49">
        <v>1301</v>
      </c>
      <c r="N49">
        <v>1003</v>
      </c>
      <c r="O49" t="s">
        <v>64</v>
      </c>
      <c r="P49" t="s">
        <v>64</v>
      </c>
      <c r="Q49">
        <v>1</v>
      </c>
      <c r="W49">
        <v>0</v>
      </c>
      <c r="X49">
        <v>-1708005179</v>
      </c>
      <c r="Y49">
        <v>1.2760419999999999</v>
      </c>
      <c r="AA49">
        <v>53.95</v>
      </c>
      <c r="AB49">
        <v>0</v>
      </c>
      <c r="AC49">
        <v>0</v>
      </c>
      <c r="AD49">
        <v>0</v>
      </c>
      <c r="AE49">
        <v>53.95</v>
      </c>
      <c r="AF49">
        <v>0</v>
      </c>
      <c r="AG49">
        <v>0</v>
      </c>
      <c r="AH49">
        <v>0</v>
      </c>
      <c r="AI49">
        <v>1</v>
      </c>
      <c r="AJ49">
        <v>1</v>
      </c>
      <c r="AK49">
        <v>1</v>
      </c>
      <c r="AL49">
        <v>1</v>
      </c>
      <c r="AN49">
        <v>0</v>
      </c>
      <c r="AO49">
        <v>0</v>
      </c>
      <c r="AP49">
        <v>0</v>
      </c>
      <c r="AQ49">
        <v>0</v>
      </c>
      <c r="AR49">
        <v>0</v>
      </c>
      <c r="AS49" t="s">
        <v>3</v>
      </c>
      <c r="AT49">
        <v>1.2760419999999999</v>
      </c>
      <c r="AU49" t="s">
        <v>3</v>
      </c>
      <c r="AV49">
        <v>0</v>
      </c>
      <c r="AW49">
        <v>1</v>
      </c>
      <c r="AX49">
        <v>-1</v>
      </c>
      <c r="AY49">
        <v>0</v>
      </c>
      <c r="AZ49">
        <v>0</v>
      </c>
      <c r="BA49" t="s">
        <v>3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Y49*Source!I40</f>
        <v>36.750009599999998</v>
      </c>
      <c r="CY49">
        <f t="shared" si="13"/>
        <v>53.95</v>
      </c>
      <c r="CZ49">
        <f t="shared" si="14"/>
        <v>53.95</v>
      </c>
      <c r="DA49">
        <f t="shared" si="15"/>
        <v>1</v>
      </c>
      <c r="DB49">
        <f t="shared" si="8"/>
        <v>68.84</v>
      </c>
      <c r="DC49">
        <f t="shared" si="9"/>
        <v>0</v>
      </c>
    </row>
    <row r="50" spans="1:107" x14ac:dyDescent="0.2">
      <c r="A50">
        <f>ROW(Source!A40)</f>
        <v>40</v>
      </c>
      <c r="B50">
        <v>43095088</v>
      </c>
      <c r="C50">
        <v>43095349</v>
      </c>
      <c r="D50">
        <v>42304634</v>
      </c>
      <c r="E50">
        <v>1</v>
      </c>
      <c r="F50">
        <v>1</v>
      </c>
      <c r="G50">
        <v>29</v>
      </c>
      <c r="H50">
        <v>3</v>
      </c>
      <c r="I50" t="s">
        <v>108</v>
      </c>
      <c r="J50" t="s">
        <v>110</v>
      </c>
      <c r="K50" t="s">
        <v>109</v>
      </c>
      <c r="L50">
        <v>1301</v>
      </c>
      <c r="N50">
        <v>1003</v>
      </c>
      <c r="O50" t="s">
        <v>64</v>
      </c>
      <c r="P50" t="s">
        <v>64</v>
      </c>
      <c r="Q50">
        <v>1</v>
      </c>
      <c r="W50">
        <v>0</v>
      </c>
      <c r="X50">
        <v>-558289174</v>
      </c>
      <c r="Y50">
        <v>0.91145799999999999</v>
      </c>
      <c r="AA50">
        <v>56.87</v>
      </c>
      <c r="AB50">
        <v>0</v>
      </c>
      <c r="AC50">
        <v>0</v>
      </c>
      <c r="AD50">
        <v>0</v>
      </c>
      <c r="AE50">
        <v>56.87</v>
      </c>
      <c r="AF50">
        <v>0</v>
      </c>
      <c r="AG50">
        <v>0</v>
      </c>
      <c r="AH50">
        <v>0</v>
      </c>
      <c r="AI50">
        <v>1</v>
      </c>
      <c r="AJ50">
        <v>1</v>
      </c>
      <c r="AK50">
        <v>1</v>
      </c>
      <c r="AL50">
        <v>1</v>
      </c>
      <c r="AN50">
        <v>0</v>
      </c>
      <c r="AO50">
        <v>0</v>
      </c>
      <c r="AP50">
        <v>0</v>
      </c>
      <c r="AQ50">
        <v>0</v>
      </c>
      <c r="AR50">
        <v>0</v>
      </c>
      <c r="AS50" t="s">
        <v>3</v>
      </c>
      <c r="AT50">
        <v>0.91145799999999999</v>
      </c>
      <c r="AU50" t="s">
        <v>3</v>
      </c>
      <c r="AV50">
        <v>0</v>
      </c>
      <c r="AW50">
        <v>1</v>
      </c>
      <c r="AX50">
        <v>-1</v>
      </c>
      <c r="AY50">
        <v>0</v>
      </c>
      <c r="AZ50">
        <v>0</v>
      </c>
      <c r="BA50" t="s">
        <v>3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Y50*Source!I40</f>
        <v>26.249990400000002</v>
      </c>
      <c r="CY50">
        <f t="shared" si="13"/>
        <v>56.87</v>
      </c>
      <c r="CZ50">
        <f t="shared" si="14"/>
        <v>56.87</v>
      </c>
      <c r="DA50">
        <f t="shared" si="15"/>
        <v>1</v>
      </c>
      <c r="DB50">
        <f t="shared" si="8"/>
        <v>51.83</v>
      </c>
      <c r="DC50">
        <f t="shared" si="9"/>
        <v>0</v>
      </c>
    </row>
    <row r="51" spans="1:107" x14ac:dyDescent="0.2">
      <c r="A51">
        <f>ROW(Source!A40)</f>
        <v>40</v>
      </c>
      <c r="B51">
        <v>43095088</v>
      </c>
      <c r="C51">
        <v>43095349</v>
      </c>
      <c r="D51">
        <v>42305611</v>
      </c>
      <c r="E51">
        <v>1</v>
      </c>
      <c r="F51">
        <v>1</v>
      </c>
      <c r="G51">
        <v>29</v>
      </c>
      <c r="H51">
        <v>3</v>
      </c>
      <c r="I51" t="s">
        <v>88</v>
      </c>
      <c r="J51" t="s">
        <v>90</v>
      </c>
      <c r="K51" t="s">
        <v>89</v>
      </c>
      <c r="L51">
        <v>1301</v>
      </c>
      <c r="N51">
        <v>1003</v>
      </c>
      <c r="O51" t="s">
        <v>64</v>
      </c>
      <c r="P51" t="s">
        <v>64</v>
      </c>
      <c r="Q51">
        <v>1</v>
      </c>
      <c r="W51">
        <v>0</v>
      </c>
      <c r="X51">
        <v>-1450401990</v>
      </c>
      <c r="Y51">
        <v>10.5</v>
      </c>
      <c r="AA51">
        <v>44.3</v>
      </c>
      <c r="AB51">
        <v>0</v>
      </c>
      <c r="AC51">
        <v>0</v>
      </c>
      <c r="AD51">
        <v>0</v>
      </c>
      <c r="AE51">
        <v>44.3</v>
      </c>
      <c r="AF51">
        <v>0</v>
      </c>
      <c r="AG51">
        <v>0</v>
      </c>
      <c r="AH51">
        <v>0</v>
      </c>
      <c r="AI51">
        <v>1</v>
      </c>
      <c r="AJ51">
        <v>1</v>
      </c>
      <c r="AK51">
        <v>1</v>
      </c>
      <c r="AL51">
        <v>1</v>
      </c>
      <c r="AN51">
        <v>0</v>
      </c>
      <c r="AO51">
        <v>0</v>
      </c>
      <c r="AP51">
        <v>0</v>
      </c>
      <c r="AQ51">
        <v>0</v>
      </c>
      <c r="AR51">
        <v>0</v>
      </c>
      <c r="AS51" t="s">
        <v>3</v>
      </c>
      <c r="AT51">
        <v>10.5</v>
      </c>
      <c r="AU51" t="s">
        <v>3</v>
      </c>
      <c r="AV51">
        <v>0</v>
      </c>
      <c r="AW51">
        <v>1</v>
      </c>
      <c r="AX51">
        <v>-1</v>
      </c>
      <c r="AY51">
        <v>0</v>
      </c>
      <c r="AZ51">
        <v>0</v>
      </c>
      <c r="BA51" t="s">
        <v>3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Y51*Source!I40</f>
        <v>302.40000000000003</v>
      </c>
      <c r="CY51">
        <f t="shared" si="13"/>
        <v>44.3</v>
      </c>
      <c r="CZ51">
        <f t="shared" si="14"/>
        <v>44.3</v>
      </c>
      <c r="DA51">
        <f t="shared" si="15"/>
        <v>1</v>
      </c>
      <c r="DB51">
        <f t="shared" si="8"/>
        <v>465.15</v>
      </c>
      <c r="DC51">
        <f t="shared" si="9"/>
        <v>0</v>
      </c>
    </row>
    <row r="52" spans="1:107" x14ac:dyDescent="0.2">
      <c r="A52">
        <f>ROW(Source!A40)</f>
        <v>40</v>
      </c>
      <c r="B52">
        <v>43095088</v>
      </c>
      <c r="C52">
        <v>43095349</v>
      </c>
      <c r="D52">
        <v>42301666</v>
      </c>
      <c r="E52">
        <v>29</v>
      </c>
      <c r="F52">
        <v>1</v>
      </c>
      <c r="G52">
        <v>29</v>
      </c>
      <c r="H52">
        <v>3</v>
      </c>
      <c r="I52" t="s">
        <v>92</v>
      </c>
      <c r="J52" t="s">
        <v>3</v>
      </c>
      <c r="K52" t="s">
        <v>93</v>
      </c>
      <c r="L52">
        <v>1327</v>
      </c>
      <c r="N52">
        <v>1005</v>
      </c>
      <c r="O52" t="s">
        <v>94</v>
      </c>
      <c r="P52" t="s">
        <v>94</v>
      </c>
      <c r="Q52">
        <v>1</v>
      </c>
      <c r="W52">
        <v>0</v>
      </c>
      <c r="X52">
        <v>2071043993</v>
      </c>
      <c r="Y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1</v>
      </c>
      <c r="AJ52">
        <v>1</v>
      </c>
      <c r="AK52">
        <v>1</v>
      </c>
      <c r="AL52">
        <v>1</v>
      </c>
      <c r="AN52">
        <v>0</v>
      </c>
      <c r="AO52">
        <v>0</v>
      </c>
      <c r="AP52">
        <v>0</v>
      </c>
      <c r="AQ52">
        <v>0</v>
      </c>
      <c r="AR52">
        <v>0</v>
      </c>
      <c r="AS52" t="s">
        <v>3</v>
      </c>
      <c r="AT52">
        <v>0</v>
      </c>
      <c r="AU52" t="s">
        <v>3</v>
      </c>
      <c r="AV52">
        <v>0</v>
      </c>
      <c r="AW52">
        <v>2</v>
      </c>
      <c r="AX52">
        <v>43095370</v>
      </c>
      <c r="AY52">
        <v>1</v>
      </c>
      <c r="AZ52">
        <v>6144</v>
      </c>
      <c r="BA52">
        <v>45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Y52*Source!I40</f>
        <v>0</v>
      </c>
      <c r="CY52">
        <f t="shared" si="13"/>
        <v>0</v>
      </c>
      <c r="CZ52">
        <f t="shared" si="14"/>
        <v>0</v>
      </c>
      <c r="DA52">
        <f t="shared" si="15"/>
        <v>1</v>
      </c>
      <c r="DB52">
        <f t="shared" si="8"/>
        <v>0</v>
      </c>
      <c r="DC52">
        <f t="shared" si="9"/>
        <v>0</v>
      </c>
    </row>
    <row r="53" spans="1:107" x14ac:dyDescent="0.2">
      <c r="A53">
        <f>ROW(Source!A40)</f>
        <v>40</v>
      </c>
      <c r="B53">
        <v>43095088</v>
      </c>
      <c r="C53">
        <v>43095349</v>
      </c>
      <c r="D53">
        <v>42301667</v>
      </c>
      <c r="E53">
        <v>29</v>
      </c>
      <c r="F53">
        <v>1</v>
      </c>
      <c r="G53">
        <v>29</v>
      </c>
      <c r="H53">
        <v>3</v>
      </c>
      <c r="I53" t="s">
        <v>112</v>
      </c>
      <c r="J53" t="s">
        <v>3</v>
      </c>
      <c r="K53" t="s">
        <v>113</v>
      </c>
      <c r="L53">
        <v>1296</v>
      </c>
      <c r="N53">
        <v>1002</v>
      </c>
      <c r="O53" t="s">
        <v>114</v>
      </c>
      <c r="P53" t="s">
        <v>114</v>
      </c>
      <c r="Q53">
        <v>1</v>
      </c>
      <c r="W53">
        <v>0</v>
      </c>
      <c r="X53">
        <v>708018180</v>
      </c>
      <c r="Y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1</v>
      </c>
      <c r="AJ53">
        <v>1</v>
      </c>
      <c r="AK53">
        <v>1</v>
      </c>
      <c r="AL53">
        <v>1</v>
      </c>
      <c r="AN53">
        <v>0</v>
      </c>
      <c r="AO53">
        <v>0</v>
      </c>
      <c r="AP53">
        <v>0</v>
      </c>
      <c r="AQ53">
        <v>0</v>
      </c>
      <c r="AR53">
        <v>0</v>
      </c>
      <c r="AS53" t="s">
        <v>3</v>
      </c>
      <c r="AT53">
        <v>0</v>
      </c>
      <c r="AU53" t="s">
        <v>3</v>
      </c>
      <c r="AV53">
        <v>0</v>
      </c>
      <c r="AW53">
        <v>2</v>
      </c>
      <c r="AX53">
        <v>43095372</v>
      </c>
      <c r="AY53">
        <v>1</v>
      </c>
      <c r="AZ53">
        <v>0</v>
      </c>
      <c r="BA53">
        <v>47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Y53*Source!I40</f>
        <v>0</v>
      </c>
      <c r="CY53">
        <f t="shared" si="13"/>
        <v>0</v>
      </c>
      <c r="CZ53">
        <f t="shared" si="14"/>
        <v>0</v>
      </c>
      <c r="DA53">
        <f t="shared" si="15"/>
        <v>1</v>
      </c>
      <c r="DB53">
        <f t="shared" si="8"/>
        <v>0</v>
      </c>
      <c r="DC53">
        <f t="shared" si="9"/>
        <v>0</v>
      </c>
    </row>
    <row r="54" spans="1:107" x14ac:dyDescent="0.2">
      <c r="A54">
        <f>ROW(Source!A48)</f>
        <v>48</v>
      </c>
      <c r="B54">
        <v>43095088</v>
      </c>
      <c r="C54">
        <v>43095380</v>
      </c>
      <c r="D54">
        <v>42301367</v>
      </c>
      <c r="E54">
        <v>29</v>
      </c>
      <c r="F54">
        <v>1</v>
      </c>
      <c r="G54">
        <v>29</v>
      </c>
      <c r="H54">
        <v>1</v>
      </c>
      <c r="I54" t="s">
        <v>555</v>
      </c>
      <c r="J54" t="s">
        <v>3</v>
      </c>
      <c r="K54" t="s">
        <v>556</v>
      </c>
      <c r="L54">
        <v>1191</v>
      </c>
      <c r="N54">
        <v>1013</v>
      </c>
      <c r="O54" t="s">
        <v>557</v>
      </c>
      <c r="P54" t="s">
        <v>557</v>
      </c>
      <c r="Q54">
        <v>1</v>
      </c>
      <c r="W54">
        <v>0</v>
      </c>
      <c r="X54">
        <v>476480486</v>
      </c>
      <c r="Y54">
        <v>13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1</v>
      </c>
      <c r="AJ54">
        <v>1</v>
      </c>
      <c r="AK54">
        <v>1</v>
      </c>
      <c r="AL54">
        <v>1</v>
      </c>
      <c r="AN54">
        <v>0</v>
      </c>
      <c r="AO54">
        <v>1</v>
      </c>
      <c r="AP54">
        <v>0</v>
      </c>
      <c r="AQ54">
        <v>0</v>
      </c>
      <c r="AR54">
        <v>0</v>
      </c>
      <c r="AS54" t="s">
        <v>3</v>
      </c>
      <c r="AT54">
        <v>13</v>
      </c>
      <c r="AU54" t="s">
        <v>3</v>
      </c>
      <c r="AV54">
        <v>1</v>
      </c>
      <c r="AW54">
        <v>2</v>
      </c>
      <c r="AX54">
        <v>43095389</v>
      </c>
      <c r="AY54">
        <v>1</v>
      </c>
      <c r="AZ54">
        <v>0</v>
      </c>
      <c r="BA54">
        <v>48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Y54*Source!I48</f>
        <v>0</v>
      </c>
      <c r="CY54">
        <f>AD54</f>
        <v>0</v>
      </c>
      <c r="CZ54">
        <f>AH54</f>
        <v>0</v>
      </c>
      <c r="DA54">
        <f>AL54</f>
        <v>1</v>
      </c>
      <c r="DB54">
        <f t="shared" si="8"/>
        <v>0</v>
      </c>
      <c r="DC54">
        <f t="shared" si="9"/>
        <v>0</v>
      </c>
    </row>
    <row r="55" spans="1:107" x14ac:dyDescent="0.2">
      <c r="A55">
        <f>ROW(Source!A48)</f>
        <v>48</v>
      </c>
      <c r="B55">
        <v>43095088</v>
      </c>
      <c r="C55">
        <v>43095380</v>
      </c>
      <c r="D55">
        <v>42302395</v>
      </c>
      <c r="E55">
        <v>1</v>
      </c>
      <c r="F55">
        <v>1</v>
      </c>
      <c r="G55">
        <v>29</v>
      </c>
      <c r="H55">
        <v>2</v>
      </c>
      <c r="I55" t="s">
        <v>607</v>
      </c>
      <c r="J55" t="s">
        <v>608</v>
      </c>
      <c r="K55" t="s">
        <v>609</v>
      </c>
      <c r="L55">
        <v>1368</v>
      </c>
      <c r="N55">
        <v>1011</v>
      </c>
      <c r="O55" t="s">
        <v>480</v>
      </c>
      <c r="P55" t="s">
        <v>480</v>
      </c>
      <c r="Q55">
        <v>1</v>
      </c>
      <c r="W55">
        <v>0</v>
      </c>
      <c r="X55">
        <v>-1171028791</v>
      </c>
      <c r="Y55">
        <v>0.56000000000000005</v>
      </c>
      <c r="AA55">
        <v>0</v>
      </c>
      <c r="AB55">
        <v>721.99</v>
      </c>
      <c r="AC55">
        <v>389.83</v>
      </c>
      <c r="AD55">
        <v>0</v>
      </c>
      <c r="AE55">
        <v>0</v>
      </c>
      <c r="AF55">
        <v>721.99</v>
      </c>
      <c r="AG55">
        <v>389.83</v>
      </c>
      <c r="AH55">
        <v>0</v>
      </c>
      <c r="AI55">
        <v>1</v>
      </c>
      <c r="AJ55">
        <v>1</v>
      </c>
      <c r="AK55">
        <v>1</v>
      </c>
      <c r="AL55">
        <v>1</v>
      </c>
      <c r="AN55">
        <v>0</v>
      </c>
      <c r="AO55">
        <v>1</v>
      </c>
      <c r="AP55">
        <v>0</v>
      </c>
      <c r="AQ55">
        <v>0</v>
      </c>
      <c r="AR55">
        <v>0</v>
      </c>
      <c r="AS55" t="s">
        <v>3</v>
      </c>
      <c r="AT55">
        <v>0.56000000000000005</v>
      </c>
      <c r="AU55" t="s">
        <v>3</v>
      </c>
      <c r="AV55">
        <v>0</v>
      </c>
      <c r="AW55">
        <v>2</v>
      </c>
      <c r="AX55">
        <v>43095390</v>
      </c>
      <c r="AY55">
        <v>1</v>
      </c>
      <c r="AZ55">
        <v>0</v>
      </c>
      <c r="BA55">
        <v>49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X55">
        <f>Y55*Source!I48</f>
        <v>0</v>
      </c>
      <c r="CY55">
        <f>AB55</f>
        <v>721.99</v>
      </c>
      <c r="CZ55">
        <f>AF55</f>
        <v>721.99</v>
      </c>
      <c r="DA55">
        <f>AJ55</f>
        <v>1</v>
      </c>
      <c r="DB55">
        <f t="shared" si="8"/>
        <v>404.31</v>
      </c>
      <c r="DC55">
        <f t="shared" si="9"/>
        <v>218.3</v>
      </c>
    </row>
    <row r="56" spans="1:107" x14ac:dyDescent="0.2">
      <c r="A56">
        <f>ROW(Source!A51)</f>
        <v>51</v>
      </c>
      <c r="B56">
        <v>43095088</v>
      </c>
      <c r="C56">
        <v>43095393</v>
      </c>
      <c r="D56">
        <v>42301367</v>
      </c>
      <c r="E56">
        <v>29</v>
      </c>
      <c r="F56">
        <v>1</v>
      </c>
      <c r="G56">
        <v>29</v>
      </c>
      <c r="H56">
        <v>1</v>
      </c>
      <c r="I56" t="s">
        <v>555</v>
      </c>
      <c r="J56" t="s">
        <v>3</v>
      </c>
      <c r="K56" t="s">
        <v>556</v>
      </c>
      <c r="L56">
        <v>1191</v>
      </c>
      <c r="N56">
        <v>1013</v>
      </c>
      <c r="O56" t="s">
        <v>557</v>
      </c>
      <c r="P56" t="s">
        <v>557</v>
      </c>
      <c r="Q56">
        <v>1</v>
      </c>
      <c r="W56">
        <v>0</v>
      </c>
      <c r="X56">
        <v>476480486</v>
      </c>
      <c r="Y56">
        <v>16.559999999999999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1</v>
      </c>
      <c r="AJ56">
        <v>1</v>
      </c>
      <c r="AK56">
        <v>1</v>
      </c>
      <c r="AL56">
        <v>1</v>
      </c>
      <c r="AN56">
        <v>0</v>
      </c>
      <c r="AO56">
        <v>1</v>
      </c>
      <c r="AP56">
        <v>0</v>
      </c>
      <c r="AQ56">
        <v>0</v>
      </c>
      <c r="AR56">
        <v>0</v>
      </c>
      <c r="AS56" t="s">
        <v>3</v>
      </c>
      <c r="AT56">
        <v>16.559999999999999</v>
      </c>
      <c r="AU56" t="s">
        <v>3</v>
      </c>
      <c r="AV56">
        <v>1</v>
      </c>
      <c r="AW56">
        <v>2</v>
      </c>
      <c r="AX56">
        <v>43095402</v>
      </c>
      <c r="AY56">
        <v>1</v>
      </c>
      <c r="AZ56">
        <v>0</v>
      </c>
      <c r="BA56">
        <v>50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X56">
        <f>Y56*Source!I51</f>
        <v>0</v>
      </c>
      <c r="CY56">
        <f>AD56</f>
        <v>0</v>
      </c>
      <c r="CZ56">
        <f>AH56</f>
        <v>0</v>
      </c>
      <c r="DA56">
        <f>AL56</f>
        <v>1</v>
      </c>
      <c r="DB56">
        <f t="shared" si="8"/>
        <v>0</v>
      </c>
      <c r="DC56">
        <f t="shared" si="9"/>
        <v>0</v>
      </c>
    </row>
    <row r="57" spans="1:107" x14ac:dyDescent="0.2">
      <c r="A57">
        <f>ROW(Source!A51)</f>
        <v>51</v>
      </c>
      <c r="B57">
        <v>43095088</v>
      </c>
      <c r="C57">
        <v>43095393</v>
      </c>
      <c r="D57">
        <v>42302395</v>
      </c>
      <c r="E57">
        <v>1</v>
      </c>
      <c r="F57">
        <v>1</v>
      </c>
      <c r="G57">
        <v>29</v>
      </c>
      <c r="H57">
        <v>2</v>
      </c>
      <c r="I57" t="s">
        <v>607</v>
      </c>
      <c r="J57" t="s">
        <v>608</v>
      </c>
      <c r="K57" t="s">
        <v>609</v>
      </c>
      <c r="L57">
        <v>1368</v>
      </c>
      <c r="N57">
        <v>1011</v>
      </c>
      <c r="O57" t="s">
        <v>480</v>
      </c>
      <c r="P57" t="s">
        <v>480</v>
      </c>
      <c r="Q57">
        <v>1</v>
      </c>
      <c r="W57">
        <v>0</v>
      </c>
      <c r="X57">
        <v>-1171028791</v>
      </c>
      <c r="Y57">
        <v>0.72</v>
      </c>
      <c r="AA57">
        <v>0</v>
      </c>
      <c r="AB57">
        <v>721.99</v>
      </c>
      <c r="AC57">
        <v>389.83</v>
      </c>
      <c r="AD57">
        <v>0</v>
      </c>
      <c r="AE57">
        <v>0</v>
      </c>
      <c r="AF57">
        <v>721.99</v>
      </c>
      <c r="AG57">
        <v>389.83</v>
      </c>
      <c r="AH57">
        <v>0</v>
      </c>
      <c r="AI57">
        <v>1</v>
      </c>
      <c r="AJ57">
        <v>1</v>
      </c>
      <c r="AK57">
        <v>1</v>
      </c>
      <c r="AL57">
        <v>1</v>
      </c>
      <c r="AN57">
        <v>0</v>
      </c>
      <c r="AO57">
        <v>1</v>
      </c>
      <c r="AP57">
        <v>0</v>
      </c>
      <c r="AQ57">
        <v>0</v>
      </c>
      <c r="AR57">
        <v>0</v>
      </c>
      <c r="AS57" t="s">
        <v>3</v>
      </c>
      <c r="AT57">
        <v>0.72</v>
      </c>
      <c r="AU57" t="s">
        <v>3</v>
      </c>
      <c r="AV57">
        <v>0</v>
      </c>
      <c r="AW57">
        <v>2</v>
      </c>
      <c r="AX57">
        <v>43095403</v>
      </c>
      <c r="AY57">
        <v>1</v>
      </c>
      <c r="AZ57">
        <v>0</v>
      </c>
      <c r="BA57">
        <v>51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X57">
        <f>Y57*Source!I51</f>
        <v>0</v>
      </c>
      <c r="CY57">
        <f>AB57</f>
        <v>721.99</v>
      </c>
      <c r="CZ57">
        <f>AF57</f>
        <v>721.99</v>
      </c>
      <c r="DA57">
        <f>AJ57</f>
        <v>1</v>
      </c>
      <c r="DB57">
        <f t="shared" si="8"/>
        <v>519.83000000000004</v>
      </c>
      <c r="DC57">
        <f t="shared" si="9"/>
        <v>280.68</v>
      </c>
    </row>
    <row r="58" spans="1:107" x14ac:dyDescent="0.2">
      <c r="A58">
        <f>ROW(Source!A51)</f>
        <v>51</v>
      </c>
      <c r="B58">
        <v>43095088</v>
      </c>
      <c r="C58">
        <v>43095393</v>
      </c>
      <c r="D58">
        <v>0</v>
      </c>
      <c r="E58">
        <v>0</v>
      </c>
      <c r="F58">
        <v>1</v>
      </c>
      <c r="G58">
        <v>29</v>
      </c>
      <c r="H58">
        <v>3</v>
      </c>
      <c r="I58" t="s">
        <v>34</v>
      </c>
      <c r="J58" t="s">
        <v>3</v>
      </c>
      <c r="K58" t="s">
        <v>3</v>
      </c>
      <c r="L58">
        <v>0</v>
      </c>
      <c r="W58">
        <v>0</v>
      </c>
      <c r="X58">
        <v>749206967</v>
      </c>
      <c r="Y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1</v>
      </c>
      <c r="AJ58">
        <v>1</v>
      </c>
      <c r="AK58">
        <v>1</v>
      </c>
      <c r="AL58">
        <v>1</v>
      </c>
      <c r="AN58">
        <v>0</v>
      </c>
      <c r="AO58">
        <v>0</v>
      </c>
      <c r="AP58">
        <v>0</v>
      </c>
      <c r="AQ58">
        <v>0</v>
      </c>
      <c r="AR58">
        <v>0</v>
      </c>
      <c r="AS58" t="s">
        <v>3</v>
      </c>
      <c r="AT58">
        <v>0</v>
      </c>
      <c r="AU58" t="s">
        <v>3</v>
      </c>
      <c r="AV58">
        <v>0</v>
      </c>
      <c r="AW58">
        <v>1</v>
      </c>
      <c r="AX58">
        <v>-1</v>
      </c>
      <c r="AY58">
        <v>0</v>
      </c>
      <c r="AZ58">
        <v>0</v>
      </c>
      <c r="BA58" t="s">
        <v>3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X58">
        <f>Y58*Source!I51</f>
        <v>0</v>
      </c>
      <c r="CY58">
        <f>AA58</f>
        <v>0</v>
      </c>
      <c r="CZ58">
        <f>AE58</f>
        <v>0</v>
      </c>
      <c r="DA58">
        <f>AI58</f>
        <v>1</v>
      </c>
      <c r="DB58">
        <f t="shared" si="8"/>
        <v>0</v>
      </c>
      <c r="DC58">
        <f t="shared" si="9"/>
        <v>0</v>
      </c>
    </row>
    <row r="59" spans="1:107" x14ac:dyDescent="0.2">
      <c r="A59">
        <f>ROW(Source!A55)</f>
        <v>55</v>
      </c>
      <c r="B59">
        <v>43095088</v>
      </c>
      <c r="C59">
        <v>43095406</v>
      </c>
      <c r="D59">
        <v>42301367</v>
      </c>
      <c r="E59">
        <v>29</v>
      </c>
      <c r="F59">
        <v>1</v>
      </c>
      <c r="G59">
        <v>29</v>
      </c>
      <c r="H59">
        <v>1</v>
      </c>
      <c r="I59" t="s">
        <v>555</v>
      </c>
      <c r="J59" t="s">
        <v>3</v>
      </c>
      <c r="K59" t="s">
        <v>556</v>
      </c>
      <c r="L59">
        <v>1191</v>
      </c>
      <c r="N59">
        <v>1013</v>
      </c>
      <c r="O59" t="s">
        <v>557</v>
      </c>
      <c r="P59" t="s">
        <v>557</v>
      </c>
      <c r="Q59">
        <v>1</v>
      </c>
      <c r="W59">
        <v>0</v>
      </c>
      <c r="X59">
        <v>476480486</v>
      </c>
      <c r="Y59">
        <v>1.18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1</v>
      </c>
      <c r="AJ59">
        <v>1</v>
      </c>
      <c r="AK59">
        <v>1</v>
      </c>
      <c r="AL59">
        <v>1</v>
      </c>
      <c r="AN59">
        <v>0</v>
      </c>
      <c r="AO59">
        <v>1</v>
      </c>
      <c r="AP59">
        <v>0</v>
      </c>
      <c r="AQ59">
        <v>0</v>
      </c>
      <c r="AR59">
        <v>0</v>
      </c>
      <c r="AS59" t="s">
        <v>3</v>
      </c>
      <c r="AT59">
        <v>1.18</v>
      </c>
      <c r="AU59" t="s">
        <v>3</v>
      </c>
      <c r="AV59">
        <v>1</v>
      </c>
      <c r="AW59">
        <v>2</v>
      </c>
      <c r="AX59">
        <v>43095424</v>
      </c>
      <c r="AY59">
        <v>1</v>
      </c>
      <c r="AZ59">
        <v>0</v>
      </c>
      <c r="BA59">
        <v>52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X59">
        <f>Y59*Source!I55</f>
        <v>5.8999999999999995</v>
      </c>
      <c r="CY59">
        <f>AD59</f>
        <v>0</v>
      </c>
      <c r="CZ59">
        <f>AH59</f>
        <v>0</v>
      </c>
      <c r="DA59">
        <f>AL59</f>
        <v>1</v>
      </c>
      <c r="DB59">
        <f t="shared" si="8"/>
        <v>0</v>
      </c>
      <c r="DC59">
        <f t="shared" si="9"/>
        <v>0</v>
      </c>
    </row>
    <row r="60" spans="1:107" x14ac:dyDescent="0.2">
      <c r="A60">
        <f>ROW(Source!A55)</f>
        <v>55</v>
      </c>
      <c r="B60">
        <v>43095088</v>
      </c>
      <c r="C60">
        <v>43095406</v>
      </c>
      <c r="D60">
        <v>42302636</v>
      </c>
      <c r="E60">
        <v>1</v>
      </c>
      <c r="F60">
        <v>1</v>
      </c>
      <c r="G60">
        <v>29</v>
      </c>
      <c r="H60">
        <v>2</v>
      </c>
      <c r="I60" t="s">
        <v>610</v>
      </c>
      <c r="J60" t="s">
        <v>611</v>
      </c>
      <c r="K60" t="s">
        <v>612</v>
      </c>
      <c r="L60">
        <v>1368</v>
      </c>
      <c r="N60">
        <v>1011</v>
      </c>
      <c r="O60" t="s">
        <v>480</v>
      </c>
      <c r="P60" t="s">
        <v>480</v>
      </c>
      <c r="Q60">
        <v>1</v>
      </c>
      <c r="W60">
        <v>0</v>
      </c>
      <c r="X60">
        <v>531549669</v>
      </c>
      <c r="Y60">
        <v>0.88</v>
      </c>
      <c r="AA60">
        <v>0</v>
      </c>
      <c r="AB60">
        <v>782.34</v>
      </c>
      <c r="AC60">
        <v>444.33</v>
      </c>
      <c r="AD60">
        <v>0</v>
      </c>
      <c r="AE60">
        <v>0</v>
      </c>
      <c r="AF60">
        <v>782.34</v>
      </c>
      <c r="AG60">
        <v>444.33</v>
      </c>
      <c r="AH60">
        <v>0</v>
      </c>
      <c r="AI60">
        <v>1</v>
      </c>
      <c r="AJ60">
        <v>1</v>
      </c>
      <c r="AK60">
        <v>1</v>
      </c>
      <c r="AL60">
        <v>1</v>
      </c>
      <c r="AN60">
        <v>0</v>
      </c>
      <c r="AO60">
        <v>1</v>
      </c>
      <c r="AP60">
        <v>0</v>
      </c>
      <c r="AQ60">
        <v>0</v>
      </c>
      <c r="AR60">
        <v>0</v>
      </c>
      <c r="AS60" t="s">
        <v>3</v>
      </c>
      <c r="AT60">
        <v>0.88</v>
      </c>
      <c r="AU60" t="s">
        <v>3</v>
      </c>
      <c r="AV60">
        <v>0</v>
      </c>
      <c r="AW60">
        <v>2</v>
      </c>
      <c r="AX60">
        <v>43095425</v>
      </c>
      <c r="AY60">
        <v>1</v>
      </c>
      <c r="AZ60">
        <v>0</v>
      </c>
      <c r="BA60">
        <v>53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X60">
        <f>Y60*Source!I55</f>
        <v>4.4000000000000004</v>
      </c>
      <c r="CY60">
        <f>AB60</f>
        <v>782.34</v>
      </c>
      <c r="CZ60">
        <f>AF60</f>
        <v>782.34</v>
      </c>
      <c r="DA60">
        <f>AJ60</f>
        <v>1</v>
      </c>
      <c r="DB60">
        <f t="shared" si="8"/>
        <v>688.46</v>
      </c>
      <c r="DC60">
        <f t="shared" si="9"/>
        <v>391.01</v>
      </c>
    </row>
    <row r="61" spans="1:107" x14ac:dyDescent="0.2">
      <c r="A61">
        <f>ROW(Source!A55)</f>
        <v>55</v>
      </c>
      <c r="B61">
        <v>43095088</v>
      </c>
      <c r="C61">
        <v>43095406</v>
      </c>
      <c r="D61">
        <v>42302735</v>
      </c>
      <c r="E61">
        <v>1</v>
      </c>
      <c r="F61">
        <v>1</v>
      </c>
      <c r="G61">
        <v>29</v>
      </c>
      <c r="H61">
        <v>2</v>
      </c>
      <c r="I61" t="s">
        <v>613</v>
      </c>
      <c r="J61" t="s">
        <v>614</v>
      </c>
      <c r="K61" t="s">
        <v>615</v>
      </c>
      <c r="L61">
        <v>1368</v>
      </c>
      <c r="N61">
        <v>1011</v>
      </c>
      <c r="O61" t="s">
        <v>480</v>
      </c>
      <c r="P61" t="s">
        <v>480</v>
      </c>
      <c r="Q61">
        <v>1</v>
      </c>
      <c r="W61">
        <v>0</v>
      </c>
      <c r="X61">
        <v>936884598</v>
      </c>
      <c r="Y61">
        <v>0.28999999999999998</v>
      </c>
      <c r="AA61">
        <v>0</v>
      </c>
      <c r="AB61">
        <v>28.33</v>
      </c>
      <c r="AC61">
        <v>0.14000000000000001</v>
      </c>
      <c r="AD61">
        <v>0</v>
      </c>
      <c r="AE61">
        <v>0</v>
      </c>
      <c r="AF61">
        <v>28.33</v>
      </c>
      <c r="AG61">
        <v>0.14000000000000001</v>
      </c>
      <c r="AH61">
        <v>0</v>
      </c>
      <c r="AI61">
        <v>1</v>
      </c>
      <c r="AJ61">
        <v>1</v>
      </c>
      <c r="AK61">
        <v>1</v>
      </c>
      <c r="AL61">
        <v>1</v>
      </c>
      <c r="AN61">
        <v>0</v>
      </c>
      <c r="AO61">
        <v>1</v>
      </c>
      <c r="AP61">
        <v>0</v>
      </c>
      <c r="AQ61">
        <v>0</v>
      </c>
      <c r="AR61">
        <v>0</v>
      </c>
      <c r="AS61" t="s">
        <v>3</v>
      </c>
      <c r="AT61">
        <v>0.28999999999999998</v>
      </c>
      <c r="AU61" t="s">
        <v>3</v>
      </c>
      <c r="AV61">
        <v>0</v>
      </c>
      <c r="AW61">
        <v>2</v>
      </c>
      <c r="AX61">
        <v>43095426</v>
      </c>
      <c r="AY61">
        <v>1</v>
      </c>
      <c r="AZ61">
        <v>0</v>
      </c>
      <c r="BA61">
        <v>54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X61">
        <f>Y61*Source!I55</f>
        <v>1.45</v>
      </c>
      <c r="CY61">
        <f>AB61</f>
        <v>28.33</v>
      </c>
      <c r="CZ61">
        <f>AF61</f>
        <v>28.33</v>
      </c>
      <c r="DA61">
        <f>AJ61</f>
        <v>1</v>
      </c>
      <c r="DB61">
        <f t="shared" si="8"/>
        <v>8.2200000000000006</v>
      </c>
      <c r="DC61">
        <f t="shared" si="9"/>
        <v>0.04</v>
      </c>
    </row>
    <row r="62" spans="1:107" x14ac:dyDescent="0.2">
      <c r="A62">
        <f>ROW(Source!A55)</f>
        <v>55</v>
      </c>
      <c r="B62">
        <v>43095088</v>
      </c>
      <c r="C62">
        <v>43095406</v>
      </c>
      <c r="D62">
        <v>42303175</v>
      </c>
      <c r="E62">
        <v>1</v>
      </c>
      <c r="F62">
        <v>1</v>
      </c>
      <c r="G62">
        <v>29</v>
      </c>
      <c r="H62">
        <v>2</v>
      </c>
      <c r="I62" t="s">
        <v>616</v>
      </c>
      <c r="J62" t="s">
        <v>617</v>
      </c>
      <c r="K62" t="s">
        <v>618</v>
      </c>
      <c r="L62">
        <v>1368</v>
      </c>
      <c r="N62">
        <v>1011</v>
      </c>
      <c r="O62" t="s">
        <v>480</v>
      </c>
      <c r="P62" t="s">
        <v>480</v>
      </c>
      <c r="Q62">
        <v>1</v>
      </c>
      <c r="W62">
        <v>0</v>
      </c>
      <c r="X62">
        <v>-543502032</v>
      </c>
      <c r="Y62">
        <v>3.62</v>
      </c>
      <c r="AA62">
        <v>0</v>
      </c>
      <c r="AB62">
        <v>6.78</v>
      </c>
      <c r="AC62">
        <v>0.09</v>
      </c>
      <c r="AD62">
        <v>0</v>
      </c>
      <c r="AE62">
        <v>0</v>
      </c>
      <c r="AF62">
        <v>6.78</v>
      </c>
      <c r="AG62">
        <v>0.09</v>
      </c>
      <c r="AH62">
        <v>0</v>
      </c>
      <c r="AI62">
        <v>1</v>
      </c>
      <c r="AJ62">
        <v>1</v>
      </c>
      <c r="AK62">
        <v>1</v>
      </c>
      <c r="AL62">
        <v>1</v>
      </c>
      <c r="AN62">
        <v>0</v>
      </c>
      <c r="AO62">
        <v>1</v>
      </c>
      <c r="AP62">
        <v>0</v>
      </c>
      <c r="AQ62">
        <v>0</v>
      </c>
      <c r="AR62">
        <v>0</v>
      </c>
      <c r="AS62" t="s">
        <v>3</v>
      </c>
      <c r="AT62">
        <v>3.62</v>
      </c>
      <c r="AU62" t="s">
        <v>3</v>
      </c>
      <c r="AV62">
        <v>0</v>
      </c>
      <c r="AW62">
        <v>2</v>
      </c>
      <c r="AX62">
        <v>43095427</v>
      </c>
      <c r="AY62">
        <v>1</v>
      </c>
      <c r="AZ62">
        <v>0</v>
      </c>
      <c r="BA62">
        <v>55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X62">
        <f>Y62*Source!I55</f>
        <v>18.100000000000001</v>
      </c>
      <c r="CY62">
        <f>AB62</f>
        <v>6.78</v>
      </c>
      <c r="CZ62">
        <f>AF62</f>
        <v>6.78</v>
      </c>
      <c r="DA62">
        <f>AJ62</f>
        <v>1</v>
      </c>
      <c r="DB62">
        <f t="shared" si="8"/>
        <v>24.54</v>
      </c>
      <c r="DC62">
        <f t="shared" si="9"/>
        <v>0.33</v>
      </c>
    </row>
    <row r="63" spans="1:107" x14ac:dyDescent="0.2">
      <c r="A63">
        <f>ROW(Source!A55)</f>
        <v>55</v>
      </c>
      <c r="B63">
        <v>43095088</v>
      </c>
      <c r="C63">
        <v>43095406</v>
      </c>
      <c r="D63">
        <v>42301761</v>
      </c>
      <c r="E63">
        <v>29</v>
      </c>
      <c r="F63">
        <v>1</v>
      </c>
      <c r="G63">
        <v>29</v>
      </c>
      <c r="H63">
        <v>3</v>
      </c>
      <c r="I63" t="s">
        <v>619</v>
      </c>
      <c r="J63" t="s">
        <v>3</v>
      </c>
      <c r="K63" t="s">
        <v>620</v>
      </c>
      <c r="L63">
        <v>1348</v>
      </c>
      <c r="N63">
        <v>1009</v>
      </c>
      <c r="O63" t="s">
        <v>402</v>
      </c>
      <c r="P63" t="s">
        <v>402</v>
      </c>
      <c r="Q63">
        <v>1000</v>
      </c>
      <c r="W63">
        <v>0</v>
      </c>
      <c r="X63">
        <v>-783086922</v>
      </c>
      <c r="Y63">
        <v>0.01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1</v>
      </c>
      <c r="AJ63">
        <v>1</v>
      </c>
      <c r="AK63">
        <v>1</v>
      </c>
      <c r="AL63">
        <v>1</v>
      </c>
      <c r="AN63">
        <v>0</v>
      </c>
      <c r="AO63">
        <v>1</v>
      </c>
      <c r="AP63">
        <v>0</v>
      </c>
      <c r="AQ63">
        <v>0</v>
      </c>
      <c r="AR63">
        <v>0</v>
      </c>
      <c r="AS63" t="s">
        <v>3</v>
      </c>
      <c r="AT63">
        <v>0.01</v>
      </c>
      <c r="AU63" t="s">
        <v>3</v>
      </c>
      <c r="AV63">
        <v>0</v>
      </c>
      <c r="AW63">
        <v>2</v>
      </c>
      <c r="AX63">
        <v>43095428</v>
      </c>
      <c r="AY63">
        <v>1</v>
      </c>
      <c r="AZ63">
        <v>0</v>
      </c>
      <c r="BA63">
        <v>56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X63">
        <f>Y63*Source!I55</f>
        <v>0.05</v>
      </c>
      <c r="CY63">
        <f>AA63</f>
        <v>0</v>
      </c>
      <c r="CZ63">
        <f>AE63</f>
        <v>0</v>
      </c>
      <c r="DA63">
        <f>AI63</f>
        <v>1</v>
      </c>
      <c r="DB63">
        <f t="shared" si="8"/>
        <v>0</v>
      </c>
      <c r="DC63">
        <f t="shared" si="9"/>
        <v>0</v>
      </c>
    </row>
    <row r="64" spans="1:107" x14ac:dyDescent="0.2">
      <c r="A64">
        <f>ROW(Source!A58)</f>
        <v>58</v>
      </c>
      <c r="B64">
        <v>43095088</v>
      </c>
      <c r="C64">
        <v>43095431</v>
      </c>
      <c r="D64">
        <v>42301367</v>
      </c>
      <c r="E64">
        <v>29</v>
      </c>
      <c r="F64">
        <v>1</v>
      </c>
      <c r="G64">
        <v>29</v>
      </c>
      <c r="H64">
        <v>1</v>
      </c>
      <c r="I64" t="s">
        <v>555</v>
      </c>
      <c r="J64" t="s">
        <v>3</v>
      </c>
      <c r="K64" t="s">
        <v>556</v>
      </c>
      <c r="L64">
        <v>1191</v>
      </c>
      <c r="N64">
        <v>1013</v>
      </c>
      <c r="O64" t="s">
        <v>557</v>
      </c>
      <c r="P64" t="s">
        <v>557</v>
      </c>
      <c r="Q64">
        <v>1</v>
      </c>
      <c r="W64">
        <v>0</v>
      </c>
      <c r="X64">
        <v>476480486</v>
      </c>
      <c r="Y64">
        <v>0.6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1</v>
      </c>
      <c r="AJ64">
        <v>1</v>
      </c>
      <c r="AK64">
        <v>1</v>
      </c>
      <c r="AL64">
        <v>1</v>
      </c>
      <c r="AN64">
        <v>0</v>
      </c>
      <c r="AO64">
        <v>1</v>
      </c>
      <c r="AP64">
        <v>0</v>
      </c>
      <c r="AQ64">
        <v>0</v>
      </c>
      <c r="AR64">
        <v>0</v>
      </c>
      <c r="AS64" t="s">
        <v>3</v>
      </c>
      <c r="AT64">
        <v>0.6</v>
      </c>
      <c r="AU64" t="s">
        <v>3</v>
      </c>
      <c r="AV64">
        <v>1</v>
      </c>
      <c r="AW64">
        <v>2</v>
      </c>
      <c r="AX64">
        <v>43095436</v>
      </c>
      <c r="AY64">
        <v>1</v>
      </c>
      <c r="AZ64">
        <v>0</v>
      </c>
      <c r="BA64">
        <v>57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X64">
        <f>Y64*Source!I58</f>
        <v>13.799999999999999</v>
      </c>
      <c r="CY64">
        <f>AD64</f>
        <v>0</v>
      </c>
      <c r="CZ64">
        <f>AH64</f>
        <v>0</v>
      </c>
      <c r="DA64">
        <f>AL64</f>
        <v>1</v>
      </c>
      <c r="DB64">
        <f t="shared" si="8"/>
        <v>0</v>
      </c>
      <c r="DC64">
        <f t="shared" si="9"/>
        <v>0</v>
      </c>
    </row>
    <row r="65" spans="1:107" x14ac:dyDescent="0.2">
      <c r="A65">
        <f>ROW(Source!A60)</f>
        <v>60</v>
      </c>
      <c r="B65">
        <v>43095088</v>
      </c>
      <c r="C65">
        <v>43095438</v>
      </c>
      <c r="D65">
        <v>42301367</v>
      </c>
      <c r="E65">
        <v>29</v>
      </c>
      <c r="F65">
        <v>1</v>
      </c>
      <c r="G65">
        <v>29</v>
      </c>
      <c r="H65">
        <v>1</v>
      </c>
      <c r="I65" t="s">
        <v>555</v>
      </c>
      <c r="J65" t="s">
        <v>3</v>
      </c>
      <c r="K65" t="s">
        <v>556</v>
      </c>
      <c r="L65">
        <v>1191</v>
      </c>
      <c r="N65">
        <v>1013</v>
      </c>
      <c r="O65" t="s">
        <v>557</v>
      </c>
      <c r="P65" t="s">
        <v>557</v>
      </c>
      <c r="Q65">
        <v>1</v>
      </c>
      <c r="W65">
        <v>0</v>
      </c>
      <c r="X65">
        <v>476480486</v>
      </c>
      <c r="Y65">
        <v>17.260000000000002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1</v>
      </c>
      <c r="AJ65">
        <v>1</v>
      </c>
      <c r="AK65">
        <v>1</v>
      </c>
      <c r="AL65">
        <v>1</v>
      </c>
      <c r="AN65">
        <v>0</v>
      </c>
      <c r="AO65">
        <v>1</v>
      </c>
      <c r="AP65">
        <v>0</v>
      </c>
      <c r="AQ65">
        <v>0</v>
      </c>
      <c r="AR65">
        <v>0</v>
      </c>
      <c r="AS65" t="s">
        <v>3</v>
      </c>
      <c r="AT65">
        <v>17.260000000000002</v>
      </c>
      <c r="AU65" t="s">
        <v>3</v>
      </c>
      <c r="AV65">
        <v>1</v>
      </c>
      <c r="AW65">
        <v>2</v>
      </c>
      <c r="AX65">
        <v>43095465</v>
      </c>
      <c r="AY65">
        <v>1</v>
      </c>
      <c r="AZ65">
        <v>0</v>
      </c>
      <c r="BA65">
        <v>58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X65">
        <f>Y65*Source!I60</f>
        <v>3.7972000000000006</v>
      </c>
      <c r="CY65">
        <f>AD65</f>
        <v>0</v>
      </c>
      <c r="CZ65">
        <f>AH65</f>
        <v>0</v>
      </c>
      <c r="DA65">
        <f>AL65</f>
        <v>1</v>
      </c>
      <c r="DB65">
        <f t="shared" ref="DB65:DB96" si="16">ROUND(ROUND(AT65*CZ65,2),6)</f>
        <v>0</v>
      </c>
      <c r="DC65">
        <f t="shared" ref="DC65:DC96" si="17">ROUND(ROUND(AT65*AG65,2),6)</f>
        <v>0</v>
      </c>
    </row>
    <row r="66" spans="1:107" x14ac:dyDescent="0.2">
      <c r="A66">
        <f>ROW(Source!A60)</f>
        <v>60</v>
      </c>
      <c r="B66">
        <v>43095088</v>
      </c>
      <c r="C66">
        <v>43095438</v>
      </c>
      <c r="D66">
        <v>42303205</v>
      </c>
      <c r="E66">
        <v>1</v>
      </c>
      <c r="F66">
        <v>1</v>
      </c>
      <c r="G66">
        <v>29</v>
      </c>
      <c r="H66">
        <v>2</v>
      </c>
      <c r="I66" t="s">
        <v>558</v>
      </c>
      <c r="J66" t="s">
        <v>559</v>
      </c>
      <c r="K66" t="s">
        <v>560</v>
      </c>
      <c r="L66">
        <v>1368</v>
      </c>
      <c r="N66">
        <v>1011</v>
      </c>
      <c r="O66" t="s">
        <v>480</v>
      </c>
      <c r="P66" t="s">
        <v>480</v>
      </c>
      <c r="Q66">
        <v>1</v>
      </c>
      <c r="W66">
        <v>0</v>
      </c>
      <c r="X66">
        <v>259953263</v>
      </c>
      <c r="Y66">
        <v>4.8499999999999996</v>
      </c>
      <c r="AA66">
        <v>0</v>
      </c>
      <c r="AB66">
        <v>8.1</v>
      </c>
      <c r="AC66">
        <v>1.03</v>
      </c>
      <c r="AD66">
        <v>0</v>
      </c>
      <c r="AE66">
        <v>0</v>
      </c>
      <c r="AF66">
        <v>8.1</v>
      </c>
      <c r="AG66">
        <v>1.03</v>
      </c>
      <c r="AH66">
        <v>0</v>
      </c>
      <c r="AI66">
        <v>1</v>
      </c>
      <c r="AJ66">
        <v>1</v>
      </c>
      <c r="AK66">
        <v>1</v>
      </c>
      <c r="AL66">
        <v>1</v>
      </c>
      <c r="AN66">
        <v>0</v>
      </c>
      <c r="AO66">
        <v>1</v>
      </c>
      <c r="AP66">
        <v>0</v>
      </c>
      <c r="AQ66">
        <v>0</v>
      </c>
      <c r="AR66">
        <v>0</v>
      </c>
      <c r="AS66" t="s">
        <v>3</v>
      </c>
      <c r="AT66">
        <v>4.8499999999999996</v>
      </c>
      <c r="AU66" t="s">
        <v>3</v>
      </c>
      <c r="AV66">
        <v>0</v>
      </c>
      <c r="AW66">
        <v>2</v>
      </c>
      <c r="AX66">
        <v>43095466</v>
      </c>
      <c r="AY66">
        <v>1</v>
      </c>
      <c r="AZ66">
        <v>0</v>
      </c>
      <c r="BA66">
        <v>59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X66">
        <f>Y66*Source!I60</f>
        <v>1.0669999999999999</v>
      </c>
      <c r="CY66">
        <f>AB66</f>
        <v>8.1</v>
      </c>
      <c r="CZ66">
        <f>AF66</f>
        <v>8.1</v>
      </c>
      <c r="DA66">
        <f>AJ66</f>
        <v>1</v>
      </c>
      <c r="DB66">
        <f t="shared" si="16"/>
        <v>39.29</v>
      </c>
      <c r="DC66">
        <f t="shared" si="17"/>
        <v>5</v>
      </c>
    </row>
    <row r="67" spans="1:107" x14ac:dyDescent="0.2">
      <c r="A67">
        <f>ROW(Source!A60)</f>
        <v>60</v>
      </c>
      <c r="B67">
        <v>43095088</v>
      </c>
      <c r="C67">
        <v>43095438</v>
      </c>
      <c r="D67">
        <v>42303166</v>
      </c>
      <c r="E67">
        <v>1</v>
      </c>
      <c r="F67">
        <v>1</v>
      </c>
      <c r="G67">
        <v>29</v>
      </c>
      <c r="H67">
        <v>2</v>
      </c>
      <c r="I67" t="s">
        <v>561</v>
      </c>
      <c r="J67" t="s">
        <v>562</v>
      </c>
      <c r="K67" t="s">
        <v>563</v>
      </c>
      <c r="L67">
        <v>1368</v>
      </c>
      <c r="N67">
        <v>1011</v>
      </c>
      <c r="O67" t="s">
        <v>480</v>
      </c>
      <c r="P67" t="s">
        <v>480</v>
      </c>
      <c r="Q67">
        <v>1</v>
      </c>
      <c r="W67">
        <v>0</v>
      </c>
      <c r="X67">
        <v>1197532078</v>
      </c>
      <c r="Y67">
        <v>0.48</v>
      </c>
      <c r="AA67">
        <v>0</v>
      </c>
      <c r="AB67">
        <v>5.17</v>
      </c>
      <c r="AC67">
        <v>0.01</v>
      </c>
      <c r="AD67">
        <v>0</v>
      </c>
      <c r="AE67">
        <v>0</v>
      </c>
      <c r="AF67">
        <v>5.17</v>
      </c>
      <c r="AG67">
        <v>0.01</v>
      </c>
      <c r="AH67">
        <v>0</v>
      </c>
      <c r="AI67">
        <v>1</v>
      </c>
      <c r="AJ67">
        <v>1</v>
      </c>
      <c r="AK67">
        <v>1</v>
      </c>
      <c r="AL67">
        <v>1</v>
      </c>
      <c r="AN67">
        <v>0</v>
      </c>
      <c r="AO67">
        <v>1</v>
      </c>
      <c r="AP67">
        <v>0</v>
      </c>
      <c r="AQ67">
        <v>0</v>
      </c>
      <c r="AR67">
        <v>0</v>
      </c>
      <c r="AS67" t="s">
        <v>3</v>
      </c>
      <c r="AT67">
        <v>0.48</v>
      </c>
      <c r="AU67" t="s">
        <v>3</v>
      </c>
      <c r="AV67">
        <v>0</v>
      </c>
      <c r="AW67">
        <v>2</v>
      </c>
      <c r="AX67">
        <v>43095467</v>
      </c>
      <c r="AY67">
        <v>1</v>
      </c>
      <c r="AZ67">
        <v>0</v>
      </c>
      <c r="BA67">
        <v>60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CX67">
        <f>Y67*Source!I60</f>
        <v>0.1056</v>
      </c>
      <c r="CY67">
        <f>AB67</f>
        <v>5.17</v>
      </c>
      <c r="CZ67">
        <f>AF67</f>
        <v>5.17</v>
      </c>
      <c r="DA67">
        <f>AJ67</f>
        <v>1</v>
      </c>
      <c r="DB67">
        <f t="shared" si="16"/>
        <v>2.48</v>
      </c>
      <c r="DC67">
        <f t="shared" si="17"/>
        <v>0</v>
      </c>
    </row>
    <row r="68" spans="1:107" x14ac:dyDescent="0.2">
      <c r="A68">
        <f>ROW(Source!A60)</f>
        <v>60</v>
      </c>
      <c r="B68">
        <v>43095088</v>
      </c>
      <c r="C68">
        <v>43095438</v>
      </c>
      <c r="D68">
        <v>42304341</v>
      </c>
      <c r="E68">
        <v>1</v>
      </c>
      <c r="F68">
        <v>1</v>
      </c>
      <c r="G68">
        <v>29</v>
      </c>
      <c r="H68">
        <v>3</v>
      </c>
      <c r="I68" t="s">
        <v>621</v>
      </c>
      <c r="J68" t="s">
        <v>622</v>
      </c>
      <c r="K68" t="s">
        <v>623</v>
      </c>
      <c r="L68">
        <v>1348</v>
      </c>
      <c r="N68">
        <v>1009</v>
      </c>
      <c r="O68" t="s">
        <v>402</v>
      </c>
      <c r="P68" t="s">
        <v>402</v>
      </c>
      <c r="Q68">
        <v>1000</v>
      </c>
      <c r="W68">
        <v>0</v>
      </c>
      <c r="X68">
        <v>335561789</v>
      </c>
      <c r="Y68">
        <v>2.2200000000000002E-3</v>
      </c>
      <c r="AA68">
        <v>327543.38</v>
      </c>
      <c r="AB68">
        <v>0</v>
      </c>
      <c r="AC68">
        <v>0</v>
      </c>
      <c r="AD68">
        <v>0</v>
      </c>
      <c r="AE68">
        <v>327543.38</v>
      </c>
      <c r="AF68">
        <v>0</v>
      </c>
      <c r="AG68">
        <v>0</v>
      </c>
      <c r="AH68">
        <v>0</v>
      </c>
      <c r="AI68">
        <v>1</v>
      </c>
      <c r="AJ68">
        <v>1</v>
      </c>
      <c r="AK68">
        <v>1</v>
      </c>
      <c r="AL68">
        <v>1</v>
      </c>
      <c r="AN68">
        <v>0</v>
      </c>
      <c r="AO68">
        <v>1</v>
      </c>
      <c r="AP68">
        <v>0</v>
      </c>
      <c r="AQ68">
        <v>0</v>
      </c>
      <c r="AR68">
        <v>0</v>
      </c>
      <c r="AS68" t="s">
        <v>3</v>
      </c>
      <c r="AT68">
        <v>2.2200000000000002E-3</v>
      </c>
      <c r="AU68" t="s">
        <v>3</v>
      </c>
      <c r="AV68">
        <v>0</v>
      </c>
      <c r="AW68">
        <v>2</v>
      </c>
      <c r="AX68">
        <v>43095468</v>
      </c>
      <c r="AY68">
        <v>1</v>
      </c>
      <c r="AZ68">
        <v>0</v>
      </c>
      <c r="BA68">
        <v>61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CX68">
        <f>Y68*Source!I60</f>
        <v>4.8840000000000005E-4</v>
      </c>
      <c r="CY68">
        <f t="shared" ref="CY68:CY73" si="18">AA68</f>
        <v>327543.38</v>
      </c>
      <c r="CZ68">
        <f t="shared" ref="CZ68:CZ73" si="19">AE68</f>
        <v>327543.38</v>
      </c>
      <c r="DA68">
        <f t="shared" ref="DA68:DA73" si="20">AI68</f>
        <v>1</v>
      </c>
      <c r="DB68">
        <f t="shared" si="16"/>
        <v>727.15</v>
      </c>
      <c r="DC68">
        <f t="shared" si="17"/>
        <v>0</v>
      </c>
    </row>
    <row r="69" spans="1:107" x14ac:dyDescent="0.2">
      <c r="A69">
        <f>ROW(Source!A60)</f>
        <v>60</v>
      </c>
      <c r="B69">
        <v>43095088</v>
      </c>
      <c r="C69">
        <v>43095438</v>
      </c>
      <c r="D69">
        <v>42304431</v>
      </c>
      <c r="E69">
        <v>1</v>
      </c>
      <c r="F69">
        <v>1</v>
      </c>
      <c r="G69">
        <v>29</v>
      </c>
      <c r="H69">
        <v>3</v>
      </c>
      <c r="I69" t="s">
        <v>564</v>
      </c>
      <c r="J69" t="s">
        <v>565</v>
      </c>
      <c r="K69" t="s">
        <v>566</v>
      </c>
      <c r="L69">
        <v>1354</v>
      </c>
      <c r="N69">
        <v>1010</v>
      </c>
      <c r="O69" t="s">
        <v>20</v>
      </c>
      <c r="P69" t="s">
        <v>20</v>
      </c>
      <c r="Q69">
        <v>1</v>
      </c>
      <c r="W69">
        <v>0</v>
      </c>
      <c r="X69">
        <v>447429166</v>
      </c>
      <c r="Y69">
        <v>120</v>
      </c>
      <c r="AA69">
        <v>1.43</v>
      </c>
      <c r="AB69">
        <v>0</v>
      </c>
      <c r="AC69">
        <v>0</v>
      </c>
      <c r="AD69">
        <v>0</v>
      </c>
      <c r="AE69">
        <v>1.43</v>
      </c>
      <c r="AF69">
        <v>0</v>
      </c>
      <c r="AG69">
        <v>0</v>
      </c>
      <c r="AH69">
        <v>0</v>
      </c>
      <c r="AI69">
        <v>1</v>
      </c>
      <c r="AJ69">
        <v>1</v>
      </c>
      <c r="AK69">
        <v>1</v>
      </c>
      <c r="AL69">
        <v>1</v>
      </c>
      <c r="AN69">
        <v>0</v>
      </c>
      <c r="AO69">
        <v>1</v>
      </c>
      <c r="AP69">
        <v>0</v>
      </c>
      <c r="AQ69">
        <v>0</v>
      </c>
      <c r="AR69">
        <v>0</v>
      </c>
      <c r="AS69" t="s">
        <v>3</v>
      </c>
      <c r="AT69">
        <v>120</v>
      </c>
      <c r="AU69" t="s">
        <v>3</v>
      </c>
      <c r="AV69">
        <v>0</v>
      </c>
      <c r="AW69">
        <v>2</v>
      </c>
      <c r="AX69">
        <v>43095469</v>
      </c>
      <c r="AY69">
        <v>1</v>
      </c>
      <c r="AZ69">
        <v>0</v>
      </c>
      <c r="BA69">
        <v>62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CX69">
        <f>Y69*Source!I60</f>
        <v>26.4</v>
      </c>
      <c r="CY69">
        <f t="shared" si="18"/>
        <v>1.43</v>
      </c>
      <c r="CZ69">
        <f t="shared" si="19"/>
        <v>1.43</v>
      </c>
      <c r="DA69">
        <f t="shared" si="20"/>
        <v>1</v>
      </c>
      <c r="DB69">
        <f t="shared" si="16"/>
        <v>171.6</v>
      </c>
      <c r="DC69">
        <f t="shared" si="17"/>
        <v>0</v>
      </c>
    </row>
    <row r="70" spans="1:107" x14ac:dyDescent="0.2">
      <c r="A70">
        <f>ROW(Source!A60)</f>
        <v>60</v>
      </c>
      <c r="B70">
        <v>43095088</v>
      </c>
      <c r="C70">
        <v>43095438</v>
      </c>
      <c r="D70">
        <v>42309183</v>
      </c>
      <c r="E70">
        <v>1</v>
      </c>
      <c r="F70">
        <v>1</v>
      </c>
      <c r="G70">
        <v>29</v>
      </c>
      <c r="H70">
        <v>3</v>
      </c>
      <c r="I70" t="s">
        <v>624</v>
      </c>
      <c r="J70" t="s">
        <v>625</v>
      </c>
      <c r="K70" t="s">
        <v>626</v>
      </c>
      <c r="L70">
        <v>1301</v>
      </c>
      <c r="N70">
        <v>1003</v>
      </c>
      <c r="O70" t="s">
        <v>64</v>
      </c>
      <c r="P70" t="s">
        <v>64</v>
      </c>
      <c r="Q70">
        <v>1</v>
      </c>
      <c r="W70">
        <v>0</v>
      </c>
      <c r="X70">
        <v>436151271</v>
      </c>
      <c r="Y70">
        <v>102</v>
      </c>
      <c r="AA70">
        <v>12.1</v>
      </c>
      <c r="AB70">
        <v>0</v>
      </c>
      <c r="AC70">
        <v>0</v>
      </c>
      <c r="AD70">
        <v>0</v>
      </c>
      <c r="AE70">
        <v>12.1</v>
      </c>
      <c r="AF70">
        <v>0</v>
      </c>
      <c r="AG70">
        <v>0</v>
      </c>
      <c r="AH70">
        <v>0</v>
      </c>
      <c r="AI70">
        <v>1</v>
      </c>
      <c r="AJ70">
        <v>1</v>
      </c>
      <c r="AK70">
        <v>1</v>
      </c>
      <c r="AL70">
        <v>1</v>
      </c>
      <c r="AN70">
        <v>0</v>
      </c>
      <c r="AO70">
        <v>1</v>
      </c>
      <c r="AP70">
        <v>0</v>
      </c>
      <c r="AQ70">
        <v>0</v>
      </c>
      <c r="AR70">
        <v>0</v>
      </c>
      <c r="AS70" t="s">
        <v>3</v>
      </c>
      <c r="AT70">
        <v>102</v>
      </c>
      <c r="AU70" t="s">
        <v>3</v>
      </c>
      <c r="AV70">
        <v>0</v>
      </c>
      <c r="AW70">
        <v>2</v>
      </c>
      <c r="AX70">
        <v>43095470</v>
      </c>
      <c r="AY70">
        <v>1</v>
      </c>
      <c r="AZ70">
        <v>0</v>
      </c>
      <c r="BA70">
        <v>63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CX70">
        <f>Y70*Source!I60</f>
        <v>22.44</v>
      </c>
      <c r="CY70">
        <f t="shared" si="18"/>
        <v>12.1</v>
      </c>
      <c r="CZ70">
        <f t="shared" si="19"/>
        <v>12.1</v>
      </c>
      <c r="DA70">
        <f t="shared" si="20"/>
        <v>1</v>
      </c>
      <c r="DB70">
        <f t="shared" si="16"/>
        <v>1234.2</v>
      </c>
      <c r="DC70">
        <f t="shared" si="17"/>
        <v>0</v>
      </c>
    </row>
    <row r="71" spans="1:107" x14ac:dyDescent="0.2">
      <c r="A71">
        <f>ROW(Source!A60)</f>
        <v>60</v>
      </c>
      <c r="B71">
        <v>43095088</v>
      </c>
      <c r="C71">
        <v>43095438</v>
      </c>
      <c r="D71">
        <v>42312389</v>
      </c>
      <c r="E71">
        <v>1</v>
      </c>
      <c r="F71">
        <v>1</v>
      </c>
      <c r="G71">
        <v>29</v>
      </c>
      <c r="H71">
        <v>3</v>
      </c>
      <c r="I71" t="s">
        <v>627</v>
      </c>
      <c r="J71" t="s">
        <v>628</v>
      </c>
      <c r="K71" t="s">
        <v>629</v>
      </c>
      <c r="L71">
        <v>1355</v>
      </c>
      <c r="N71">
        <v>1010</v>
      </c>
      <c r="O71" t="s">
        <v>342</v>
      </c>
      <c r="P71" t="s">
        <v>342</v>
      </c>
      <c r="Q71">
        <v>100</v>
      </c>
      <c r="W71">
        <v>0</v>
      </c>
      <c r="X71">
        <v>-1648766190</v>
      </c>
      <c r="Y71">
        <v>1</v>
      </c>
      <c r="AA71">
        <v>261.24</v>
      </c>
      <c r="AB71">
        <v>0</v>
      </c>
      <c r="AC71">
        <v>0</v>
      </c>
      <c r="AD71">
        <v>0</v>
      </c>
      <c r="AE71">
        <v>261.24</v>
      </c>
      <c r="AF71">
        <v>0</v>
      </c>
      <c r="AG71">
        <v>0</v>
      </c>
      <c r="AH71">
        <v>0</v>
      </c>
      <c r="AI71">
        <v>1</v>
      </c>
      <c r="AJ71">
        <v>1</v>
      </c>
      <c r="AK71">
        <v>1</v>
      </c>
      <c r="AL71">
        <v>1</v>
      </c>
      <c r="AN71">
        <v>0</v>
      </c>
      <c r="AO71">
        <v>1</v>
      </c>
      <c r="AP71">
        <v>0</v>
      </c>
      <c r="AQ71">
        <v>0</v>
      </c>
      <c r="AR71">
        <v>0</v>
      </c>
      <c r="AS71" t="s">
        <v>3</v>
      </c>
      <c r="AT71">
        <v>1</v>
      </c>
      <c r="AU71" t="s">
        <v>3</v>
      </c>
      <c r="AV71">
        <v>0</v>
      </c>
      <c r="AW71">
        <v>2</v>
      </c>
      <c r="AX71">
        <v>43095471</v>
      </c>
      <c r="AY71">
        <v>1</v>
      </c>
      <c r="AZ71">
        <v>0</v>
      </c>
      <c r="BA71">
        <v>64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CX71">
        <f>Y71*Source!I60</f>
        <v>0.22</v>
      </c>
      <c r="CY71">
        <f t="shared" si="18"/>
        <v>261.24</v>
      </c>
      <c r="CZ71">
        <f t="shared" si="19"/>
        <v>261.24</v>
      </c>
      <c r="DA71">
        <f t="shared" si="20"/>
        <v>1</v>
      </c>
      <c r="DB71">
        <f t="shared" si="16"/>
        <v>261.24</v>
      </c>
      <c r="DC71">
        <f t="shared" si="17"/>
        <v>0</v>
      </c>
    </row>
    <row r="72" spans="1:107" x14ac:dyDescent="0.2">
      <c r="A72">
        <f>ROW(Source!A60)</f>
        <v>60</v>
      </c>
      <c r="B72">
        <v>43095088</v>
      </c>
      <c r="C72">
        <v>43095438</v>
      </c>
      <c r="D72">
        <v>42312111</v>
      </c>
      <c r="E72">
        <v>1</v>
      </c>
      <c r="F72">
        <v>1</v>
      </c>
      <c r="G72">
        <v>29</v>
      </c>
      <c r="H72">
        <v>3</v>
      </c>
      <c r="I72" t="s">
        <v>152</v>
      </c>
      <c r="J72" t="s">
        <v>154</v>
      </c>
      <c r="K72" t="s">
        <v>153</v>
      </c>
      <c r="L72">
        <v>1354</v>
      </c>
      <c r="N72">
        <v>1010</v>
      </c>
      <c r="O72" t="s">
        <v>20</v>
      </c>
      <c r="P72" t="s">
        <v>20</v>
      </c>
      <c r="Q72">
        <v>1</v>
      </c>
      <c r="W72">
        <v>1</v>
      </c>
      <c r="X72">
        <v>1056150913</v>
      </c>
      <c r="Y72">
        <v>-5</v>
      </c>
      <c r="AA72">
        <v>30.24</v>
      </c>
      <c r="AB72">
        <v>0</v>
      </c>
      <c r="AC72">
        <v>0</v>
      </c>
      <c r="AD72">
        <v>0</v>
      </c>
      <c r="AE72">
        <v>30.24</v>
      </c>
      <c r="AF72">
        <v>0</v>
      </c>
      <c r="AG72">
        <v>0</v>
      </c>
      <c r="AH72">
        <v>0</v>
      </c>
      <c r="AI72">
        <v>1</v>
      </c>
      <c r="AJ72">
        <v>1</v>
      </c>
      <c r="AK72">
        <v>1</v>
      </c>
      <c r="AL72">
        <v>1</v>
      </c>
      <c r="AN72">
        <v>0</v>
      </c>
      <c r="AO72">
        <v>1</v>
      </c>
      <c r="AP72">
        <v>0</v>
      </c>
      <c r="AQ72">
        <v>0</v>
      </c>
      <c r="AR72">
        <v>0</v>
      </c>
      <c r="AS72" t="s">
        <v>3</v>
      </c>
      <c r="AT72">
        <v>-5</v>
      </c>
      <c r="AU72" t="s">
        <v>3</v>
      </c>
      <c r="AV72">
        <v>0</v>
      </c>
      <c r="AW72">
        <v>2</v>
      </c>
      <c r="AX72">
        <v>43095472</v>
      </c>
      <c r="AY72">
        <v>1</v>
      </c>
      <c r="AZ72">
        <v>6144</v>
      </c>
      <c r="BA72">
        <v>65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CX72">
        <f>Y72*Source!I60</f>
        <v>-1.1000000000000001</v>
      </c>
      <c r="CY72">
        <f t="shared" si="18"/>
        <v>30.24</v>
      </c>
      <c r="CZ72">
        <f t="shared" si="19"/>
        <v>30.24</v>
      </c>
      <c r="DA72">
        <f t="shared" si="20"/>
        <v>1</v>
      </c>
      <c r="DB72">
        <f t="shared" si="16"/>
        <v>-151.19999999999999</v>
      </c>
      <c r="DC72">
        <f t="shared" si="17"/>
        <v>0</v>
      </c>
    </row>
    <row r="73" spans="1:107" x14ac:dyDescent="0.2">
      <c r="A73">
        <f>ROW(Source!A60)</f>
        <v>60</v>
      </c>
      <c r="B73">
        <v>43095088</v>
      </c>
      <c r="C73">
        <v>43095438</v>
      </c>
      <c r="D73">
        <v>42307470</v>
      </c>
      <c r="E73">
        <v>1</v>
      </c>
      <c r="F73">
        <v>1</v>
      </c>
      <c r="G73">
        <v>29</v>
      </c>
      <c r="H73">
        <v>3</v>
      </c>
      <c r="I73" t="s">
        <v>630</v>
      </c>
      <c r="J73" t="s">
        <v>631</v>
      </c>
      <c r="K73" t="s">
        <v>632</v>
      </c>
      <c r="L73">
        <v>1354</v>
      </c>
      <c r="N73">
        <v>1010</v>
      </c>
      <c r="O73" t="s">
        <v>20</v>
      </c>
      <c r="P73" t="s">
        <v>20</v>
      </c>
      <c r="Q73">
        <v>1</v>
      </c>
      <c r="W73">
        <v>0</v>
      </c>
      <c r="X73">
        <v>-415068326</v>
      </c>
      <c r="Y73">
        <v>1.5</v>
      </c>
      <c r="AA73">
        <v>246.94</v>
      </c>
      <c r="AB73">
        <v>0</v>
      </c>
      <c r="AC73">
        <v>0</v>
      </c>
      <c r="AD73">
        <v>0</v>
      </c>
      <c r="AE73">
        <v>246.94</v>
      </c>
      <c r="AF73">
        <v>0</v>
      </c>
      <c r="AG73">
        <v>0</v>
      </c>
      <c r="AH73">
        <v>0</v>
      </c>
      <c r="AI73">
        <v>1</v>
      </c>
      <c r="AJ73">
        <v>1</v>
      </c>
      <c r="AK73">
        <v>1</v>
      </c>
      <c r="AL73">
        <v>1</v>
      </c>
      <c r="AN73">
        <v>0</v>
      </c>
      <c r="AO73">
        <v>1</v>
      </c>
      <c r="AP73">
        <v>0</v>
      </c>
      <c r="AQ73">
        <v>0</v>
      </c>
      <c r="AR73">
        <v>0</v>
      </c>
      <c r="AS73" t="s">
        <v>3</v>
      </c>
      <c r="AT73">
        <v>1.5</v>
      </c>
      <c r="AU73" t="s">
        <v>3</v>
      </c>
      <c r="AV73">
        <v>0</v>
      </c>
      <c r="AW73">
        <v>2</v>
      </c>
      <c r="AX73">
        <v>43095473</v>
      </c>
      <c r="AY73">
        <v>1</v>
      </c>
      <c r="AZ73">
        <v>0</v>
      </c>
      <c r="BA73">
        <v>66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CX73">
        <f>Y73*Source!I60</f>
        <v>0.33</v>
      </c>
      <c r="CY73">
        <f t="shared" si="18"/>
        <v>246.94</v>
      </c>
      <c r="CZ73">
        <f t="shared" si="19"/>
        <v>246.94</v>
      </c>
      <c r="DA73">
        <f t="shared" si="20"/>
        <v>1</v>
      </c>
      <c r="DB73">
        <f t="shared" si="16"/>
        <v>370.41</v>
      </c>
      <c r="DC73">
        <f t="shared" si="17"/>
        <v>0</v>
      </c>
    </row>
    <row r="74" spans="1:107" x14ac:dyDescent="0.2">
      <c r="A74">
        <f>ROW(Source!A62)</f>
        <v>62</v>
      </c>
      <c r="B74">
        <v>43095088</v>
      </c>
      <c r="C74">
        <v>43095475</v>
      </c>
      <c r="D74">
        <v>42301367</v>
      </c>
      <c r="E74">
        <v>29</v>
      </c>
      <c r="F74">
        <v>1</v>
      </c>
      <c r="G74">
        <v>29</v>
      </c>
      <c r="H74">
        <v>1</v>
      </c>
      <c r="I74" t="s">
        <v>555</v>
      </c>
      <c r="J74" t="s">
        <v>3</v>
      </c>
      <c r="K74" t="s">
        <v>556</v>
      </c>
      <c r="L74">
        <v>1191</v>
      </c>
      <c r="N74">
        <v>1013</v>
      </c>
      <c r="O74" t="s">
        <v>557</v>
      </c>
      <c r="P74" t="s">
        <v>557</v>
      </c>
      <c r="Q74">
        <v>1</v>
      </c>
      <c r="W74">
        <v>0</v>
      </c>
      <c r="X74">
        <v>476480486</v>
      </c>
      <c r="Y74">
        <v>8.2899999999999991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1</v>
      </c>
      <c r="AJ74">
        <v>1</v>
      </c>
      <c r="AK74">
        <v>1</v>
      </c>
      <c r="AL74">
        <v>1</v>
      </c>
      <c r="AN74">
        <v>0</v>
      </c>
      <c r="AO74">
        <v>1</v>
      </c>
      <c r="AP74">
        <v>0</v>
      </c>
      <c r="AQ74">
        <v>0</v>
      </c>
      <c r="AR74">
        <v>0</v>
      </c>
      <c r="AS74" t="s">
        <v>3</v>
      </c>
      <c r="AT74">
        <v>8.2899999999999991</v>
      </c>
      <c r="AU74" t="s">
        <v>3</v>
      </c>
      <c r="AV74">
        <v>1</v>
      </c>
      <c r="AW74">
        <v>2</v>
      </c>
      <c r="AX74">
        <v>43095481</v>
      </c>
      <c r="AY74">
        <v>1</v>
      </c>
      <c r="AZ74">
        <v>0</v>
      </c>
      <c r="BA74">
        <v>67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CX74">
        <f>Y74*Source!I62</f>
        <v>1.8237999999999999</v>
      </c>
      <c r="CY74">
        <f>AD74</f>
        <v>0</v>
      </c>
      <c r="CZ74">
        <f>AH74</f>
        <v>0</v>
      </c>
      <c r="DA74">
        <f>AL74</f>
        <v>1</v>
      </c>
      <c r="DB74">
        <f t="shared" si="16"/>
        <v>0</v>
      </c>
      <c r="DC74">
        <f t="shared" si="17"/>
        <v>0</v>
      </c>
    </row>
    <row r="75" spans="1:107" x14ac:dyDescent="0.2">
      <c r="A75">
        <f>ROW(Source!A65)</f>
        <v>65</v>
      </c>
      <c r="B75">
        <v>43095088</v>
      </c>
      <c r="C75">
        <v>43095484</v>
      </c>
      <c r="D75">
        <v>42301367</v>
      </c>
      <c r="E75">
        <v>29</v>
      </c>
      <c r="F75">
        <v>1</v>
      </c>
      <c r="G75">
        <v>29</v>
      </c>
      <c r="H75">
        <v>1</v>
      </c>
      <c r="I75" t="s">
        <v>555</v>
      </c>
      <c r="J75" t="s">
        <v>3</v>
      </c>
      <c r="K75" t="s">
        <v>556</v>
      </c>
      <c r="L75">
        <v>1191</v>
      </c>
      <c r="N75">
        <v>1013</v>
      </c>
      <c r="O75" t="s">
        <v>557</v>
      </c>
      <c r="P75" t="s">
        <v>557</v>
      </c>
      <c r="Q75">
        <v>1</v>
      </c>
      <c r="W75">
        <v>0</v>
      </c>
      <c r="X75">
        <v>476480486</v>
      </c>
      <c r="Y75">
        <v>46.78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1</v>
      </c>
      <c r="AJ75">
        <v>1</v>
      </c>
      <c r="AK75">
        <v>1</v>
      </c>
      <c r="AL75">
        <v>1</v>
      </c>
      <c r="AN75">
        <v>0</v>
      </c>
      <c r="AO75">
        <v>1</v>
      </c>
      <c r="AP75">
        <v>0</v>
      </c>
      <c r="AQ75">
        <v>0</v>
      </c>
      <c r="AR75">
        <v>0</v>
      </c>
      <c r="AS75" t="s">
        <v>3</v>
      </c>
      <c r="AT75">
        <v>46.78</v>
      </c>
      <c r="AU75" t="s">
        <v>3</v>
      </c>
      <c r="AV75">
        <v>1</v>
      </c>
      <c r="AW75">
        <v>2</v>
      </c>
      <c r="AX75">
        <v>43095522</v>
      </c>
      <c r="AY75">
        <v>1</v>
      </c>
      <c r="AZ75">
        <v>0</v>
      </c>
      <c r="BA75">
        <v>68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CX75">
        <f>Y75*Source!I65</f>
        <v>42.569800000000001</v>
      </c>
      <c r="CY75">
        <f>AD75</f>
        <v>0</v>
      </c>
      <c r="CZ75">
        <f>AH75</f>
        <v>0</v>
      </c>
      <c r="DA75">
        <f>AL75</f>
        <v>1</v>
      </c>
      <c r="DB75">
        <f t="shared" si="16"/>
        <v>0</v>
      </c>
      <c r="DC75">
        <f t="shared" si="17"/>
        <v>0</v>
      </c>
    </row>
    <row r="76" spans="1:107" x14ac:dyDescent="0.2">
      <c r="A76">
        <f>ROW(Source!A65)</f>
        <v>65</v>
      </c>
      <c r="B76">
        <v>43095088</v>
      </c>
      <c r="C76">
        <v>43095484</v>
      </c>
      <c r="D76">
        <v>42303124</v>
      </c>
      <c r="E76">
        <v>1</v>
      </c>
      <c r="F76">
        <v>1</v>
      </c>
      <c r="G76">
        <v>29</v>
      </c>
      <c r="H76">
        <v>2</v>
      </c>
      <c r="I76" t="s">
        <v>633</v>
      </c>
      <c r="J76" t="s">
        <v>634</v>
      </c>
      <c r="K76" t="s">
        <v>635</v>
      </c>
      <c r="L76">
        <v>1368</v>
      </c>
      <c r="N76">
        <v>1011</v>
      </c>
      <c r="O76" t="s">
        <v>480</v>
      </c>
      <c r="P76" t="s">
        <v>480</v>
      </c>
      <c r="Q76">
        <v>1</v>
      </c>
      <c r="W76">
        <v>0</v>
      </c>
      <c r="X76">
        <v>-376097338</v>
      </c>
      <c r="Y76">
        <v>13</v>
      </c>
      <c r="AA76">
        <v>0</v>
      </c>
      <c r="AB76">
        <v>3.14</v>
      </c>
      <c r="AC76">
        <v>0.01</v>
      </c>
      <c r="AD76">
        <v>0</v>
      </c>
      <c r="AE76">
        <v>0</v>
      </c>
      <c r="AF76">
        <v>3.14</v>
      </c>
      <c r="AG76">
        <v>0.01</v>
      </c>
      <c r="AH76">
        <v>0</v>
      </c>
      <c r="AI76">
        <v>1</v>
      </c>
      <c r="AJ76">
        <v>1</v>
      </c>
      <c r="AK76">
        <v>1</v>
      </c>
      <c r="AL76">
        <v>1</v>
      </c>
      <c r="AN76">
        <v>0</v>
      </c>
      <c r="AO76">
        <v>1</v>
      </c>
      <c r="AP76">
        <v>0</v>
      </c>
      <c r="AQ76">
        <v>0</v>
      </c>
      <c r="AR76">
        <v>0</v>
      </c>
      <c r="AS76" t="s">
        <v>3</v>
      </c>
      <c r="AT76">
        <v>13</v>
      </c>
      <c r="AU76" t="s">
        <v>3</v>
      </c>
      <c r="AV76">
        <v>0</v>
      </c>
      <c r="AW76">
        <v>2</v>
      </c>
      <c r="AX76">
        <v>43095523</v>
      </c>
      <c r="AY76">
        <v>1</v>
      </c>
      <c r="AZ76">
        <v>0</v>
      </c>
      <c r="BA76">
        <v>69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CX76">
        <f>Y76*Source!I65</f>
        <v>11.83</v>
      </c>
      <c r="CY76">
        <f>AB76</f>
        <v>3.14</v>
      </c>
      <c r="CZ76">
        <f>AF76</f>
        <v>3.14</v>
      </c>
      <c r="DA76">
        <f>AJ76</f>
        <v>1</v>
      </c>
      <c r="DB76">
        <f t="shared" si="16"/>
        <v>40.82</v>
      </c>
      <c r="DC76">
        <f t="shared" si="17"/>
        <v>0.13</v>
      </c>
    </row>
    <row r="77" spans="1:107" x14ac:dyDescent="0.2">
      <c r="A77">
        <f>ROW(Source!A65)</f>
        <v>65</v>
      </c>
      <c r="B77">
        <v>43095088</v>
      </c>
      <c r="C77">
        <v>43095484</v>
      </c>
      <c r="D77">
        <v>42303204</v>
      </c>
      <c r="E77">
        <v>1</v>
      </c>
      <c r="F77">
        <v>1</v>
      </c>
      <c r="G77">
        <v>29</v>
      </c>
      <c r="H77">
        <v>2</v>
      </c>
      <c r="I77" t="s">
        <v>636</v>
      </c>
      <c r="J77" t="s">
        <v>637</v>
      </c>
      <c r="K77" t="s">
        <v>638</v>
      </c>
      <c r="L77">
        <v>1368</v>
      </c>
      <c r="N77">
        <v>1011</v>
      </c>
      <c r="O77" t="s">
        <v>480</v>
      </c>
      <c r="P77" t="s">
        <v>480</v>
      </c>
      <c r="Q77">
        <v>1</v>
      </c>
      <c r="W77">
        <v>0</v>
      </c>
      <c r="X77">
        <v>-1879814166</v>
      </c>
      <c r="Y77">
        <v>0.15</v>
      </c>
      <c r="AA77">
        <v>0</v>
      </c>
      <c r="AB77">
        <v>7.81</v>
      </c>
      <c r="AC77">
        <v>1.03</v>
      </c>
      <c r="AD77">
        <v>0</v>
      </c>
      <c r="AE77">
        <v>0</v>
      </c>
      <c r="AF77">
        <v>7.81</v>
      </c>
      <c r="AG77">
        <v>1.03</v>
      </c>
      <c r="AH77">
        <v>0</v>
      </c>
      <c r="AI77">
        <v>1</v>
      </c>
      <c r="AJ77">
        <v>1</v>
      </c>
      <c r="AK77">
        <v>1</v>
      </c>
      <c r="AL77">
        <v>1</v>
      </c>
      <c r="AN77">
        <v>0</v>
      </c>
      <c r="AO77">
        <v>1</v>
      </c>
      <c r="AP77">
        <v>0</v>
      </c>
      <c r="AQ77">
        <v>0</v>
      </c>
      <c r="AR77">
        <v>0</v>
      </c>
      <c r="AS77" t="s">
        <v>3</v>
      </c>
      <c r="AT77">
        <v>0.15</v>
      </c>
      <c r="AU77" t="s">
        <v>3</v>
      </c>
      <c r="AV77">
        <v>0</v>
      </c>
      <c r="AW77">
        <v>2</v>
      </c>
      <c r="AX77">
        <v>43095524</v>
      </c>
      <c r="AY77">
        <v>1</v>
      </c>
      <c r="AZ77">
        <v>0</v>
      </c>
      <c r="BA77">
        <v>70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CX77">
        <f>Y77*Source!I65</f>
        <v>0.13650000000000001</v>
      </c>
      <c r="CY77">
        <f>AB77</f>
        <v>7.81</v>
      </c>
      <c r="CZ77">
        <f>AF77</f>
        <v>7.81</v>
      </c>
      <c r="DA77">
        <f>AJ77</f>
        <v>1</v>
      </c>
      <c r="DB77">
        <f t="shared" si="16"/>
        <v>1.17</v>
      </c>
      <c r="DC77">
        <f t="shared" si="17"/>
        <v>0.15</v>
      </c>
    </row>
    <row r="78" spans="1:107" x14ac:dyDescent="0.2">
      <c r="A78">
        <f>ROW(Source!A65)</f>
        <v>65</v>
      </c>
      <c r="B78">
        <v>43095088</v>
      </c>
      <c r="C78">
        <v>43095484</v>
      </c>
      <c r="D78">
        <v>42304341</v>
      </c>
      <c r="E78">
        <v>1</v>
      </c>
      <c r="F78">
        <v>1</v>
      </c>
      <c r="G78">
        <v>29</v>
      </c>
      <c r="H78">
        <v>3</v>
      </c>
      <c r="I78" t="s">
        <v>621</v>
      </c>
      <c r="J78" t="s">
        <v>622</v>
      </c>
      <c r="K78" t="s">
        <v>623</v>
      </c>
      <c r="L78">
        <v>1348</v>
      </c>
      <c r="N78">
        <v>1009</v>
      </c>
      <c r="O78" t="s">
        <v>402</v>
      </c>
      <c r="P78" t="s">
        <v>402</v>
      </c>
      <c r="Q78">
        <v>1000</v>
      </c>
      <c r="W78">
        <v>0</v>
      </c>
      <c r="X78">
        <v>335561789</v>
      </c>
      <c r="Y78">
        <v>7.3999999999999999E-4</v>
      </c>
      <c r="AA78">
        <v>327543.38</v>
      </c>
      <c r="AB78">
        <v>0</v>
      </c>
      <c r="AC78">
        <v>0</v>
      </c>
      <c r="AD78">
        <v>0</v>
      </c>
      <c r="AE78">
        <v>327543.38</v>
      </c>
      <c r="AF78">
        <v>0</v>
      </c>
      <c r="AG78">
        <v>0</v>
      </c>
      <c r="AH78">
        <v>0</v>
      </c>
      <c r="AI78">
        <v>1</v>
      </c>
      <c r="AJ78">
        <v>1</v>
      </c>
      <c r="AK78">
        <v>1</v>
      </c>
      <c r="AL78">
        <v>1</v>
      </c>
      <c r="AN78">
        <v>0</v>
      </c>
      <c r="AO78">
        <v>1</v>
      </c>
      <c r="AP78">
        <v>0</v>
      </c>
      <c r="AQ78">
        <v>0</v>
      </c>
      <c r="AR78">
        <v>0</v>
      </c>
      <c r="AS78" t="s">
        <v>3</v>
      </c>
      <c r="AT78">
        <v>7.3999999999999999E-4</v>
      </c>
      <c r="AU78" t="s">
        <v>3</v>
      </c>
      <c r="AV78">
        <v>0</v>
      </c>
      <c r="AW78">
        <v>2</v>
      </c>
      <c r="AX78">
        <v>43095525</v>
      </c>
      <c r="AY78">
        <v>1</v>
      </c>
      <c r="AZ78">
        <v>0</v>
      </c>
      <c r="BA78">
        <v>71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CX78">
        <f>Y78*Source!I65</f>
        <v>6.734E-4</v>
      </c>
      <c r="CY78">
        <f t="shared" ref="CY78:CY91" si="21">AA78</f>
        <v>327543.38</v>
      </c>
      <c r="CZ78">
        <f t="shared" ref="CZ78:CZ91" si="22">AE78</f>
        <v>327543.38</v>
      </c>
      <c r="DA78">
        <f t="shared" ref="DA78:DA91" si="23">AI78</f>
        <v>1</v>
      </c>
      <c r="DB78">
        <f t="shared" si="16"/>
        <v>242.38</v>
      </c>
      <c r="DC78">
        <f t="shared" si="17"/>
        <v>0</v>
      </c>
    </row>
    <row r="79" spans="1:107" x14ac:dyDescent="0.2">
      <c r="A79">
        <f>ROW(Source!A65)</f>
        <v>65</v>
      </c>
      <c r="B79">
        <v>43095088</v>
      </c>
      <c r="C79">
        <v>43095484</v>
      </c>
      <c r="D79">
        <v>42304314</v>
      </c>
      <c r="E79">
        <v>1</v>
      </c>
      <c r="F79">
        <v>1</v>
      </c>
      <c r="G79">
        <v>29</v>
      </c>
      <c r="H79">
        <v>3</v>
      </c>
      <c r="I79" t="s">
        <v>639</v>
      </c>
      <c r="J79" t="s">
        <v>640</v>
      </c>
      <c r="K79" t="s">
        <v>641</v>
      </c>
      <c r="L79">
        <v>1355</v>
      </c>
      <c r="N79">
        <v>1010</v>
      </c>
      <c r="O79" t="s">
        <v>342</v>
      </c>
      <c r="P79" t="s">
        <v>342</v>
      </c>
      <c r="Q79">
        <v>100</v>
      </c>
      <c r="W79">
        <v>0</v>
      </c>
      <c r="X79">
        <v>-972910948</v>
      </c>
      <c r="Y79">
        <v>4</v>
      </c>
      <c r="AA79">
        <v>1126.26</v>
      </c>
      <c r="AB79">
        <v>0</v>
      </c>
      <c r="AC79">
        <v>0</v>
      </c>
      <c r="AD79">
        <v>0</v>
      </c>
      <c r="AE79">
        <v>1126.26</v>
      </c>
      <c r="AF79">
        <v>0</v>
      </c>
      <c r="AG79">
        <v>0</v>
      </c>
      <c r="AH79">
        <v>0</v>
      </c>
      <c r="AI79">
        <v>1</v>
      </c>
      <c r="AJ79">
        <v>1</v>
      </c>
      <c r="AK79">
        <v>1</v>
      </c>
      <c r="AL79">
        <v>1</v>
      </c>
      <c r="AN79">
        <v>0</v>
      </c>
      <c r="AO79">
        <v>1</v>
      </c>
      <c r="AP79">
        <v>0</v>
      </c>
      <c r="AQ79">
        <v>0</v>
      </c>
      <c r="AR79">
        <v>0</v>
      </c>
      <c r="AS79" t="s">
        <v>3</v>
      </c>
      <c r="AT79">
        <v>4</v>
      </c>
      <c r="AU79" t="s">
        <v>3</v>
      </c>
      <c r="AV79">
        <v>0</v>
      </c>
      <c r="AW79">
        <v>2</v>
      </c>
      <c r="AX79">
        <v>43095526</v>
      </c>
      <c r="AY79">
        <v>1</v>
      </c>
      <c r="AZ79">
        <v>0</v>
      </c>
      <c r="BA79">
        <v>72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CX79">
        <f>Y79*Source!I65</f>
        <v>3.64</v>
      </c>
      <c r="CY79">
        <f t="shared" si="21"/>
        <v>1126.26</v>
      </c>
      <c r="CZ79">
        <f t="shared" si="22"/>
        <v>1126.26</v>
      </c>
      <c r="DA79">
        <f t="shared" si="23"/>
        <v>1</v>
      </c>
      <c r="DB79">
        <f t="shared" si="16"/>
        <v>4505.04</v>
      </c>
      <c r="DC79">
        <f t="shared" si="17"/>
        <v>0</v>
      </c>
    </row>
    <row r="80" spans="1:107" x14ac:dyDescent="0.2">
      <c r="A80">
        <f>ROW(Source!A65)</f>
        <v>65</v>
      </c>
      <c r="B80">
        <v>43095088</v>
      </c>
      <c r="C80">
        <v>43095484</v>
      </c>
      <c r="D80">
        <v>42305996</v>
      </c>
      <c r="E80">
        <v>1</v>
      </c>
      <c r="F80">
        <v>1</v>
      </c>
      <c r="G80">
        <v>29</v>
      </c>
      <c r="H80">
        <v>3</v>
      </c>
      <c r="I80" t="s">
        <v>184</v>
      </c>
      <c r="J80" t="s">
        <v>186</v>
      </c>
      <c r="K80" t="s">
        <v>185</v>
      </c>
      <c r="L80">
        <v>1301</v>
      </c>
      <c r="N80">
        <v>1003</v>
      </c>
      <c r="O80" t="s">
        <v>64</v>
      </c>
      <c r="P80" t="s">
        <v>64</v>
      </c>
      <c r="Q80">
        <v>1</v>
      </c>
      <c r="W80">
        <v>1</v>
      </c>
      <c r="X80">
        <v>28000038</v>
      </c>
      <c r="Y80">
        <v>-100</v>
      </c>
      <c r="AA80">
        <v>165.94</v>
      </c>
      <c r="AB80">
        <v>0</v>
      </c>
      <c r="AC80">
        <v>0</v>
      </c>
      <c r="AD80">
        <v>0</v>
      </c>
      <c r="AE80">
        <v>165.94</v>
      </c>
      <c r="AF80">
        <v>0</v>
      </c>
      <c r="AG80">
        <v>0</v>
      </c>
      <c r="AH80">
        <v>0</v>
      </c>
      <c r="AI80">
        <v>1</v>
      </c>
      <c r="AJ80">
        <v>1</v>
      </c>
      <c r="AK80">
        <v>1</v>
      </c>
      <c r="AL80">
        <v>1</v>
      </c>
      <c r="AN80">
        <v>0</v>
      </c>
      <c r="AO80">
        <v>1</v>
      </c>
      <c r="AP80">
        <v>0</v>
      </c>
      <c r="AQ80">
        <v>0</v>
      </c>
      <c r="AR80">
        <v>0</v>
      </c>
      <c r="AS80" t="s">
        <v>3</v>
      </c>
      <c r="AT80">
        <v>-100</v>
      </c>
      <c r="AU80" t="s">
        <v>3</v>
      </c>
      <c r="AV80">
        <v>0</v>
      </c>
      <c r="AW80">
        <v>2</v>
      </c>
      <c r="AX80">
        <v>43095527</v>
      </c>
      <c r="AY80">
        <v>1</v>
      </c>
      <c r="AZ80">
        <v>6144</v>
      </c>
      <c r="BA80">
        <v>73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CX80">
        <f>Y80*Source!I65</f>
        <v>-91</v>
      </c>
      <c r="CY80">
        <f t="shared" si="21"/>
        <v>165.94</v>
      </c>
      <c r="CZ80">
        <f t="shared" si="22"/>
        <v>165.94</v>
      </c>
      <c r="DA80">
        <f t="shared" si="23"/>
        <v>1</v>
      </c>
      <c r="DB80">
        <f t="shared" si="16"/>
        <v>-16594</v>
      </c>
      <c r="DC80">
        <f t="shared" si="17"/>
        <v>0</v>
      </c>
    </row>
    <row r="81" spans="1:107" x14ac:dyDescent="0.2">
      <c r="A81">
        <f>ROW(Source!A65)</f>
        <v>65</v>
      </c>
      <c r="B81">
        <v>43095088</v>
      </c>
      <c r="C81">
        <v>43095484</v>
      </c>
      <c r="D81">
        <v>42305997</v>
      </c>
      <c r="E81">
        <v>1</v>
      </c>
      <c r="F81">
        <v>1</v>
      </c>
      <c r="G81">
        <v>29</v>
      </c>
      <c r="H81">
        <v>3</v>
      </c>
      <c r="I81" t="s">
        <v>188</v>
      </c>
      <c r="J81" t="s">
        <v>190</v>
      </c>
      <c r="K81" t="s">
        <v>189</v>
      </c>
      <c r="L81">
        <v>1354</v>
      </c>
      <c r="N81">
        <v>1010</v>
      </c>
      <c r="O81" t="s">
        <v>20</v>
      </c>
      <c r="P81" t="s">
        <v>20</v>
      </c>
      <c r="Q81">
        <v>1</v>
      </c>
      <c r="W81">
        <v>1</v>
      </c>
      <c r="X81">
        <v>1132684788</v>
      </c>
      <c r="Y81">
        <v>-15</v>
      </c>
      <c r="AA81">
        <v>86.79</v>
      </c>
      <c r="AB81">
        <v>0</v>
      </c>
      <c r="AC81">
        <v>0</v>
      </c>
      <c r="AD81">
        <v>0</v>
      </c>
      <c r="AE81">
        <v>86.79</v>
      </c>
      <c r="AF81">
        <v>0</v>
      </c>
      <c r="AG81">
        <v>0</v>
      </c>
      <c r="AH81">
        <v>0</v>
      </c>
      <c r="AI81">
        <v>1</v>
      </c>
      <c r="AJ81">
        <v>1</v>
      </c>
      <c r="AK81">
        <v>1</v>
      </c>
      <c r="AL81">
        <v>1</v>
      </c>
      <c r="AN81">
        <v>0</v>
      </c>
      <c r="AO81">
        <v>1</v>
      </c>
      <c r="AP81">
        <v>0</v>
      </c>
      <c r="AQ81">
        <v>0</v>
      </c>
      <c r="AR81">
        <v>0</v>
      </c>
      <c r="AS81" t="s">
        <v>3</v>
      </c>
      <c r="AT81">
        <v>-15</v>
      </c>
      <c r="AU81" t="s">
        <v>3</v>
      </c>
      <c r="AV81">
        <v>0</v>
      </c>
      <c r="AW81">
        <v>2</v>
      </c>
      <c r="AX81">
        <v>43095528</v>
      </c>
      <c r="AY81">
        <v>1</v>
      </c>
      <c r="AZ81">
        <v>6144</v>
      </c>
      <c r="BA81">
        <v>74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CX81">
        <f>Y81*Source!I65</f>
        <v>-13.65</v>
      </c>
      <c r="CY81">
        <f t="shared" si="21"/>
        <v>86.79</v>
      </c>
      <c r="CZ81">
        <f t="shared" si="22"/>
        <v>86.79</v>
      </c>
      <c r="DA81">
        <f t="shared" si="23"/>
        <v>1</v>
      </c>
      <c r="DB81">
        <f t="shared" si="16"/>
        <v>-1301.8499999999999</v>
      </c>
      <c r="DC81">
        <f t="shared" si="17"/>
        <v>0</v>
      </c>
    </row>
    <row r="82" spans="1:107" x14ac:dyDescent="0.2">
      <c r="A82">
        <f>ROW(Source!A65)</f>
        <v>65</v>
      </c>
      <c r="B82">
        <v>43095088</v>
      </c>
      <c r="C82">
        <v>43095484</v>
      </c>
      <c r="D82">
        <v>42305998</v>
      </c>
      <c r="E82">
        <v>1</v>
      </c>
      <c r="F82">
        <v>1</v>
      </c>
      <c r="G82">
        <v>29</v>
      </c>
      <c r="H82">
        <v>3</v>
      </c>
      <c r="I82" t="s">
        <v>192</v>
      </c>
      <c r="J82" t="s">
        <v>194</v>
      </c>
      <c r="K82" t="s">
        <v>193</v>
      </c>
      <c r="L82">
        <v>1354</v>
      </c>
      <c r="N82">
        <v>1010</v>
      </c>
      <c r="O82" t="s">
        <v>20</v>
      </c>
      <c r="P82" t="s">
        <v>20</v>
      </c>
      <c r="Q82">
        <v>1</v>
      </c>
      <c r="W82">
        <v>1</v>
      </c>
      <c r="X82">
        <v>-16663223</v>
      </c>
      <c r="Y82">
        <v>-4</v>
      </c>
      <c r="AA82">
        <v>74.03</v>
      </c>
      <c r="AB82">
        <v>0</v>
      </c>
      <c r="AC82">
        <v>0</v>
      </c>
      <c r="AD82">
        <v>0</v>
      </c>
      <c r="AE82">
        <v>74.03</v>
      </c>
      <c r="AF82">
        <v>0</v>
      </c>
      <c r="AG82">
        <v>0</v>
      </c>
      <c r="AH82">
        <v>0</v>
      </c>
      <c r="AI82">
        <v>1</v>
      </c>
      <c r="AJ82">
        <v>1</v>
      </c>
      <c r="AK82">
        <v>1</v>
      </c>
      <c r="AL82">
        <v>1</v>
      </c>
      <c r="AN82">
        <v>0</v>
      </c>
      <c r="AO82">
        <v>1</v>
      </c>
      <c r="AP82">
        <v>0</v>
      </c>
      <c r="AQ82">
        <v>0</v>
      </c>
      <c r="AR82">
        <v>0</v>
      </c>
      <c r="AS82" t="s">
        <v>3</v>
      </c>
      <c r="AT82">
        <v>-4</v>
      </c>
      <c r="AU82" t="s">
        <v>3</v>
      </c>
      <c r="AV82">
        <v>0</v>
      </c>
      <c r="AW82">
        <v>2</v>
      </c>
      <c r="AX82">
        <v>43095529</v>
      </c>
      <c r="AY82">
        <v>1</v>
      </c>
      <c r="AZ82">
        <v>6144</v>
      </c>
      <c r="BA82">
        <v>75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CX82">
        <f>Y82*Source!I65</f>
        <v>-3.64</v>
      </c>
      <c r="CY82">
        <f t="shared" si="21"/>
        <v>74.03</v>
      </c>
      <c r="CZ82">
        <f t="shared" si="22"/>
        <v>74.03</v>
      </c>
      <c r="DA82">
        <f t="shared" si="23"/>
        <v>1</v>
      </c>
      <c r="DB82">
        <f t="shared" si="16"/>
        <v>-296.12</v>
      </c>
      <c r="DC82">
        <f t="shared" si="17"/>
        <v>0</v>
      </c>
    </row>
    <row r="83" spans="1:107" x14ac:dyDescent="0.2">
      <c r="A83">
        <f>ROW(Source!A65)</f>
        <v>65</v>
      </c>
      <c r="B83">
        <v>43095088</v>
      </c>
      <c r="C83">
        <v>43095484</v>
      </c>
      <c r="D83">
        <v>42306000</v>
      </c>
      <c r="E83">
        <v>1</v>
      </c>
      <c r="F83">
        <v>1</v>
      </c>
      <c r="G83">
        <v>29</v>
      </c>
      <c r="H83">
        <v>3</v>
      </c>
      <c r="I83" t="s">
        <v>196</v>
      </c>
      <c r="J83" t="s">
        <v>198</v>
      </c>
      <c r="K83" t="s">
        <v>197</v>
      </c>
      <c r="L83">
        <v>1354</v>
      </c>
      <c r="N83">
        <v>1010</v>
      </c>
      <c r="O83" t="s">
        <v>20</v>
      </c>
      <c r="P83" t="s">
        <v>20</v>
      </c>
      <c r="Q83">
        <v>1</v>
      </c>
      <c r="W83">
        <v>1</v>
      </c>
      <c r="X83">
        <v>-111436853</v>
      </c>
      <c r="Y83">
        <v>-2</v>
      </c>
      <c r="AA83">
        <v>178.03</v>
      </c>
      <c r="AB83">
        <v>0</v>
      </c>
      <c r="AC83">
        <v>0</v>
      </c>
      <c r="AD83">
        <v>0</v>
      </c>
      <c r="AE83">
        <v>178.03</v>
      </c>
      <c r="AF83">
        <v>0</v>
      </c>
      <c r="AG83">
        <v>0</v>
      </c>
      <c r="AH83">
        <v>0</v>
      </c>
      <c r="AI83">
        <v>1</v>
      </c>
      <c r="AJ83">
        <v>1</v>
      </c>
      <c r="AK83">
        <v>1</v>
      </c>
      <c r="AL83">
        <v>1</v>
      </c>
      <c r="AN83">
        <v>0</v>
      </c>
      <c r="AO83">
        <v>1</v>
      </c>
      <c r="AP83">
        <v>0</v>
      </c>
      <c r="AQ83">
        <v>0</v>
      </c>
      <c r="AR83">
        <v>0</v>
      </c>
      <c r="AS83" t="s">
        <v>3</v>
      </c>
      <c r="AT83">
        <v>-2</v>
      </c>
      <c r="AU83" t="s">
        <v>3</v>
      </c>
      <c r="AV83">
        <v>0</v>
      </c>
      <c r="AW83">
        <v>2</v>
      </c>
      <c r="AX83">
        <v>43095530</v>
      </c>
      <c r="AY83">
        <v>1</v>
      </c>
      <c r="AZ83">
        <v>6144</v>
      </c>
      <c r="BA83">
        <v>76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CX83">
        <f>Y83*Source!I65</f>
        <v>-1.82</v>
      </c>
      <c r="CY83">
        <f t="shared" si="21"/>
        <v>178.03</v>
      </c>
      <c r="CZ83">
        <f t="shared" si="22"/>
        <v>178.03</v>
      </c>
      <c r="DA83">
        <f t="shared" si="23"/>
        <v>1</v>
      </c>
      <c r="DB83">
        <f t="shared" si="16"/>
        <v>-356.06</v>
      </c>
      <c r="DC83">
        <f t="shared" si="17"/>
        <v>0</v>
      </c>
    </row>
    <row r="84" spans="1:107" x14ac:dyDescent="0.2">
      <c r="A84">
        <f>ROW(Source!A65)</f>
        <v>65</v>
      </c>
      <c r="B84">
        <v>43095088</v>
      </c>
      <c r="C84">
        <v>43095484</v>
      </c>
      <c r="D84">
        <v>42306001</v>
      </c>
      <c r="E84">
        <v>1</v>
      </c>
      <c r="F84">
        <v>1</v>
      </c>
      <c r="G84">
        <v>29</v>
      </c>
      <c r="H84">
        <v>3</v>
      </c>
      <c r="I84" t="s">
        <v>200</v>
      </c>
      <c r="J84" t="s">
        <v>202</v>
      </c>
      <c r="K84" t="s">
        <v>201</v>
      </c>
      <c r="L84">
        <v>1354</v>
      </c>
      <c r="N84">
        <v>1010</v>
      </c>
      <c r="O84" t="s">
        <v>20</v>
      </c>
      <c r="P84" t="s">
        <v>20</v>
      </c>
      <c r="Q84">
        <v>1</v>
      </c>
      <c r="W84">
        <v>1</v>
      </c>
      <c r="X84">
        <v>1961322459</v>
      </c>
      <c r="Y84">
        <v>-2</v>
      </c>
      <c r="AA84">
        <v>136.5</v>
      </c>
      <c r="AB84">
        <v>0</v>
      </c>
      <c r="AC84">
        <v>0</v>
      </c>
      <c r="AD84">
        <v>0</v>
      </c>
      <c r="AE84">
        <v>136.5</v>
      </c>
      <c r="AF84">
        <v>0</v>
      </c>
      <c r="AG84">
        <v>0</v>
      </c>
      <c r="AH84">
        <v>0</v>
      </c>
      <c r="AI84">
        <v>1</v>
      </c>
      <c r="AJ84">
        <v>1</v>
      </c>
      <c r="AK84">
        <v>1</v>
      </c>
      <c r="AL84">
        <v>1</v>
      </c>
      <c r="AN84">
        <v>0</v>
      </c>
      <c r="AO84">
        <v>1</v>
      </c>
      <c r="AP84">
        <v>0</v>
      </c>
      <c r="AQ84">
        <v>0</v>
      </c>
      <c r="AR84">
        <v>0</v>
      </c>
      <c r="AS84" t="s">
        <v>3</v>
      </c>
      <c r="AT84">
        <v>-2</v>
      </c>
      <c r="AU84" t="s">
        <v>3</v>
      </c>
      <c r="AV84">
        <v>0</v>
      </c>
      <c r="AW84">
        <v>2</v>
      </c>
      <c r="AX84">
        <v>43095531</v>
      </c>
      <c r="AY84">
        <v>1</v>
      </c>
      <c r="AZ84">
        <v>6144</v>
      </c>
      <c r="BA84">
        <v>77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CX84">
        <f>Y84*Source!I65</f>
        <v>-1.82</v>
      </c>
      <c r="CY84">
        <f t="shared" si="21"/>
        <v>136.5</v>
      </c>
      <c r="CZ84">
        <f t="shared" si="22"/>
        <v>136.5</v>
      </c>
      <c r="DA84">
        <f t="shared" si="23"/>
        <v>1</v>
      </c>
      <c r="DB84">
        <f t="shared" si="16"/>
        <v>-273</v>
      </c>
      <c r="DC84">
        <f t="shared" si="17"/>
        <v>0</v>
      </c>
    </row>
    <row r="85" spans="1:107" x14ac:dyDescent="0.2">
      <c r="A85">
        <f>ROW(Source!A65)</f>
        <v>65</v>
      </c>
      <c r="B85">
        <v>43095088</v>
      </c>
      <c r="C85">
        <v>43095484</v>
      </c>
      <c r="D85">
        <v>42306002</v>
      </c>
      <c r="E85">
        <v>1</v>
      </c>
      <c r="F85">
        <v>1</v>
      </c>
      <c r="G85">
        <v>29</v>
      </c>
      <c r="H85">
        <v>3</v>
      </c>
      <c r="I85" t="s">
        <v>204</v>
      </c>
      <c r="J85" t="s">
        <v>206</v>
      </c>
      <c r="K85" t="s">
        <v>205</v>
      </c>
      <c r="L85">
        <v>1354</v>
      </c>
      <c r="N85">
        <v>1010</v>
      </c>
      <c r="O85" t="s">
        <v>20</v>
      </c>
      <c r="P85" t="s">
        <v>20</v>
      </c>
      <c r="Q85">
        <v>1</v>
      </c>
      <c r="W85">
        <v>1</v>
      </c>
      <c r="X85">
        <v>-1028089448</v>
      </c>
      <c r="Y85">
        <v>-15</v>
      </c>
      <c r="AA85">
        <v>141.79</v>
      </c>
      <c r="AB85">
        <v>0</v>
      </c>
      <c r="AC85">
        <v>0</v>
      </c>
      <c r="AD85">
        <v>0</v>
      </c>
      <c r="AE85">
        <v>141.79</v>
      </c>
      <c r="AF85">
        <v>0</v>
      </c>
      <c r="AG85">
        <v>0</v>
      </c>
      <c r="AH85">
        <v>0</v>
      </c>
      <c r="AI85">
        <v>1</v>
      </c>
      <c r="AJ85">
        <v>1</v>
      </c>
      <c r="AK85">
        <v>1</v>
      </c>
      <c r="AL85">
        <v>1</v>
      </c>
      <c r="AN85">
        <v>0</v>
      </c>
      <c r="AO85">
        <v>1</v>
      </c>
      <c r="AP85">
        <v>0</v>
      </c>
      <c r="AQ85">
        <v>0</v>
      </c>
      <c r="AR85">
        <v>0</v>
      </c>
      <c r="AS85" t="s">
        <v>3</v>
      </c>
      <c r="AT85">
        <v>-15</v>
      </c>
      <c r="AU85" t="s">
        <v>3</v>
      </c>
      <c r="AV85">
        <v>0</v>
      </c>
      <c r="AW85">
        <v>2</v>
      </c>
      <c r="AX85">
        <v>43095532</v>
      </c>
      <c r="AY85">
        <v>1</v>
      </c>
      <c r="AZ85">
        <v>6144</v>
      </c>
      <c r="BA85">
        <v>78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CX85">
        <f>Y85*Source!I65</f>
        <v>-13.65</v>
      </c>
      <c r="CY85">
        <f t="shared" si="21"/>
        <v>141.79</v>
      </c>
      <c r="CZ85">
        <f t="shared" si="22"/>
        <v>141.79</v>
      </c>
      <c r="DA85">
        <f t="shared" si="23"/>
        <v>1</v>
      </c>
      <c r="DB85">
        <f t="shared" si="16"/>
        <v>-2126.85</v>
      </c>
      <c r="DC85">
        <f t="shared" si="17"/>
        <v>0</v>
      </c>
    </row>
    <row r="86" spans="1:107" x14ac:dyDescent="0.2">
      <c r="A86">
        <f>ROW(Source!A65)</f>
        <v>65</v>
      </c>
      <c r="B86">
        <v>43095088</v>
      </c>
      <c r="C86">
        <v>43095484</v>
      </c>
      <c r="D86">
        <v>42306003</v>
      </c>
      <c r="E86">
        <v>1</v>
      </c>
      <c r="F86">
        <v>1</v>
      </c>
      <c r="G86">
        <v>29</v>
      </c>
      <c r="H86">
        <v>3</v>
      </c>
      <c r="I86" t="s">
        <v>208</v>
      </c>
      <c r="J86" t="s">
        <v>210</v>
      </c>
      <c r="K86" t="s">
        <v>209</v>
      </c>
      <c r="L86">
        <v>1354</v>
      </c>
      <c r="N86">
        <v>1010</v>
      </c>
      <c r="O86" t="s">
        <v>20</v>
      </c>
      <c r="P86" t="s">
        <v>20</v>
      </c>
      <c r="Q86">
        <v>1</v>
      </c>
      <c r="W86">
        <v>1</v>
      </c>
      <c r="X86">
        <v>1061756975</v>
      </c>
      <c r="Y86">
        <v>-2</v>
      </c>
      <c r="AA86">
        <v>192.42</v>
      </c>
      <c r="AB86">
        <v>0</v>
      </c>
      <c r="AC86">
        <v>0</v>
      </c>
      <c r="AD86">
        <v>0</v>
      </c>
      <c r="AE86">
        <v>192.42</v>
      </c>
      <c r="AF86">
        <v>0</v>
      </c>
      <c r="AG86">
        <v>0</v>
      </c>
      <c r="AH86">
        <v>0</v>
      </c>
      <c r="AI86">
        <v>1</v>
      </c>
      <c r="AJ86">
        <v>1</v>
      </c>
      <c r="AK86">
        <v>1</v>
      </c>
      <c r="AL86">
        <v>1</v>
      </c>
      <c r="AN86">
        <v>0</v>
      </c>
      <c r="AO86">
        <v>1</v>
      </c>
      <c r="AP86">
        <v>0</v>
      </c>
      <c r="AQ86">
        <v>0</v>
      </c>
      <c r="AR86">
        <v>0</v>
      </c>
      <c r="AS86" t="s">
        <v>3</v>
      </c>
      <c r="AT86">
        <v>-2</v>
      </c>
      <c r="AU86" t="s">
        <v>3</v>
      </c>
      <c r="AV86">
        <v>0</v>
      </c>
      <c r="AW86">
        <v>2</v>
      </c>
      <c r="AX86">
        <v>43095533</v>
      </c>
      <c r="AY86">
        <v>1</v>
      </c>
      <c r="AZ86">
        <v>6144</v>
      </c>
      <c r="BA86">
        <v>79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CX86">
        <f>Y86*Source!I65</f>
        <v>-1.82</v>
      </c>
      <c r="CY86">
        <f t="shared" si="21"/>
        <v>192.42</v>
      </c>
      <c r="CZ86">
        <f t="shared" si="22"/>
        <v>192.42</v>
      </c>
      <c r="DA86">
        <f t="shared" si="23"/>
        <v>1</v>
      </c>
      <c r="DB86">
        <f t="shared" si="16"/>
        <v>-384.84</v>
      </c>
      <c r="DC86">
        <f t="shared" si="17"/>
        <v>0</v>
      </c>
    </row>
    <row r="87" spans="1:107" x14ac:dyDescent="0.2">
      <c r="A87">
        <f>ROW(Source!A65)</f>
        <v>65</v>
      </c>
      <c r="B87">
        <v>43095088</v>
      </c>
      <c r="C87">
        <v>43095484</v>
      </c>
      <c r="D87">
        <v>42307522</v>
      </c>
      <c r="E87">
        <v>1</v>
      </c>
      <c r="F87">
        <v>1</v>
      </c>
      <c r="G87">
        <v>29</v>
      </c>
      <c r="H87">
        <v>3</v>
      </c>
      <c r="I87" t="s">
        <v>642</v>
      </c>
      <c r="J87" t="s">
        <v>643</v>
      </c>
      <c r="K87" t="s">
        <v>644</v>
      </c>
      <c r="L87">
        <v>1354</v>
      </c>
      <c r="N87">
        <v>1010</v>
      </c>
      <c r="O87" t="s">
        <v>20</v>
      </c>
      <c r="P87" t="s">
        <v>20</v>
      </c>
      <c r="Q87">
        <v>1</v>
      </c>
      <c r="W87">
        <v>0</v>
      </c>
      <c r="X87">
        <v>1830738769</v>
      </c>
      <c r="Y87">
        <v>4</v>
      </c>
      <c r="AA87">
        <v>1561.93</v>
      </c>
      <c r="AB87">
        <v>0</v>
      </c>
      <c r="AC87">
        <v>0</v>
      </c>
      <c r="AD87">
        <v>0</v>
      </c>
      <c r="AE87">
        <v>1561.93</v>
      </c>
      <c r="AF87">
        <v>0</v>
      </c>
      <c r="AG87">
        <v>0</v>
      </c>
      <c r="AH87">
        <v>0</v>
      </c>
      <c r="AI87">
        <v>1</v>
      </c>
      <c r="AJ87">
        <v>1</v>
      </c>
      <c r="AK87">
        <v>1</v>
      </c>
      <c r="AL87">
        <v>1</v>
      </c>
      <c r="AN87">
        <v>0</v>
      </c>
      <c r="AO87">
        <v>1</v>
      </c>
      <c r="AP87">
        <v>0</v>
      </c>
      <c r="AQ87">
        <v>0</v>
      </c>
      <c r="AR87">
        <v>0</v>
      </c>
      <c r="AS87" t="s">
        <v>3</v>
      </c>
      <c r="AT87">
        <v>4</v>
      </c>
      <c r="AU87" t="s">
        <v>3</v>
      </c>
      <c r="AV87">
        <v>0</v>
      </c>
      <c r="AW87">
        <v>2</v>
      </c>
      <c r="AX87">
        <v>43095534</v>
      </c>
      <c r="AY87">
        <v>1</v>
      </c>
      <c r="AZ87">
        <v>0</v>
      </c>
      <c r="BA87">
        <v>80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CX87">
        <f>Y87*Source!I65</f>
        <v>3.64</v>
      </c>
      <c r="CY87">
        <f t="shared" si="21"/>
        <v>1561.93</v>
      </c>
      <c r="CZ87">
        <f t="shared" si="22"/>
        <v>1561.93</v>
      </c>
      <c r="DA87">
        <f t="shared" si="23"/>
        <v>1</v>
      </c>
      <c r="DB87">
        <f t="shared" si="16"/>
        <v>6247.72</v>
      </c>
      <c r="DC87">
        <f t="shared" si="17"/>
        <v>0</v>
      </c>
    </row>
    <row r="88" spans="1:107" x14ac:dyDescent="0.2">
      <c r="A88">
        <f>ROW(Source!A65)</f>
        <v>65</v>
      </c>
      <c r="B88">
        <v>43095088</v>
      </c>
      <c r="C88">
        <v>43095484</v>
      </c>
      <c r="D88">
        <v>0</v>
      </c>
      <c r="E88">
        <v>0</v>
      </c>
      <c r="F88">
        <v>1</v>
      </c>
      <c r="G88">
        <v>29</v>
      </c>
      <c r="H88">
        <v>3</v>
      </c>
      <c r="I88" t="s">
        <v>34</v>
      </c>
      <c r="J88" t="s">
        <v>3</v>
      </c>
      <c r="K88" t="s">
        <v>172</v>
      </c>
      <c r="L88">
        <v>1354</v>
      </c>
      <c r="N88">
        <v>1010</v>
      </c>
      <c r="O88" t="s">
        <v>20</v>
      </c>
      <c r="P88" t="s">
        <v>20</v>
      </c>
      <c r="Q88">
        <v>1</v>
      </c>
      <c r="W88">
        <v>0</v>
      </c>
      <c r="X88">
        <v>248786424</v>
      </c>
      <c r="Y88">
        <v>0</v>
      </c>
      <c r="AA88">
        <v>96.95</v>
      </c>
      <c r="AB88">
        <v>0</v>
      </c>
      <c r="AC88">
        <v>0</v>
      </c>
      <c r="AD88">
        <v>0</v>
      </c>
      <c r="AE88">
        <v>96.95</v>
      </c>
      <c r="AF88">
        <v>0</v>
      </c>
      <c r="AG88">
        <v>0</v>
      </c>
      <c r="AH88">
        <v>0</v>
      </c>
      <c r="AI88">
        <v>1</v>
      </c>
      <c r="AJ88">
        <v>1</v>
      </c>
      <c r="AK88">
        <v>1</v>
      </c>
      <c r="AL88">
        <v>1</v>
      </c>
      <c r="AN88">
        <v>0</v>
      </c>
      <c r="AO88">
        <v>0</v>
      </c>
      <c r="AP88">
        <v>0</v>
      </c>
      <c r="AQ88">
        <v>0</v>
      </c>
      <c r="AR88">
        <v>0</v>
      </c>
      <c r="AS88" t="s">
        <v>3</v>
      </c>
      <c r="AT88">
        <v>0</v>
      </c>
      <c r="AU88" t="s">
        <v>3</v>
      </c>
      <c r="AV88">
        <v>0</v>
      </c>
      <c r="AW88">
        <v>1</v>
      </c>
      <c r="AX88">
        <v>-1</v>
      </c>
      <c r="AY88">
        <v>0</v>
      </c>
      <c r="AZ88">
        <v>0</v>
      </c>
      <c r="BA88" t="s">
        <v>3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CX88">
        <f>Y88*Source!I65</f>
        <v>0</v>
      </c>
      <c r="CY88">
        <f t="shared" si="21"/>
        <v>96.95</v>
      </c>
      <c r="CZ88">
        <f t="shared" si="22"/>
        <v>96.95</v>
      </c>
      <c r="DA88">
        <f t="shared" si="23"/>
        <v>1</v>
      </c>
      <c r="DB88">
        <f t="shared" si="16"/>
        <v>0</v>
      </c>
      <c r="DC88">
        <f t="shared" si="17"/>
        <v>0</v>
      </c>
    </row>
    <row r="89" spans="1:107" x14ac:dyDescent="0.2">
      <c r="A89">
        <f>ROW(Source!A65)</f>
        <v>65</v>
      </c>
      <c r="B89">
        <v>43095088</v>
      </c>
      <c r="C89">
        <v>43095484</v>
      </c>
      <c r="D89">
        <v>0</v>
      </c>
      <c r="E89">
        <v>0</v>
      </c>
      <c r="F89">
        <v>1</v>
      </c>
      <c r="G89">
        <v>29</v>
      </c>
      <c r="H89">
        <v>3</v>
      </c>
      <c r="I89" t="s">
        <v>34</v>
      </c>
      <c r="J89" t="s">
        <v>3</v>
      </c>
      <c r="K89" t="s">
        <v>175</v>
      </c>
      <c r="L89">
        <v>1354</v>
      </c>
      <c r="N89">
        <v>1010</v>
      </c>
      <c r="O89" t="s">
        <v>20</v>
      </c>
      <c r="P89" t="s">
        <v>20</v>
      </c>
      <c r="Q89">
        <v>1</v>
      </c>
      <c r="W89">
        <v>0</v>
      </c>
      <c r="X89">
        <v>-134123137</v>
      </c>
      <c r="Y89">
        <v>0</v>
      </c>
      <c r="AA89">
        <v>253.05</v>
      </c>
      <c r="AB89">
        <v>0</v>
      </c>
      <c r="AC89">
        <v>0</v>
      </c>
      <c r="AD89">
        <v>0</v>
      </c>
      <c r="AE89">
        <v>253.05</v>
      </c>
      <c r="AF89">
        <v>0</v>
      </c>
      <c r="AG89">
        <v>0</v>
      </c>
      <c r="AH89">
        <v>0</v>
      </c>
      <c r="AI89">
        <v>1</v>
      </c>
      <c r="AJ89">
        <v>1</v>
      </c>
      <c r="AK89">
        <v>1</v>
      </c>
      <c r="AL89">
        <v>1</v>
      </c>
      <c r="AN89">
        <v>0</v>
      </c>
      <c r="AO89">
        <v>0</v>
      </c>
      <c r="AP89">
        <v>0</v>
      </c>
      <c r="AQ89">
        <v>0</v>
      </c>
      <c r="AR89">
        <v>0</v>
      </c>
      <c r="AS89" t="s">
        <v>3</v>
      </c>
      <c r="AT89">
        <v>0</v>
      </c>
      <c r="AU89" t="s">
        <v>3</v>
      </c>
      <c r="AV89">
        <v>0</v>
      </c>
      <c r="AW89">
        <v>1</v>
      </c>
      <c r="AX89">
        <v>-1</v>
      </c>
      <c r="AY89">
        <v>0</v>
      </c>
      <c r="AZ89">
        <v>0</v>
      </c>
      <c r="BA89" t="s">
        <v>3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CX89">
        <f>Y89*Source!I65</f>
        <v>0</v>
      </c>
      <c r="CY89">
        <f t="shared" si="21"/>
        <v>253.05</v>
      </c>
      <c r="CZ89">
        <f t="shared" si="22"/>
        <v>253.05</v>
      </c>
      <c r="DA89">
        <f t="shared" si="23"/>
        <v>1</v>
      </c>
      <c r="DB89">
        <f t="shared" si="16"/>
        <v>0</v>
      </c>
      <c r="DC89">
        <f t="shared" si="17"/>
        <v>0</v>
      </c>
    </row>
    <row r="90" spans="1:107" x14ac:dyDescent="0.2">
      <c r="A90">
        <f>ROW(Source!A65)</f>
        <v>65</v>
      </c>
      <c r="B90">
        <v>43095088</v>
      </c>
      <c r="C90">
        <v>43095484</v>
      </c>
      <c r="D90">
        <v>0</v>
      </c>
      <c r="E90">
        <v>0</v>
      </c>
      <c r="F90">
        <v>1</v>
      </c>
      <c r="G90">
        <v>29</v>
      </c>
      <c r="H90">
        <v>3</v>
      </c>
      <c r="I90" t="s">
        <v>34</v>
      </c>
      <c r="J90" t="s">
        <v>3</v>
      </c>
      <c r="K90" t="s">
        <v>178</v>
      </c>
      <c r="L90">
        <v>1354</v>
      </c>
      <c r="N90">
        <v>1010</v>
      </c>
      <c r="O90" t="s">
        <v>20</v>
      </c>
      <c r="P90" t="s">
        <v>20</v>
      </c>
      <c r="Q90">
        <v>1</v>
      </c>
      <c r="W90">
        <v>0</v>
      </c>
      <c r="X90">
        <v>1293862133</v>
      </c>
      <c r="Y90">
        <v>0</v>
      </c>
      <c r="AA90">
        <v>278.60000000000002</v>
      </c>
      <c r="AB90">
        <v>0</v>
      </c>
      <c r="AC90">
        <v>0</v>
      </c>
      <c r="AD90">
        <v>0</v>
      </c>
      <c r="AE90">
        <v>278.60000000000002</v>
      </c>
      <c r="AF90">
        <v>0</v>
      </c>
      <c r="AG90">
        <v>0</v>
      </c>
      <c r="AH90">
        <v>0</v>
      </c>
      <c r="AI90">
        <v>1</v>
      </c>
      <c r="AJ90">
        <v>1</v>
      </c>
      <c r="AK90">
        <v>1</v>
      </c>
      <c r="AL90">
        <v>1</v>
      </c>
      <c r="AN90">
        <v>0</v>
      </c>
      <c r="AO90">
        <v>0</v>
      </c>
      <c r="AP90">
        <v>0</v>
      </c>
      <c r="AQ90">
        <v>0</v>
      </c>
      <c r="AR90">
        <v>0</v>
      </c>
      <c r="AS90" t="s">
        <v>3</v>
      </c>
      <c r="AT90">
        <v>0</v>
      </c>
      <c r="AU90" t="s">
        <v>3</v>
      </c>
      <c r="AV90">
        <v>0</v>
      </c>
      <c r="AW90">
        <v>1</v>
      </c>
      <c r="AX90">
        <v>-1</v>
      </c>
      <c r="AY90">
        <v>0</v>
      </c>
      <c r="AZ90">
        <v>0</v>
      </c>
      <c r="BA90" t="s">
        <v>3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CX90">
        <f>Y90*Source!I65</f>
        <v>0</v>
      </c>
      <c r="CY90">
        <f t="shared" si="21"/>
        <v>278.60000000000002</v>
      </c>
      <c r="CZ90">
        <f t="shared" si="22"/>
        <v>278.60000000000002</v>
      </c>
      <c r="DA90">
        <f t="shared" si="23"/>
        <v>1</v>
      </c>
      <c r="DB90">
        <f t="shared" si="16"/>
        <v>0</v>
      </c>
      <c r="DC90">
        <f t="shared" si="17"/>
        <v>0</v>
      </c>
    </row>
    <row r="91" spans="1:107" x14ac:dyDescent="0.2">
      <c r="A91">
        <f>ROW(Source!A65)</f>
        <v>65</v>
      </c>
      <c r="B91">
        <v>43095088</v>
      </c>
      <c r="C91">
        <v>43095484</v>
      </c>
      <c r="D91">
        <v>0</v>
      </c>
      <c r="E91">
        <v>0</v>
      </c>
      <c r="F91">
        <v>1</v>
      </c>
      <c r="G91">
        <v>29</v>
      </c>
      <c r="H91">
        <v>3</v>
      </c>
      <c r="I91" t="s">
        <v>34</v>
      </c>
      <c r="J91" t="s">
        <v>3</v>
      </c>
      <c r="K91" t="s">
        <v>181</v>
      </c>
      <c r="L91">
        <v>1354</v>
      </c>
      <c r="N91">
        <v>1010</v>
      </c>
      <c r="O91" t="s">
        <v>20</v>
      </c>
      <c r="P91" t="s">
        <v>20</v>
      </c>
      <c r="Q91">
        <v>1</v>
      </c>
      <c r="W91">
        <v>0</v>
      </c>
      <c r="X91">
        <v>-492715906</v>
      </c>
      <c r="Y91">
        <v>0</v>
      </c>
      <c r="AA91">
        <v>482.89</v>
      </c>
      <c r="AB91">
        <v>0</v>
      </c>
      <c r="AC91">
        <v>0</v>
      </c>
      <c r="AD91">
        <v>0</v>
      </c>
      <c r="AE91">
        <v>482.89</v>
      </c>
      <c r="AF91">
        <v>0</v>
      </c>
      <c r="AG91">
        <v>0</v>
      </c>
      <c r="AH91">
        <v>0</v>
      </c>
      <c r="AI91">
        <v>1</v>
      </c>
      <c r="AJ91">
        <v>1</v>
      </c>
      <c r="AK91">
        <v>1</v>
      </c>
      <c r="AL91">
        <v>1</v>
      </c>
      <c r="AN91">
        <v>0</v>
      </c>
      <c r="AO91">
        <v>0</v>
      </c>
      <c r="AP91">
        <v>0</v>
      </c>
      <c r="AQ91">
        <v>0</v>
      </c>
      <c r="AR91">
        <v>0</v>
      </c>
      <c r="AS91" t="s">
        <v>3</v>
      </c>
      <c r="AT91">
        <v>0</v>
      </c>
      <c r="AU91" t="s">
        <v>3</v>
      </c>
      <c r="AV91">
        <v>0</v>
      </c>
      <c r="AW91">
        <v>1</v>
      </c>
      <c r="AX91">
        <v>-1</v>
      </c>
      <c r="AY91">
        <v>0</v>
      </c>
      <c r="AZ91">
        <v>0</v>
      </c>
      <c r="BA91" t="s">
        <v>3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CX91">
        <f>Y91*Source!I65</f>
        <v>0</v>
      </c>
      <c r="CY91">
        <f t="shared" si="21"/>
        <v>482.89</v>
      </c>
      <c r="CZ91">
        <f t="shared" si="22"/>
        <v>482.89</v>
      </c>
      <c r="DA91">
        <f t="shared" si="23"/>
        <v>1</v>
      </c>
      <c r="DB91">
        <f t="shared" si="16"/>
        <v>0</v>
      </c>
      <c r="DC91">
        <f t="shared" si="17"/>
        <v>0</v>
      </c>
    </row>
    <row r="92" spans="1:107" x14ac:dyDescent="0.2">
      <c r="A92">
        <f>ROW(Source!A78)</f>
        <v>78</v>
      </c>
      <c r="B92">
        <v>43095088</v>
      </c>
      <c r="C92">
        <v>43095547</v>
      </c>
      <c r="D92">
        <v>42301367</v>
      </c>
      <c r="E92">
        <v>29</v>
      </c>
      <c r="F92">
        <v>1</v>
      </c>
      <c r="G92">
        <v>29</v>
      </c>
      <c r="H92">
        <v>1</v>
      </c>
      <c r="I92" t="s">
        <v>555</v>
      </c>
      <c r="J92" t="s">
        <v>3</v>
      </c>
      <c r="K92" t="s">
        <v>556</v>
      </c>
      <c r="L92">
        <v>1191</v>
      </c>
      <c r="N92">
        <v>1013</v>
      </c>
      <c r="O92" t="s">
        <v>557</v>
      </c>
      <c r="P92" t="s">
        <v>557</v>
      </c>
      <c r="Q92">
        <v>1</v>
      </c>
      <c r="W92">
        <v>0</v>
      </c>
      <c r="X92">
        <v>476480486</v>
      </c>
      <c r="Y92">
        <v>4.74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1</v>
      </c>
      <c r="AJ92">
        <v>1</v>
      </c>
      <c r="AK92">
        <v>1</v>
      </c>
      <c r="AL92">
        <v>1</v>
      </c>
      <c r="AN92">
        <v>0</v>
      </c>
      <c r="AO92">
        <v>1</v>
      </c>
      <c r="AP92">
        <v>0</v>
      </c>
      <c r="AQ92">
        <v>0</v>
      </c>
      <c r="AR92">
        <v>0</v>
      </c>
      <c r="AS92" t="s">
        <v>3</v>
      </c>
      <c r="AT92">
        <v>4.74</v>
      </c>
      <c r="AU92" t="s">
        <v>3</v>
      </c>
      <c r="AV92">
        <v>1</v>
      </c>
      <c r="AW92">
        <v>2</v>
      </c>
      <c r="AX92">
        <v>43095572</v>
      </c>
      <c r="AY92">
        <v>1</v>
      </c>
      <c r="AZ92">
        <v>0</v>
      </c>
      <c r="BA92">
        <v>81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CX92">
        <f>Y92*Source!I78</f>
        <v>6.8255999999999997</v>
      </c>
      <c r="CY92">
        <f>AD92</f>
        <v>0</v>
      </c>
      <c r="CZ92">
        <f>AH92</f>
        <v>0</v>
      </c>
      <c r="DA92">
        <f>AL92</f>
        <v>1</v>
      </c>
      <c r="DB92">
        <f t="shared" si="16"/>
        <v>0</v>
      </c>
      <c r="DC92">
        <f t="shared" si="17"/>
        <v>0</v>
      </c>
    </row>
    <row r="93" spans="1:107" x14ac:dyDescent="0.2">
      <c r="A93">
        <f>ROW(Source!A78)</f>
        <v>78</v>
      </c>
      <c r="B93">
        <v>43095088</v>
      </c>
      <c r="C93">
        <v>43095547</v>
      </c>
      <c r="D93">
        <v>42305028</v>
      </c>
      <c r="E93">
        <v>1</v>
      </c>
      <c r="F93">
        <v>1</v>
      </c>
      <c r="G93">
        <v>29</v>
      </c>
      <c r="H93">
        <v>3</v>
      </c>
      <c r="I93" t="s">
        <v>645</v>
      </c>
      <c r="J93" t="s">
        <v>646</v>
      </c>
      <c r="K93" t="s">
        <v>647</v>
      </c>
      <c r="L93">
        <v>1346</v>
      </c>
      <c r="N93">
        <v>1009</v>
      </c>
      <c r="O93" t="s">
        <v>46</v>
      </c>
      <c r="P93" t="s">
        <v>46</v>
      </c>
      <c r="Q93">
        <v>1</v>
      </c>
      <c r="W93">
        <v>0</v>
      </c>
      <c r="X93">
        <v>-272147788</v>
      </c>
      <c r="Y93">
        <v>0.16</v>
      </c>
      <c r="AA93">
        <v>151.68</v>
      </c>
      <c r="AB93">
        <v>0</v>
      </c>
      <c r="AC93">
        <v>0</v>
      </c>
      <c r="AD93">
        <v>0</v>
      </c>
      <c r="AE93">
        <v>151.68</v>
      </c>
      <c r="AF93">
        <v>0</v>
      </c>
      <c r="AG93">
        <v>0</v>
      </c>
      <c r="AH93">
        <v>0</v>
      </c>
      <c r="AI93">
        <v>1</v>
      </c>
      <c r="AJ93">
        <v>1</v>
      </c>
      <c r="AK93">
        <v>1</v>
      </c>
      <c r="AL93">
        <v>1</v>
      </c>
      <c r="AN93">
        <v>0</v>
      </c>
      <c r="AO93">
        <v>1</v>
      </c>
      <c r="AP93">
        <v>0</v>
      </c>
      <c r="AQ93">
        <v>0</v>
      </c>
      <c r="AR93">
        <v>0</v>
      </c>
      <c r="AS93" t="s">
        <v>3</v>
      </c>
      <c r="AT93">
        <v>0.16</v>
      </c>
      <c r="AU93" t="s">
        <v>3</v>
      </c>
      <c r="AV93">
        <v>0</v>
      </c>
      <c r="AW93">
        <v>2</v>
      </c>
      <c r="AX93">
        <v>43095573</v>
      </c>
      <c r="AY93">
        <v>1</v>
      </c>
      <c r="AZ93">
        <v>0</v>
      </c>
      <c r="BA93">
        <v>82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CX93">
        <f>Y93*Source!I78</f>
        <v>0.23039999999999999</v>
      </c>
      <c r="CY93">
        <f t="shared" ref="CY93:CY99" si="24">AA93</f>
        <v>151.68</v>
      </c>
      <c r="CZ93">
        <f t="shared" ref="CZ93:CZ99" si="25">AE93</f>
        <v>151.68</v>
      </c>
      <c r="DA93">
        <f t="shared" ref="DA93:DA99" si="26">AI93</f>
        <v>1</v>
      </c>
      <c r="DB93">
        <f t="shared" si="16"/>
        <v>24.27</v>
      </c>
      <c r="DC93">
        <f t="shared" si="17"/>
        <v>0</v>
      </c>
    </row>
    <row r="94" spans="1:107" x14ac:dyDescent="0.2">
      <c r="A94">
        <f>ROW(Source!A78)</f>
        <v>78</v>
      </c>
      <c r="B94">
        <v>43095088</v>
      </c>
      <c r="C94">
        <v>43095547</v>
      </c>
      <c r="D94">
        <v>42312161</v>
      </c>
      <c r="E94">
        <v>1</v>
      </c>
      <c r="F94">
        <v>1</v>
      </c>
      <c r="G94">
        <v>29</v>
      </c>
      <c r="H94">
        <v>3</v>
      </c>
      <c r="I94" t="s">
        <v>648</v>
      </c>
      <c r="J94" t="s">
        <v>649</v>
      </c>
      <c r="K94" t="s">
        <v>650</v>
      </c>
      <c r="L94">
        <v>1301</v>
      </c>
      <c r="N94">
        <v>1003</v>
      </c>
      <c r="O94" t="s">
        <v>64</v>
      </c>
      <c r="P94" t="s">
        <v>64</v>
      </c>
      <c r="Q94">
        <v>1</v>
      </c>
      <c r="W94">
        <v>0</v>
      </c>
      <c r="X94">
        <v>-1161964696</v>
      </c>
      <c r="Y94">
        <v>5.5</v>
      </c>
      <c r="AA94">
        <v>3.77</v>
      </c>
      <c r="AB94">
        <v>0</v>
      </c>
      <c r="AC94">
        <v>0</v>
      </c>
      <c r="AD94">
        <v>0</v>
      </c>
      <c r="AE94">
        <v>3.77</v>
      </c>
      <c r="AF94">
        <v>0</v>
      </c>
      <c r="AG94">
        <v>0</v>
      </c>
      <c r="AH94">
        <v>0</v>
      </c>
      <c r="AI94">
        <v>1</v>
      </c>
      <c r="AJ94">
        <v>1</v>
      </c>
      <c r="AK94">
        <v>1</v>
      </c>
      <c r="AL94">
        <v>1</v>
      </c>
      <c r="AN94">
        <v>0</v>
      </c>
      <c r="AO94">
        <v>1</v>
      </c>
      <c r="AP94">
        <v>0</v>
      </c>
      <c r="AQ94">
        <v>0</v>
      </c>
      <c r="AR94">
        <v>0</v>
      </c>
      <c r="AS94" t="s">
        <v>3</v>
      </c>
      <c r="AT94">
        <v>5.5</v>
      </c>
      <c r="AU94" t="s">
        <v>3</v>
      </c>
      <c r="AV94">
        <v>0</v>
      </c>
      <c r="AW94">
        <v>2</v>
      </c>
      <c r="AX94">
        <v>43095574</v>
      </c>
      <c r="AY94">
        <v>1</v>
      </c>
      <c r="AZ94">
        <v>0</v>
      </c>
      <c r="BA94">
        <v>83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CX94">
        <f>Y94*Source!I78</f>
        <v>7.92</v>
      </c>
      <c r="CY94">
        <f t="shared" si="24"/>
        <v>3.77</v>
      </c>
      <c r="CZ94">
        <f t="shared" si="25"/>
        <v>3.77</v>
      </c>
      <c r="DA94">
        <f t="shared" si="26"/>
        <v>1</v>
      </c>
      <c r="DB94">
        <f t="shared" si="16"/>
        <v>20.74</v>
      </c>
      <c r="DC94">
        <f t="shared" si="17"/>
        <v>0</v>
      </c>
    </row>
    <row r="95" spans="1:107" x14ac:dyDescent="0.2">
      <c r="A95">
        <f>ROW(Source!A78)</f>
        <v>78</v>
      </c>
      <c r="B95">
        <v>43095088</v>
      </c>
      <c r="C95">
        <v>43095547</v>
      </c>
      <c r="D95">
        <v>42312058</v>
      </c>
      <c r="E95">
        <v>1</v>
      </c>
      <c r="F95">
        <v>1</v>
      </c>
      <c r="G95">
        <v>29</v>
      </c>
      <c r="H95">
        <v>3</v>
      </c>
      <c r="I95" t="s">
        <v>651</v>
      </c>
      <c r="J95" t="s">
        <v>652</v>
      </c>
      <c r="K95" t="s">
        <v>653</v>
      </c>
      <c r="L95">
        <v>1356</v>
      </c>
      <c r="N95">
        <v>1010</v>
      </c>
      <c r="O95" t="s">
        <v>285</v>
      </c>
      <c r="P95" t="s">
        <v>285</v>
      </c>
      <c r="Q95">
        <v>1000</v>
      </c>
      <c r="W95">
        <v>0</v>
      </c>
      <c r="X95">
        <v>-945376992</v>
      </c>
      <c r="Y95">
        <v>5.0000000000000001E-3</v>
      </c>
      <c r="AA95">
        <v>495.85</v>
      </c>
      <c r="AB95">
        <v>0</v>
      </c>
      <c r="AC95">
        <v>0</v>
      </c>
      <c r="AD95">
        <v>0</v>
      </c>
      <c r="AE95">
        <v>495.85</v>
      </c>
      <c r="AF95">
        <v>0</v>
      </c>
      <c r="AG95">
        <v>0</v>
      </c>
      <c r="AH95">
        <v>0</v>
      </c>
      <c r="AI95">
        <v>1</v>
      </c>
      <c r="AJ95">
        <v>1</v>
      </c>
      <c r="AK95">
        <v>1</v>
      </c>
      <c r="AL95">
        <v>1</v>
      </c>
      <c r="AN95">
        <v>0</v>
      </c>
      <c r="AO95">
        <v>1</v>
      </c>
      <c r="AP95">
        <v>0</v>
      </c>
      <c r="AQ95">
        <v>0</v>
      </c>
      <c r="AR95">
        <v>0</v>
      </c>
      <c r="AS95" t="s">
        <v>3</v>
      </c>
      <c r="AT95">
        <v>5.0000000000000001E-3</v>
      </c>
      <c r="AU95" t="s">
        <v>3</v>
      </c>
      <c r="AV95">
        <v>0</v>
      </c>
      <c r="AW95">
        <v>2</v>
      </c>
      <c r="AX95">
        <v>43095575</v>
      </c>
      <c r="AY95">
        <v>1</v>
      </c>
      <c r="AZ95">
        <v>0</v>
      </c>
      <c r="BA95">
        <v>84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CX95">
        <f>Y95*Source!I78</f>
        <v>7.1999999999999998E-3</v>
      </c>
      <c r="CY95">
        <f t="shared" si="24"/>
        <v>495.85</v>
      </c>
      <c r="CZ95">
        <f t="shared" si="25"/>
        <v>495.85</v>
      </c>
      <c r="DA95">
        <f t="shared" si="26"/>
        <v>1</v>
      </c>
      <c r="DB95">
        <f t="shared" si="16"/>
        <v>2.48</v>
      </c>
      <c r="DC95">
        <f t="shared" si="17"/>
        <v>0</v>
      </c>
    </row>
    <row r="96" spans="1:107" x14ac:dyDescent="0.2">
      <c r="A96">
        <f>ROW(Source!A78)</f>
        <v>78</v>
      </c>
      <c r="B96">
        <v>43095088</v>
      </c>
      <c r="C96">
        <v>43095547</v>
      </c>
      <c r="D96">
        <v>42312342</v>
      </c>
      <c r="E96">
        <v>1</v>
      </c>
      <c r="F96">
        <v>1</v>
      </c>
      <c r="G96">
        <v>29</v>
      </c>
      <c r="H96">
        <v>3</v>
      </c>
      <c r="I96" t="s">
        <v>654</v>
      </c>
      <c r="J96" t="s">
        <v>655</v>
      </c>
      <c r="K96" t="s">
        <v>656</v>
      </c>
      <c r="L96">
        <v>1354</v>
      </c>
      <c r="N96">
        <v>1010</v>
      </c>
      <c r="O96" t="s">
        <v>20</v>
      </c>
      <c r="P96" t="s">
        <v>20</v>
      </c>
      <c r="Q96">
        <v>1</v>
      </c>
      <c r="W96">
        <v>0</v>
      </c>
      <c r="X96">
        <v>-560680092</v>
      </c>
      <c r="Y96">
        <v>10</v>
      </c>
      <c r="AA96">
        <v>21.08</v>
      </c>
      <c r="AB96">
        <v>0</v>
      </c>
      <c r="AC96">
        <v>0</v>
      </c>
      <c r="AD96">
        <v>0</v>
      </c>
      <c r="AE96">
        <v>21.08</v>
      </c>
      <c r="AF96">
        <v>0</v>
      </c>
      <c r="AG96">
        <v>0</v>
      </c>
      <c r="AH96">
        <v>0</v>
      </c>
      <c r="AI96">
        <v>1</v>
      </c>
      <c r="AJ96">
        <v>1</v>
      </c>
      <c r="AK96">
        <v>1</v>
      </c>
      <c r="AL96">
        <v>1</v>
      </c>
      <c r="AN96">
        <v>0</v>
      </c>
      <c r="AO96">
        <v>1</v>
      </c>
      <c r="AP96">
        <v>0</v>
      </c>
      <c r="AQ96">
        <v>0</v>
      </c>
      <c r="AR96">
        <v>0</v>
      </c>
      <c r="AS96" t="s">
        <v>3</v>
      </c>
      <c r="AT96">
        <v>10</v>
      </c>
      <c r="AU96" t="s">
        <v>3</v>
      </c>
      <c r="AV96">
        <v>0</v>
      </c>
      <c r="AW96">
        <v>2</v>
      </c>
      <c r="AX96">
        <v>43095576</v>
      </c>
      <c r="AY96">
        <v>1</v>
      </c>
      <c r="AZ96">
        <v>0</v>
      </c>
      <c r="BA96">
        <v>85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CX96">
        <f>Y96*Source!I78</f>
        <v>14.399999999999999</v>
      </c>
      <c r="CY96">
        <f t="shared" si="24"/>
        <v>21.08</v>
      </c>
      <c r="CZ96">
        <f t="shared" si="25"/>
        <v>21.08</v>
      </c>
      <c r="DA96">
        <f t="shared" si="26"/>
        <v>1</v>
      </c>
      <c r="DB96">
        <f t="shared" si="16"/>
        <v>210.8</v>
      </c>
      <c r="DC96">
        <f t="shared" si="17"/>
        <v>0</v>
      </c>
    </row>
    <row r="97" spans="1:107" x14ac:dyDescent="0.2">
      <c r="A97">
        <f>ROW(Source!A78)</f>
        <v>78</v>
      </c>
      <c r="B97">
        <v>43095088</v>
      </c>
      <c r="C97">
        <v>43095547</v>
      </c>
      <c r="D97">
        <v>42312373</v>
      </c>
      <c r="E97">
        <v>1</v>
      </c>
      <c r="F97">
        <v>1</v>
      </c>
      <c r="G97">
        <v>29</v>
      </c>
      <c r="H97">
        <v>3</v>
      </c>
      <c r="I97" t="s">
        <v>657</v>
      </c>
      <c r="J97" t="s">
        <v>658</v>
      </c>
      <c r="K97" t="s">
        <v>659</v>
      </c>
      <c r="L97">
        <v>1355</v>
      </c>
      <c r="N97">
        <v>1010</v>
      </c>
      <c r="O97" t="s">
        <v>342</v>
      </c>
      <c r="P97" t="s">
        <v>342</v>
      </c>
      <c r="Q97">
        <v>100</v>
      </c>
      <c r="W97">
        <v>0</v>
      </c>
      <c r="X97">
        <v>1094888661</v>
      </c>
      <c r="Y97">
        <v>0.3</v>
      </c>
      <c r="AA97">
        <v>118.38</v>
      </c>
      <c r="AB97">
        <v>0</v>
      </c>
      <c r="AC97">
        <v>0</v>
      </c>
      <c r="AD97">
        <v>0</v>
      </c>
      <c r="AE97">
        <v>118.38</v>
      </c>
      <c r="AF97">
        <v>0</v>
      </c>
      <c r="AG97">
        <v>0</v>
      </c>
      <c r="AH97">
        <v>0</v>
      </c>
      <c r="AI97">
        <v>1</v>
      </c>
      <c r="AJ97">
        <v>1</v>
      </c>
      <c r="AK97">
        <v>1</v>
      </c>
      <c r="AL97">
        <v>1</v>
      </c>
      <c r="AN97">
        <v>0</v>
      </c>
      <c r="AO97">
        <v>1</v>
      </c>
      <c r="AP97">
        <v>0</v>
      </c>
      <c r="AQ97">
        <v>0</v>
      </c>
      <c r="AR97">
        <v>0</v>
      </c>
      <c r="AS97" t="s">
        <v>3</v>
      </c>
      <c r="AT97">
        <v>0.3</v>
      </c>
      <c r="AU97" t="s">
        <v>3</v>
      </c>
      <c r="AV97">
        <v>0</v>
      </c>
      <c r="AW97">
        <v>2</v>
      </c>
      <c r="AX97">
        <v>43095577</v>
      </c>
      <c r="AY97">
        <v>1</v>
      </c>
      <c r="AZ97">
        <v>0</v>
      </c>
      <c r="BA97">
        <v>86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CX97">
        <f>Y97*Source!I78</f>
        <v>0.432</v>
      </c>
      <c r="CY97">
        <f t="shared" si="24"/>
        <v>118.38</v>
      </c>
      <c r="CZ97">
        <f t="shared" si="25"/>
        <v>118.38</v>
      </c>
      <c r="DA97">
        <f t="shared" si="26"/>
        <v>1</v>
      </c>
      <c r="DB97">
        <f t="shared" ref="DB97:DB127" si="27">ROUND(ROUND(AT97*CZ97,2),6)</f>
        <v>35.51</v>
      </c>
      <c r="DC97">
        <f t="shared" ref="DC97:DC127" si="28">ROUND(ROUND(AT97*AG97,2),6)</f>
        <v>0</v>
      </c>
    </row>
    <row r="98" spans="1:107" x14ac:dyDescent="0.2">
      <c r="A98">
        <f>ROW(Source!A78)</f>
        <v>78</v>
      </c>
      <c r="B98">
        <v>43095088</v>
      </c>
      <c r="C98">
        <v>43095547</v>
      </c>
      <c r="D98">
        <v>42312095</v>
      </c>
      <c r="E98">
        <v>1</v>
      </c>
      <c r="F98">
        <v>1</v>
      </c>
      <c r="G98">
        <v>29</v>
      </c>
      <c r="H98">
        <v>3</v>
      </c>
      <c r="I98" t="s">
        <v>660</v>
      </c>
      <c r="J98" t="s">
        <v>661</v>
      </c>
      <c r="K98" t="s">
        <v>662</v>
      </c>
      <c r="L98">
        <v>1356</v>
      </c>
      <c r="N98">
        <v>1010</v>
      </c>
      <c r="O98" t="s">
        <v>285</v>
      </c>
      <c r="P98" t="s">
        <v>285</v>
      </c>
      <c r="Q98">
        <v>1000</v>
      </c>
      <c r="W98">
        <v>0</v>
      </c>
      <c r="X98">
        <v>815111038</v>
      </c>
      <c r="Y98">
        <v>0.02</v>
      </c>
      <c r="AA98">
        <v>187.09</v>
      </c>
      <c r="AB98">
        <v>0</v>
      </c>
      <c r="AC98">
        <v>0</v>
      </c>
      <c r="AD98">
        <v>0</v>
      </c>
      <c r="AE98">
        <v>187.09</v>
      </c>
      <c r="AF98">
        <v>0</v>
      </c>
      <c r="AG98">
        <v>0</v>
      </c>
      <c r="AH98">
        <v>0</v>
      </c>
      <c r="AI98">
        <v>1</v>
      </c>
      <c r="AJ98">
        <v>1</v>
      </c>
      <c r="AK98">
        <v>1</v>
      </c>
      <c r="AL98">
        <v>1</v>
      </c>
      <c r="AN98">
        <v>0</v>
      </c>
      <c r="AO98">
        <v>1</v>
      </c>
      <c r="AP98">
        <v>0</v>
      </c>
      <c r="AQ98">
        <v>0</v>
      </c>
      <c r="AR98">
        <v>0</v>
      </c>
      <c r="AS98" t="s">
        <v>3</v>
      </c>
      <c r="AT98">
        <v>0.02</v>
      </c>
      <c r="AU98" t="s">
        <v>3</v>
      </c>
      <c r="AV98">
        <v>0</v>
      </c>
      <c r="AW98">
        <v>2</v>
      </c>
      <c r="AX98">
        <v>43095578</v>
      </c>
      <c r="AY98">
        <v>1</v>
      </c>
      <c r="AZ98">
        <v>0</v>
      </c>
      <c r="BA98">
        <v>87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CX98">
        <f>Y98*Source!I78</f>
        <v>2.8799999999999999E-2</v>
      </c>
      <c r="CY98">
        <f t="shared" si="24"/>
        <v>187.09</v>
      </c>
      <c r="CZ98">
        <f t="shared" si="25"/>
        <v>187.09</v>
      </c>
      <c r="DA98">
        <f t="shared" si="26"/>
        <v>1</v>
      </c>
      <c r="DB98">
        <f t="shared" si="27"/>
        <v>3.74</v>
      </c>
      <c r="DC98">
        <f t="shared" si="28"/>
        <v>0</v>
      </c>
    </row>
    <row r="99" spans="1:107" x14ac:dyDescent="0.2">
      <c r="A99">
        <f>ROW(Source!A78)</f>
        <v>78</v>
      </c>
      <c r="B99">
        <v>43095088</v>
      </c>
      <c r="C99">
        <v>43095547</v>
      </c>
      <c r="D99">
        <v>42313392</v>
      </c>
      <c r="E99">
        <v>1</v>
      </c>
      <c r="F99">
        <v>1</v>
      </c>
      <c r="G99">
        <v>29</v>
      </c>
      <c r="H99">
        <v>3</v>
      </c>
      <c r="I99" t="s">
        <v>217</v>
      </c>
      <c r="J99" t="s">
        <v>220</v>
      </c>
      <c r="K99" t="s">
        <v>218</v>
      </c>
      <c r="L99">
        <v>1303</v>
      </c>
      <c r="N99">
        <v>1003</v>
      </c>
      <c r="O99" t="s">
        <v>219</v>
      </c>
      <c r="P99" t="s">
        <v>219</v>
      </c>
      <c r="Q99">
        <v>1000</v>
      </c>
      <c r="W99">
        <v>1</v>
      </c>
      <c r="X99">
        <v>550560347</v>
      </c>
      <c r="Y99">
        <v>-0.10299999999999999</v>
      </c>
      <c r="AA99">
        <v>160962.20000000001</v>
      </c>
      <c r="AB99">
        <v>0</v>
      </c>
      <c r="AC99">
        <v>0</v>
      </c>
      <c r="AD99">
        <v>0</v>
      </c>
      <c r="AE99">
        <v>160962.20000000001</v>
      </c>
      <c r="AF99">
        <v>0</v>
      </c>
      <c r="AG99">
        <v>0</v>
      </c>
      <c r="AH99">
        <v>0</v>
      </c>
      <c r="AI99">
        <v>1</v>
      </c>
      <c r="AJ99">
        <v>1</v>
      </c>
      <c r="AK99">
        <v>1</v>
      </c>
      <c r="AL99">
        <v>1</v>
      </c>
      <c r="AN99">
        <v>0</v>
      </c>
      <c r="AO99">
        <v>1</v>
      </c>
      <c r="AP99">
        <v>0</v>
      </c>
      <c r="AQ99">
        <v>0</v>
      </c>
      <c r="AR99">
        <v>0</v>
      </c>
      <c r="AS99" t="s">
        <v>3</v>
      </c>
      <c r="AT99">
        <v>-0.10299999999999999</v>
      </c>
      <c r="AU99" t="s">
        <v>3</v>
      </c>
      <c r="AV99">
        <v>0</v>
      </c>
      <c r="AW99">
        <v>2</v>
      </c>
      <c r="AX99">
        <v>43095579</v>
      </c>
      <c r="AY99">
        <v>1</v>
      </c>
      <c r="AZ99">
        <v>6144</v>
      </c>
      <c r="BA99">
        <v>88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CX99">
        <f>Y99*Source!I78</f>
        <v>-0.14831999999999998</v>
      </c>
      <c r="CY99">
        <f t="shared" si="24"/>
        <v>160962.20000000001</v>
      </c>
      <c r="CZ99">
        <f t="shared" si="25"/>
        <v>160962.20000000001</v>
      </c>
      <c r="DA99">
        <f t="shared" si="26"/>
        <v>1</v>
      </c>
      <c r="DB99">
        <f t="shared" si="27"/>
        <v>-16579.11</v>
      </c>
      <c r="DC99">
        <f t="shared" si="28"/>
        <v>0</v>
      </c>
    </row>
    <row r="100" spans="1:107" x14ac:dyDescent="0.2">
      <c r="A100">
        <f>ROW(Source!A81)</f>
        <v>81</v>
      </c>
      <c r="B100">
        <v>43095088</v>
      </c>
      <c r="C100">
        <v>43095582</v>
      </c>
      <c r="D100">
        <v>42301367</v>
      </c>
      <c r="E100">
        <v>29</v>
      </c>
      <c r="F100">
        <v>1</v>
      </c>
      <c r="G100">
        <v>29</v>
      </c>
      <c r="H100">
        <v>1</v>
      </c>
      <c r="I100" t="s">
        <v>555</v>
      </c>
      <c r="J100" t="s">
        <v>3</v>
      </c>
      <c r="K100" t="s">
        <v>556</v>
      </c>
      <c r="L100">
        <v>1191</v>
      </c>
      <c r="N100">
        <v>1013</v>
      </c>
      <c r="O100" t="s">
        <v>557</v>
      </c>
      <c r="P100" t="s">
        <v>557</v>
      </c>
      <c r="Q100">
        <v>1</v>
      </c>
      <c r="W100">
        <v>0</v>
      </c>
      <c r="X100">
        <v>476480486</v>
      </c>
      <c r="Y100">
        <v>67.16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1</v>
      </c>
      <c r="AJ100">
        <v>1</v>
      </c>
      <c r="AK100">
        <v>1</v>
      </c>
      <c r="AL100">
        <v>1</v>
      </c>
      <c r="AN100">
        <v>0</v>
      </c>
      <c r="AO100">
        <v>1</v>
      </c>
      <c r="AP100">
        <v>0</v>
      </c>
      <c r="AQ100">
        <v>0</v>
      </c>
      <c r="AR100">
        <v>0</v>
      </c>
      <c r="AS100" t="s">
        <v>3</v>
      </c>
      <c r="AT100">
        <v>67.16</v>
      </c>
      <c r="AU100" t="s">
        <v>3</v>
      </c>
      <c r="AV100">
        <v>1</v>
      </c>
      <c r="AW100">
        <v>2</v>
      </c>
      <c r="AX100">
        <v>43095601</v>
      </c>
      <c r="AY100">
        <v>1</v>
      </c>
      <c r="AZ100">
        <v>0</v>
      </c>
      <c r="BA100">
        <v>89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CX100">
        <f>Y100*Source!I81</f>
        <v>108.1276</v>
      </c>
      <c r="CY100">
        <f>AD100</f>
        <v>0</v>
      </c>
      <c r="CZ100">
        <f>AH100</f>
        <v>0</v>
      </c>
      <c r="DA100">
        <f>AL100</f>
        <v>1</v>
      </c>
      <c r="DB100">
        <f t="shared" si="27"/>
        <v>0</v>
      </c>
      <c r="DC100">
        <f t="shared" si="28"/>
        <v>0</v>
      </c>
    </row>
    <row r="101" spans="1:107" x14ac:dyDescent="0.2">
      <c r="A101">
        <f>ROW(Source!A81)</f>
        <v>81</v>
      </c>
      <c r="B101">
        <v>43095088</v>
      </c>
      <c r="C101">
        <v>43095582</v>
      </c>
      <c r="D101">
        <v>42304254</v>
      </c>
      <c r="E101">
        <v>1</v>
      </c>
      <c r="F101">
        <v>1</v>
      </c>
      <c r="G101">
        <v>29</v>
      </c>
      <c r="H101">
        <v>3</v>
      </c>
      <c r="I101" t="s">
        <v>663</v>
      </c>
      <c r="J101" t="s">
        <v>664</v>
      </c>
      <c r="K101" t="s">
        <v>665</v>
      </c>
      <c r="L101">
        <v>1348</v>
      </c>
      <c r="N101">
        <v>1009</v>
      </c>
      <c r="O101" t="s">
        <v>402</v>
      </c>
      <c r="P101" t="s">
        <v>402</v>
      </c>
      <c r="Q101">
        <v>1000</v>
      </c>
      <c r="W101">
        <v>0</v>
      </c>
      <c r="X101">
        <v>-1288676302</v>
      </c>
      <c r="Y101">
        <v>1.1999999999999999E-3</v>
      </c>
      <c r="AA101">
        <v>146451.23000000001</v>
      </c>
      <c r="AB101">
        <v>0</v>
      </c>
      <c r="AC101">
        <v>0</v>
      </c>
      <c r="AD101">
        <v>0</v>
      </c>
      <c r="AE101">
        <v>146451.23000000001</v>
      </c>
      <c r="AF101">
        <v>0</v>
      </c>
      <c r="AG101">
        <v>0</v>
      </c>
      <c r="AH101">
        <v>0</v>
      </c>
      <c r="AI101">
        <v>1</v>
      </c>
      <c r="AJ101">
        <v>1</v>
      </c>
      <c r="AK101">
        <v>1</v>
      </c>
      <c r="AL101">
        <v>1</v>
      </c>
      <c r="AN101">
        <v>0</v>
      </c>
      <c r="AO101">
        <v>1</v>
      </c>
      <c r="AP101">
        <v>0</v>
      </c>
      <c r="AQ101">
        <v>0</v>
      </c>
      <c r="AR101">
        <v>0</v>
      </c>
      <c r="AS101" t="s">
        <v>3</v>
      </c>
      <c r="AT101">
        <v>1.1999999999999999E-3</v>
      </c>
      <c r="AU101" t="s">
        <v>3</v>
      </c>
      <c r="AV101">
        <v>0</v>
      </c>
      <c r="AW101">
        <v>2</v>
      </c>
      <c r="AX101">
        <v>43095602</v>
      </c>
      <c r="AY101">
        <v>1</v>
      </c>
      <c r="AZ101">
        <v>0</v>
      </c>
      <c r="BA101">
        <v>90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CX101">
        <f>Y101*Source!I81</f>
        <v>1.9319999999999999E-3</v>
      </c>
      <c r="CY101">
        <f t="shared" ref="CY101:CY107" si="29">AA101</f>
        <v>146451.23000000001</v>
      </c>
      <c r="CZ101">
        <f t="shared" ref="CZ101:CZ107" si="30">AE101</f>
        <v>146451.23000000001</v>
      </c>
      <c r="DA101">
        <f t="shared" ref="DA101:DA107" si="31">AI101</f>
        <v>1</v>
      </c>
      <c r="DB101">
        <f t="shared" si="27"/>
        <v>175.74</v>
      </c>
      <c r="DC101">
        <f t="shared" si="28"/>
        <v>0</v>
      </c>
    </row>
    <row r="102" spans="1:107" x14ac:dyDescent="0.2">
      <c r="A102">
        <f>ROW(Source!A81)</f>
        <v>81</v>
      </c>
      <c r="B102">
        <v>43095088</v>
      </c>
      <c r="C102">
        <v>43095582</v>
      </c>
      <c r="D102">
        <v>42308976</v>
      </c>
      <c r="E102">
        <v>1</v>
      </c>
      <c r="F102">
        <v>1</v>
      </c>
      <c r="G102">
        <v>29</v>
      </c>
      <c r="H102">
        <v>3</v>
      </c>
      <c r="I102" t="s">
        <v>240</v>
      </c>
      <c r="J102" t="s">
        <v>242</v>
      </c>
      <c r="K102" t="s">
        <v>241</v>
      </c>
      <c r="L102">
        <v>1301</v>
      </c>
      <c r="N102">
        <v>1003</v>
      </c>
      <c r="O102" t="s">
        <v>64</v>
      </c>
      <c r="P102" t="s">
        <v>64</v>
      </c>
      <c r="Q102">
        <v>1</v>
      </c>
      <c r="W102">
        <v>1</v>
      </c>
      <c r="X102">
        <v>-423230281</v>
      </c>
      <c r="Y102">
        <v>-99.8</v>
      </c>
      <c r="AA102">
        <v>224.03</v>
      </c>
      <c r="AB102">
        <v>0</v>
      </c>
      <c r="AC102">
        <v>0</v>
      </c>
      <c r="AD102">
        <v>0</v>
      </c>
      <c r="AE102">
        <v>224.03</v>
      </c>
      <c r="AF102">
        <v>0</v>
      </c>
      <c r="AG102">
        <v>0</v>
      </c>
      <c r="AH102">
        <v>0</v>
      </c>
      <c r="AI102">
        <v>1</v>
      </c>
      <c r="AJ102">
        <v>1</v>
      </c>
      <c r="AK102">
        <v>1</v>
      </c>
      <c r="AL102">
        <v>1</v>
      </c>
      <c r="AN102">
        <v>0</v>
      </c>
      <c r="AO102">
        <v>1</v>
      </c>
      <c r="AP102">
        <v>0</v>
      </c>
      <c r="AQ102">
        <v>0</v>
      </c>
      <c r="AR102">
        <v>0</v>
      </c>
      <c r="AS102" t="s">
        <v>3</v>
      </c>
      <c r="AT102">
        <v>-99.8</v>
      </c>
      <c r="AU102" t="s">
        <v>3</v>
      </c>
      <c r="AV102">
        <v>0</v>
      </c>
      <c r="AW102">
        <v>2</v>
      </c>
      <c r="AX102">
        <v>43095604</v>
      </c>
      <c r="AY102">
        <v>1</v>
      </c>
      <c r="AZ102">
        <v>6144</v>
      </c>
      <c r="BA102">
        <v>91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CX102">
        <f>Y102*Source!I81</f>
        <v>-160.678</v>
      </c>
      <c r="CY102">
        <f t="shared" si="29"/>
        <v>224.03</v>
      </c>
      <c r="CZ102">
        <f t="shared" si="30"/>
        <v>224.03</v>
      </c>
      <c r="DA102">
        <f t="shared" si="31"/>
        <v>1</v>
      </c>
      <c r="DB102">
        <f t="shared" si="27"/>
        <v>-22358.19</v>
      </c>
      <c r="DC102">
        <f t="shared" si="28"/>
        <v>0</v>
      </c>
    </row>
    <row r="103" spans="1:107" x14ac:dyDescent="0.2">
      <c r="A103">
        <f>ROW(Source!A81)</f>
        <v>81</v>
      </c>
      <c r="B103">
        <v>43095088</v>
      </c>
      <c r="C103">
        <v>43095582</v>
      </c>
      <c r="D103">
        <v>42305225</v>
      </c>
      <c r="E103">
        <v>1</v>
      </c>
      <c r="F103">
        <v>1</v>
      </c>
      <c r="G103">
        <v>29</v>
      </c>
      <c r="H103">
        <v>3</v>
      </c>
      <c r="I103" t="s">
        <v>79</v>
      </c>
      <c r="J103" t="s">
        <v>82</v>
      </c>
      <c r="K103" t="s">
        <v>80</v>
      </c>
      <c r="L103">
        <v>1339</v>
      </c>
      <c r="N103">
        <v>1007</v>
      </c>
      <c r="O103" t="s">
        <v>81</v>
      </c>
      <c r="P103" t="s">
        <v>81</v>
      </c>
      <c r="Q103">
        <v>1</v>
      </c>
      <c r="W103">
        <v>1</v>
      </c>
      <c r="X103">
        <v>-1142489294</v>
      </c>
      <c r="Y103">
        <v>-0.19700000000000001</v>
      </c>
      <c r="AA103">
        <v>36.31</v>
      </c>
      <c r="AB103">
        <v>0</v>
      </c>
      <c r="AC103">
        <v>0</v>
      </c>
      <c r="AD103">
        <v>0</v>
      </c>
      <c r="AE103">
        <v>36.31</v>
      </c>
      <c r="AF103">
        <v>0</v>
      </c>
      <c r="AG103">
        <v>0</v>
      </c>
      <c r="AH103">
        <v>0</v>
      </c>
      <c r="AI103">
        <v>1</v>
      </c>
      <c r="AJ103">
        <v>1</v>
      </c>
      <c r="AK103">
        <v>1</v>
      </c>
      <c r="AL103">
        <v>1</v>
      </c>
      <c r="AN103">
        <v>0</v>
      </c>
      <c r="AO103">
        <v>1</v>
      </c>
      <c r="AP103">
        <v>0</v>
      </c>
      <c r="AQ103">
        <v>0</v>
      </c>
      <c r="AR103">
        <v>0</v>
      </c>
      <c r="AS103" t="s">
        <v>3</v>
      </c>
      <c r="AT103">
        <v>-0.19700000000000001</v>
      </c>
      <c r="AU103" t="s">
        <v>3</v>
      </c>
      <c r="AV103">
        <v>0</v>
      </c>
      <c r="AW103">
        <v>2</v>
      </c>
      <c r="AX103">
        <v>43095603</v>
      </c>
      <c r="AY103">
        <v>1</v>
      </c>
      <c r="AZ103">
        <v>6144</v>
      </c>
      <c r="BA103">
        <v>92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CX103">
        <f>Y103*Source!I81</f>
        <v>-0.31717000000000001</v>
      </c>
      <c r="CY103">
        <f t="shared" si="29"/>
        <v>36.31</v>
      </c>
      <c r="CZ103">
        <f t="shared" si="30"/>
        <v>36.31</v>
      </c>
      <c r="DA103">
        <f t="shared" si="31"/>
        <v>1</v>
      </c>
      <c r="DB103">
        <f t="shared" si="27"/>
        <v>-7.15</v>
      </c>
      <c r="DC103">
        <f t="shared" si="28"/>
        <v>0</v>
      </c>
    </row>
    <row r="104" spans="1:107" x14ac:dyDescent="0.2">
      <c r="A104">
        <f>ROW(Source!A81)</f>
        <v>81</v>
      </c>
      <c r="B104">
        <v>43095088</v>
      </c>
      <c r="C104">
        <v>43095582</v>
      </c>
      <c r="D104">
        <v>42309282</v>
      </c>
      <c r="E104">
        <v>1</v>
      </c>
      <c r="F104">
        <v>1</v>
      </c>
      <c r="G104">
        <v>29</v>
      </c>
      <c r="H104">
        <v>3</v>
      </c>
      <c r="I104" t="s">
        <v>226</v>
      </c>
      <c r="J104" t="s">
        <v>228</v>
      </c>
      <c r="K104" t="s">
        <v>227</v>
      </c>
      <c r="L104">
        <v>1301</v>
      </c>
      <c r="N104">
        <v>1003</v>
      </c>
      <c r="O104" t="s">
        <v>64</v>
      </c>
      <c r="P104" t="s">
        <v>64</v>
      </c>
      <c r="Q104">
        <v>1</v>
      </c>
      <c r="W104">
        <v>0</v>
      </c>
      <c r="X104">
        <v>1797441285</v>
      </c>
      <c r="Y104">
        <v>100</v>
      </c>
      <c r="AA104">
        <v>29.15</v>
      </c>
      <c r="AB104">
        <v>0</v>
      </c>
      <c r="AC104">
        <v>0</v>
      </c>
      <c r="AD104">
        <v>0</v>
      </c>
      <c r="AE104">
        <v>29.15</v>
      </c>
      <c r="AF104">
        <v>0</v>
      </c>
      <c r="AG104">
        <v>0</v>
      </c>
      <c r="AH104">
        <v>0</v>
      </c>
      <c r="AI104">
        <v>1</v>
      </c>
      <c r="AJ104">
        <v>1</v>
      </c>
      <c r="AK104">
        <v>1</v>
      </c>
      <c r="AL104">
        <v>1</v>
      </c>
      <c r="AN104">
        <v>0</v>
      </c>
      <c r="AO104">
        <v>0</v>
      </c>
      <c r="AP104">
        <v>0</v>
      </c>
      <c r="AQ104">
        <v>0</v>
      </c>
      <c r="AR104">
        <v>0</v>
      </c>
      <c r="AS104" t="s">
        <v>3</v>
      </c>
      <c r="AT104">
        <v>100</v>
      </c>
      <c r="AU104" t="s">
        <v>3</v>
      </c>
      <c r="AV104">
        <v>0</v>
      </c>
      <c r="AW104">
        <v>1</v>
      </c>
      <c r="AX104">
        <v>-1</v>
      </c>
      <c r="AY104">
        <v>0</v>
      </c>
      <c r="AZ104">
        <v>0</v>
      </c>
      <c r="BA104" t="s">
        <v>3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CX104">
        <f>Y104*Source!I81</f>
        <v>161</v>
      </c>
      <c r="CY104">
        <f t="shared" si="29"/>
        <v>29.15</v>
      </c>
      <c r="CZ104">
        <f t="shared" si="30"/>
        <v>29.15</v>
      </c>
      <c r="DA104">
        <f t="shared" si="31"/>
        <v>1</v>
      </c>
      <c r="DB104">
        <f t="shared" si="27"/>
        <v>2915</v>
      </c>
      <c r="DC104">
        <f t="shared" si="28"/>
        <v>0</v>
      </c>
    </row>
    <row r="105" spans="1:107" x14ac:dyDescent="0.2">
      <c r="A105">
        <f>ROW(Source!A81)</f>
        <v>81</v>
      </c>
      <c r="B105">
        <v>43095088</v>
      </c>
      <c r="C105">
        <v>43095582</v>
      </c>
      <c r="D105">
        <v>42309334</v>
      </c>
      <c r="E105">
        <v>1</v>
      </c>
      <c r="F105">
        <v>1</v>
      </c>
      <c r="G105">
        <v>29</v>
      </c>
      <c r="H105">
        <v>3</v>
      </c>
      <c r="I105" t="s">
        <v>244</v>
      </c>
      <c r="J105" t="s">
        <v>246</v>
      </c>
      <c r="K105" t="s">
        <v>245</v>
      </c>
      <c r="L105">
        <v>1354</v>
      </c>
      <c r="N105">
        <v>1010</v>
      </c>
      <c r="O105" t="s">
        <v>20</v>
      </c>
      <c r="P105" t="s">
        <v>20</v>
      </c>
      <c r="Q105">
        <v>1</v>
      </c>
      <c r="W105">
        <v>1</v>
      </c>
      <c r="X105">
        <v>1420787773</v>
      </c>
      <c r="Y105">
        <v>-12</v>
      </c>
      <c r="AA105">
        <v>7.26</v>
      </c>
      <c r="AB105">
        <v>0</v>
      </c>
      <c r="AC105">
        <v>0</v>
      </c>
      <c r="AD105">
        <v>0</v>
      </c>
      <c r="AE105">
        <v>7.26</v>
      </c>
      <c r="AF105">
        <v>0</v>
      </c>
      <c r="AG105">
        <v>0</v>
      </c>
      <c r="AH105">
        <v>0</v>
      </c>
      <c r="AI105">
        <v>1</v>
      </c>
      <c r="AJ105">
        <v>1</v>
      </c>
      <c r="AK105">
        <v>1</v>
      </c>
      <c r="AL105">
        <v>1</v>
      </c>
      <c r="AN105">
        <v>0</v>
      </c>
      <c r="AO105">
        <v>1</v>
      </c>
      <c r="AP105">
        <v>0</v>
      </c>
      <c r="AQ105">
        <v>0</v>
      </c>
      <c r="AR105">
        <v>0</v>
      </c>
      <c r="AS105" t="s">
        <v>3</v>
      </c>
      <c r="AT105">
        <v>-12</v>
      </c>
      <c r="AU105" t="s">
        <v>3</v>
      </c>
      <c r="AV105">
        <v>0</v>
      </c>
      <c r="AW105">
        <v>2</v>
      </c>
      <c r="AX105">
        <v>43095605</v>
      </c>
      <c r="AY105">
        <v>1</v>
      </c>
      <c r="AZ105">
        <v>6144</v>
      </c>
      <c r="BA105">
        <v>93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CX105">
        <f>Y105*Source!I81</f>
        <v>-19.32</v>
      </c>
      <c r="CY105">
        <f t="shared" si="29"/>
        <v>7.26</v>
      </c>
      <c r="CZ105">
        <f t="shared" si="30"/>
        <v>7.26</v>
      </c>
      <c r="DA105">
        <f t="shared" si="31"/>
        <v>1</v>
      </c>
      <c r="DB105">
        <f t="shared" si="27"/>
        <v>-87.12</v>
      </c>
      <c r="DC105">
        <f t="shared" si="28"/>
        <v>0</v>
      </c>
    </row>
    <row r="106" spans="1:107" x14ac:dyDescent="0.2">
      <c r="A106">
        <f>ROW(Source!A81)</f>
        <v>81</v>
      </c>
      <c r="B106">
        <v>43095088</v>
      </c>
      <c r="C106">
        <v>43095582</v>
      </c>
      <c r="D106">
        <v>42301612</v>
      </c>
      <c r="E106">
        <v>29</v>
      </c>
      <c r="F106">
        <v>1</v>
      </c>
      <c r="G106">
        <v>29</v>
      </c>
      <c r="H106">
        <v>3</v>
      </c>
      <c r="I106" t="s">
        <v>233</v>
      </c>
      <c r="J106" t="s">
        <v>3</v>
      </c>
      <c r="K106" t="s">
        <v>234</v>
      </c>
      <c r="L106">
        <v>1354</v>
      </c>
      <c r="N106">
        <v>1010</v>
      </c>
      <c r="O106" t="s">
        <v>20</v>
      </c>
      <c r="P106" t="s">
        <v>20</v>
      </c>
      <c r="Q106">
        <v>1</v>
      </c>
      <c r="W106">
        <v>0</v>
      </c>
      <c r="X106">
        <v>-1590809106</v>
      </c>
      <c r="Y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1</v>
      </c>
      <c r="AJ106">
        <v>1</v>
      </c>
      <c r="AK106">
        <v>1</v>
      </c>
      <c r="AL106">
        <v>1</v>
      </c>
      <c r="AN106">
        <v>0</v>
      </c>
      <c r="AO106">
        <v>0</v>
      </c>
      <c r="AP106">
        <v>0</v>
      </c>
      <c r="AQ106">
        <v>0</v>
      </c>
      <c r="AR106">
        <v>0</v>
      </c>
      <c r="AS106" t="s">
        <v>3</v>
      </c>
      <c r="AT106">
        <v>0</v>
      </c>
      <c r="AU106" t="s">
        <v>3</v>
      </c>
      <c r="AV106">
        <v>0</v>
      </c>
      <c r="AW106">
        <v>2</v>
      </c>
      <c r="AX106">
        <v>43095606</v>
      </c>
      <c r="AY106">
        <v>1</v>
      </c>
      <c r="AZ106">
        <v>0</v>
      </c>
      <c r="BA106">
        <v>94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CX106">
        <f>Y106*Source!I81</f>
        <v>0</v>
      </c>
      <c r="CY106">
        <f t="shared" si="29"/>
        <v>0</v>
      </c>
      <c r="CZ106">
        <f t="shared" si="30"/>
        <v>0</v>
      </c>
      <c r="DA106">
        <f t="shared" si="31"/>
        <v>1</v>
      </c>
      <c r="DB106">
        <f t="shared" si="27"/>
        <v>0</v>
      </c>
      <c r="DC106">
        <f t="shared" si="28"/>
        <v>0</v>
      </c>
    </row>
    <row r="107" spans="1:107" x14ac:dyDescent="0.2">
      <c r="A107">
        <f>ROW(Source!A81)</f>
        <v>81</v>
      </c>
      <c r="B107">
        <v>43095088</v>
      </c>
      <c r="C107">
        <v>43095582</v>
      </c>
      <c r="D107">
        <v>42301619</v>
      </c>
      <c r="E107">
        <v>29</v>
      </c>
      <c r="F107">
        <v>1</v>
      </c>
      <c r="G107">
        <v>29</v>
      </c>
      <c r="H107">
        <v>3</v>
      </c>
      <c r="I107" t="s">
        <v>236</v>
      </c>
      <c r="J107" t="s">
        <v>3</v>
      </c>
      <c r="K107" t="s">
        <v>237</v>
      </c>
      <c r="L107">
        <v>1346</v>
      </c>
      <c r="N107">
        <v>1009</v>
      </c>
      <c r="O107" t="s">
        <v>46</v>
      </c>
      <c r="P107" t="s">
        <v>46</v>
      </c>
      <c r="Q107">
        <v>1</v>
      </c>
      <c r="W107">
        <v>0</v>
      </c>
      <c r="X107">
        <v>1784477730</v>
      </c>
      <c r="Y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1</v>
      </c>
      <c r="AJ107">
        <v>1</v>
      </c>
      <c r="AK107">
        <v>1</v>
      </c>
      <c r="AL107">
        <v>1</v>
      </c>
      <c r="AN107">
        <v>0</v>
      </c>
      <c r="AO107">
        <v>0</v>
      </c>
      <c r="AP107">
        <v>0</v>
      </c>
      <c r="AQ107">
        <v>0</v>
      </c>
      <c r="AR107">
        <v>0</v>
      </c>
      <c r="AS107" t="s">
        <v>3</v>
      </c>
      <c r="AT107">
        <v>0</v>
      </c>
      <c r="AU107" t="s">
        <v>3</v>
      </c>
      <c r="AV107">
        <v>0</v>
      </c>
      <c r="AW107">
        <v>2</v>
      </c>
      <c r="AX107">
        <v>43095607</v>
      </c>
      <c r="AY107">
        <v>1</v>
      </c>
      <c r="AZ107">
        <v>0</v>
      </c>
      <c r="BA107">
        <v>95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CX107">
        <f>Y107*Source!I81</f>
        <v>0</v>
      </c>
      <c r="CY107">
        <f t="shared" si="29"/>
        <v>0</v>
      </c>
      <c r="CZ107">
        <f t="shared" si="30"/>
        <v>0</v>
      </c>
      <c r="DA107">
        <f t="shared" si="31"/>
        <v>1</v>
      </c>
      <c r="DB107">
        <f t="shared" si="27"/>
        <v>0</v>
      </c>
      <c r="DC107">
        <f t="shared" si="28"/>
        <v>0</v>
      </c>
    </row>
    <row r="108" spans="1:107" x14ac:dyDescent="0.2">
      <c r="A108">
        <f>ROW(Source!A89)</f>
        <v>89</v>
      </c>
      <c r="B108">
        <v>43095088</v>
      </c>
      <c r="C108">
        <v>43095615</v>
      </c>
      <c r="D108">
        <v>42301367</v>
      </c>
      <c r="E108">
        <v>29</v>
      </c>
      <c r="F108">
        <v>1</v>
      </c>
      <c r="G108">
        <v>29</v>
      </c>
      <c r="H108">
        <v>1</v>
      </c>
      <c r="I108" t="s">
        <v>555</v>
      </c>
      <c r="J108" t="s">
        <v>3</v>
      </c>
      <c r="K108" t="s">
        <v>556</v>
      </c>
      <c r="L108">
        <v>1191</v>
      </c>
      <c r="N108">
        <v>1013</v>
      </c>
      <c r="O108" t="s">
        <v>557</v>
      </c>
      <c r="P108" t="s">
        <v>557</v>
      </c>
      <c r="Q108">
        <v>1</v>
      </c>
      <c r="W108">
        <v>0</v>
      </c>
      <c r="X108">
        <v>476480486</v>
      </c>
      <c r="Y108">
        <v>46.78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1</v>
      </c>
      <c r="AJ108">
        <v>1</v>
      </c>
      <c r="AK108">
        <v>1</v>
      </c>
      <c r="AL108">
        <v>1</v>
      </c>
      <c r="AN108">
        <v>0</v>
      </c>
      <c r="AO108">
        <v>1</v>
      </c>
      <c r="AP108">
        <v>0</v>
      </c>
      <c r="AQ108">
        <v>0</v>
      </c>
      <c r="AR108">
        <v>0</v>
      </c>
      <c r="AS108" t="s">
        <v>3</v>
      </c>
      <c r="AT108">
        <v>46.78</v>
      </c>
      <c r="AU108" t="s">
        <v>3</v>
      </c>
      <c r="AV108">
        <v>1</v>
      </c>
      <c r="AW108">
        <v>2</v>
      </c>
      <c r="AX108">
        <v>43095649</v>
      </c>
      <c r="AY108">
        <v>1</v>
      </c>
      <c r="AZ108">
        <v>0</v>
      </c>
      <c r="BA108">
        <v>96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CX108">
        <f>Y108*Source!I89</f>
        <v>0</v>
      </c>
      <c r="CY108">
        <f>AD108</f>
        <v>0</v>
      </c>
      <c r="CZ108">
        <f>AH108</f>
        <v>0</v>
      </c>
      <c r="DA108">
        <f>AL108</f>
        <v>1</v>
      </c>
      <c r="DB108">
        <f t="shared" si="27"/>
        <v>0</v>
      </c>
      <c r="DC108">
        <f t="shared" si="28"/>
        <v>0</v>
      </c>
    </row>
    <row r="109" spans="1:107" x14ac:dyDescent="0.2">
      <c r="A109">
        <f>ROW(Source!A89)</f>
        <v>89</v>
      </c>
      <c r="B109">
        <v>43095088</v>
      </c>
      <c r="C109">
        <v>43095615</v>
      </c>
      <c r="D109">
        <v>42303124</v>
      </c>
      <c r="E109">
        <v>1</v>
      </c>
      <c r="F109">
        <v>1</v>
      </c>
      <c r="G109">
        <v>29</v>
      </c>
      <c r="H109">
        <v>2</v>
      </c>
      <c r="I109" t="s">
        <v>633</v>
      </c>
      <c r="J109" t="s">
        <v>634</v>
      </c>
      <c r="K109" t="s">
        <v>635</v>
      </c>
      <c r="L109">
        <v>1368</v>
      </c>
      <c r="N109">
        <v>1011</v>
      </c>
      <c r="O109" t="s">
        <v>480</v>
      </c>
      <c r="P109" t="s">
        <v>480</v>
      </c>
      <c r="Q109">
        <v>1</v>
      </c>
      <c r="W109">
        <v>0</v>
      </c>
      <c r="X109">
        <v>-376097338</v>
      </c>
      <c r="Y109">
        <v>13</v>
      </c>
      <c r="AA109">
        <v>0</v>
      </c>
      <c r="AB109">
        <v>3.14</v>
      </c>
      <c r="AC109">
        <v>0.01</v>
      </c>
      <c r="AD109">
        <v>0</v>
      </c>
      <c r="AE109">
        <v>0</v>
      </c>
      <c r="AF109">
        <v>3.14</v>
      </c>
      <c r="AG109">
        <v>0.01</v>
      </c>
      <c r="AH109">
        <v>0</v>
      </c>
      <c r="AI109">
        <v>1</v>
      </c>
      <c r="AJ109">
        <v>1</v>
      </c>
      <c r="AK109">
        <v>1</v>
      </c>
      <c r="AL109">
        <v>1</v>
      </c>
      <c r="AN109">
        <v>0</v>
      </c>
      <c r="AO109">
        <v>1</v>
      </c>
      <c r="AP109">
        <v>0</v>
      </c>
      <c r="AQ109">
        <v>0</v>
      </c>
      <c r="AR109">
        <v>0</v>
      </c>
      <c r="AS109" t="s">
        <v>3</v>
      </c>
      <c r="AT109">
        <v>13</v>
      </c>
      <c r="AU109" t="s">
        <v>3</v>
      </c>
      <c r="AV109">
        <v>0</v>
      </c>
      <c r="AW109">
        <v>2</v>
      </c>
      <c r="AX109">
        <v>43095650</v>
      </c>
      <c r="AY109">
        <v>1</v>
      </c>
      <c r="AZ109">
        <v>0</v>
      </c>
      <c r="BA109">
        <v>97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CX109">
        <f>Y109*Source!I89</f>
        <v>0</v>
      </c>
      <c r="CY109">
        <f>AB109</f>
        <v>3.14</v>
      </c>
      <c r="CZ109">
        <f>AF109</f>
        <v>3.14</v>
      </c>
      <c r="DA109">
        <f>AJ109</f>
        <v>1</v>
      </c>
      <c r="DB109">
        <f t="shared" si="27"/>
        <v>40.82</v>
      </c>
      <c r="DC109">
        <f t="shared" si="28"/>
        <v>0.13</v>
      </c>
    </row>
    <row r="110" spans="1:107" x14ac:dyDescent="0.2">
      <c r="A110">
        <f>ROW(Source!A89)</f>
        <v>89</v>
      </c>
      <c r="B110">
        <v>43095088</v>
      </c>
      <c r="C110">
        <v>43095615</v>
      </c>
      <c r="D110">
        <v>42303204</v>
      </c>
      <c r="E110">
        <v>1</v>
      </c>
      <c r="F110">
        <v>1</v>
      </c>
      <c r="G110">
        <v>29</v>
      </c>
      <c r="H110">
        <v>2</v>
      </c>
      <c r="I110" t="s">
        <v>636</v>
      </c>
      <c r="J110" t="s">
        <v>637</v>
      </c>
      <c r="K110" t="s">
        <v>638</v>
      </c>
      <c r="L110">
        <v>1368</v>
      </c>
      <c r="N110">
        <v>1011</v>
      </c>
      <c r="O110" t="s">
        <v>480</v>
      </c>
      <c r="P110" t="s">
        <v>480</v>
      </c>
      <c r="Q110">
        <v>1</v>
      </c>
      <c r="W110">
        <v>0</v>
      </c>
      <c r="X110">
        <v>-1879814166</v>
      </c>
      <c r="Y110">
        <v>0.15</v>
      </c>
      <c r="AA110">
        <v>0</v>
      </c>
      <c r="AB110">
        <v>7.81</v>
      </c>
      <c r="AC110">
        <v>1.03</v>
      </c>
      <c r="AD110">
        <v>0</v>
      </c>
      <c r="AE110">
        <v>0</v>
      </c>
      <c r="AF110">
        <v>7.81</v>
      </c>
      <c r="AG110">
        <v>1.03</v>
      </c>
      <c r="AH110">
        <v>0</v>
      </c>
      <c r="AI110">
        <v>1</v>
      </c>
      <c r="AJ110">
        <v>1</v>
      </c>
      <c r="AK110">
        <v>1</v>
      </c>
      <c r="AL110">
        <v>1</v>
      </c>
      <c r="AN110">
        <v>0</v>
      </c>
      <c r="AO110">
        <v>1</v>
      </c>
      <c r="AP110">
        <v>0</v>
      </c>
      <c r="AQ110">
        <v>0</v>
      </c>
      <c r="AR110">
        <v>0</v>
      </c>
      <c r="AS110" t="s">
        <v>3</v>
      </c>
      <c r="AT110">
        <v>0.15</v>
      </c>
      <c r="AU110" t="s">
        <v>3</v>
      </c>
      <c r="AV110">
        <v>0</v>
      </c>
      <c r="AW110">
        <v>2</v>
      </c>
      <c r="AX110">
        <v>43095651</v>
      </c>
      <c r="AY110">
        <v>1</v>
      </c>
      <c r="AZ110">
        <v>0</v>
      </c>
      <c r="BA110">
        <v>98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CX110">
        <f>Y110*Source!I89</f>
        <v>0</v>
      </c>
      <c r="CY110">
        <f>AB110</f>
        <v>7.81</v>
      </c>
      <c r="CZ110">
        <f>AF110</f>
        <v>7.81</v>
      </c>
      <c r="DA110">
        <f>AJ110</f>
        <v>1</v>
      </c>
      <c r="DB110">
        <f t="shared" si="27"/>
        <v>1.17</v>
      </c>
      <c r="DC110">
        <f t="shared" si="28"/>
        <v>0.15</v>
      </c>
    </row>
    <row r="111" spans="1:107" x14ac:dyDescent="0.2">
      <c r="A111">
        <f>ROW(Source!A89)</f>
        <v>89</v>
      </c>
      <c r="B111">
        <v>43095088</v>
      </c>
      <c r="C111">
        <v>43095615</v>
      </c>
      <c r="D111">
        <v>42304341</v>
      </c>
      <c r="E111">
        <v>1</v>
      </c>
      <c r="F111">
        <v>1</v>
      </c>
      <c r="G111">
        <v>29</v>
      </c>
      <c r="H111">
        <v>3</v>
      </c>
      <c r="I111" t="s">
        <v>621</v>
      </c>
      <c r="J111" t="s">
        <v>622</v>
      </c>
      <c r="K111" t="s">
        <v>623</v>
      </c>
      <c r="L111">
        <v>1348</v>
      </c>
      <c r="N111">
        <v>1009</v>
      </c>
      <c r="O111" t="s">
        <v>402</v>
      </c>
      <c r="P111" t="s">
        <v>402</v>
      </c>
      <c r="Q111">
        <v>1000</v>
      </c>
      <c r="W111">
        <v>0</v>
      </c>
      <c r="X111">
        <v>335561789</v>
      </c>
      <c r="Y111">
        <v>7.3999999999999999E-4</v>
      </c>
      <c r="AA111">
        <v>327543.38</v>
      </c>
      <c r="AB111">
        <v>0</v>
      </c>
      <c r="AC111">
        <v>0</v>
      </c>
      <c r="AD111">
        <v>0</v>
      </c>
      <c r="AE111">
        <v>327543.38</v>
      </c>
      <c r="AF111">
        <v>0</v>
      </c>
      <c r="AG111">
        <v>0</v>
      </c>
      <c r="AH111">
        <v>0</v>
      </c>
      <c r="AI111">
        <v>1</v>
      </c>
      <c r="AJ111">
        <v>1</v>
      </c>
      <c r="AK111">
        <v>1</v>
      </c>
      <c r="AL111">
        <v>1</v>
      </c>
      <c r="AN111">
        <v>0</v>
      </c>
      <c r="AO111">
        <v>1</v>
      </c>
      <c r="AP111">
        <v>0</v>
      </c>
      <c r="AQ111">
        <v>0</v>
      </c>
      <c r="AR111">
        <v>0</v>
      </c>
      <c r="AS111" t="s">
        <v>3</v>
      </c>
      <c r="AT111">
        <v>7.3999999999999999E-4</v>
      </c>
      <c r="AU111" t="s">
        <v>3</v>
      </c>
      <c r="AV111">
        <v>0</v>
      </c>
      <c r="AW111">
        <v>2</v>
      </c>
      <c r="AX111">
        <v>43095652</v>
      </c>
      <c r="AY111">
        <v>1</v>
      </c>
      <c r="AZ111">
        <v>0</v>
      </c>
      <c r="BA111">
        <v>99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CX111">
        <f>Y111*Source!I89</f>
        <v>0</v>
      </c>
      <c r="CY111">
        <f t="shared" ref="CY111:CY120" si="32">AA111</f>
        <v>327543.38</v>
      </c>
      <c r="CZ111">
        <f t="shared" ref="CZ111:CZ120" si="33">AE111</f>
        <v>327543.38</v>
      </c>
      <c r="DA111">
        <f t="shared" ref="DA111:DA120" si="34">AI111</f>
        <v>1</v>
      </c>
      <c r="DB111">
        <f t="shared" si="27"/>
        <v>242.38</v>
      </c>
      <c r="DC111">
        <f t="shared" si="28"/>
        <v>0</v>
      </c>
    </row>
    <row r="112" spans="1:107" x14ac:dyDescent="0.2">
      <c r="A112">
        <f>ROW(Source!A89)</f>
        <v>89</v>
      </c>
      <c r="B112">
        <v>43095088</v>
      </c>
      <c r="C112">
        <v>43095615</v>
      </c>
      <c r="D112">
        <v>42304314</v>
      </c>
      <c r="E112">
        <v>1</v>
      </c>
      <c r="F112">
        <v>1</v>
      </c>
      <c r="G112">
        <v>29</v>
      </c>
      <c r="H112">
        <v>3</v>
      </c>
      <c r="I112" t="s">
        <v>639</v>
      </c>
      <c r="J112" t="s">
        <v>640</v>
      </c>
      <c r="K112" t="s">
        <v>641</v>
      </c>
      <c r="L112">
        <v>1355</v>
      </c>
      <c r="N112">
        <v>1010</v>
      </c>
      <c r="O112" t="s">
        <v>342</v>
      </c>
      <c r="P112" t="s">
        <v>342</v>
      </c>
      <c r="Q112">
        <v>100</v>
      </c>
      <c r="W112">
        <v>0</v>
      </c>
      <c r="X112">
        <v>-972910948</v>
      </c>
      <c r="Y112">
        <v>4</v>
      </c>
      <c r="AA112">
        <v>1126.26</v>
      </c>
      <c r="AB112">
        <v>0</v>
      </c>
      <c r="AC112">
        <v>0</v>
      </c>
      <c r="AD112">
        <v>0</v>
      </c>
      <c r="AE112">
        <v>1126.26</v>
      </c>
      <c r="AF112">
        <v>0</v>
      </c>
      <c r="AG112">
        <v>0</v>
      </c>
      <c r="AH112">
        <v>0</v>
      </c>
      <c r="AI112">
        <v>1</v>
      </c>
      <c r="AJ112">
        <v>1</v>
      </c>
      <c r="AK112">
        <v>1</v>
      </c>
      <c r="AL112">
        <v>1</v>
      </c>
      <c r="AN112">
        <v>0</v>
      </c>
      <c r="AO112">
        <v>1</v>
      </c>
      <c r="AP112">
        <v>0</v>
      </c>
      <c r="AQ112">
        <v>0</v>
      </c>
      <c r="AR112">
        <v>0</v>
      </c>
      <c r="AS112" t="s">
        <v>3</v>
      </c>
      <c r="AT112">
        <v>4</v>
      </c>
      <c r="AU112" t="s">
        <v>3</v>
      </c>
      <c r="AV112">
        <v>0</v>
      </c>
      <c r="AW112">
        <v>2</v>
      </c>
      <c r="AX112">
        <v>43095653</v>
      </c>
      <c r="AY112">
        <v>1</v>
      </c>
      <c r="AZ112">
        <v>0</v>
      </c>
      <c r="BA112">
        <v>100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CX112">
        <f>Y112*Source!I89</f>
        <v>0</v>
      </c>
      <c r="CY112">
        <f t="shared" si="32"/>
        <v>1126.26</v>
      </c>
      <c r="CZ112">
        <f t="shared" si="33"/>
        <v>1126.26</v>
      </c>
      <c r="DA112">
        <f t="shared" si="34"/>
        <v>1</v>
      </c>
      <c r="DB112">
        <f t="shared" si="27"/>
        <v>4505.04</v>
      </c>
      <c r="DC112">
        <f t="shared" si="28"/>
        <v>0</v>
      </c>
    </row>
    <row r="113" spans="1:107" x14ac:dyDescent="0.2">
      <c r="A113">
        <f>ROW(Source!A89)</f>
        <v>89</v>
      </c>
      <c r="B113">
        <v>43095088</v>
      </c>
      <c r="C113">
        <v>43095615</v>
      </c>
      <c r="D113">
        <v>42306004</v>
      </c>
      <c r="E113">
        <v>1</v>
      </c>
      <c r="F113">
        <v>1</v>
      </c>
      <c r="G113">
        <v>29</v>
      </c>
      <c r="H113">
        <v>3</v>
      </c>
      <c r="I113" t="s">
        <v>666</v>
      </c>
      <c r="J113" t="s">
        <v>667</v>
      </c>
      <c r="K113" t="s">
        <v>668</v>
      </c>
      <c r="L113">
        <v>1301</v>
      </c>
      <c r="N113">
        <v>1003</v>
      </c>
      <c r="O113" t="s">
        <v>64</v>
      </c>
      <c r="P113" t="s">
        <v>64</v>
      </c>
      <c r="Q113">
        <v>1</v>
      </c>
      <c r="W113">
        <v>0</v>
      </c>
      <c r="X113">
        <v>-2068227068</v>
      </c>
      <c r="Y113">
        <v>100</v>
      </c>
      <c r="AA113">
        <v>604.19000000000005</v>
      </c>
      <c r="AB113">
        <v>0</v>
      </c>
      <c r="AC113">
        <v>0</v>
      </c>
      <c r="AD113">
        <v>0</v>
      </c>
      <c r="AE113">
        <v>604.19000000000005</v>
      </c>
      <c r="AF113">
        <v>0</v>
      </c>
      <c r="AG113">
        <v>0</v>
      </c>
      <c r="AH113">
        <v>0</v>
      </c>
      <c r="AI113">
        <v>1</v>
      </c>
      <c r="AJ113">
        <v>1</v>
      </c>
      <c r="AK113">
        <v>1</v>
      </c>
      <c r="AL113">
        <v>1</v>
      </c>
      <c r="AN113">
        <v>0</v>
      </c>
      <c r="AO113">
        <v>1</v>
      </c>
      <c r="AP113">
        <v>0</v>
      </c>
      <c r="AQ113">
        <v>0</v>
      </c>
      <c r="AR113">
        <v>0</v>
      </c>
      <c r="AS113" t="s">
        <v>3</v>
      </c>
      <c r="AT113">
        <v>100</v>
      </c>
      <c r="AU113" t="s">
        <v>3</v>
      </c>
      <c r="AV113">
        <v>0</v>
      </c>
      <c r="AW113">
        <v>2</v>
      </c>
      <c r="AX113">
        <v>43095654</v>
      </c>
      <c r="AY113">
        <v>1</v>
      </c>
      <c r="AZ113">
        <v>0</v>
      </c>
      <c r="BA113">
        <v>101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CX113">
        <f>Y113*Source!I89</f>
        <v>0</v>
      </c>
      <c r="CY113">
        <f t="shared" si="32"/>
        <v>604.19000000000005</v>
      </c>
      <c r="CZ113">
        <f t="shared" si="33"/>
        <v>604.19000000000005</v>
      </c>
      <c r="DA113">
        <f t="shared" si="34"/>
        <v>1</v>
      </c>
      <c r="DB113">
        <f t="shared" si="27"/>
        <v>60419</v>
      </c>
      <c r="DC113">
        <f t="shared" si="28"/>
        <v>0</v>
      </c>
    </row>
    <row r="114" spans="1:107" x14ac:dyDescent="0.2">
      <c r="A114">
        <f>ROW(Source!A89)</f>
        <v>89</v>
      </c>
      <c r="B114">
        <v>43095088</v>
      </c>
      <c r="C114">
        <v>43095615</v>
      </c>
      <c r="D114">
        <v>42306005</v>
      </c>
      <c r="E114">
        <v>1</v>
      </c>
      <c r="F114">
        <v>1</v>
      </c>
      <c r="G114">
        <v>29</v>
      </c>
      <c r="H114">
        <v>3</v>
      </c>
      <c r="I114" t="s">
        <v>669</v>
      </c>
      <c r="J114" t="s">
        <v>670</v>
      </c>
      <c r="K114" t="s">
        <v>671</v>
      </c>
      <c r="L114">
        <v>1354</v>
      </c>
      <c r="N114">
        <v>1010</v>
      </c>
      <c r="O114" t="s">
        <v>20</v>
      </c>
      <c r="P114" t="s">
        <v>20</v>
      </c>
      <c r="Q114">
        <v>1</v>
      </c>
      <c r="W114">
        <v>0</v>
      </c>
      <c r="X114">
        <v>1283272030</v>
      </c>
      <c r="Y114">
        <v>15</v>
      </c>
      <c r="AA114">
        <v>105.52</v>
      </c>
      <c r="AB114">
        <v>0</v>
      </c>
      <c r="AC114">
        <v>0</v>
      </c>
      <c r="AD114">
        <v>0</v>
      </c>
      <c r="AE114">
        <v>105.52</v>
      </c>
      <c r="AF114">
        <v>0</v>
      </c>
      <c r="AG114">
        <v>0</v>
      </c>
      <c r="AH114">
        <v>0</v>
      </c>
      <c r="AI114">
        <v>1</v>
      </c>
      <c r="AJ114">
        <v>1</v>
      </c>
      <c r="AK114">
        <v>1</v>
      </c>
      <c r="AL114">
        <v>1</v>
      </c>
      <c r="AN114">
        <v>0</v>
      </c>
      <c r="AO114">
        <v>1</v>
      </c>
      <c r="AP114">
        <v>0</v>
      </c>
      <c r="AQ114">
        <v>0</v>
      </c>
      <c r="AR114">
        <v>0</v>
      </c>
      <c r="AS114" t="s">
        <v>3</v>
      </c>
      <c r="AT114">
        <v>15</v>
      </c>
      <c r="AU114" t="s">
        <v>3</v>
      </c>
      <c r="AV114">
        <v>0</v>
      </c>
      <c r="AW114">
        <v>2</v>
      </c>
      <c r="AX114">
        <v>43095655</v>
      </c>
      <c r="AY114">
        <v>1</v>
      </c>
      <c r="AZ114">
        <v>0</v>
      </c>
      <c r="BA114">
        <v>102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CX114">
        <f>Y114*Source!I89</f>
        <v>0</v>
      </c>
      <c r="CY114">
        <f t="shared" si="32"/>
        <v>105.52</v>
      </c>
      <c r="CZ114">
        <f t="shared" si="33"/>
        <v>105.52</v>
      </c>
      <c r="DA114">
        <f t="shared" si="34"/>
        <v>1</v>
      </c>
      <c r="DB114">
        <f t="shared" si="27"/>
        <v>1582.8</v>
      </c>
      <c r="DC114">
        <f t="shared" si="28"/>
        <v>0</v>
      </c>
    </row>
    <row r="115" spans="1:107" x14ac:dyDescent="0.2">
      <c r="A115">
        <f>ROW(Source!A89)</f>
        <v>89</v>
      </c>
      <c r="B115">
        <v>43095088</v>
      </c>
      <c r="C115">
        <v>43095615</v>
      </c>
      <c r="D115">
        <v>42306006</v>
      </c>
      <c r="E115">
        <v>1</v>
      </c>
      <c r="F115">
        <v>1</v>
      </c>
      <c r="G115">
        <v>29</v>
      </c>
      <c r="H115">
        <v>3</v>
      </c>
      <c r="I115" t="s">
        <v>672</v>
      </c>
      <c r="J115" t="s">
        <v>673</v>
      </c>
      <c r="K115" t="s">
        <v>674</v>
      </c>
      <c r="L115">
        <v>1354</v>
      </c>
      <c r="N115">
        <v>1010</v>
      </c>
      <c r="O115" t="s">
        <v>20</v>
      </c>
      <c r="P115" t="s">
        <v>20</v>
      </c>
      <c r="Q115">
        <v>1</v>
      </c>
      <c r="W115">
        <v>0</v>
      </c>
      <c r="X115">
        <v>-1213292944</v>
      </c>
      <c r="Y115">
        <v>4</v>
      </c>
      <c r="AA115">
        <v>104.2</v>
      </c>
      <c r="AB115">
        <v>0</v>
      </c>
      <c r="AC115">
        <v>0</v>
      </c>
      <c r="AD115">
        <v>0</v>
      </c>
      <c r="AE115">
        <v>104.2</v>
      </c>
      <c r="AF115">
        <v>0</v>
      </c>
      <c r="AG115">
        <v>0</v>
      </c>
      <c r="AH115">
        <v>0</v>
      </c>
      <c r="AI115">
        <v>1</v>
      </c>
      <c r="AJ115">
        <v>1</v>
      </c>
      <c r="AK115">
        <v>1</v>
      </c>
      <c r="AL115">
        <v>1</v>
      </c>
      <c r="AN115">
        <v>0</v>
      </c>
      <c r="AO115">
        <v>1</v>
      </c>
      <c r="AP115">
        <v>0</v>
      </c>
      <c r="AQ115">
        <v>0</v>
      </c>
      <c r="AR115">
        <v>0</v>
      </c>
      <c r="AS115" t="s">
        <v>3</v>
      </c>
      <c r="AT115">
        <v>4</v>
      </c>
      <c r="AU115" t="s">
        <v>3</v>
      </c>
      <c r="AV115">
        <v>0</v>
      </c>
      <c r="AW115">
        <v>2</v>
      </c>
      <c r="AX115">
        <v>43095656</v>
      </c>
      <c r="AY115">
        <v>1</v>
      </c>
      <c r="AZ115">
        <v>0</v>
      </c>
      <c r="BA115">
        <v>103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CX115">
        <f>Y115*Source!I89</f>
        <v>0</v>
      </c>
      <c r="CY115">
        <f t="shared" si="32"/>
        <v>104.2</v>
      </c>
      <c r="CZ115">
        <f t="shared" si="33"/>
        <v>104.2</v>
      </c>
      <c r="DA115">
        <f t="shared" si="34"/>
        <v>1</v>
      </c>
      <c r="DB115">
        <f t="shared" si="27"/>
        <v>416.8</v>
      </c>
      <c r="DC115">
        <f t="shared" si="28"/>
        <v>0</v>
      </c>
    </row>
    <row r="116" spans="1:107" x14ac:dyDescent="0.2">
      <c r="A116">
        <f>ROW(Source!A89)</f>
        <v>89</v>
      </c>
      <c r="B116">
        <v>43095088</v>
      </c>
      <c r="C116">
        <v>43095615</v>
      </c>
      <c r="D116">
        <v>42306007</v>
      </c>
      <c r="E116">
        <v>1</v>
      </c>
      <c r="F116">
        <v>1</v>
      </c>
      <c r="G116">
        <v>29</v>
      </c>
      <c r="H116">
        <v>3</v>
      </c>
      <c r="I116" t="s">
        <v>675</v>
      </c>
      <c r="J116" t="s">
        <v>676</v>
      </c>
      <c r="K116" t="s">
        <v>677</v>
      </c>
      <c r="L116">
        <v>1354</v>
      </c>
      <c r="N116">
        <v>1010</v>
      </c>
      <c r="O116" t="s">
        <v>20</v>
      </c>
      <c r="P116" t="s">
        <v>20</v>
      </c>
      <c r="Q116">
        <v>1</v>
      </c>
      <c r="W116">
        <v>0</v>
      </c>
      <c r="X116">
        <v>1371365785</v>
      </c>
      <c r="Y116">
        <v>4</v>
      </c>
      <c r="AA116">
        <v>29.13</v>
      </c>
      <c r="AB116">
        <v>0</v>
      </c>
      <c r="AC116">
        <v>0</v>
      </c>
      <c r="AD116">
        <v>0</v>
      </c>
      <c r="AE116">
        <v>29.13</v>
      </c>
      <c r="AF116">
        <v>0</v>
      </c>
      <c r="AG116">
        <v>0</v>
      </c>
      <c r="AH116">
        <v>0</v>
      </c>
      <c r="AI116">
        <v>1</v>
      </c>
      <c r="AJ116">
        <v>1</v>
      </c>
      <c r="AK116">
        <v>1</v>
      </c>
      <c r="AL116">
        <v>1</v>
      </c>
      <c r="AN116">
        <v>0</v>
      </c>
      <c r="AO116">
        <v>1</v>
      </c>
      <c r="AP116">
        <v>0</v>
      </c>
      <c r="AQ116">
        <v>0</v>
      </c>
      <c r="AR116">
        <v>0</v>
      </c>
      <c r="AS116" t="s">
        <v>3</v>
      </c>
      <c r="AT116">
        <v>4</v>
      </c>
      <c r="AU116" t="s">
        <v>3</v>
      </c>
      <c r="AV116">
        <v>0</v>
      </c>
      <c r="AW116">
        <v>2</v>
      </c>
      <c r="AX116">
        <v>43095657</v>
      </c>
      <c r="AY116">
        <v>1</v>
      </c>
      <c r="AZ116">
        <v>0</v>
      </c>
      <c r="BA116">
        <v>104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CX116">
        <f>Y116*Source!I89</f>
        <v>0</v>
      </c>
      <c r="CY116">
        <f t="shared" si="32"/>
        <v>29.13</v>
      </c>
      <c r="CZ116">
        <f t="shared" si="33"/>
        <v>29.13</v>
      </c>
      <c r="DA116">
        <f t="shared" si="34"/>
        <v>1</v>
      </c>
      <c r="DB116">
        <f t="shared" si="27"/>
        <v>116.52</v>
      </c>
      <c r="DC116">
        <f t="shared" si="28"/>
        <v>0</v>
      </c>
    </row>
    <row r="117" spans="1:107" x14ac:dyDescent="0.2">
      <c r="A117">
        <f>ROW(Source!A89)</f>
        <v>89</v>
      </c>
      <c r="B117">
        <v>43095088</v>
      </c>
      <c r="C117">
        <v>43095615</v>
      </c>
      <c r="D117">
        <v>42306009</v>
      </c>
      <c r="E117">
        <v>1</v>
      </c>
      <c r="F117">
        <v>1</v>
      </c>
      <c r="G117">
        <v>29</v>
      </c>
      <c r="H117">
        <v>3</v>
      </c>
      <c r="I117" t="s">
        <v>678</v>
      </c>
      <c r="J117" t="s">
        <v>679</v>
      </c>
      <c r="K117" t="s">
        <v>680</v>
      </c>
      <c r="L117">
        <v>1354</v>
      </c>
      <c r="N117">
        <v>1010</v>
      </c>
      <c r="O117" t="s">
        <v>20</v>
      </c>
      <c r="P117" t="s">
        <v>20</v>
      </c>
      <c r="Q117">
        <v>1</v>
      </c>
      <c r="W117">
        <v>0</v>
      </c>
      <c r="X117">
        <v>-1636410497</v>
      </c>
      <c r="Y117">
        <v>2</v>
      </c>
      <c r="AA117">
        <v>476.22</v>
      </c>
      <c r="AB117">
        <v>0</v>
      </c>
      <c r="AC117">
        <v>0</v>
      </c>
      <c r="AD117">
        <v>0</v>
      </c>
      <c r="AE117">
        <v>476.22</v>
      </c>
      <c r="AF117">
        <v>0</v>
      </c>
      <c r="AG117">
        <v>0</v>
      </c>
      <c r="AH117">
        <v>0</v>
      </c>
      <c r="AI117">
        <v>1</v>
      </c>
      <c r="AJ117">
        <v>1</v>
      </c>
      <c r="AK117">
        <v>1</v>
      </c>
      <c r="AL117">
        <v>1</v>
      </c>
      <c r="AN117">
        <v>0</v>
      </c>
      <c r="AO117">
        <v>1</v>
      </c>
      <c r="AP117">
        <v>0</v>
      </c>
      <c r="AQ117">
        <v>0</v>
      </c>
      <c r="AR117">
        <v>0</v>
      </c>
      <c r="AS117" t="s">
        <v>3</v>
      </c>
      <c r="AT117">
        <v>2</v>
      </c>
      <c r="AU117" t="s">
        <v>3</v>
      </c>
      <c r="AV117">
        <v>0</v>
      </c>
      <c r="AW117">
        <v>2</v>
      </c>
      <c r="AX117">
        <v>43095658</v>
      </c>
      <c r="AY117">
        <v>1</v>
      </c>
      <c r="AZ117">
        <v>0</v>
      </c>
      <c r="BA117">
        <v>105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CX117">
        <f>Y117*Source!I89</f>
        <v>0</v>
      </c>
      <c r="CY117">
        <f t="shared" si="32"/>
        <v>476.22</v>
      </c>
      <c r="CZ117">
        <f t="shared" si="33"/>
        <v>476.22</v>
      </c>
      <c r="DA117">
        <f t="shared" si="34"/>
        <v>1</v>
      </c>
      <c r="DB117">
        <f t="shared" si="27"/>
        <v>952.44</v>
      </c>
      <c r="DC117">
        <f t="shared" si="28"/>
        <v>0</v>
      </c>
    </row>
    <row r="118" spans="1:107" x14ac:dyDescent="0.2">
      <c r="A118">
        <f>ROW(Source!A89)</f>
        <v>89</v>
      </c>
      <c r="B118">
        <v>43095088</v>
      </c>
      <c r="C118">
        <v>43095615</v>
      </c>
      <c r="D118">
        <v>42306010</v>
      </c>
      <c r="E118">
        <v>1</v>
      </c>
      <c r="F118">
        <v>1</v>
      </c>
      <c r="G118">
        <v>29</v>
      </c>
      <c r="H118">
        <v>3</v>
      </c>
      <c r="I118" t="s">
        <v>681</v>
      </c>
      <c r="J118" t="s">
        <v>682</v>
      </c>
      <c r="K118" t="s">
        <v>683</v>
      </c>
      <c r="L118">
        <v>1354</v>
      </c>
      <c r="N118">
        <v>1010</v>
      </c>
      <c r="O118" t="s">
        <v>20</v>
      </c>
      <c r="P118" t="s">
        <v>20</v>
      </c>
      <c r="Q118">
        <v>1</v>
      </c>
      <c r="W118">
        <v>0</v>
      </c>
      <c r="X118">
        <v>1315489479</v>
      </c>
      <c r="Y118">
        <v>15</v>
      </c>
      <c r="AA118">
        <v>530</v>
      </c>
      <c r="AB118">
        <v>0</v>
      </c>
      <c r="AC118">
        <v>0</v>
      </c>
      <c r="AD118">
        <v>0</v>
      </c>
      <c r="AE118">
        <v>530</v>
      </c>
      <c r="AF118">
        <v>0</v>
      </c>
      <c r="AG118">
        <v>0</v>
      </c>
      <c r="AH118">
        <v>0</v>
      </c>
      <c r="AI118">
        <v>1</v>
      </c>
      <c r="AJ118">
        <v>1</v>
      </c>
      <c r="AK118">
        <v>1</v>
      </c>
      <c r="AL118">
        <v>1</v>
      </c>
      <c r="AN118">
        <v>0</v>
      </c>
      <c r="AO118">
        <v>1</v>
      </c>
      <c r="AP118">
        <v>0</v>
      </c>
      <c r="AQ118">
        <v>0</v>
      </c>
      <c r="AR118">
        <v>0</v>
      </c>
      <c r="AS118" t="s">
        <v>3</v>
      </c>
      <c r="AT118">
        <v>15</v>
      </c>
      <c r="AU118" t="s">
        <v>3</v>
      </c>
      <c r="AV118">
        <v>0</v>
      </c>
      <c r="AW118">
        <v>2</v>
      </c>
      <c r="AX118">
        <v>43095659</v>
      </c>
      <c r="AY118">
        <v>1</v>
      </c>
      <c r="AZ118">
        <v>0</v>
      </c>
      <c r="BA118">
        <v>106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CX118">
        <f>Y118*Source!I89</f>
        <v>0</v>
      </c>
      <c r="CY118">
        <f t="shared" si="32"/>
        <v>530</v>
      </c>
      <c r="CZ118">
        <f t="shared" si="33"/>
        <v>530</v>
      </c>
      <c r="DA118">
        <f t="shared" si="34"/>
        <v>1</v>
      </c>
      <c r="DB118">
        <f t="shared" si="27"/>
        <v>7950</v>
      </c>
      <c r="DC118">
        <f t="shared" si="28"/>
        <v>0</v>
      </c>
    </row>
    <row r="119" spans="1:107" x14ac:dyDescent="0.2">
      <c r="A119">
        <f>ROW(Source!A89)</f>
        <v>89</v>
      </c>
      <c r="B119">
        <v>43095088</v>
      </c>
      <c r="C119">
        <v>43095615</v>
      </c>
      <c r="D119">
        <v>42306011</v>
      </c>
      <c r="E119">
        <v>1</v>
      </c>
      <c r="F119">
        <v>1</v>
      </c>
      <c r="G119">
        <v>29</v>
      </c>
      <c r="H119">
        <v>3</v>
      </c>
      <c r="I119" t="s">
        <v>684</v>
      </c>
      <c r="J119" t="s">
        <v>685</v>
      </c>
      <c r="K119" t="s">
        <v>686</v>
      </c>
      <c r="L119">
        <v>1354</v>
      </c>
      <c r="N119">
        <v>1010</v>
      </c>
      <c r="O119" t="s">
        <v>20</v>
      </c>
      <c r="P119" t="s">
        <v>20</v>
      </c>
      <c r="Q119">
        <v>1</v>
      </c>
      <c r="W119">
        <v>0</v>
      </c>
      <c r="X119">
        <v>-1497601026</v>
      </c>
      <c r="Y119">
        <v>2</v>
      </c>
      <c r="AA119">
        <v>718.87</v>
      </c>
      <c r="AB119">
        <v>0</v>
      </c>
      <c r="AC119">
        <v>0</v>
      </c>
      <c r="AD119">
        <v>0</v>
      </c>
      <c r="AE119">
        <v>718.87</v>
      </c>
      <c r="AF119">
        <v>0</v>
      </c>
      <c r="AG119">
        <v>0</v>
      </c>
      <c r="AH119">
        <v>0</v>
      </c>
      <c r="AI119">
        <v>1</v>
      </c>
      <c r="AJ119">
        <v>1</v>
      </c>
      <c r="AK119">
        <v>1</v>
      </c>
      <c r="AL119">
        <v>1</v>
      </c>
      <c r="AN119">
        <v>0</v>
      </c>
      <c r="AO119">
        <v>1</v>
      </c>
      <c r="AP119">
        <v>0</v>
      </c>
      <c r="AQ119">
        <v>0</v>
      </c>
      <c r="AR119">
        <v>0</v>
      </c>
      <c r="AS119" t="s">
        <v>3</v>
      </c>
      <c r="AT119">
        <v>2</v>
      </c>
      <c r="AU119" t="s">
        <v>3</v>
      </c>
      <c r="AV119">
        <v>0</v>
      </c>
      <c r="AW119">
        <v>2</v>
      </c>
      <c r="AX119">
        <v>43095660</v>
      </c>
      <c r="AY119">
        <v>1</v>
      </c>
      <c r="AZ119">
        <v>0</v>
      </c>
      <c r="BA119">
        <v>107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CX119">
        <f>Y119*Source!I89</f>
        <v>0</v>
      </c>
      <c r="CY119">
        <f t="shared" si="32"/>
        <v>718.87</v>
      </c>
      <c r="CZ119">
        <f t="shared" si="33"/>
        <v>718.87</v>
      </c>
      <c r="DA119">
        <f t="shared" si="34"/>
        <v>1</v>
      </c>
      <c r="DB119">
        <f t="shared" si="27"/>
        <v>1437.74</v>
      </c>
      <c r="DC119">
        <f t="shared" si="28"/>
        <v>0</v>
      </c>
    </row>
    <row r="120" spans="1:107" x14ac:dyDescent="0.2">
      <c r="A120">
        <f>ROW(Source!A89)</f>
        <v>89</v>
      </c>
      <c r="B120">
        <v>43095088</v>
      </c>
      <c r="C120">
        <v>43095615</v>
      </c>
      <c r="D120">
        <v>42307522</v>
      </c>
      <c r="E120">
        <v>1</v>
      </c>
      <c r="F120">
        <v>1</v>
      </c>
      <c r="G120">
        <v>29</v>
      </c>
      <c r="H120">
        <v>3</v>
      </c>
      <c r="I120" t="s">
        <v>642</v>
      </c>
      <c r="J120" t="s">
        <v>643</v>
      </c>
      <c r="K120" t="s">
        <v>644</v>
      </c>
      <c r="L120">
        <v>1354</v>
      </c>
      <c r="N120">
        <v>1010</v>
      </c>
      <c r="O120" t="s">
        <v>20</v>
      </c>
      <c r="P120" t="s">
        <v>20</v>
      </c>
      <c r="Q120">
        <v>1</v>
      </c>
      <c r="W120">
        <v>0</v>
      </c>
      <c r="X120">
        <v>1830738769</v>
      </c>
      <c r="Y120">
        <v>4</v>
      </c>
      <c r="AA120">
        <v>1561.93</v>
      </c>
      <c r="AB120">
        <v>0</v>
      </c>
      <c r="AC120">
        <v>0</v>
      </c>
      <c r="AD120">
        <v>0</v>
      </c>
      <c r="AE120">
        <v>1561.93</v>
      </c>
      <c r="AF120">
        <v>0</v>
      </c>
      <c r="AG120">
        <v>0</v>
      </c>
      <c r="AH120">
        <v>0</v>
      </c>
      <c r="AI120">
        <v>1</v>
      </c>
      <c r="AJ120">
        <v>1</v>
      </c>
      <c r="AK120">
        <v>1</v>
      </c>
      <c r="AL120">
        <v>1</v>
      </c>
      <c r="AN120">
        <v>0</v>
      </c>
      <c r="AO120">
        <v>1</v>
      </c>
      <c r="AP120">
        <v>0</v>
      </c>
      <c r="AQ120">
        <v>0</v>
      </c>
      <c r="AR120">
        <v>0</v>
      </c>
      <c r="AS120" t="s">
        <v>3</v>
      </c>
      <c r="AT120">
        <v>4</v>
      </c>
      <c r="AU120" t="s">
        <v>3</v>
      </c>
      <c r="AV120">
        <v>0</v>
      </c>
      <c r="AW120">
        <v>2</v>
      </c>
      <c r="AX120">
        <v>43095661</v>
      </c>
      <c r="AY120">
        <v>1</v>
      </c>
      <c r="AZ120">
        <v>0</v>
      </c>
      <c r="BA120">
        <v>108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CX120">
        <f>Y120*Source!I89</f>
        <v>0</v>
      </c>
      <c r="CY120">
        <f t="shared" si="32"/>
        <v>1561.93</v>
      </c>
      <c r="CZ120">
        <f t="shared" si="33"/>
        <v>1561.93</v>
      </c>
      <c r="DA120">
        <f t="shared" si="34"/>
        <v>1</v>
      </c>
      <c r="DB120">
        <f t="shared" si="27"/>
        <v>6247.72</v>
      </c>
      <c r="DC120">
        <f t="shared" si="28"/>
        <v>0</v>
      </c>
    </row>
    <row r="121" spans="1:107" x14ac:dyDescent="0.2">
      <c r="A121">
        <f>ROW(Source!A90)</f>
        <v>90</v>
      </c>
      <c r="B121">
        <v>43095088</v>
      </c>
      <c r="C121">
        <v>43095662</v>
      </c>
      <c r="D121">
        <v>42301367</v>
      </c>
      <c r="E121">
        <v>29</v>
      </c>
      <c r="F121">
        <v>1</v>
      </c>
      <c r="G121">
        <v>29</v>
      </c>
      <c r="H121">
        <v>1</v>
      </c>
      <c r="I121" t="s">
        <v>555</v>
      </c>
      <c r="J121" t="s">
        <v>3</v>
      </c>
      <c r="K121" t="s">
        <v>556</v>
      </c>
      <c r="L121">
        <v>1191</v>
      </c>
      <c r="N121">
        <v>1013</v>
      </c>
      <c r="O121" t="s">
        <v>557</v>
      </c>
      <c r="P121" t="s">
        <v>557</v>
      </c>
      <c r="Q121">
        <v>1</v>
      </c>
      <c r="W121">
        <v>0</v>
      </c>
      <c r="X121">
        <v>476480486</v>
      </c>
      <c r="Y121">
        <v>3.34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1</v>
      </c>
      <c r="AJ121">
        <v>1</v>
      </c>
      <c r="AK121">
        <v>1</v>
      </c>
      <c r="AL121">
        <v>1</v>
      </c>
      <c r="AN121">
        <v>0</v>
      </c>
      <c r="AO121">
        <v>1</v>
      </c>
      <c r="AP121">
        <v>0</v>
      </c>
      <c r="AQ121">
        <v>0</v>
      </c>
      <c r="AR121">
        <v>0</v>
      </c>
      <c r="AS121" t="s">
        <v>3</v>
      </c>
      <c r="AT121">
        <v>3.34</v>
      </c>
      <c r="AU121" t="s">
        <v>3</v>
      </c>
      <c r="AV121">
        <v>1</v>
      </c>
      <c r="AW121">
        <v>2</v>
      </c>
      <c r="AX121">
        <v>43095670</v>
      </c>
      <c r="AY121">
        <v>1</v>
      </c>
      <c r="AZ121">
        <v>0</v>
      </c>
      <c r="BA121">
        <v>109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CX121">
        <f>Y121*Source!I90</f>
        <v>90.179999999999993</v>
      </c>
      <c r="CY121">
        <f>AD121</f>
        <v>0</v>
      </c>
      <c r="CZ121">
        <f>AH121</f>
        <v>0</v>
      </c>
      <c r="DA121">
        <f>AL121</f>
        <v>1</v>
      </c>
      <c r="DB121">
        <f t="shared" si="27"/>
        <v>0</v>
      </c>
      <c r="DC121">
        <f t="shared" si="28"/>
        <v>0</v>
      </c>
    </row>
    <row r="122" spans="1:107" x14ac:dyDescent="0.2">
      <c r="A122">
        <f>ROW(Source!A90)</f>
        <v>90</v>
      </c>
      <c r="B122">
        <v>43095088</v>
      </c>
      <c r="C122">
        <v>43095662</v>
      </c>
      <c r="D122">
        <v>42303124</v>
      </c>
      <c r="E122">
        <v>1</v>
      </c>
      <c r="F122">
        <v>1</v>
      </c>
      <c r="G122">
        <v>29</v>
      </c>
      <c r="H122">
        <v>2</v>
      </c>
      <c r="I122" t="s">
        <v>633</v>
      </c>
      <c r="J122" t="s">
        <v>634</v>
      </c>
      <c r="K122" t="s">
        <v>635</v>
      </c>
      <c r="L122">
        <v>1368</v>
      </c>
      <c r="N122">
        <v>1011</v>
      </c>
      <c r="O122" t="s">
        <v>480</v>
      </c>
      <c r="P122" t="s">
        <v>480</v>
      </c>
      <c r="Q122">
        <v>1</v>
      </c>
      <c r="W122">
        <v>0</v>
      </c>
      <c r="X122">
        <v>-376097338</v>
      </c>
      <c r="Y122">
        <v>0.55000000000000004</v>
      </c>
      <c r="AA122">
        <v>0</v>
      </c>
      <c r="AB122">
        <v>3.14</v>
      </c>
      <c r="AC122">
        <v>0.01</v>
      </c>
      <c r="AD122">
        <v>0</v>
      </c>
      <c r="AE122">
        <v>0</v>
      </c>
      <c r="AF122">
        <v>3.14</v>
      </c>
      <c r="AG122">
        <v>0.01</v>
      </c>
      <c r="AH122">
        <v>0</v>
      </c>
      <c r="AI122">
        <v>1</v>
      </c>
      <c r="AJ122">
        <v>1</v>
      </c>
      <c r="AK122">
        <v>1</v>
      </c>
      <c r="AL122">
        <v>1</v>
      </c>
      <c r="AN122">
        <v>0</v>
      </c>
      <c r="AO122">
        <v>1</v>
      </c>
      <c r="AP122">
        <v>0</v>
      </c>
      <c r="AQ122">
        <v>0</v>
      </c>
      <c r="AR122">
        <v>0</v>
      </c>
      <c r="AS122" t="s">
        <v>3</v>
      </c>
      <c r="AT122">
        <v>0.55000000000000004</v>
      </c>
      <c r="AU122" t="s">
        <v>3</v>
      </c>
      <c r="AV122">
        <v>0</v>
      </c>
      <c r="AW122">
        <v>2</v>
      </c>
      <c r="AX122">
        <v>43095671</v>
      </c>
      <c r="AY122">
        <v>1</v>
      </c>
      <c r="AZ122">
        <v>0</v>
      </c>
      <c r="BA122">
        <v>110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CX122">
        <f>Y122*Source!I90</f>
        <v>14.850000000000001</v>
      </c>
      <c r="CY122">
        <f>AB122</f>
        <v>3.14</v>
      </c>
      <c r="CZ122">
        <f>AF122</f>
        <v>3.14</v>
      </c>
      <c r="DA122">
        <f>AJ122</f>
        <v>1</v>
      </c>
      <c r="DB122">
        <f t="shared" si="27"/>
        <v>1.73</v>
      </c>
      <c r="DC122">
        <f t="shared" si="28"/>
        <v>0.01</v>
      </c>
    </row>
    <row r="123" spans="1:107" x14ac:dyDescent="0.2">
      <c r="A123">
        <f>ROW(Source!A92)</f>
        <v>92</v>
      </c>
      <c r="B123">
        <v>43095088</v>
      </c>
      <c r="C123">
        <v>43095673</v>
      </c>
      <c r="D123">
        <v>42301367</v>
      </c>
      <c r="E123">
        <v>29</v>
      </c>
      <c r="F123">
        <v>1</v>
      </c>
      <c r="G123">
        <v>29</v>
      </c>
      <c r="H123">
        <v>1</v>
      </c>
      <c r="I123" t="s">
        <v>555</v>
      </c>
      <c r="J123" t="s">
        <v>3</v>
      </c>
      <c r="K123" t="s">
        <v>556</v>
      </c>
      <c r="L123">
        <v>1191</v>
      </c>
      <c r="N123">
        <v>1013</v>
      </c>
      <c r="O123" t="s">
        <v>557</v>
      </c>
      <c r="P123" t="s">
        <v>557</v>
      </c>
      <c r="Q123">
        <v>1</v>
      </c>
      <c r="W123">
        <v>0</v>
      </c>
      <c r="X123">
        <v>476480486</v>
      </c>
      <c r="Y123">
        <v>31.59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1</v>
      </c>
      <c r="AJ123">
        <v>1</v>
      </c>
      <c r="AK123">
        <v>1</v>
      </c>
      <c r="AL123">
        <v>1</v>
      </c>
      <c r="AN123">
        <v>0</v>
      </c>
      <c r="AO123">
        <v>1</v>
      </c>
      <c r="AP123">
        <v>0</v>
      </c>
      <c r="AQ123">
        <v>0</v>
      </c>
      <c r="AR123">
        <v>0</v>
      </c>
      <c r="AS123" t="s">
        <v>3</v>
      </c>
      <c r="AT123">
        <v>31.59</v>
      </c>
      <c r="AU123" t="s">
        <v>3</v>
      </c>
      <c r="AV123">
        <v>1</v>
      </c>
      <c r="AW123">
        <v>2</v>
      </c>
      <c r="AX123">
        <v>43095690</v>
      </c>
      <c r="AY123">
        <v>1</v>
      </c>
      <c r="AZ123">
        <v>0</v>
      </c>
      <c r="BA123">
        <v>111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CX123">
        <f>Y123*Source!I92</f>
        <v>0.63969750000000003</v>
      </c>
      <c r="CY123">
        <f>AD123</f>
        <v>0</v>
      </c>
      <c r="CZ123">
        <f>AH123</f>
        <v>0</v>
      </c>
      <c r="DA123">
        <f>AL123</f>
        <v>1</v>
      </c>
      <c r="DB123">
        <f t="shared" si="27"/>
        <v>0</v>
      </c>
      <c r="DC123">
        <f t="shared" si="28"/>
        <v>0</v>
      </c>
    </row>
    <row r="124" spans="1:107" x14ac:dyDescent="0.2">
      <c r="A124">
        <f>ROW(Source!A92)</f>
        <v>92</v>
      </c>
      <c r="B124">
        <v>43095088</v>
      </c>
      <c r="C124">
        <v>43095673</v>
      </c>
      <c r="D124">
        <v>42303204</v>
      </c>
      <c r="E124">
        <v>1</v>
      </c>
      <c r="F124">
        <v>1</v>
      </c>
      <c r="G124">
        <v>29</v>
      </c>
      <c r="H124">
        <v>2</v>
      </c>
      <c r="I124" t="s">
        <v>636</v>
      </c>
      <c r="J124" t="s">
        <v>637</v>
      </c>
      <c r="K124" t="s">
        <v>638</v>
      </c>
      <c r="L124">
        <v>1368</v>
      </c>
      <c r="N124">
        <v>1011</v>
      </c>
      <c r="O124" t="s">
        <v>480</v>
      </c>
      <c r="P124" t="s">
        <v>480</v>
      </c>
      <c r="Q124">
        <v>1</v>
      </c>
      <c r="W124">
        <v>0</v>
      </c>
      <c r="X124">
        <v>-1879814166</v>
      </c>
      <c r="Y124">
        <v>3.75</v>
      </c>
      <c r="AA124">
        <v>0</v>
      </c>
      <c r="AB124">
        <v>7.81</v>
      </c>
      <c r="AC124">
        <v>1.03</v>
      </c>
      <c r="AD124">
        <v>0</v>
      </c>
      <c r="AE124">
        <v>0</v>
      </c>
      <c r="AF124">
        <v>7.81</v>
      </c>
      <c r="AG124">
        <v>1.03</v>
      </c>
      <c r="AH124">
        <v>0</v>
      </c>
      <c r="AI124">
        <v>1</v>
      </c>
      <c r="AJ124">
        <v>1</v>
      </c>
      <c r="AK124">
        <v>1</v>
      </c>
      <c r="AL124">
        <v>1</v>
      </c>
      <c r="AN124">
        <v>0</v>
      </c>
      <c r="AO124">
        <v>1</v>
      </c>
      <c r="AP124">
        <v>0</v>
      </c>
      <c r="AQ124">
        <v>0</v>
      </c>
      <c r="AR124">
        <v>0</v>
      </c>
      <c r="AS124" t="s">
        <v>3</v>
      </c>
      <c r="AT124">
        <v>3.75</v>
      </c>
      <c r="AU124" t="s">
        <v>3</v>
      </c>
      <c r="AV124">
        <v>0</v>
      </c>
      <c r="AW124">
        <v>2</v>
      </c>
      <c r="AX124">
        <v>43095691</v>
      </c>
      <c r="AY124">
        <v>1</v>
      </c>
      <c r="AZ124">
        <v>0</v>
      </c>
      <c r="BA124">
        <v>112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CX124">
        <f>Y124*Source!I92</f>
        <v>7.5937500000000005E-2</v>
      </c>
      <c r="CY124">
        <f>AB124</f>
        <v>7.81</v>
      </c>
      <c r="CZ124">
        <f>AF124</f>
        <v>7.81</v>
      </c>
      <c r="DA124">
        <f>AJ124</f>
        <v>1</v>
      </c>
      <c r="DB124">
        <f t="shared" si="27"/>
        <v>29.29</v>
      </c>
      <c r="DC124">
        <f t="shared" si="28"/>
        <v>3.86</v>
      </c>
    </row>
    <row r="125" spans="1:107" x14ac:dyDescent="0.2">
      <c r="A125">
        <f>ROW(Source!A92)</f>
        <v>92</v>
      </c>
      <c r="B125">
        <v>43095088</v>
      </c>
      <c r="C125">
        <v>43095673</v>
      </c>
      <c r="D125">
        <v>42303166</v>
      </c>
      <c r="E125">
        <v>1</v>
      </c>
      <c r="F125">
        <v>1</v>
      </c>
      <c r="G125">
        <v>29</v>
      </c>
      <c r="H125">
        <v>2</v>
      </c>
      <c r="I125" t="s">
        <v>561</v>
      </c>
      <c r="J125" t="s">
        <v>562</v>
      </c>
      <c r="K125" t="s">
        <v>563</v>
      </c>
      <c r="L125">
        <v>1368</v>
      </c>
      <c r="N125">
        <v>1011</v>
      </c>
      <c r="O125" t="s">
        <v>480</v>
      </c>
      <c r="P125" t="s">
        <v>480</v>
      </c>
      <c r="Q125">
        <v>1</v>
      </c>
      <c r="W125">
        <v>0</v>
      </c>
      <c r="X125">
        <v>1197532078</v>
      </c>
      <c r="Y125">
        <v>1.5</v>
      </c>
      <c r="AA125">
        <v>0</v>
      </c>
      <c r="AB125">
        <v>5.17</v>
      </c>
      <c r="AC125">
        <v>0.01</v>
      </c>
      <c r="AD125">
        <v>0</v>
      </c>
      <c r="AE125">
        <v>0</v>
      </c>
      <c r="AF125">
        <v>5.17</v>
      </c>
      <c r="AG125">
        <v>0.01</v>
      </c>
      <c r="AH125">
        <v>0</v>
      </c>
      <c r="AI125">
        <v>1</v>
      </c>
      <c r="AJ125">
        <v>1</v>
      </c>
      <c r="AK125">
        <v>1</v>
      </c>
      <c r="AL125">
        <v>1</v>
      </c>
      <c r="AN125">
        <v>0</v>
      </c>
      <c r="AO125">
        <v>1</v>
      </c>
      <c r="AP125">
        <v>0</v>
      </c>
      <c r="AQ125">
        <v>0</v>
      </c>
      <c r="AR125">
        <v>0</v>
      </c>
      <c r="AS125" t="s">
        <v>3</v>
      </c>
      <c r="AT125">
        <v>1.5</v>
      </c>
      <c r="AU125" t="s">
        <v>3</v>
      </c>
      <c r="AV125">
        <v>0</v>
      </c>
      <c r="AW125">
        <v>2</v>
      </c>
      <c r="AX125">
        <v>43095692</v>
      </c>
      <c r="AY125">
        <v>1</v>
      </c>
      <c r="AZ125">
        <v>0</v>
      </c>
      <c r="BA125">
        <v>113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CX125">
        <f>Y125*Source!I92</f>
        <v>3.0374999999999999E-2</v>
      </c>
      <c r="CY125">
        <f>AB125</f>
        <v>5.17</v>
      </c>
      <c r="CZ125">
        <f>AF125</f>
        <v>5.17</v>
      </c>
      <c r="DA125">
        <f>AJ125</f>
        <v>1</v>
      </c>
      <c r="DB125">
        <f t="shared" si="27"/>
        <v>7.76</v>
      </c>
      <c r="DC125">
        <f t="shared" si="28"/>
        <v>0.02</v>
      </c>
    </row>
    <row r="126" spans="1:107" x14ac:dyDescent="0.2">
      <c r="A126">
        <f>ROW(Source!A92)</f>
        <v>92</v>
      </c>
      <c r="B126">
        <v>43095088</v>
      </c>
      <c r="C126">
        <v>43095673</v>
      </c>
      <c r="D126">
        <v>42303172</v>
      </c>
      <c r="E126">
        <v>1</v>
      </c>
      <c r="F126">
        <v>1</v>
      </c>
      <c r="G126">
        <v>29</v>
      </c>
      <c r="H126">
        <v>2</v>
      </c>
      <c r="I126" t="s">
        <v>687</v>
      </c>
      <c r="J126" t="s">
        <v>688</v>
      </c>
      <c r="K126" t="s">
        <v>689</v>
      </c>
      <c r="L126">
        <v>1368</v>
      </c>
      <c r="N126">
        <v>1011</v>
      </c>
      <c r="O126" t="s">
        <v>480</v>
      </c>
      <c r="P126" t="s">
        <v>480</v>
      </c>
      <c r="Q126">
        <v>1</v>
      </c>
      <c r="W126">
        <v>0</v>
      </c>
      <c r="X126">
        <v>130996038</v>
      </c>
      <c r="Y126">
        <v>0.62</v>
      </c>
      <c r="AA126">
        <v>0</v>
      </c>
      <c r="AB126">
        <v>664.14</v>
      </c>
      <c r="AC126">
        <v>287.25</v>
      </c>
      <c r="AD126">
        <v>0</v>
      </c>
      <c r="AE126">
        <v>0</v>
      </c>
      <c r="AF126">
        <v>664.14</v>
      </c>
      <c r="AG126">
        <v>287.25</v>
      </c>
      <c r="AH126">
        <v>0</v>
      </c>
      <c r="AI126">
        <v>1</v>
      </c>
      <c r="AJ126">
        <v>1</v>
      </c>
      <c r="AK126">
        <v>1</v>
      </c>
      <c r="AL126">
        <v>1</v>
      </c>
      <c r="AN126">
        <v>0</v>
      </c>
      <c r="AO126">
        <v>1</v>
      </c>
      <c r="AP126">
        <v>0</v>
      </c>
      <c r="AQ126">
        <v>0</v>
      </c>
      <c r="AR126">
        <v>0</v>
      </c>
      <c r="AS126" t="s">
        <v>3</v>
      </c>
      <c r="AT126">
        <v>0.62</v>
      </c>
      <c r="AU126" t="s">
        <v>3</v>
      </c>
      <c r="AV126">
        <v>0</v>
      </c>
      <c r="AW126">
        <v>2</v>
      </c>
      <c r="AX126">
        <v>43095693</v>
      </c>
      <c r="AY126">
        <v>1</v>
      </c>
      <c r="AZ126">
        <v>0</v>
      </c>
      <c r="BA126">
        <v>114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CX126">
        <f>Y126*Source!I92</f>
        <v>1.2555E-2</v>
      </c>
      <c r="CY126">
        <f>AB126</f>
        <v>664.14</v>
      </c>
      <c r="CZ126">
        <f>AF126</f>
        <v>664.14</v>
      </c>
      <c r="DA126">
        <f>AJ126</f>
        <v>1</v>
      </c>
      <c r="DB126">
        <f t="shared" si="27"/>
        <v>411.77</v>
      </c>
      <c r="DC126">
        <f t="shared" si="28"/>
        <v>178.1</v>
      </c>
    </row>
    <row r="127" spans="1:107" x14ac:dyDescent="0.2">
      <c r="A127">
        <f>ROW(Source!A92)</f>
        <v>92</v>
      </c>
      <c r="B127">
        <v>43095088</v>
      </c>
      <c r="C127">
        <v>43095673</v>
      </c>
      <c r="D127">
        <v>42301624</v>
      </c>
      <c r="E127">
        <v>29</v>
      </c>
      <c r="F127">
        <v>1</v>
      </c>
      <c r="G127">
        <v>29</v>
      </c>
      <c r="H127">
        <v>3</v>
      </c>
      <c r="I127" t="s">
        <v>621</v>
      </c>
      <c r="J127" t="s">
        <v>3</v>
      </c>
      <c r="K127" t="s">
        <v>623</v>
      </c>
      <c r="L127">
        <v>1346</v>
      </c>
      <c r="N127">
        <v>1009</v>
      </c>
      <c r="O127" t="s">
        <v>46</v>
      </c>
      <c r="P127" t="s">
        <v>46</v>
      </c>
      <c r="Q127">
        <v>1</v>
      </c>
      <c r="W127">
        <v>0</v>
      </c>
      <c r="X127">
        <v>-1273611483</v>
      </c>
      <c r="Y127">
        <v>0.61609999999999998</v>
      </c>
      <c r="AA127">
        <v>327.54000000000002</v>
      </c>
      <c r="AB127">
        <v>0</v>
      </c>
      <c r="AC127">
        <v>0</v>
      </c>
      <c r="AD127">
        <v>0</v>
      </c>
      <c r="AE127">
        <v>327.54338000000001</v>
      </c>
      <c r="AF127">
        <v>0</v>
      </c>
      <c r="AG127">
        <v>0</v>
      </c>
      <c r="AH127">
        <v>0</v>
      </c>
      <c r="AI127">
        <v>1</v>
      </c>
      <c r="AJ127">
        <v>1</v>
      </c>
      <c r="AK127">
        <v>1</v>
      </c>
      <c r="AL127">
        <v>1</v>
      </c>
      <c r="AN127">
        <v>0</v>
      </c>
      <c r="AO127">
        <v>1</v>
      </c>
      <c r="AP127">
        <v>0</v>
      </c>
      <c r="AQ127">
        <v>0</v>
      </c>
      <c r="AR127">
        <v>0</v>
      </c>
      <c r="AS127" t="s">
        <v>3</v>
      </c>
      <c r="AT127">
        <v>0.61609999999999998</v>
      </c>
      <c r="AU127" t="s">
        <v>3</v>
      </c>
      <c r="AV127">
        <v>0</v>
      </c>
      <c r="AW127">
        <v>2</v>
      </c>
      <c r="AX127">
        <v>43095694</v>
      </c>
      <c r="AY127">
        <v>1</v>
      </c>
      <c r="AZ127">
        <v>0</v>
      </c>
      <c r="BA127">
        <v>115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CX127">
        <f>Y127*Source!I92</f>
        <v>1.2476025E-2</v>
      </c>
      <c r="CY127">
        <f>AA127</f>
        <v>327.54000000000002</v>
      </c>
      <c r="CZ127">
        <f>AE127</f>
        <v>327.54338000000001</v>
      </c>
      <c r="DA127">
        <f>AI127</f>
        <v>1</v>
      </c>
      <c r="DB127">
        <f t="shared" si="27"/>
        <v>201.8</v>
      </c>
      <c r="DC127">
        <f t="shared" si="28"/>
        <v>0</v>
      </c>
    </row>
    <row r="128" spans="1:107" x14ac:dyDescent="0.2">
      <c r="A128">
        <f>ROW(Source!A94)</f>
        <v>94</v>
      </c>
      <c r="B128">
        <v>43095088</v>
      </c>
      <c r="C128">
        <v>43095696</v>
      </c>
      <c r="D128">
        <v>42301367</v>
      </c>
      <c r="E128">
        <v>29</v>
      </c>
      <c r="F128">
        <v>1</v>
      </c>
      <c r="G128">
        <v>29</v>
      </c>
      <c r="H128">
        <v>1</v>
      </c>
      <c r="I128" t="s">
        <v>555</v>
      </c>
      <c r="J128" t="s">
        <v>3</v>
      </c>
      <c r="K128" t="s">
        <v>556</v>
      </c>
      <c r="L128">
        <v>1191</v>
      </c>
      <c r="N128">
        <v>1013</v>
      </c>
      <c r="O128" t="s">
        <v>557</v>
      </c>
      <c r="P128" t="s">
        <v>557</v>
      </c>
      <c r="Q128">
        <v>1</v>
      </c>
      <c r="W128">
        <v>0</v>
      </c>
      <c r="X128">
        <v>476480486</v>
      </c>
      <c r="Y128">
        <v>1.2320000000000002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1</v>
      </c>
      <c r="AJ128">
        <v>1</v>
      </c>
      <c r="AK128">
        <v>1</v>
      </c>
      <c r="AL128">
        <v>1</v>
      </c>
      <c r="AN128">
        <v>0</v>
      </c>
      <c r="AO128">
        <v>1</v>
      </c>
      <c r="AP128">
        <v>1</v>
      </c>
      <c r="AQ128">
        <v>0</v>
      </c>
      <c r="AR128">
        <v>0</v>
      </c>
      <c r="AS128" t="s">
        <v>3</v>
      </c>
      <c r="AT128">
        <v>1.54</v>
      </c>
      <c r="AU128" t="s">
        <v>270</v>
      </c>
      <c r="AV128">
        <v>1</v>
      </c>
      <c r="AW128">
        <v>2</v>
      </c>
      <c r="AX128">
        <v>43095709</v>
      </c>
      <c r="AY128">
        <v>1</v>
      </c>
      <c r="AZ128">
        <v>0</v>
      </c>
      <c r="BA128">
        <v>116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CX128">
        <f>Y128*Source!I94</f>
        <v>60.368000000000009</v>
      </c>
      <c r="CY128">
        <f>AD128</f>
        <v>0</v>
      </c>
      <c r="CZ128">
        <f>AH128</f>
        <v>0</v>
      </c>
      <c r="DA128">
        <f>AL128</f>
        <v>1</v>
      </c>
      <c r="DB128">
        <f>ROUND((ROUND(AT128*CZ128,2)*0.8),6)</f>
        <v>0</v>
      </c>
      <c r="DC128">
        <f>ROUND((ROUND(AT128*AG128,2)*0.8),6)</f>
        <v>0</v>
      </c>
    </row>
    <row r="129" spans="1:107" x14ac:dyDescent="0.2">
      <c r="A129">
        <f>ROW(Source!A94)</f>
        <v>94</v>
      </c>
      <c r="B129">
        <v>43095088</v>
      </c>
      <c r="C129">
        <v>43095696</v>
      </c>
      <c r="D129">
        <v>42302736</v>
      </c>
      <c r="E129">
        <v>1</v>
      </c>
      <c r="F129">
        <v>1</v>
      </c>
      <c r="G129">
        <v>29</v>
      </c>
      <c r="H129">
        <v>2</v>
      </c>
      <c r="I129" t="s">
        <v>690</v>
      </c>
      <c r="J129" t="s">
        <v>691</v>
      </c>
      <c r="K129" t="s">
        <v>692</v>
      </c>
      <c r="L129">
        <v>1368</v>
      </c>
      <c r="N129">
        <v>1011</v>
      </c>
      <c r="O129" t="s">
        <v>480</v>
      </c>
      <c r="P129" t="s">
        <v>480</v>
      </c>
      <c r="Q129">
        <v>1</v>
      </c>
      <c r="W129">
        <v>0</v>
      </c>
      <c r="X129">
        <v>829511768</v>
      </c>
      <c r="Y129">
        <v>0.11200000000000002</v>
      </c>
      <c r="AA129">
        <v>0</v>
      </c>
      <c r="AB129">
        <v>366.19</v>
      </c>
      <c r="AC129">
        <v>7.37</v>
      </c>
      <c r="AD129">
        <v>0</v>
      </c>
      <c r="AE129">
        <v>0</v>
      </c>
      <c r="AF129">
        <v>366.19</v>
      </c>
      <c r="AG129">
        <v>7.37</v>
      </c>
      <c r="AH129">
        <v>0</v>
      </c>
      <c r="AI129">
        <v>1</v>
      </c>
      <c r="AJ129">
        <v>1</v>
      </c>
      <c r="AK129">
        <v>1</v>
      </c>
      <c r="AL129">
        <v>1</v>
      </c>
      <c r="AN129">
        <v>0</v>
      </c>
      <c r="AO129">
        <v>1</v>
      </c>
      <c r="AP129">
        <v>1</v>
      </c>
      <c r="AQ129">
        <v>0</v>
      </c>
      <c r="AR129">
        <v>0</v>
      </c>
      <c r="AS129" t="s">
        <v>3</v>
      </c>
      <c r="AT129">
        <v>0.14000000000000001</v>
      </c>
      <c r="AU129" t="s">
        <v>270</v>
      </c>
      <c r="AV129">
        <v>0</v>
      </c>
      <c r="AW129">
        <v>2</v>
      </c>
      <c r="AX129">
        <v>43095710</v>
      </c>
      <c r="AY129">
        <v>1</v>
      </c>
      <c r="AZ129">
        <v>0</v>
      </c>
      <c r="BA129">
        <v>117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CX129">
        <f>Y129*Source!I94</f>
        <v>5.4880000000000004</v>
      </c>
      <c r="CY129">
        <f>AB129</f>
        <v>366.19</v>
      </c>
      <c r="CZ129">
        <f>AF129</f>
        <v>366.19</v>
      </c>
      <c r="DA129">
        <f>AJ129</f>
        <v>1</v>
      </c>
      <c r="DB129">
        <f>ROUND((ROUND(AT129*CZ129,2)*0.8),6)</f>
        <v>41.015999999999998</v>
      </c>
      <c r="DC129">
        <f>ROUND((ROUND(AT129*AG129,2)*0.8),6)</f>
        <v>0.82399999999999995</v>
      </c>
    </row>
    <row r="130" spans="1:107" x14ac:dyDescent="0.2">
      <c r="A130">
        <f>ROW(Source!A94)</f>
        <v>94</v>
      </c>
      <c r="B130">
        <v>43095088</v>
      </c>
      <c r="C130">
        <v>43095696</v>
      </c>
      <c r="D130">
        <v>42303204</v>
      </c>
      <c r="E130">
        <v>1</v>
      </c>
      <c r="F130">
        <v>1</v>
      </c>
      <c r="G130">
        <v>29</v>
      </c>
      <c r="H130">
        <v>2</v>
      </c>
      <c r="I130" t="s">
        <v>636</v>
      </c>
      <c r="J130" t="s">
        <v>637</v>
      </c>
      <c r="K130" t="s">
        <v>638</v>
      </c>
      <c r="L130">
        <v>1368</v>
      </c>
      <c r="N130">
        <v>1011</v>
      </c>
      <c r="O130" t="s">
        <v>480</v>
      </c>
      <c r="P130" t="s">
        <v>480</v>
      </c>
      <c r="Q130">
        <v>1</v>
      </c>
      <c r="W130">
        <v>0</v>
      </c>
      <c r="X130">
        <v>-1879814166</v>
      </c>
      <c r="Y130">
        <v>3.2000000000000001E-2</v>
      </c>
      <c r="AA130">
        <v>0</v>
      </c>
      <c r="AB130">
        <v>7.81</v>
      </c>
      <c r="AC130">
        <v>1.03</v>
      </c>
      <c r="AD130">
        <v>0</v>
      </c>
      <c r="AE130">
        <v>0</v>
      </c>
      <c r="AF130">
        <v>7.81</v>
      </c>
      <c r="AG130">
        <v>1.03</v>
      </c>
      <c r="AH130">
        <v>0</v>
      </c>
      <c r="AI130">
        <v>1</v>
      </c>
      <c r="AJ130">
        <v>1</v>
      </c>
      <c r="AK130">
        <v>1</v>
      </c>
      <c r="AL130">
        <v>1</v>
      </c>
      <c r="AN130">
        <v>0</v>
      </c>
      <c r="AO130">
        <v>1</v>
      </c>
      <c r="AP130">
        <v>1</v>
      </c>
      <c r="AQ130">
        <v>0</v>
      </c>
      <c r="AR130">
        <v>0</v>
      </c>
      <c r="AS130" t="s">
        <v>3</v>
      </c>
      <c r="AT130">
        <v>0.04</v>
      </c>
      <c r="AU130" t="s">
        <v>270</v>
      </c>
      <c r="AV130">
        <v>0</v>
      </c>
      <c r="AW130">
        <v>2</v>
      </c>
      <c r="AX130">
        <v>43095711</v>
      </c>
      <c r="AY130">
        <v>1</v>
      </c>
      <c r="AZ130">
        <v>0</v>
      </c>
      <c r="BA130">
        <v>118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CX130">
        <f>Y130*Source!I94</f>
        <v>1.5680000000000001</v>
      </c>
      <c r="CY130">
        <f>AB130</f>
        <v>7.81</v>
      </c>
      <c r="CZ130">
        <f>AF130</f>
        <v>7.81</v>
      </c>
      <c r="DA130">
        <f>AJ130</f>
        <v>1</v>
      </c>
      <c r="DB130">
        <f>ROUND((ROUND(AT130*CZ130,2)*0.8),6)</f>
        <v>0.248</v>
      </c>
      <c r="DC130">
        <f>ROUND((ROUND(AT130*AG130,2)*0.8),6)</f>
        <v>3.2000000000000001E-2</v>
      </c>
    </row>
    <row r="131" spans="1:107" x14ac:dyDescent="0.2">
      <c r="A131">
        <f>ROW(Source!A94)</f>
        <v>94</v>
      </c>
      <c r="B131">
        <v>43095088</v>
      </c>
      <c r="C131">
        <v>43095696</v>
      </c>
      <c r="D131">
        <v>42312068</v>
      </c>
      <c r="E131">
        <v>1</v>
      </c>
      <c r="F131">
        <v>1</v>
      </c>
      <c r="G131">
        <v>29</v>
      </c>
      <c r="H131">
        <v>3</v>
      </c>
      <c r="I131" t="s">
        <v>693</v>
      </c>
      <c r="J131" t="s">
        <v>694</v>
      </c>
      <c r="K131" t="s">
        <v>695</v>
      </c>
      <c r="L131">
        <v>1354</v>
      </c>
      <c r="N131">
        <v>1010</v>
      </c>
      <c r="O131" t="s">
        <v>20</v>
      </c>
      <c r="P131" t="s">
        <v>20</v>
      </c>
      <c r="Q131">
        <v>1</v>
      </c>
      <c r="W131">
        <v>0</v>
      </c>
      <c r="X131">
        <v>-749186359</v>
      </c>
      <c r="Y131">
        <v>1</v>
      </c>
      <c r="AA131">
        <v>281.12</v>
      </c>
      <c r="AB131">
        <v>0</v>
      </c>
      <c r="AC131">
        <v>0</v>
      </c>
      <c r="AD131">
        <v>0</v>
      </c>
      <c r="AE131">
        <v>281.12</v>
      </c>
      <c r="AF131">
        <v>0</v>
      </c>
      <c r="AG131">
        <v>0</v>
      </c>
      <c r="AH131">
        <v>0</v>
      </c>
      <c r="AI131">
        <v>1</v>
      </c>
      <c r="AJ131">
        <v>1</v>
      </c>
      <c r="AK131">
        <v>1</v>
      </c>
      <c r="AL131">
        <v>1</v>
      </c>
      <c r="AN131">
        <v>0</v>
      </c>
      <c r="AO131">
        <v>1</v>
      </c>
      <c r="AP131">
        <v>0</v>
      </c>
      <c r="AQ131">
        <v>0</v>
      </c>
      <c r="AR131">
        <v>0</v>
      </c>
      <c r="AS131" t="s">
        <v>3</v>
      </c>
      <c r="AT131">
        <v>1</v>
      </c>
      <c r="AU131" t="s">
        <v>3</v>
      </c>
      <c r="AV131">
        <v>0</v>
      </c>
      <c r="AW131">
        <v>2</v>
      </c>
      <c r="AX131">
        <v>43095712</v>
      </c>
      <c r="AY131">
        <v>1</v>
      </c>
      <c r="AZ131">
        <v>0</v>
      </c>
      <c r="BA131">
        <v>119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CX131">
        <f>Y131*Source!I94</f>
        <v>49</v>
      </c>
      <c r="CY131">
        <f>AA131</f>
        <v>281.12</v>
      </c>
      <c r="CZ131">
        <f>AE131</f>
        <v>281.12</v>
      </c>
      <c r="DA131">
        <f>AI131</f>
        <v>1</v>
      </c>
      <c r="DB131">
        <f t="shared" ref="DB131:DB162" si="35">ROUND(ROUND(AT131*CZ131,2),6)</f>
        <v>281.12</v>
      </c>
      <c r="DC131">
        <f t="shared" ref="DC131:DC162" si="36">ROUND(ROUND(AT131*AG131,2),6)</f>
        <v>0</v>
      </c>
    </row>
    <row r="132" spans="1:107" x14ac:dyDescent="0.2">
      <c r="A132">
        <f>ROW(Source!A95)</f>
        <v>95</v>
      </c>
      <c r="B132">
        <v>43095088</v>
      </c>
      <c r="C132">
        <v>43095713</v>
      </c>
      <c r="D132">
        <v>42301367</v>
      </c>
      <c r="E132">
        <v>29</v>
      </c>
      <c r="F132">
        <v>1</v>
      </c>
      <c r="G132">
        <v>29</v>
      </c>
      <c r="H132">
        <v>1</v>
      </c>
      <c r="I132" t="s">
        <v>555</v>
      </c>
      <c r="J132" t="s">
        <v>3</v>
      </c>
      <c r="K132" t="s">
        <v>556</v>
      </c>
      <c r="L132">
        <v>1191</v>
      </c>
      <c r="N132">
        <v>1013</v>
      </c>
      <c r="O132" t="s">
        <v>557</v>
      </c>
      <c r="P132" t="s">
        <v>557</v>
      </c>
      <c r="Q132">
        <v>1</v>
      </c>
      <c r="W132">
        <v>0</v>
      </c>
      <c r="X132">
        <v>476480486</v>
      </c>
      <c r="Y132">
        <v>17.260000000000002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1</v>
      </c>
      <c r="AJ132">
        <v>1</v>
      </c>
      <c r="AK132">
        <v>1</v>
      </c>
      <c r="AL132">
        <v>1</v>
      </c>
      <c r="AN132">
        <v>0</v>
      </c>
      <c r="AO132">
        <v>1</v>
      </c>
      <c r="AP132">
        <v>0</v>
      </c>
      <c r="AQ132">
        <v>0</v>
      </c>
      <c r="AR132">
        <v>0</v>
      </c>
      <c r="AS132" t="s">
        <v>3</v>
      </c>
      <c r="AT132">
        <v>17.260000000000002</v>
      </c>
      <c r="AU132" t="s">
        <v>3</v>
      </c>
      <c r="AV132">
        <v>1</v>
      </c>
      <c r="AW132">
        <v>2</v>
      </c>
      <c r="AX132">
        <v>43095740</v>
      </c>
      <c r="AY132">
        <v>1</v>
      </c>
      <c r="AZ132">
        <v>0</v>
      </c>
      <c r="BA132">
        <v>120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CX132">
        <f>Y132*Source!I95</f>
        <v>4.6602000000000006</v>
      </c>
      <c r="CY132">
        <f>AD132</f>
        <v>0</v>
      </c>
      <c r="CZ132">
        <f>AH132</f>
        <v>0</v>
      </c>
      <c r="DA132">
        <f>AL132</f>
        <v>1</v>
      </c>
      <c r="DB132">
        <f t="shared" si="35"/>
        <v>0</v>
      </c>
      <c r="DC132">
        <f t="shared" si="36"/>
        <v>0</v>
      </c>
    </row>
    <row r="133" spans="1:107" x14ac:dyDescent="0.2">
      <c r="A133">
        <f>ROW(Source!A95)</f>
        <v>95</v>
      </c>
      <c r="B133">
        <v>43095088</v>
      </c>
      <c r="C133">
        <v>43095713</v>
      </c>
      <c r="D133">
        <v>42303205</v>
      </c>
      <c r="E133">
        <v>1</v>
      </c>
      <c r="F133">
        <v>1</v>
      </c>
      <c r="G133">
        <v>29</v>
      </c>
      <c r="H133">
        <v>2</v>
      </c>
      <c r="I133" t="s">
        <v>558</v>
      </c>
      <c r="J133" t="s">
        <v>559</v>
      </c>
      <c r="K133" t="s">
        <v>560</v>
      </c>
      <c r="L133">
        <v>1368</v>
      </c>
      <c r="N133">
        <v>1011</v>
      </c>
      <c r="O133" t="s">
        <v>480</v>
      </c>
      <c r="P133" t="s">
        <v>480</v>
      </c>
      <c r="Q133">
        <v>1</v>
      </c>
      <c r="W133">
        <v>0</v>
      </c>
      <c r="X133">
        <v>259953263</v>
      </c>
      <c r="Y133">
        <v>4.8499999999999996</v>
      </c>
      <c r="AA133">
        <v>0</v>
      </c>
      <c r="AB133">
        <v>8.1</v>
      </c>
      <c r="AC133">
        <v>1.03</v>
      </c>
      <c r="AD133">
        <v>0</v>
      </c>
      <c r="AE133">
        <v>0</v>
      </c>
      <c r="AF133">
        <v>8.1</v>
      </c>
      <c r="AG133">
        <v>1.03</v>
      </c>
      <c r="AH133">
        <v>0</v>
      </c>
      <c r="AI133">
        <v>1</v>
      </c>
      <c r="AJ133">
        <v>1</v>
      </c>
      <c r="AK133">
        <v>1</v>
      </c>
      <c r="AL133">
        <v>1</v>
      </c>
      <c r="AN133">
        <v>0</v>
      </c>
      <c r="AO133">
        <v>1</v>
      </c>
      <c r="AP133">
        <v>0</v>
      </c>
      <c r="AQ133">
        <v>0</v>
      </c>
      <c r="AR133">
        <v>0</v>
      </c>
      <c r="AS133" t="s">
        <v>3</v>
      </c>
      <c r="AT133">
        <v>4.8499999999999996</v>
      </c>
      <c r="AU133" t="s">
        <v>3</v>
      </c>
      <c r="AV133">
        <v>0</v>
      </c>
      <c r="AW133">
        <v>2</v>
      </c>
      <c r="AX133">
        <v>43095741</v>
      </c>
      <c r="AY133">
        <v>1</v>
      </c>
      <c r="AZ133">
        <v>0</v>
      </c>
      <c r="BA133">
        <v>121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CX133">
        <f>Y133*Source!I95</f>
        <v>1.3094999999999999</v>
      </c>
      <c r="CY133">
        <f>AB133</f>
        <v>8.1</v>
      </c>
      <c r="CZ133">
        <f>AF133</f>
        <v>8.1</v>
      </c>
      <c r="DA133">
        <f>AJ133</f>
        <v>1</v>
      </c>
      <c r="DB133">
        <f t="shared" si="35"/>
        <v>39.29</v>
      </c>
      <c r="DC133">
        <f t="shared" si="36"/>
        <v>5</v>
      </c>
    </row>
    <row r="134" spans="1:107" x14ac:dyDescent="0.2">
      <c r="A134">
        <f>ROW(Source!A95)</f>
        <v>95</v>
      </c>
      <c r="B134">
        <v>43095088</v>
      </c>
      <c r="C134">
        <v>43095713</v>
      </c>
      <c r="D134">
        <v>42303166</v>
      </c>
      <c r="E134">
        <v>1</v>
      </c>
      <c r="F134">
        <v>1</v>
      </c>
      <c r="G134">
        <v>29</v>
      </c>
      <c r="H134">
        <v>2</v>
      </c>
      <c r="I134" t="s">
        <v>561</v>
      </c>
      <c r="J134" t="s">
        <v>562</v>
      </c>
      <c r="K134" t="s">
        <v>563</v>
      </c>
      <c r="L134">
        <v>1368</v>
      </c>
      <c r="N134">
        <v>1011</v>
      </c>
      <c r="O134" t="s">
        <v>480</v>
      </c>
      <c r="P134" t="s">
        <v>480</v>
      </c>
      <c r="Q134">
        <v>1</v>
      </c>
      <c r="W134">
        <v>0</v>
      </c>
      <c r="X134">
        <v>1197532078</v>
      </c>
      <c r="Y134">
        <v>0.48</v>
      </c>
      <c r="AA134">
        <v>0</v>
      </c>
      <c r="AB134">
        <v>5.17</v>
      </c>
      <c r="AC134">
        <v>0.01</v>
      </c>
      <c r="AD134">
        <v>0</v>
      </c>
      <c r="AE134">
        <v>0</v>
      </c>
      <c r="AF134">
        <v>5.17</v>
      </c>
      <c r="AG134">
        <v>0.01</v>
      </c>
      <c r="AH134">
        <v>0</v>
      </c>
      <c r="AI134">
        <v>1</v>
      </c>
      <c r="AJ134">
        <v>1</v>
      </c>
      <c r="AK134">
        <v>1</v>
      </c>
      <c r="AL134">
        <v>1</v>
      </c>
      <c r="AN134">
        <v>0</v>
      </c>
      <c r="AO134">
        <v>1</v>
      </c>
      <c r="AP134">
        <v>0</v>
      </c>
      <c r="AQ134">
        <v>0</v>
      </c>
      <c r="AR134">
        <v>0</v>
      </c>
      <c r="AS134" t="s">
        <v>3</v>
      </c>
      <c r="AT134">
        <v>0.48</v>
      </c>
      <c r="AU134" t="s">
        <v>3</v>
      </c>
      <c r="AV134">
        <v>0</v>
      </c>
      <c r="AW134">
        <v>2</v>
      </c>
      <c r="AX134">
        <v>43095742</v>
      </c>
      <c r="AY134">
        <v>1</v>
      </c>
      <c r="AZ134">
        <v>0</v>
      </c>
      <c r="BA134">
        <v>122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CX134">
        <f>Y134*Source!I95</f>
        <v>0.12959999999999999</v>
      </c>
      <c r="CY134">
        <f>AB134</f>
        <v>5.17</v>
      </c>
      <c r="CZ134">
        <f>AF134</f>
        <v>5.17</v>
      </c>
      <c r="DA134">
        <f>AJ134</f>
        <v>1</v>
      </c>
      <c r="DB134">
        <f t="shared" si="35"/>
        <v>2.48</v>
      </c>
      <c r="DC134">
        <f t="shared" si="36"/>
        <v>0</v>
      </c>
    </row>
    <row r="135" spans="1:107" x14ac:dyDescent="0.2">
      <c r="A135">
        <f>ROW(Source!A95)</f>
        <v>95</v>
      </c>
      <c r="B135">
        <v>43095088</v>
      </c>
      <c r="C135">
        <v>43095713</v>
      </c>
      <c r="D135">
        <v>42304341</v>
      </c>
      <c r="E135">
        <v>1</v>
      </c>
      <c r="F135">
        <v>1</v>
      </c>
      <c r="G135">
        <v>29</v>
      </c>
      <c r="H135">
        <v>3</v>
      </c>
      <c r="I135" t="s">
        <v>621</v>
      </c>
      <c r="J135" t="s">
        <v>622</v>
      </c>
      <c r="K135" t="s">
        <v>623</v>
      </c>
      <c r="L135">
        <v>1348</v>
      </c>
      <c r="N135">
        <v>1009</v>
      </c>
      <c r="O135" t="s">
        <v>402</v>
      </c>
      <c r="P135" t="s">
        <v>402</v>
      </c>
      <c r="Q135">
        <v>1000</v>
      </c>
      <c r="W135">
        <v>0</v>
      </c>
      <c r="X135">
        <v>335561789</v>
      </c>
      <c r="Y135">
        <v>2.2200000000000002E-3</v>
      </c>
      <c r="AA135">
        <v>327543.38</v>
      </c>
      <c r="AB135">
        <v>0</v>
      </c>
      <c r="AC135">
        <v>0</v>
      </c>
      <c r="AD135">
        <v>0</v>
      </c>
      <c r="AE135">
        <v>327543.38</v>
      </c>
      <c r="AF135">
        <v>0</v>
      </c>
      <c r="AG135">
        <v>0</v>
      </c>
      <c r="AH135">
        <v>0</v>
      </c>
      <c r="AI135">
        <v>1</v>
      </c>
      <c r="AJ135">
        <v>1</v>
      </c>
      <c r="AK135">
        <v>1</v>
      </c>
      <c r="AL135">
        <v>1</v>
      </c>
      <c r="AN135">
        <v>0</v>
      </c>
      <c r="AO135">
        <v>1</v>
      </c>
      <c r="AP135">
        <v>0</v>
      </c>
      <c r="AQ135">
        <v>0</v>
      </c>
      <c r="AR135">
        <v>0</v>
      </c>
      <c r="AS135" t="s">
        <v>3</v>
      </c>
      <c r="AT135">
        <v>2.2200000000000002E-3</v>
      </c>
      <c r="AU135" t="s">
        <v>3</v>
      </c>
      <c r="AV135">
        <v>0</v>
      </c>
      <c r="AW135">
        <v>2</v>
      </c>
      <c r="AX135">
        <v>43095743</v>
      </c>
      <c r="AY135">
        <v>1</v>
      </c>
      <c r="AZ135">
        <v>0</v>
      </c>
      <c r="BA135">
        <v>123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CX135">
        <f>Y135*Source!I95</f>
        <v>5.9940000000000004E-4</v>
      </c>
      <c r="CY135">
        <f t="shared" ref="CY135:CY140" si="37">AA135</f>
        <v>327543.38</v>
      </c>
      <c r="CZ135">
        <f t="shared" ref="CZ135:CZ140" si="38">AE135</f>
        <v>327543.38</v>
      </c>
      <c r="DA135">
        <f t="shared" ref="DA135:DA140" si="39">AI135</f>
        <v>1</v>
      </c>
      <c r="DB135">
        <f t="shared" si="35"/>
        <v>727.15</v>
      </c>
      <c r="DC135">
        <f t="shared" si="36"/>
        <v>0</v>
      </c>
    </row>
    <row r="136" spans="1:107" x14ac:dyDescent="0.2">
      <c r="A136">
        <f>ROW(Source!A95)</f>
        <v>95</v>
      </c>
      <c r="B136">
        <v>43095088</v>
      </c>
      <c r="C136">
        <v>43095713</v>
      </c>
      <c r="D136">
        <v>42304431</v>
      </c>
      <c r="E136">
        <v>1</v>
      </c>
      <c r="F136">
        <v>1</v>
      </c>
      <c r="G136">
        <v>29</v>
      </c>
      <c r="H136">
        <v>3</v>
      </c>
      <c r="I136" t="s">
        <v>564</v>
      </c>
      <c r="J136" t="s">
        <v>565</v>
      </c>
      <c r="K136" t="s">
        <v>566</v>
      </c>
      <c r="L136">
        <v>1354</v>
      </c>
      <c r="N136">
        <v>1010</v>
      </c>
      <c r="O136" t="s">
        <v>20</v>
      </c>
      <c r="P136" t="s">
        <v>20</v>
      </c>
      <c r="Q136">
        <v>1</v>
      </c>
      <c r="W136">
        <v>0</v>
      </c>
      <c r="X136">
        <v>447429166</v>
      </c>
      <c r="Y136">
        <v>120</v>
      </c>
      <c r="AA136">
        <v>1.43</v>
      </c>
      <c r="AB136">
        <v>0</v>
      </c>
      <c r="AC136">
        <v>0</v>
      </c>
      <c r="AD136">
        <v>0</v>
      </c>
      <c r="AE136">
        <v>1.43</v>
      </c>
      <c r="AF136">
        <v>0</v>
      </c>
      <c r="AG136">
        <v>0</v>
      </c>
      <c r="AH136">
        <v>0</v>
      </c>
      <c r="AI136">
        <v>1</v>
      </c>
      <c r="AJ136">
        <v>1</v>
      </c>
      <c r="AK136">
        <v>1</v>
      </c>
      <c r="AL136">
        <v>1</v>
      </c>
      <c r="AN136">
        <v>0</v>
      </c>
      <c r="AO136">
        <v>1</v>
      </c>
      <c r="AP136">
        <v>0</v>
      </c>
      <c r="AQ136">
        <v>0</v>
      </c>
      <c r="AR136">
        <v>0</v>
      </c>
      <c r="AS136" t="s">
        <v>3</v>
      </c>
      <c r="AT136">
        <v>120</v>
      </c>
      <c r="AU136" t="s">
        <v>3</v>
      </c>
      <c r="AV136">
        <v>0</v>
      </c>
      <c r="AW136">
        <v>2</v>
      </c>
      <c r="AX136">
        <v>43095744</v>
      </c>
      <c r="AY136">
        <v>1</v>
      </c>
      <c r="AZ136">
        <v>0</v>
      </c>
      <c r="BA136">
        <v>124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CX136">
        <f>Y136*Source!I95</f>
        <v>32.400000000000006</v>
      </c>
      <c r="CY136">
        <f t="shared" si="37"/>
        <v>1.43</v>
      </c>
      <c r="CZ136">
        <f t="shared" si="38"/>
        <v>1.43</v>
      </c>
      <c r="DA136">
        <f t="shared" si="39"/>
        <v>1</v>
      </c>
      <c r="DB136">
        <f t="shared" si="35"/>
        <v>171.6</v>
      </c>
      <c r="DC136">
        <f t="shared" si="36"/>
        <v>0</v>
      </c>
    </row>
    <row r="137" spans="1:107" x14ac:dyDescent="0.2">
      <c r="A137">
        <f>ROW(Source!A95)</f>
        <v>95</v>
      </c>
      <c r="B137">
        <v>43095088</v>
      </c>
      <c r="C137">
        <v>43095713</v>
      </c>
      <c r="D137">
        <v>42309183</v>
      </c>
      <c r="E137">
        <v>1</v>
      </c>
      <c r="F137">
        <v>1</v>
      </c>
      <c r="G137">
        <v>29</v>
      </c>
      <c r="H137">
        <v>3</v>
      </c>
      <c r="I137" t="s">
        <v>624</v>
      </c>
      <c r="J137" t="s">
        <v>625</v>
      </c>
      <c r="K137" t="s">
        <v>626</v>
      </c>
      <c r="L137">
        <v>1301</v>
      </c>
      <c r="N137">
        <v>1003</v>
      </c>
      <c r="O137" t="s">
        <v>64</v>
      </c>
      <c r="P137" t="s">
        <v>64</v>
      </c>
      <c r="Q137">
        <v>1</v>
      </c>
      <c r="W137">
        <v>0</v>
      </c>
      <c r="X137">
        <v>436151271</v>
      </c>
      <c r="Y137">
        <v>102</v>
      </c>
      <c r="AA137">
        <v>12.1</v>
      </c>
      <c r="AB137">
        <v>0</v>
      </c>
      <c r="AC137">
        <v>0</v>
      </c>
      <c r="AD137">
        <v>0</v>
      </c>
      <c r="AE137">
        <v>12.1</v>
      </c>
      <c r="AF137">
        <v>0</v>
      </c>
      <c r="AG137">
        <v>0</v>
      </c>
      <c r="AH137">
        <v>0</v>
      </c>
      <c r="AI137">
        <v>1</v>
      </c>
      <c r="AJ137">
        <v>1</v>
      </c>
      <c r="AK137">
        <v>1</v>
      </c>
      <c r="AL137">
        <v>1</v>
      </c>
      <c r="AN137">
        <v>0</v>
      </c>
      <c r="AO137">
        <v>1</v>
      </c>
      <c r="AP137">
        <v>0</v>
      </c>
      <c r="AQ137">
        <v>0</v>
      </c>
      <c r="AR137">
        <v>0</v>
      </c>
      <c r="AS137" t="s">
        <v>3</v>
      </c>
      <c r="AT137">
        <v>102</v>
      </c>
      <c r="AU137" t="s">
        <v>3</v>
      </c>
      <c r="AV137">
        <v>0</v>
      </c>
      <c r="AW137">
        <v>2</v>
      </c>
      <c r="AX137">
        <v>43095745</v>
      </c>
      <c r="AY137">
        <v>1</v>
      </c>
      <c r="AZ137">
        <v>0</v>
      </c>
      <c r="BA137">
        <v>125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CX137">
        <f>Y137*Source!I95</f>
        <v>27.540000000000003</v>
      </c>
      <c r="CY137">
        <f t="shared" si="37"/>
        <v>12.1</v>
      </c>
      <c r="CZ137">
        <f t="shared" si="38"/>
        <v>12.1</v>
      </c>
      <c r="DA137">
        <f t="shared" si="39"/>
        <v>1</v>
      </c>
      <c r="DB137">
        <f t="shared" si="35"/>
        <v>1234.2</v>
      </c>
      <c r="DC137">
        <f t="shared" si="36"/>
        <v>0</v>
      </c>
    </row>
    <row r="138" spans="1:107" x14ac:dyDescent="0.2">
      <c r="A138">
        <f>ROW(Source!A95)</f>
        <v>95</v>
      </c>
      <c r="B138">
        <v>43095088</v>
      </c>
      <c r="C138">
        <v>43095713</v>
      </c>
      <c r="D138">
        <v>42312389</v>
      </c>
      <c r="E138">
        <v>1</v>
      </c>
      <c r="F138">
        <v>1</v>
      </c>
      <c r="G138">
        <v>29</v>
      </c>
      <c r="H138">
        <v>3</v>
      </c>
      <c r="I138" t="s">
        <v>627</v>
      </c>
      <c r="J138" t="s">
        <v>628</v>
      </c>
      <c r="K138" t="s">
        <v>629</v>
      </c>
      <c r="L138">
        <v>1355</v>
      </c>
      <c r="N138">
        <v>1010</v>
      </c>
      <c r="O138" t="s">
        <v>342</v>
      </c>
      <c r="P138" t="s">
        <v>342</v>
      </c>
      <c r="Q138">
        <v>100</v>
      </c>
      <c r="W138">
        <v>0</v>
      </c>
      <c r="X138">
        <v>-1648766190</v>
      </c>
      <c r="Y138">
        <v>1</v>
      </c>
      <c r="AA138">
        <v>261.24</v>
      </c>
      <c r="AB138">
        <v>0</v>
      </c>
      <c r="AC138">
        <v>0</v>
      </c>
      <c r="AD138">
        <v>0</v>
      </c>
      <c r="AE138">
        <v>261.24</v>
      </c>
      <c r="AF138">
        <v>0</v>
      </c>
      <c r="AG138">
        <v>0</v>
      </c>
      <c r="AH138">
        <v>0</v>
      </c>
      <c r="AI138">
        <v>1</v>
      </c>
      <c r="AJ138">
        <v>1</v>
      </c>
      <c r="AK138">
        <v>1</v>
      </c>
      <c r="AL138">
        <v>1</v>
      </c>
      <c r="AN138">
        <v>0</v>
      </c>
      <c r="AO138">
        <v>1</v>
      </c>
      <c r="AP138">
        <v>0</v>
      </c>
      <c r="AQ138">
        <v>0</v>
      </c>
      <c r="AR138">
        <v>0</v>
      </c>
      <c r="AS138" t="s">
        <v>3</v>
      </c>
      <c r="AT138">
        <v>1</v>
      </c>
      <c r="AU138" t="s">
        <v>3</v>
      </c>
      <c r="AV138">
        <v>0</v>
      </c>
      <c r="AW138">
        <v>2</v>
      </c>
      <c r="AX138">
        <v>43095746</v>
      </c>
      <c r="AY138">
        <v>1</v>
      </c>
      <c r="AZ138">
        <v>0</v>
      </c>
      <c r="BA138">
        <v>126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CX138">
        <f>Y138*Source!I95</f>
        <v>0.27</v>
      </c>
      <c r="CY138">
        <f t="shared" si="37"/>
        <v>261.24</v>
      </c>
      <c r="CZ138">
        <f t="shared" si="38"/>
        <v>261.24</v>
      </c>
      <c r="DA138">
        <f t="shared" si="39"/>
        <v>1</v>
      </c>
      <c r="DB138">
        <f t="shared" si="35"/>
        <v>261.24</v>
      </c>
      <c r="DC138">
        <f t="shared" si="36"/>
        <v>0</v>
      </c>
    </row>
    <row r="139" spans="1:107" x14ac:dyDescent="0.2">
      <c r="A139">
        <f>ROW(Source!A95)</f>
        <v>95</v>
      </c>
      <c r="B139">
        <v>43095088</v>
      </c>
      <c r="C139">
        <v>43095713</v>
      </c>
      <c r="D139">
        <v>42312111</v>
      </c>
      <c r="E139">
        <v>1</v>
      </c>
      <c r="F139">
        <v>1</v>
      </c>
      <c r="G139">
        <v>29</v>
      </c>
      <c r="H139">
        <v>3</v>
      </c>
      <c r="I139" t="s">
        <v>152</v>
      </c>
      <c r="J139" t="s">
        <v>154</v>
      </c>
      <c r="K139" t="s">
        <v>153</v>
      </c>
      <c r="L139">
        <v>1354</v>
      </c>
      <c r="N139">
        <v>1010</v>
      </c>
      <c r="O139" t="s">
        <v>20</v>
      </c>
      <c r="P139" t="s">
        <v>20</v>
      </c>
      <c r="Q139">
        <v>1</v>
      </c>
      <c r="W139">
        <v>1</v>
      </c>
      <c r="X139">
        <v>1056150913</v>
      </c>
      <c r="Y139">
        <v>-5</v>
      </c>
      <c r="AA139">
        <v>30.24</v>
      </c>
      <c r="AB139">
        <v>0</v>
      </c>
      <c r="AC139">
        <v>0</v>
      </c>
      <c r="AD139">
        <v>0</v>
      </c>
      <c r="AE139">
        <v>30.24</v>
      </c>
      <c r="AF139">
        <v>0</v>
      </c>
      <c r="AG139">
        <v>0</v>
      </c>
      <c r="AH139">
        <v>0</v>
      </c>
      <c r="AI139">
        <v>1</v>
      </c>
      <c r="AJ139">
        <v>1</v>
      </c>
      <c r="AK139">
        <v>1</v>
      </c>
      <c r="AL139">
        <v>1</v>
      </c>
      <c r="AN139">
        <v>0</v>
      </c>
      <c r="AO139">
        <v>1</v>
      </c>
      <c r="AP139">
        <v>0</v>
      </c>
      <c r="AQ139">
        <v>0</v>
      </c>
      <c r="AR139">
        <v>0</v>
      </c>
      <c r="AS139" t="s">
        <v>3</v>
      </c>
      <c r="AT139">
        <v>-5</v>
      </c>
      <c r="AU139" t="s">
        <v>3</v>
      </c>
      <c r="AV139">
        <v>0</v>
      </c>
      <c r="AW139">
        <v>2</v>
      </c>
      <c r="AX139">
        <v>43095747</v>
      </c>
      <c r="AY139">
        <v>1</v>
      </c>
      <c r="AZ139">
        <v>6144</v>
      </c>
      <c r="BA139">
        <v>127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CX139">
        <f>Y139*Source!I95</f>
        <v>-1.35</v>
      </c>
      <c r="CY139">
        <f t="shared" si="37"/>
        <v>30.24</v>
      </c>
      <c r="CZ139">
        <f t="shared" si="38"/>
        <v>30.24</v>
      </c>
      <c r="DA139">
        <f t="shared" si="39"/>
        <v>1</v>
      </c>
      <c r="DB139">
        <f t="shared" si="35"/>
        <v>-151.19999999999999</v>
      </c>
      <c r="DC139">
        <f t="shared" si="36"/>
        <v>0</v>
      </c>
    </row>
    <row r="140" spans="1:107" x14ac:dyDescent="0.2">
      <c r="A140">
        <f>ROW(Source!A95)</f>
        <v>95</v>
      </c>
      <c r="B140">
        <v>43095088</v>
      </c>
      <c r="C140">
        <v>43095713</v>
      </c>
      <c r="D140">
        <v>42307470</v>
      </c>
      <c r="E140">
        <v>1</v>
      </c>
      <c r="F140">
        <v>1</v>
      </c>
      <c r="G140">
        <v>29</v>
      </c>
      <c r="H140">
        <v>3</v>
      </c>
      <c r="I140" t="s">
        <v>630</v>
      </c>
      <c r="J140" t="s">
        <v>631</v>
      </c>
      <c r="K140" t="s">
        <v>632</v>
      </c>
      <c r="L140">
        <v>1354</v>
      </c>
      <c r="N140">
        <v>1010</v>
      </c>
      <c r="O140" t="s">
        <v>20</v>
      </c>
      <c r="P140" t="s">
        <v>20</v>
      </c>
      <c r="Q140">
        <v>1</v>
      </c>
      <c r="W140">
        <v>0</v>
      </c>
      <c r="X140">
        <v>-415068326</v>
      </c>
      <c r="Y140">
        <v>1.5</v>
      </c>
      <c r="AA140">
        <v>246.94</v>
      </c>
      <c r="AB140">
        <v>0</v>
      </c>
      <c r="AC140">
        <v>0</v>
      </c>
      <c r="AD140">
        <v>0</v>
      </c>
      <c r="AE140">
        <v>246.94</v>
      </c>
      <c r="AF140">
        <v>0</v>
      </c>
      <c r="AG140">
        <v>0</v>
      </c>
      <c r="AH140">
        <v>0</v>
      </c>
      <c r="AI140">
        <v>1</v>
      </c>
      <c r="AJ140">
        <v>1</v>
      </c>
      <c r="AK140">
        <v>1</v>
      </c>
      <c r="AL140">
        <v>1</v>
      </c>
      <c r="AN140">
        <v>0</v>
      </c>
      <c r="AO140">
        <v>1</v>
      </c>
      <c r="AP140">
        <v>0</v>
      </c>
      <c r="AQ140">
        <v>0</v>
      </c>
      <c r="AR140">
        <v>0</v>
      </c>
      <c r="AS140" t="s">
        <v>3</v>
      </c>
      <c r="AT140">
        <v>1.5</v>
      </c>
      <c r="AU140" t="s">
        <v>3</v>
      </c>
      <c r="AV140">
        <v>0</v>
      </c>
      <c r="AW140">
        <v>2</v>
      </c>
      <c r="AX140">
        <v>43095748</v>
      </c>
      <c r="AY140">
        <v>1</v>
      </c>
      <c r="AZ140">
        <v>0</v>
      </c>
      <c r="BA140">
        <v>128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CX140">
        <f>Y140*Source!I95</f>
        <v>0.40500000000000003</v>
      </c>
      <c r="CY140">
        <f t="shared" si="37"/>
        <v>246.94</v>
      </c>
      <c r="CZ140">
        <f t="shared" si="38"/>
        <v>246.94</v>
      </c>
      <c r="DA140">
        <f t="shared" si="39"/>
        <v>1</v>
      </c>
      <c r="DB140">
        <f t="shared" si="35"/>
        <v>370.41</v>
      </c>
      <c r="DC140">
        <f t="shared" si="36"/>
        <v>0</v>
      </c>
    </row>
    <row r="141" spans="1:107" x14ac:dyDescent="0.2">
      <c r="A141">
        <f>ROW(Source!A97)</f>
        <v>97</v>
      </c>
      <c r="B141">
        <v>43095088</v>
      </c>
      <c r="C141">
        <v>43095750</v>
      </c>
      <c r="D141">
        <v>42301367</v>
      </c>
      <c r="E141">
        <v>29</v>
      </c>
      <c r="F141">
        <v>1</v>
      </c>
      <c r="G141">
        <v>29</v>
      </c>
      <c r="H141">
        <v>1</v>
      </c>
      <c r="I141" t="s">
        <v>555</v>
      </c>
      <c r="J141" t="s">
        <v>3</v>
      </c>
      <c r="K141" t="s">
        <v>556</v>
      </c>
      <c r="L141">
        <v>1191</v>
      </c>
      <c r="N141">
        <v>1013</v>
      </c>
      <c r="O141" t="s">
        <v>557</v>
      </c>
      <c r="P141" t="s">
        <v>557</v>
      </c>
      <c r="Q141">
        <v>1</v>
      </c>
      <c r="W141">
        <v>0</v>
      </c>
      <c r="X141">
        <v>476480486</v>
      </c>
      <c r="Y141">
        <v>46.78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1</v>
      </c>
      <c r="AJ141">
        <v>1</v>
      </c>
      <c r="AK141">
        <v>1</v>
      </c>
      <c r="AL141">
        <v>1</v>
      </c>
      <c r="AN141">
        <v>0</v>
      </c>
      <c r="AO141">
        <v>1</v>
      </c>
      <c r="AP141">
        <v>0</v>
      </c>
      <c r="AQ141">
        <v>0</v>
      </c>
      <c r="AR141">
        <v>0</v>
      </c>
      <c r="AS141" t="s">
        <v>3</v>
      </c>
      <c r="AT141">
        <v>46.78</v>
      </c>
      <c r="AU141" t="s">
        <v>3</v>
      </c>
      <c r="AV141">
        <v>1</v>
      </c>
      <c r="AW141">
        <v>2</v>
      </c>
      <c r="AX141">
        <v>43095790</v>
      </c>
      <c r="AY141">
        <v>1</v>
      </c>
      <c r="AZ141">
        <v>0</v>
      </c>
      <c r="BA141">
        <v>129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CX141">
        <f>Y141*Source!I97</f>
        <v>0</v>
      </c>
      <c r="CY141">
        <f>AD141</f>
        <v>0</v>
      </c>
      <c r="CZ141">
        <f>AH141</f>
        <v>0</v>
      </c>
      <c r="DA141">
        <f>AL141</f>
        <v>1</v>
      </c>
      <c r="DB141">
        <f t="shared" si="35"/>
        <v>0</v>
      </c>
      <c r="DC141">
        <f t="shared" si="36"/>
        <v>0</v>
      </c>
    </row>
    <row r="142" spans="1:107" x14ac:dyDescent="0.2">
      <c r="A142">
        <f>ROW(Source!A97)</f>
        <v>97</v>
      </c>
      <c r="B142">
        <v>43095088</v>
      </c>
      <c r="C142">
        <v>43095750</v>
      </c>
      <c r="D142">
        <v>42303124</v>
      </c>
      <c r="E142">
        <v>1</v>
      </c>
      <c r="F142">
        <v>1</v>
      </c>
      <c r="G142">
        <v>29</v>
      </c>
      <c r="H142">
        <v>2</v>
      </c>
      <c r="I142" t="s">
        <v>633</v>
      </c>
      <c r="J142" t="s">
        <v>634</v>
      </c>
      <c r="K142" t="s">
        <v>635</v>
      </c>
      <c r="L142">
        <v>1368</v>
      </c>
      <c r="N142">
        <v>1011</v>
      </c>
      <c r="O142" t="s">
        <v>480</v>
      </c>
      <c r="P142" t="s">
        <v>480</v>
      </c>
      <c r="Q142">
        <v>1</v>
      </c>
      <c r="W142">
        <v>0</v>
      </c>
      <c r="X142">
        <v>-376097338</v>
      </c>
      <c r="Y142">
        <v>13</v>
      </c>
      <c r="AA142">
        <v>0</v>
      </c>
      <c r="AB142">
        <v>3.14</v>
      </c>
      <c r="AC142">
        <v>0.01</v>
      </c>
      <c r="AD142">
        <v>0</v>
      </c>
      <c r="AE142">
        <v>0</v>
      </c>
      <c r="AF142">
        <v>3.14</v>
      </c>
      <c r="AG142">
        <v>0.01</v>
      </c>
      <c r="AH142">
        <v>0</v>
      </c>
      <c r="AI142">
        <v>1</v>
      </c>
      <c r="AJ142">
        <v>1</v>
      </c>
      <c r="AK142">
        <v>1</v>
      </c>
      <c r="AL142">
        <v>1</v>
      </c>
      <c r="AN142">
        <v>0</v>
      </c>
      <c r="AO142">
        <v>1</v>
      </c>
      <c r="AP142">
        <v>0</v>
      </c>
      <c r="AQ142">
        <v>0</v>
      </c>
      <c r="AR142">
        <v>0</v>
      </c>
      <c r="AS142" t="s">
        <v>3</v>
      </c>
      <c r="AT142">
        <v>13</v>
      </c>
      <c r="AU142" t="s">
        <v>3</v>
      </c>
      <c r="AV142">
        <v>0</v>
      </c>
      <c r="AW142">
        <v>2</v>
      </c>
      <c r="AX142">
        <v>43095791</v>
      </c>
      <c r="AY142">
        <v>1</v>
      </c>
      <c r="AZ142">
        <v>0</v>
      </c>
      <c r="BA142">
        <v>130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CX142">
        <f>Y142*Source!I97</f>
        <v>0</v>
      </c>
      <c r="CY142">
        <f>AB142</f>
        <v>3.14</v>
      </c>
      <c r="CZ142">
        <f>AF142</f>
        <v>3.14</v>
      </c>
      <c r="DA142">
        <f>AJ142</f>
        <v>1</v>
      </c>
      <c r="DB142">
        <f t="shared" si="35"/>
        <v>40.82</v>
      </c>
      <c r="DC142">
        <f t="shared" si="36"/>
        <v>0.13</v>
      </c>
    </row>
    <row r="143" spans="1:107" x14ac:dyDescent="0.2">
      <c r="A143">
        <f>ROW(Source!A97)</f>
        <v>97</v>
      </c>
      <c r="B143">
        <v>43095088</v>
      </c>
      <c r="C143">
        <v>43095750</v>
      </c>
      <c r="D143">
        <v>42303204</v>
      </c>
      <c r="E143">
        <v>1</v>
      </c>
      <c r="F143">
        <v>1</v>
      </c>
      <c r="G143">
        <v>29</v>
      </c>
      <c r="H143">
        <v>2</v>
      </c>
      <c r="I143" t="s">
        <v>636</v>
      </c>
      <c r="J143" t="s">
        <v>637</v>
      </c>
      <c r="K143" t="s">
        <v>638</v>
      </c>
      <c r="L143">
        <v>1368</v>
      </c>
      <c r="N143">
        <v>1011</v>
      </c>
      <c r="O143" t="s">
        <v>480</v>
      </c>
      <c r="P143" t="s">
        <v>480</v>
      </c>
      <c r="Q143">
        <v>1</v>
      </c>
      <c r="W143">
        <v>0</v>
      </c>
      <c r="X143">
        <v>-1879814166</v>
      </c>
      <c r="Y143">
        <v>0.15</v>
      </c>
      <c r="AA143">
        <v>0</v>
      </c>
      <c r="AB143">
        <v>7.81</v>
      </c>
      <c r="AC143">
        <v>1.03</v>
      </c>
      <c r="AD143">
        <v>0</v>
      </c>
      <c r="AE143">
        <v>0</v>
      </c>
      <c r="AF143">
        <v>7.81</v>
      </c>
      <c r="AG143">
        <v>1.03</v>
      </c>
      <c r="AH143">
        <v>0</v>
      </c>
      <c r="AI143">
        <v>1</v>
      </c>
      <c r="AJ143">
        <v>1</v>
      </c>
      <c r="AK143">
        <v>1</v>
      </c>
      <c r="AL143">
        <v>1</v>
      </c>
      <c r="AN143">
        <v>0</v>
      </c>
      <c r="AO143">
        <v>1</v>
      </c>
      <c r="AP143">
        <v>0</v>
      </c>
      <c r="AQ143">
        <v>0</v>
      </c>
      <c r="AR143">
        <v>0</v>
      </c>
      <c r="AS143" t="s">
        <v>3</v>
      </c>
      <c r="AT143">
        <v>0.15</v>
      </c>
      <c r="AU143" t="s">
        <v>3</v>
      </c>
      <c r="AV143">
        <v>0</v>
      </c>
      <c r="AW143">
        <v>2</v>
      </c>
      <c r="AX143">
        <v>43095792</v>
      </c>
      <c r="AY143">
        <v>1</v>
      </c>
      <c r="AZ143">
        <v>0</v>
      </c>
      <c r="BA143">
        <v>131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CX143">
        <f>Y143*Source!I97</f>
        <v>0</v>
      </c>
      <c r="CY143">
        <f>AB143</f>
        <v>7.81</v>
      </c>
      <c r="CZ143">
        <f>AF143</f>
        <v>7.81</v>
      </c>
      <c r="DA143">
        <f>AJ143</f>
        <v>1</v>
      </c>
      <c r="DB143">
        <f t="shared" si="35"/>
        <v>1.17</v>
      </c>
      <c r="DC143">
        <f t="shared" si="36"/>
        <v>0.15</v>
      </c>
    </row>
    <row r="144" spans="1:107" x14ac:dyDescent="0.2">
      <c r="A144">
        <f>ROW(Source!A97)</f>
        <v>97</v>
      </c>
      <c r="B144">
        <v>43095088</v>
      </c>
      <c r="C144">
        <v>43095750</v>
      </c>
      <c r="D144">
        <v>42304341</v>
      </c>
      <c r="E144">
        <v>1</v>
      </c>
      <c r="F144">
        <v>1</v>
      </c>
      <c r="G144">
        <v>29</v>
      </c>
      <c r="H144">
        <v>3</v>
      </c>
      <c r="I144" t="s">
        <v>621</v>
      </c>
      <c r="J144" t="s">
        <v>622</v>
      </c>
      <c r="K144" t="s">
        <v>623</v>
      </c>
      <c r="L144">
        <v>1348</v>
      </c>
      <c r="N144">
        <v>1009</v>
      </c>
      <c r="O144" t="s">
        <v>402</v>
      </c>
      <c r="P144" t="s">
        <v>402</v>
      </c>
      <c r="Q144">
        <v>1000</v>
      </c>
      <c r="W144">
        <v>0</v>
      </c>
      <c r="X144">
        <v>335561789</v>
      </c>
      <c r="Y144">
        <v>7.3999999999999999E-4</v>
      </c>
      <c r="AA144">
        <v>327543.38</v>
      </c>
      <c r="AB144">
        <v>0</v>
      </c>
      <c r="AC144">
        <v>0</v>
      </c>
      <c r="AD144">
        <v>0</v>
      </c>
      <c r="AE144">
        <v>327543.38</v>
      </c>
      <c r="AF144">
        <v>0</v>
      </c>
      <c r="AG144">
        <v>0</v>
      </c>
      <c r="AH144">
        <v>0</v>
      </c>
      <c r="AI144">
        <v>1</v>
      </c>
      <c r="AJ144">
        <v>1</v>
      </c>
      <c r="AK144">
        <v>1</v>
      </c>
      <c r="AL144">
        <v>1</v>
      </c>
      <c r="AN144">
        <v>0</v>
      </c>
      <c r="AO144">
        <v>1</v>
      </c>
      <c r="AP144">
        <v>0</v>
      </c>
      <c r="AQ144">
        <v>0</v>
      </c>
      <c r="AR144">
        <v>0</v>
      </c>
      <c r="AS144" t="s">
        <v>3</v>
      </c>
      <c r="AT144">
        <v>7.3999999999999999E-4</v>
      </c>
      <c r="AU144" t="s">
        <v>3</v>
      </c>
      <c r="AV144">
        <v>0</v>
      </c>
      <c r="AW144">
        <v>2</v>
      </c>
      <c r="AX144">
        <v>43095793</v>
      </c>
      <c r="AY144">
        <v>1</v>
      </c>
      <c r="AZ144">
        <v>0</v>
      </c>
      <c r="BA144">
        <v>132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CX144">
        <f>Y144*Source!I97</f>
        <v>0</v>
      </c>
      <c r="CY144">
        <f t="shared" ref="CY144:CY153" si="40">AA144</f>
        <v>327543.38</v>
      </c>
      <c r="CZ144">
        <f t="shared" ref="CZ144:CZ153" si="41">AE144</f>
        <v>327543.38</v>
      </c>
      <c r="DA144">
        <f t="shared" ref="DA144:DA153" si="42">AI144</f>
        <v>1</v>
      </c>
      <c r="DB144">
        <f t="shared" si="35"/>
        <v>242.38</v>
      </c>
      <c r="DC144">
        <f t="shared" si="36"/>
        <v>0</v>
      </c>
    </row>
    <row r="145" spans="1:107" x14ac:dyDescent="0.2">
      <c r="A145">
        <f>ROW(Source!A97)</f>
        <v>97</v>
      </c>
      <c r="B145">
        <v>43095088</v>
      </c>
      <c r="C145">
        <v>43095750</v>
      </c>
      <c r="D145">
        <v>42304314</v>
      </c>
      <c r="E145">
        <v>1</v>
      </c>
      <c r="F145">
        <v>1</v>
      </c>
      <c r="G145">
        <v>29</v>
      </c>
      <c r="H145">
        <v>3</v>
      </c>
      <c r="I145" t="s">
        <v>639</v>
      </c>
      <c r="J145" t="s">
        <v>640</v>
      </c>
      <c r="K145" t="s">
        <v>641</v>
      </c>
      <c r="L145">
        <v>1355</v>
      </c>
      <c r="N145">
        <v>1010</v>
      </c>
      <c r="O145" t="s">
        <v>342</v>
      </c>
      <c r="P145" t="s">
        <v>342</v>
      </c>
      <c r="Q145">
        <v>100</v>
      </c>
      <c r="W145">
        <v>0</v>
      </c>
      <c r="X145">
        <v>-972910948</v>
      </c>
      <c r="Y145">
        <v>4</v>
      </c>
      <c r="AA145">
        <v>1126.26</v>
      </c>
      <c r="AB145">
        <v>0</v>
      </c>
      <c r="AC145">
        <v>0</v>
      </c>
      <c r="AD145">
        <v>0</v>
      </c>
      <c r="AE145">
        <v>1126.26</v>
      </c>
      <c r="AF145">
        <v>0</v>
      </c>
      <c r="AG145">
        <v>0</v>
      </c>
      <c r="AH145">
        <v>0</v>
      </c>
      <c r="AI145">
        <v>1</v>
      </c>
      <c r="AJ145">
        <v>1</v>
      </c>
      <c r="AK145">
        <v>1</v>
      </c>
      <c r="AL145">
        <v>1</v>
      </c>
      <c r="AN145">
        <v>0</v>
      </c>
      <c r="AO145">
        <v>1</v>
      </c>
      <c r="AP145">
        <v>0</v>
      </c>
      <c r="AQ145">
        <v>0</v>
      </c>
      <c r="AR145">
        <v>0</v>
      </c>
      <c r="AS145" t="s">
        <v>3</v>
      </c>
      <c r="AT145">
        <v>4</v>
      </c>
      <c r="AU145" t="s">
        <v>3</v>
      </c>
      <c r="AV145">
        <v>0</v>
      </c>
      <c r="AW145">
        <v>2</v>
      </c>
      <c r="AX145">
        <v>43095794</v>
      </c>
      <c r="AY145">
        <v>1</v>
      </c>
      <c r="AZ145">
        <v>0</v>
      </c>
      <c r="BA145">
        <v>133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CX145">
        <f>Y145*Source!I97</f>
        <v>0</v>
      </c>
      <c r="CY145">
        <f t="shared" si="40"/>
        <v>1126.26</v>
      </c>
      <c r="CZ145">
        <f t="shared" si="41"/>
        <v>1126.26</v>
      </c>
      <c r="DA145">
        <f t="shared" si="42"/>
        <v>1</v>
      </c>
      <c r="DB145">
        <f t="shared" si="35"/>
        <v>4505.04</v>
      </c>
      <c r="DC145">
        <f t="shared" si="36"/>
        <v>0</v>
      </c>
    </row>
    <row r="146" spans="1:107" x14ac:dyDescent="0.2">
      <c r="A146">
        <f>ROW(Source!A97)</f>
        <v>97</v>
      </c>
      <c r="B146">
        <v>43095088</v>
      </c>
      <c r="C146">
        <v>43095750</v>
      </c>
      <c r="D146">
        <v>42305739</v>
      </c>
      <c r="E146">
        <v>1</v>
      </c>
      <c r="F146">
        <v>1</v>
      </c>
      <c r="G146">
        <v>29</v>
      </c>
      <c r="H146">
        <v>3</v>
      </c>
      <c r="I146" t="s">
        <v>279</v>
      </c>
      <c r="J146" t="s">
        <v>281</v>
      </c>
      <c r="K146" t="s">
        <v>280</v>
      </c>
      <c r="L146">
        <v>1301</v>
      </c>
      <c r="N146">
        <v>1003</v>
      </c>
      <c r="O146" t="s">
        <v>64</v>
      </c>
      <c r="P146" t="s">
        <v>64</v>
      </c>
      <c r="Q146">
        <v>1</v>
      </c>
      <c r="W146">
        <v>1</v>
      </c>
      <c r="X146">
        <v>1425985437</v>
      </c>
      <c r="Y146">
        <v>-100</v>
      </c>
      <c r="AA146">
        <v>40.06</v>
      </c>
      <c r="AB146">
        <v>0</v>
      </c>
      <c r="AC146">
        <v>0</v>
      </c>
      <c r="AD146">
        <v>0</v>
      </c>
      <c r="AE146">
        <v>40.06</v>
      </c>
      <c r="AF146">
        <v>0</v>
      </c>
      <c r="AG146">
        <v>0</v>
      </c>
      <c r="AH146">
        <v>0</v>
      </c>
      <c r="AI146">
        <v>1</v>
      </c>
      <c r="AJ146">
        <v>1</v>
      </c>
      <c r="AK146">
        <v>1</v>
      </c>
      <c r="AL146">
        <v>1</v>
      </c>
      <c r="AN146">
        <v>0</v>
      </c>
      <c r="AO146">
        <v>1</v>
      </c>
      <c r="AP146">
        <v>0</v>
      </c>
      <c r="AQ146">
        <v>0</v>
      </c>
      <c r="AR146">
        <v>0</v>
      </c>
      <c r="AS146" t="s">
        <v>3</v>
      </c>
      <c r="AT146">
        <v>-100</v>
      </c>
      <c r="AU146" t="s">
        <v>3</v>
      </c>
      <c r="AV146">
        <v>0</v>
      </c>
      <c r="AW146">
        <v>2</v>
      </c>
      <c r="AX146">
        <v>43095795</v>
      </c>
      <c r="AY146">
        <v>1</v>
      </c>
      <c r="AZ146">
        <v>6144</v>
      </c>
      <c r="BA146">
        <v>134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CX146">
        <f>Y146*Source!I97</f>
        <v>0</v>
      </c>
      <c r="CY146">
        <f t="shared" si="40"/>
        <v>40.06</v>
      </c>
      <c r="CZ146">
        <f t="shared" si="41"/>
        <v>40.06</v>
      </c>
      <c r="DA146">
        <f t="shared" si="42"/>
        <v>1</v>
      </c>
      <c r="DB146">
        <f t="shared" si="35"/>
        <v>-4006</v>
      </c>
      <c r="DC146">
        <f t="shared" si="36"/>
        <v>0</v>
      </c>
    </row>
    <row r="147" spans="1:107" x14ac:dyDescent="0.2">
      <c r="A147">
        <f>ROW(Source!A97)</f>
        <v>97</v>
      </c>
      <c r="B147">
        <v>43095088</v>
      </c>
      <c r="C147">
        <v>43095750</v>
      </c>
      <c r="D147">
        <v>42305740</v>
      </c>
      <c r="E147">
        <v>1</v>
      </c>
      <c r="F147">
        <v>1</v>
      </c>
      <c r="G147">
        <v>29</v>
      </c>
      <c r="H147">
        <v>3</v>
      </c>
      <c r="I147" t="s">
        <v>283</v>
      </c>
      <c r="J147" t="s">
        <v>286</v>
      </c>
      <c r="K147" t="s">
        <v>284</v>
      </c>
      <c r="L147">
        <v>1356</v>
      </c>
      <c r="N147">
        <v>1010</v>
      </c>
      <c r="O147" t="s">
        <v>285</v>
      </c>
      <c r="P147" t="s">
        <v>285</v>
      </c>
      <c r="Q147">
        <v>1000</v>
      </c>
      <c r="W147">
        <v>1</v>
      </c>
      <c r="X147">
        <v>-1758819502</v>
      </c>
      <c r="Y147">
        <v>-2E-3</v>
      </c>
      <c r="AA147">
        <v>37743.160000000003</v>
      </c>
      <c r="AB147">
        <v>0</v>
      </c>
      <c r="AC147">
        <v>0</v>
      </c>
      <c r="AD147">
        <v>0</v>
      </c>
      <c r="AE147">
        <v>37743.160000000003</v>
      </c>
      <c r="AF147">
        <v>0</v>
      </c>
      <c r="AG147">
        <v>0</v>
      </c>
      <c r="AH147">
        <v>0</v>
      </c>
      <c r="AI147">
        <v>1</v>
      </c>
      <c r="AJ147">
        <v>1</v>
      </c>
      <c r="AK147">
        <v>1</v>
      </c>
      <c r="AL147">
        <v>1</v>
      </c>
      <c r="AN147">
        <v>0</v>
      </c>
      <c r="AO147">
        <v>1</v>
      </c>
      <c r="AP147">
        <v>0</v>
      </c>
      <c r="AQ147">
        <v>0</v>
      </c>
      <c r="AR147">
        <v>0</v>
      </c>
      <c r="AS147" t="s">
        <v>3</v>
      </c>
      <c r="AT147">
        <v>-2E-3</v>
      </c>
      <c r="AU147" t="s">
        <v>3</v>
      </c>
      <c r="AV147">
        <v>0</v>
      </c>
      <c r="AW147">
        <v>2</v>
      </c>
      <c r="AX147">
        <v>43095796</v>
      </c>
      <c r="AY147">
        <v>1</v>
      </c>
      <c r="AZ147">
        <v>6144</v>
      </c>
      <c r="BA147">
        <v>135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CX147">
        <f>Y147*Source!I97</f>
        <v>0</v>
      </c>
      <c r="CY147">
        <f t="shared" si="40"/>
        <v>37743.160000000003</v>
      </c>
      <c r="CZ147">
        <f t="shared" si="41"/>
        <v>37743.160000000003</v>
      </c>
      <c r="DA147">
        <f t="shared" si="42"/>
        <v>1</v>
      </c>
      <c r="DB147">
        <f t="shared" si="35"/>
        <v>-75.489999999999995</v>
      </c>
      <c r="DC147">
        <f t="shared" si="36"/>
        <v>0</v>
      </c>
    </row>
    <row r="148" spans="1:107" x14ac:dyDescent="0.2">
      <c r="A148">
        <f>ROW(Source!A97)</f>
        <v>97</v>
      </c>
      <c r="B148">
        <v>43095088</v>
      </c>
      <c r="C148">
        <v>43095750</v>
      </c>
      <c r="D148">
        <v>42305741</v>
      </c>
      <c r="E148">
        <v>1</v>
      </c>
      <c r="F148">
        <v>1</v>
      </c>
      <c r="G148">
        <v>29</v>
      </c>
      <c r="H148">
        <v>3</v>
      </c>
      <c r="I148" t="s">
        <v>288</v>
      </c>
      <c r="J148" t="s">
        <v>290</v>
      </c>
      <c r="K148" t="s">
        <v>289</v>
      </c>
      <c r="L148">
        <v>1356</v>
      </c>
      <c r="N148">
        <v>1010</v>
      </c>
      <c r="O148" t="s">
        <v>285</v>
      </c>
      <c r="P148" t="s">
        <v>285</v>
      </c>
      <c r="Q148">
        <v>1000</v>
      </c>
      <c r="W148">
        <v>1</v>
      </c>
      <c r="X148">
        <v>164023503</v>
      </c>
      <c r="Y148">
        <v>-1.4999999999999999E-2</v>
      </c>
      <c r="AA148">
        <v>37743.919999999998</v>
      </c>
      <c r="AB148">
        <v>0</v>
      </c>
      <c r="AC148">
        <v>0</v>
      </c>
      <c r="AD148">
        <v>0</v>
      </c>
      <c r="AE148">
        <v>37743.919999999998</v>
      </c>
      <c r="AF148">
        <v>0</v>
      </c>
      <c r="AG148">
        <v>0</v>
      </c>
      <c r="AH148">
        <v>0</v>
      </c>
      <c r="AI148">
        <v>1</v>
      </c>
      <c r="AJ148">
        <v>1</v>
      </c>
      <c r="AK148">
        <v>1</v>
      </c>
      <c r="AL148">
        <v>1</v>
      </c>
      <c r="AN148">
        <v>0</v>
      </c>
      <c r="AO148">
        <v>1</v>
      </c>
      <c r="AP148">
        <v>0</v>
      </c>
      <c r="AQ148">
        <v>0</v>
      </c>
      <c r="AR148">
        <v>0</v>
      </c>
      <c r="AS148" t="s">
        <v>3</v>
      </c>
      <c r="AT148">
        <v>-1.4999999999999999E-2</v>
      </c>
      <c r="AU148" t="s">
        <v>3</v>
      </c>
      <c r="AV148">
        <v>0</v>
      </c>
      <c r="AW148">
        <v>2</v>
      </c>
      <c r="AX148">
        <v>43095797</v>
      </c>
      <c r="AY148">
        <v>1</v>
      </c>
      <c r="AZ148">
        <v>6144</v>
      </c>
      <c r="BA148">
        <v>136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CX148">
        <f>Y148*Source!I97</f>
        <v>0</v>
      </c>
      <c r="CY148">
        <f t="shared" si="40"/>
        <v>37743.919999999998</v>
      </c>
      <c r="CZ148">
        <f t="shared" si="41"/>
        <v>37743.919999999998</v>
      </c>
      <c r="DA148">
        <f t="shared" si="42"/>
        <v>1</v>
      </c>
      <c r="DB148">
        <f t="shared" si="35"/>
        <v>-566.16</v>
      </c>
      <c r="DC148">
        <f t="shared" si="36"/>
        <v>0</v>
      </c>
    </row>
    <row r="149" spans="1:107" x14ac:dyDescent="0.2">
      <c r="A149">
        <f>ROW(Source!A97)</f>
        <v>97</v>
      </c>
      <c r="B149">
        <v>43095088</v>
      </c>
      <c r="C149">
        <v>43095750</v>
      </c>
      <c r="D149">
        <v>42305742</v>
      </c>
      <c r="E149">
        <v>1</v>
      </c>
      <c r="F149">
        <v>1</v>
      </c>
      <c r="G149">
        <v>29</v>
      </c>
      <c r="H149">
        <v>3</v>
      </c>
      <c r="I149" t="s">
        <v>292</v>
      </c>
      <c r="J149" t="s">
        <v>294</v>
      </c>
      <c r="K149" t="s">
        <v>293</v>
      </c>
      <c r="L149">
        <v>1356</v>
      </c>
      <c r="N149">
        <v>1010</v>
      </c>
      <c r="O149" t="s">
        <v>285</v>
      </c>
      <c r="P149" t="s">
        <v>285</v>
      </c>
      <c r="Q149">
        <v>1000</v>
      </c>
      <c r="W149">
        <v>1</v>
      </c>
      <c r="X149">
        <v>-1995335079</v>
      </c>
      <c r="Y149">
        <v>-2E-3</v>
      </c>
      <c r="AA149">
        <v>42801.53</v>
      </c>
      <c r="AB149">
        <v>0</v>
      </c>
      <c r="AC149">
        <v>0</v>
      </c>
      <c r="AD149">
        <v>0</v>
      </c>
      <c r="AE149">
        <v>42801.53</v>
      </c>
      <c r="AF149">
        <v>0</v>
      </c>
      <c r="AG149">
        <v>0</v>
      </c>
      <c r="AH149">
        <v>0</v>
      </c>
      <c r="AI149">
        <v>1</v>
      </c>
      <c r="AJ149">
        <v>1</v>
      </c>
      <c r="AK149">
        <v>1</v>
      </c>
      <c r="AL149">
        <v>1</v>
      </c>
      <c r="AN149">
        <v>0</v>
      </c>
      <c r="AO149">
        <v>1</v>
      </c>
      <c r="AP149">
        <v>0</v>
      </c>
      <c r="AQ149">
        <v>0</v>
      </c>
      <c r="AR149">
        <v>0</v>
      </c>
      <c r="AS149" t="s">
        <v>3</v>
      </c>
      <c r="AT149">
        <v>-2E-3</v>
      </c>
      <c r="AU149" t="s">
        <v>3</v>
      </c>
      <c r="AV149">
        <v>0</v>
      </c>
      <c r="AW149">
        <v>2</v>
      </c>
      <c r="AX149">
        <v>43095798</v>
      </c>
      <c r="AY149">
        <v>1</v>
      </c>
      <c r="AZ149">
        <v>6144</v>
      </c>
      <c r="BA149">
        <v>137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v>0</v>
      </c>
      <c r="BJ149">
        <v>0</v>
      </c>
      <c r="BK149">
        <v>0</v>
      </c>
      <c r="BL149">
        <v>0</v>
      </c>
      <c r="BM149">
        <v>0</v>
      </c>
      <c r="BN149">
        <v>0</v>
      </c>
      <c r="BO149">
        <v>0</v>
      </c>
      <c r="BP149">
        <v>0</v>
      </c>
      <c r="BQ149">
        <v>0</v>
      </c>
      <c r="BR149">
        <v>0</v>
      </c>
      <c r="BS149">
        <v>0</v>
      </c>
      <c r="BT149">
        <v>0</v>
      </c>
      <c r="BU149">
        <v>0</v>
      </c>
      <c r="BV149">
        <v>0</v>
      </c>
      <c r="BW149">
        <v>0</v>
      </c>
      <c r="CX149">
        <f>Y149*Source!I97</f>
        <v>0</v>
      </c>
      <c r="CY149">
        <f t="shared" si="40"/>
        <v>42801.53</v>
      </c>
      <c r="CZ149">
        <f t="shared" si="41"/>
        <v>42801.53</v>
      </c>
      <c r="DA149">
        <f t="shared" si="42"/>
        <v>1</v>
      </c>
      <c r="DB149">
        <f t="shared" si="35"/>
        <v>-85.6</v>
      </c>
      <c r="DC149">
        <f t="shared" si="36"/>
        <v>0</v>
      </c>
    </row>
    <row r="150" spans="1:107" x14ac:dyDescent="0.2">
      <c r="A150">
        <f>ROW(Source!A97)</f>
        <v>97</v>
      </c>
      <c r="B150">
        <v>43095088</v>
      </c>
      <c r="C150">
        <v>43095750</v>
      </c>
      <c r="D150">
        <v>42305743</v>
      </c>
      <c r="E150">
        <v>1</v>
      </c>
      <c r="F150">
        <v>1</v>
      </c>
      <c r="G150">
        <v>29</v>
      </c>
      <c r="H150">
        <v>3</v>
      </c>
      <c r="I150" t="s">
        <v>296</v>
      </c>
      <c r="J150" t="s">
        <v>298</v>
      </c>
      <c r="K150" t="s">
        <v>297</v>
      </c>
      <c r="L150">
        <v>1356</v>
      </c>
      <c r="N150">
        <v>1010</v>
      </c>
      <c r="O150" t="s">
        <v>285</v>
      </c>
      <c r="P150" t="s">
        <v>285</v>
      </c>
      <c r="Q150">
        <v>1000</v>
      </c>
      <c r="W150">
        <v>1</v>
      </c>
      <c r="X150">
        <v>-1448946608</v>
      </c>
      <c r="Y150">
        <v>-1.4999999999999999E-2</v>
      </c>
      <c r="AA150">
        <v>29666.76</v>
      </c>
      <c r="AB150">
        <v>0</v>
      </c>
      <c r="AC150">
        <v>0</v>
      </c>
      <c r="AD150">
        <v>0</v>
      </c>
      <c r="AE150">
        <v>29666.76</v>
      </c>
      <c r="AF150">
        <v>0</v>
      </c>
      <c r="AG150">
        <v>0</v>
      </c>
      <c r="AH150">
        <v>0</v>
      </c>
      <c r="AI150">
        <v>1</v>
      </c>
      <c r="AJ150">
        <v>1</v>
      </c>
      <c r="AK150">
        <v>1</v>
      </c>
      <c r="AL150">
        <v>1</v>
      </c>
      <c r="AN150">
        <v>0</v>
      </c>
      <c r="AO150">
        <v>1</v>
      </c>
      <c r="AP150">
        <v>0</v>
      </c>
      <c r="AQ150">
        <v>0</v>
      </c>
      <c r="AR150">
        <v>0</v>
      </c>
      <c r="AS150" t="s">
        <v>3</v>
      </c>
      <c r="AT150">
        <v>-1.4999999999999999E-2</v>
      </c>
      <c r="AU150" t="s">
        <v>3</v>
      </c>
      <c r="AV150">
        <v>0</v>
      </c>
      <c r="AW150">
        <v>2</v>
      </c>
      <c r="AX150">
        <v>43095799</v>
      </c>
      <c r="AY150">
        <v>1</v>
      </c>
      <c r="AZ150">
        <v>6144</v>
      </c>
      <c r="BA150">
        <v>138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v>0</v>
      </c>
      <c r="BJ150">
        <v>0</v>
      </c>
      <c r="BK150">
        <v>0</v>
      </c>
      <c r="BL150">
        <v>0</v>
      </c>
      <c r="BM150">
        <v>0</v>
      </c>
      <c r="BN150">
        <v>0</v>
      </c>
      <c r="BO150">
        <v>0</v>
      </c>
      <c r="BP150">
        <v>0</v>
      </c>
      <c r="BQ150">
        <v>0</v>
      </c>
      <c r="BR150">
        <v>0</v>
      </c>
      <c r="BS150">
        <v>0</v>
      </c>
      <c r="BT150">
        <v>0</v>
      </c>
      <c r="BU150">
        <v>0</v>
      </c>
      <c r="BV150">
        <v>0</v>
      </c>
      <c r="BW150">
        <v>0</v>
      </c>
      <c r="CX150">
        <f>Y150*Source!I97</f>
        <v>0</v>
      </c>
      <c r="CY150">
        <f t="shared" si="40"/>
        <v>29666.76</v>
      </c>
      <c r="CZ150">
        <f t="shared" si="41"/>
        <v>29666.76</v>
      </c>
      <c r="DA150">
        <f t="shared" si="42"/>
        <v>1</v>
      </c>
      <c r="DB150">
        <f t="shared" si="35"/>
        <v>-445</v>
      </c>
      <c r="DC150">
        <f t="shared" si="36"/>
        <v>0</v>
      </c>
    </row>
    <row r="151" spans="1:107" x14ac:dyDescent="0.2">
      <c r="A151">
        <f>ROW(Source!A97)</f>
        <v>97</v>
      </c>
      <c r="B151">
        <v>43095088</v>
      </c>
      <c r="C151">
        <v>43095750</v>
      </c>
      <c r="D151">
        <v>42305744</v>
      </c>
      <c r="E151">
        <v>1</v>
      </c>
      <c r="F151">
        <v>1</v>
      </c>
      <c r="G151">
        <v>29</v>
      </c>
      <c r="H151">
        <v>3</v>
      </c>
      <c r="I151" t="s">
        <v>300</v>
      </c>
      <c r="J151" t="s">
        <v>302</v>
      </c>
      <c r="K151" t="s">
        <v>301</v>
      </c>
      <c r="L151">
        <v>1356</v>
      </c>
      <c r="N151">
        <v>1010</v>
      </c>
      <c r="O151" t="s">
        <v>285</v>
      </c>
      <c r="P151" t="s">
        <v>285</v>
      </c>
      <c r="Q151">
        <v>1000</v>
      </c>
      <c r="W151">
        <v>1</v>
      </c>
      <c r="X151">
        <v>1889818599</v>
      </c>
      <c r="Y151">
        <v>-2E-3</v>
      </c>
      <c r="AA151">
        <v>48571.7</v>
      </c>
      <c r="AB151">
        <v>0</v>
      </c>
      <c r="AC151">
        <v>0</v>
      </c>
      <c r="AD151">
        <v>0</v>
      </c>
      <c r="AE151">
        <v>48571.7</v>
      </c>
      <c r="AF151">
        <v>0</v>
      </c>
      <c r="AG151">
        <v>0</v>
      </c>
      <c r="AH151">
        <v>0</v>
      </c>
      <c r="AI151">
        <v>1</v>
      </c>
      <c r="AJ151">
        <v>1</v>
      </c>
      <c r="AK151">
        <v>1</v>
      </c>
      <c r="AL151">
        <v>1</v>
      </c>
      <c r="AN151">
        <v>0</v>
      </c>
      <c r="AO151">
        <v>1</v>
      </c>
      <c r="AP151">
        <v>0</v>
      </c>
      <c r="AQ151">
        <v>0</v>
      </c>
      <c r="AR151">
        <v>0</v>
      </c>
      <c r="AS151" t="s">
        <v>3</v>
      </c>
      <c r="AT151">
        <v>-2E-3</v>
      </c>
      <c r="AU151" t="s">
        <v>3</v>
      </c>
      <c r="AV151">
        <v>0</v>
      </c>
      <c r="AW151">
        <v>2</v>
      </c>
      <c r="AX151">
        <v>43095800</v>
      </c>
      <c r="AY151">
        <v>1</v>
      </c>
      <c r="AZ151">
        <v>6144</v>
      </c>
      <c r="BA151">
        <v>139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v>0</v>
      </c>
      <c r="BJ151">
        <v>0</v>
      </c>
      <c r="BK151">
        <v>0</v>
      </c>
      <c r="BL151">
        <v>0</v>
      </c>
      <c r="BM151">
        <v>0</v>
      </c>
      <c r="BN151">
        <v>0</v>
      </c>
      <c r="BO151">
        <v>0</v>
      </c>
      <c r="BP151">
        <v>0</v>
      </c>
      <c r="BQ151">
        <v>0</v>
      </c>
      <c r="BR151">
        <v>0</v>
      </c>
      <c r="BS151">
        <v>0</v>
      </c>
      <c r="BT151">
        <v>0</v>
      </c>
      <c r="BU151">
        <v>0</v>
      </c>
      <c r="BV151">
        <v>0</v>
      </c>
      <c r="BW151">
        <v>0</v>
      </c>
      <c r="CX151">
        <f>Y151*Source!I97</f>
        <v>0</v>
      </c>
      <c r="CY151">
        <f t="shared" si="40"/>
        <v>48571.7</v>
      </c>
      <c r="CZ151">
        <f t="shared" si="41"/>
        <v>48571.7</v>
      </c>
      <c r="DA151">
        <f t="shared" si="42"/>
        <v>1</v>
      </c>
      <c r="DB151">
        <f t="shared" si="35"/>
        <v>-97.14</v>
      </c>
      <c r="DC151">
        <f t="shared" si="36"/>
        <v>0</v>
      </c>
    </row>
    <row r="152" spans="1:107" x14ac:dyDescent="0.2">
      <c r="A152">
        <f>ROW(Source!A97)</f>
        <v>97</v>
      </c>
      <c r="B152">
        <v>43095088</v>
      </c>
      <c r="C152">
        <v>43095750</v>
      </c>
      <c r="D152">
        <v>42305745</v>
      </c>
      <c r="E152">
        <v>1</v>
      </c>
      <c r="F152">
        <v>1</v>
      </c>
      <c r="G152">
        <v>29</v>
      </c>
      <c r="H152">
        <v>3</v>
      </c>
      <c r="I152" t="s">
        <v>304</v>
      </c>
      <c r="J152" t="s">
        <v>306</v>
      </c>
      <c r="K152" t="s">
        <v>305</v>
      </c>
      <c r="L152">
        <v>1356</v>
      </c>
      <c r="N152">
        <v>1010</v>
      </c>
      <c r="O152" t="s">
        <v>285</v>
      </c>
      <c r="P152" t="s">
        <v>285</v>
      </c>
      <c r="Q152">
        <v>1000</v>
      </c>
      <c r="W152">
        <v>1</v>
      </c>
      <c r="X152">
        <v>99387418</v>
      </c>
      <c r="Y152">
        <v>-4.0000000000000001E-3</v>
      </c>
      <c r="AA152">
        <v>21329.599999999999</v>
      </c>
      <c r="AB152">
        <v>0</v>
      </c>
      <c r="AC152">
        <v>0</v>
      </c>
      <c r="AD152">
        <v>0</v>
      </c>
      <c r="AE152">
        <v>21329.599999999999</v>
      </c>
      <c r="AF152">
        <v>0</v>
      </c>
      <c r="AG152">
        <v>0</v>
      </c>
      <c r="AH152">
        <v>0</v>
      </c>
      <c r="AI152">
        <v>1</v>
      </c>
      <c r="AJ152">
        <v>1</v>
      </c>
      <c r="AK152">
        <v>1</v>
      </c>
      <c r="AL152">
        <v>1</v>
      </c>
      <c r="AN152">
        <v>0</v>
      </c>
      <c r="AO152">
        <v>1</v>
      </c>
      <c r="AP152">
        <v>0</v>
      </c>
      <c r="AQ152">
        <v>0</v>
      </c>
      <c r="AR152">
        <v>0</v>
      </c>
      <c r="AS152" t="s">
        <v>3</v>
      </c>
      <c r="AT152">
        <v>-4.0000000000000001E-3</v>
      </c>
      <c r="AU152" t="s">
        <v>3</v>
      </c>
      <c r="AV152">
        <v>0</v>
      </c>
      <c r="AW152">
        <v>2</v>
      </c>
      <c r="AX152">
        <v>43095801</v>
      </c>
      <c r="AY152">
        <v>1</v>
      </c>
      <c r="AZ152">
        <v>6144</v>
      </c>
      <c r="BA152">
        <v>140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v>0</v>
      </c>
      <c r="BJ152">
        <v>0</v>
      </c>
      <c r="BK152">
        <v>0</v>
      </c>
      <c r="BL152">
        <v>0</v>
      </c>
      <c r="BM152">
        <v>0</v>
      </c>
      <c r="BN152">
        <v>0</v>
      </c>
      <c r="BO152">
        <v>0</v>
      </c>
      <c r="BP152">
        <v>0</v>
      </c>
      <c r="BQ152">
        <v>0</v>
      </c>
      <c r="BR152">
        <v>0</v>
      </c>
      <c r="BS152">
        <v>0</v>
      </c>
      <c r="BT152">
        <v>0</v>
      </c>
      <c r="BU152">
        <v>0</v>
      </c>
      <c r="BV152">
        <v>0</v>
      </c>
      <c r="BW152">
        <v>0</v>
      </c>
      <c r="CX152">
        <f>Y152*Source!I97</f>
        <v>0</v>
      </c>
      <c r="CY152">
        <f t="shared" si="40"/>
        <v>21329.599999999999</v>
      </c>
      <c r="CZ152">
        <f t="shared" si="41"/>
        <v>21329.599999999999</v>
      </c>
      <c r="DA152">
        <f t="shared" si="42"/>
        <v>1</v>
      </c>
      <c r="DB152">
        <f t="shared" si="35"/>
        <v>-85.32</v>
      </c>
      <c r="DC152">
        <f t="shared" si="36"/>
        <v>0</v>
      </c>
    </row>
    <row r="153" spans="1:107" x14ac:dyDescent="0.2">
      <c r="A153">
        <f>ROW(Source!A97)</f>
        <v>97</v>
      </c>
      <c r="B153">
        <v>43095088</v>
      </c>
      <c r="C153">
        <v>43095750</v>
      </c>
      <c r="D153">
        <v>42307522</v>
      </c>
      <c r="E153">
        <v>1</v>
      </c>
      <c r="F153">
        <v>1</v>
      </c>
      <c r="G153">
        <v>29</v>
      </c>
      <c r="H153">
        <v>3</v>
      </c>
      <c r="I153" t="s">
        <v>642</v>
      </c>
      <c r="J153" t="s">
        <v>643</v>
      </c>
      <c r="K153" t="s">
        <v>644</v>
      </c>
      <c r="L153">
        <v>1354</v>
      </c>
      <c r="N153">
        <v>1010</v>
      </c>
      <c r="O153" t="s">
        <v>20</v>
      </c>
      <c r="P153" t="s">
        <v>20</v>
      </c>
      <c r="Q153">
        <v>1</v>
      </c>
      <c r="W153">
        <v>0</v>
      </c>
      <c r="X153">
        <v>1830738769</v>
      </c>
      <c r="Y153">
        <v>4</v>
      </c>
      <c r="AA153">
        <v>1561.93</v>
      </c>
      <c r="AB153">
        <v>0</v>
      </c>
      <c r="AC153">
        <v>0</v>
      </c>
      <c r="AD153">
        <v>0</v>
      </c>
      <c r="AE153">
        <v>1561.93</v>
      </c>
      <c r="AF153">
        <v>0</v>
      </c>
      <c r="AG153">
        <v>0</v>
      </c>
      <c r="AH153">
        <v>0</v>
      </c>
      <c r="AI153">
        <v>1</v>
      </c>
      <c r="AJ153">
        <v>1</v>
      </c>
      <c r="AK153">
        <v>1</v>
      </c>
      <c r="AL153">
        <v>1</v>
      </c>
      <c r="AN153">
        <v>0</v>
      </c>
      <c r="AO153">
        <v>1</v>
      </c>
      <c r="AP153">
        <v>0</v>
      </c>
      <c r="AQ153">
        <v>0</v>
      </c>
      <c r="AR153">
        <v>0</v>
      </c>
      <c r="AS153" t="s">
        <v>3</v>
      </c>
      <c r="AT153">
        <v>4</v>
      </c>
      <c r="AU153" t="s">
        <v>3</v>
      </c>
      <c r="AV153">
        <v>0</v>
      </c>
      <c r="AW153">
        <v>2</v>
      </c>
      <c r="AX153">
        <v>43095802</v>
      </c>
      <c r="AY153">
        <v>1</v>
      </c>
      <c r="AZ153">
        <v>0</v>
      </c>
      <c r="BA153">
        <v>141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v>0</v>
      </c>
      <c r="BJ153">
        <v>0</v>
      </c>
      <c r="BK153">
        <v>0</v>
      </c>
      <c r="BL153">
        <v>0</v>
      </c>
      <c r="BM153">
        <v>0</v>
      </c>
      <c r="BN153">
        <v>0</v>
      </c>
      <c r="BO153">
        <v>0</v>
      </c>
      <c r="BP153">
        <v>0</v>
      </c>
      <c r="BQ153">
        <v>0</v>
      </c>
      <c r="BR153">
        <v>0</v>
      </c>
      <c r="BS153">
        <v>0</v>
      </c>
      <c r="BT153">
        <v>0</v>
      </c>
      <c r="BU153">
        <v>0</v>
      </c>
      <c r="BV153">
        <v>0</v>
      </c>
      <c r="BW153">
        <v>0</v>
      </c>
      <c r="CX153">
        <f>Y153*Source!I97</f>
        <v>0</v>
      </c>
      <c r="CY153">
        <f t="shared" si="40"/>
        <v>1561.93</v>
      </c>
      <c r="CZ153">
        <f t="shared" si="41"/>
        <v>1561.93</v>
      </c>
      <c r="DA153">
        <f t="shared" si="42"/>
        <v>1</v>
      </c>
      <c r="DB153">
        <f t="shared" si="35"/>
        <v>6247.72</v>
      </c>
      <c r="DC153">
        <f t="shared" si="36"/>
        <v>0</v>
      </c>
    </row>
    <row r="154" spans="1:107" x14ac:dyDescent="0.2">
      <c r="A154">
        <f>ROW(Source!A105)</f>
        <v>105</v>
      </c>
      <c r="B154">
        <v>43095088</v>
      </c>
      <c r="C154">
        <v>43095810</v>
      </c>
      <c r="D154">
        <v>42301367</v>
      </c>
      <c r="E154">
        <v>29</v>
      </c>
      <c r="F154">
        <v>1</v>
      </c>
      <c r="G154">
        <v>29</v>
      </c>
      <c r="H154">
        <v>1</v>
      </c>
      <c r="I154" t="s">
        <v>555</v>
      </c>
      <c r="J154" t="s">
        <v>3</v>
      </c>
      <c r="K154" t="s">
        <v>556</v>
      </c>
      <c r="L154">
        <v>1191</v>
      </c>
      <c r="N154">
        <v>1013</v>
      </c>
      <c r="O154" t="s">
        <v>557</v>
      </c>
      <c r="P154" t="s">
        <v>557</v>
      </c>
      <c r="Q154">
        <v>1</v>
      </c>
      <c r="W154">
        <v>0</v>
      </c>
      <c r="X154">
        <v>476480486</v>
      </c>
      <c r="Y154">
        <v>46.78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1</v>
      </c>
      <c r="AJ154">
        <v>1</v>
      </c>
      <c r="AK154">
        <v>1</v>
      </c>
      <c r="AL154">
        <v>1</v>
      </c>
      <c r="AN154">
        <v>0</v>
      </c>
      <c r="AO154">
        <v>1</v>
      </c>
      <c r="AP154">
        <v>0</v>
      </c>
      <c r="AQ154">
        <v>0</v>
      </c>
      <c r="AR154">
        <v>0</v>
      </c>
      <c r="AS154" t="s">
        <v>3</v>
      </c>
      <c r="AT154">
        <v>46.78</v>
      </c>
      <c r="AU154" t="s">
        <v>3</v>
      </c>
      <c r="AV154">
        <v>1</v>
      </c>
      <c r="AW154">
        <v>2</v>
      </c>
      <c r="AX154">
        <v>43095842</v>
      </c>
      <c r="AY154">
        <v>1</v>
      </c>
      <c r="AZ154">
        <v>0</v>
      </c>
      <c r="BA154">
        <v>142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v>0</v>
      </c>
      <c r="BJ154">
        <v>0</v>
      </c>
      <c r="BK154">
        <v>0</v>
      </c>
      <c r="BL154">
        <v>0</v>
      </c>
      <c r="BM154">
        <v>0</v>
      </c>
      <c r="BN154">
        <v>0</v>
      </c>
      <c r="BO154">
        <v>0</v>
      </c>
      <c r="BP154">
        <v>0</v>
      </c>
      <c r="BQ154">
        <v>0</v>
      </c>
      <c r="BR154">
        <v>0</v>
      </c>
      <c r="BS154">
        <v>0</v>
      </c>
      <c r="BT154">
        <v>0</v>
      </c>
      <c r="BU154">
        <v>0</v>
      </c>
      <c r="BV154">
        <v>0</v>
      </c>
      <c r="BW154">
        <v>0</v>
      </c>
      <c r="CX154">
        <f>Y154*Source!I105</f>
        <v>34.617200000000004</v>
      </c>
      <c r="CY154">
        <f>AD154</f>
        <v>0</v>
      </c>
      <c r="CZ154">
        <f>AH154</f>
        <v>0</v>
      </c>
      <c r="DA154">
        <f>AL154</f>
        <v>1</v>
      </c>
      <c r="DB154">
        <f t="shared" si="35"/>
        <v>0</v>
      </c>
      <c r="DC154">
        <f t="shared" si="36"/>
        <v>0</v>
      </c>
    </row>
    <row r="155" spans="1:107" x14ac:dyDescent="0.2">
      <c r="A155">
        <f>ROW(Source!A105)</f>
        <v>105</v>
      </c>
      <c r="B155">
        <v>43095088</v>
      </c>
      <c r="C155">
        <v>43095810</v>
      </c>
      <c r="D155">
        <v>42303124</v>
      </c>
      <c r="E155">
        <v>1</v>
      </c>
      <c r="F155">
        <v>1</v>
      </c>
      <c r="G155">
        <v>29</v>
      </c>
      <c r="H155">
        <v>2</v>
      </c>
      <c r="I155" t="s">
        <v>633</v>
      </c>
      <c r="J155" t="s">
        <v>634</v>
      </c>
      <c r="K155" t="s">
        <v>635</v>
      </c>
      <c r="L155">
        <v>1368</v>
      </c>
      <c r="N155">
        <v>1011</v>
      </c>
      <c r="O155" t="s">
        <v>480</v>
      </c>
      <c r="P155" t="s">
        <v>480</v>
      </c>
      <c r="Q155">
        <v>1</v>
      </c>
      <c r="W155">
        <v>0</v>
      </c>
      <c r="X155">
        <v>-376097338</v>
      </c>
      <c r="Y155">
        <v>13</v>
      </c>
      <c r="AA155">
        <v>0</v>
      </c>
      <c r="AB155">
        <v>3.14</v>
      </c>
      <c r="AC155">
        <v>0.01</v>
      </c>
      <c r="AD155">
        <v>0</v>
      </c>
      <c r="AE155">
        <v>0</v>
      </c>
      <c r="AF155">
        <v>3.14</v>
      </c>
      <c r="AG155">
        <v>0.01</v>
      </c>
      <c r="AH155">
        <v>0</v>
      </c>
      <c r="AI155">
        <v>1</v>
      </c>
      <c r="AJ155">
        <v>1</v>
      </c>
      <c r="AK155">
        <v>1</v>
      </c>
      <c r="AL155">
        <v>1</v>
      </c>
      <c r="AN155">
        <v>0</v>
      </c>
      <c r="AO155">
        <v>1</v>
      </c>
      <c r="AP155">
        <v>0</v>
      </c>
      <c r="AQ155">
        <v>0</v>
      </c>
      <c r="AR155">
        <v>0</v>
      </c>
      <c r="AS155" t="s">
        <v>3</v>
      </c>
      <c r="AT155">
        <v>13</v>
      </c>
      <c r="AU155" t="s">
        <v>3</v>
      </c>
      <c r="AV155">
        <v>0</v>
      </c>
      <c r="AW155">
        <v>2</v>
      </c>
      <c r="AX155">
        <v>43095843</v>
      </c>
      <c r="AY155">
        <v>1</v>
      </c>
      <c r="AZ155">
        <v>0</v>
      </c>
      <c r="BA155">
        <v>143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v>0</v>
      </c>
      <c r="BJ155">
        <v>0</v>
      </c>
      <c r="BK155">
        <v>0</v>
      </c>
      <c r="BL155">
        <v>0</v>
      </c>
      <c r="BM155">
        <v>0</v>
      </c>
      <c r="BN155">
        <v>0</v>
      </c>
      <c r="BO155">
        <v>0</v>
      </c>
      <c r="BP155">
        <v>0</v>
      </c>
      <c r="BQ155">
        <v>0</v>
      </c>
      <c r="BR155">
        <v>0</v>
      </c>
      <c r="BS155">
        <v>0</v>
      </c>
      <c r="BT155">
        <v>0</v>
      </c>
      <c r="BU155">
        <v>0</v>
      </c>
      <c r="BV155">
        <v>0</v>
      </c>
      <c r="BW155">
        <v>0</v>
      </c>
      <c r="CX155">
        <f>Y155*Source!I105</f>
        <v>9.6199999999999992</v>
      </c>
      <c r="CY155">
        <f>AB155</f>
        <v>3.14</v>
      </c>
      <c r="CZ155">
        <f>AF155</f>
        <v>3.14</v>
      </c>
      <c r="DA155">
        <f>AJ155</f>
        <v>1</v>
      </c>
      <c r="DB155">
        <f t="shared" si="35"/>
        <v>40.82</v>
      </c>
      <c r="DC155">
        <f t="shared" si="36"/>
        <v>0.13</v>
      </c>
    </row>
    <row r="156" spans="1:107" x14ac:dyDescent="0.2">
      <c r="A156">
        <f>ROW(Source!A105)</f>
        <v>105</v>
      </c>
      <c r="B156">
        <v>43095088</v>
      </c>
      <c r="C156">
        <v>43095810</v>
      </c>
      <c r="D156">
        <v>42303204</v>
      </c>
      <c r="E156">
        <v>1</v>
      </c>
      <c r="F156">
        <v>1</v>
      </c>
      <c r="G156">
        <v>29</v>
      </c>
      <c r="H156">
        <v>2</v>
      </c>
      <c r="I156" t="s">
        <v>636</v>
      </c>
      <c r="J156" t="s">
        <v>637</v>
      </c>
      <c r="K156" t="s">
        <v>638</v>
      </c>
      <c r="L156">
        <v>1368</v>
      </c>
      <c r="N156">
        <v>1011</v>
      </c>
      <c r="O156" t="s">
        <v>480</v>
      </c>
      <c r="P156" t="s">
        <v>480</v>
      </c>
      <c r="Q156">
        <v>1</v>
      </c>
      <c r="W156">
        <v>0</v>
      </c>
      <c r="X156">
        <v>-1879814166</v>
      </c>
      <c r="Y156">
        <v>0.15</v>
      </c>
      <c r="AA156">
        <v>0</v>
      </c>
      <c r="AB156">
        <v>7.81</v>
      </c>
      <c r="AC156">
        <v>1.03</v>
      </c>
      <c r="AD156">
        <v>0</v>
      </c>
      <c r="AE156">
        <v>0</v>
      </c>
      <c r="AF156">
        <v>7.81</v>
      </c>
      <c r="AG156">
        <v>1.03</v>
      </c>
      <c r="AH156">
        <v>0</v>
      </c>
      <c r="AI156">
        <v>1</v>
      </c>
      <c r="AJ156">
        <v>1</v>
      </c>
      <c r="AK156">
        <v>1</v>
      </c>
      <c r="AL156">
        <v>1</v>
      </c>
      <c r="AN156">
        <v>0</v>
      </c>
      <c r="AO156">
        <v>1</v>
      </c>
      <c r="AP156">
        <v>0</v>
      </c>
      <c r="AQ156">
        <v>0</v>
      </c>
      <c r="AR156">
        <v>0</v>
      </c>
      <c r="AS156" t="s">
        <v>3</v>
      </c>
      <c r="AT156">
        <v>0.15</v>
      </c>
      <c r="AU156" t="s">
        <v>3</v>
      </c>
      <c r="AV156">
        <v>0</v>
      </c>
      <c r="AW156">
        <v>2</v>
      </c>
      <c r="AX156">
        <v>43095844</v>
      </c>
      <c r="AY156">
        <v>1</v>
      </c>
      <c r="AZ156">
        <v>0</v>
      </c>
      <c r="BA156">
        <v>144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>
        <v>0</v>
      </c>
      <c r="BQ156">
        <v>0</v>
      </c>
      <c r="BR156">
        <v>0</v>
      </c>
      <c r="BS156">
        <v>0</v>
      </c>
      <c r="BT156">
        <v>0</v>
      </c>
      <c r="BU156">
        <v>0</v>
      </c>
      <c r="BV156">
        <v>0</v>
      </c>
      <c r="BW156">
        <v>0</v>
      </c>
      <c r="CX156">
        <f>Y156*Source!I105</f>
        <v>0.111</v>
      </c>
      <c r="CY156">
        <f>AB156</f>
        <v>7.81</v>
      </c>
      <c r="CZ156">
        <f>AF156</f>
        <v>7.81</v>
      </c>
      <c r="DA156">
        <f>AJ156</f>
        <v>1</v>
      </c>
      <c r="DB156">
        <f t="shared" si="35"/>
        <v>1.17</v>
      </c>
      <c r="DC156">
        <f t="shared" si="36"/>
        <v>0.15</v>
      </c>
    </row>
    <row r="157" spans="1:107" x14ac:dyDescent="0.2">
      <c r="A157">
        <f>ROW(Source!A105)</f>
        <v>105</v>
      </c>
      <c r="B157">
        <v>43095088</v>
      </c>
      <c r="C157">
        <v>43095810</v>
      </c>
      <c r="D157">
        <v>42304341</v>
      </c>
      <c r="E157">
        <v>1</v>
      </c>
      <c r="F157">
        <v>1</v>
      </c>
      <c r="G157">
        <v>29</v>
      </c>
      <c r="H157">
        <v>3</v>
      </c>
      <c r="I157" t="s">
        <v>621</v>
      </c>
      <c r="J157" t="s">
        <v>622</v>
      </c>
      <c r="K157" t="s">
        <v>623</v>
      </c>
      <c r="L157">
        <v>1348</v>
      </c>
      <c r="N157">
        <v>1009</v>
      </c>
      <c r="O157" t="s">
        <v>402</v>
      </c>
      <c r="P157" t="s">
        <v>402</v>
      </c>
      <c r="Q157">
        <v>1000</v>
      </c>
      <c r="W157">
        <v>0</v>
      </c>
      <c r="X157">
        <v>335561789</v>
      </c>
      <c r="Y157">
        <v>7.3999999999999999E-4</v>
      </c>
      <c r="AA157">
        <v>327543.38</v>
      </c>
      <c r="AB157">
        <v>0</v>
      </c>
      <c r="AC157">
        <v>0</v>
      </c>
      <c r="AD157">
        <v>0</v>
      </c>
      <c r="AE157">
        <v>327543.38</v>
      </c>
      <c r="AF157">
        <v>0</v>
      </c>
      <c r="AG157">
        <v>0</v>
      </c>
      <c r="AH157">
        <v>0</v>
      </c>
      <c r="AI157">
        <v>1</v>
      </c>
      <c r="AJ157">
        <v>1</v>
      </c>
      <c r="AK157">
        <v>1</v>
      </c>
      <c r="AL157">
        <v>1</v>
      </c>
      <c r="AN157">
        <v>0</v>
      </c>
      <c r="AO157">
        <v>1</v>
      </c>
      <c r="AP157">
        <v>0</v>
      </c>
      <c r="AQ157">
        <v>0</v>
      </c>
      <c r="AR157">
        <v>0</v>
      </c>
      <c r="AS157" t="s">
        <v>3</v>
      </c>
      <c r="AT157">
        <v>7.3999999999999999E-4</v>
      </c>
      <c r="AU157" t="s">
        <v>3</v>
      </c>
      <c r="AV157">
        <v>0</v>
      </c>
      <c r="AW157">
        <v>2</v>
      </c>
      <c r="AX157">
        <v>43095845</v>
      </c>
      <c r="AY157">
        <v>1</v>
      </c>
      <c r="AZ157">
        <v>0</v>
      </c>
      <c r="BA157">
        <v>145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v>0</v>
      </c>
      <c r="BJ157">
        <v>0</v>
      </c>
      <c r="BK157">
        <v>0</v>
      </c>
      <c r="BL157">
        <v>0</v>
      </c>
      <c r="BM157">
        <v>0</v>
      </c>
      <c r="BN157">
        <v>0</v>
      </c>
      <c r="BO157">
        <v>0</v>
      </c>
      <c r="BP157">
        <v>0</v>
      </c>
      <c r="BQ157">
        <v>0</v>
      </c>
      <c r="BR157">
        <v>0</v>
      </c>
      <c r="BS157">
        <v>0</v>
      </c>
      <c r="BT157">
        <v>0</v>
      </c>
      <c r="BU157">
        <v>0</v>
      </c>
      <c r="BV157">
        <v>0</v>
      </c>
      <c r="BW157">
        <v>0</v>
      </c>
      <c r="CX157">
        <f>Y157*Source!I105</f>
        <v>5.4759999999999997E-4</v>
      </c>
      <c r="CY157">
        <f t="shared" ref="CY157:CY165" si="43">AA157</f>
        <v>327543.38</v>
      </c>
      <c r="CZ157">
        <f t="shared" ref="CZ157:CZ165" si="44">AE157</f>
        <v>327543.38</v>
      </c>
      <c r="DA157">
        <f t="shared" ref="DA157:DA165" si="45">AI157</f>
        <v>1</v>
      </c>
      <c r="DB157">
        <f t="shared" si="35"/>
        <v>242.38</v>
      </c>
      <c r="DC157">
        <f t="shared" si="36"/>
        <v>0</v>
      </c>
    </row>
    <row r="158" spans="1:107" x14ac:dyDescent="0.2">
      <c r="A158">
        <f>ROW(Source!A105)</f>
        <v>105</v>
      </c>
      <c r="B158">
        <v>43095088</v>
      </c>
      <c r="C158">
        <v>43095810</v>
      </c>
      <c r="D158">
        <v>42304314</v>
      </c>
      <c r="E158">
        <v>1</v>
      </c>
      <c r="F158">
        <v>1</v>
      </c>
      <c r="G158">
        <v>29</v>
      </c>
      <c r="H158">
        <v>3</v>
      </c>
      <c r="I158" t="s">
        <v>639</v>
      </c>
      <c r="J158" t="s">
        <v>640</v>
      </c>
      <c r="K158" t="s">
        <v>641</v>
      </c>
      <c r="L158">
        <v>1355</v>
      </c>
      <c r="N158">
        <v>1010</v>
      </c>
      <c r="O158" t="s">
        <v>342</v>
      </c>
      <c r="P158" t="s">
        <v>342</v>
      </c>
      <c r="Q158">
        <v>100</v>
      </c>
      <c r="W158">
        <v>0</v>
      </c>
      <c r="X158">
        <v>-972910948</v>
      </c>
      <c r="Y158">
        <v>4</v>
      </c>
      <c r="AA158">
        <v>1126.26</v>
      </c>
      <c r="AB158">
        <v>0</v>
      </c>
      <c r="AC158">
        <v>0</v>
      </c>
      <c r="AD158">
        <v>0</v>
      </c>
      <c r="AE158">
        <v>1126.26</v>
      </c>
      <c r="AF158">
        <v>0</v>
      </c>
      <c r="AG158">
        <v>0</v>
      </c>
      <c r="AH158">
        <v>0</v>
      </c>
      <c r="AI158">
        <v>1</v>
      </c>
      <c r="AJ158">
        <v>1</v>
      </c>
      <c r="AK158">
        <v>1</v>
      </c>
      <c r="AL158">
        <v>1</v>
      </c>
      <c r="AN158">
        <v>0</v>
      </c>
      <c r="AO158">
        <v>1</v>
      </c>
      <c r="AP158">
        <v>0</v>
      </c>
      <c r="AQ158">
        <v>0</v>
      </c>
      <c r="AR158">
        <v>0</v>
      </c>
      <c r="AS158" t="s">
        <v>3</v>
      </c>
      <c r="AT158">
        <v>4</v>
      </c>
      <c r="AU158" t="s">
        <v>3</v>
      </c>
      <c r="AV158">
        <v>0</v>
      </c>
      <c r="AW158">
        <v>2</v>
      </c>
      <c r="AX158">
        <v>43095846</v>
      </c>
      <c r="AY158">
        <v>1</v>
      </c>
      <c r="AZ158">
        <v>0</v>
      </c>
      <c r="BA158">
        <v>146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>
        <v>0</v>
      </c>
      <c r="BQ158">
        <v>0</v>
      </c>
      <c r="BR158">
        <v>0</v>
      </c>
      <c r="BS158">
        <v>0</v>
      </c>
      <c r="BT158">
        <v>0</v>
      </c>
      <c r="BU158">
        <v>0</v>
      </c>
      <c r="BV158">
        <v>0</v>
      </c>
      <c r="BW158">
        <v>0</v>
      </c>
      <c r="CX158">
        <f>Y158*Source!I105</f>
        <v>2.96</v>
      </c>
      <c r="CY158">
        <f t="shared" si="43"/>
        <v>1126.26</v>
      </c>
      <c r="CZ158">
        <f t="shared" si="44"/>
        <v>1126.26</v>
      </c>
      <c r="DA158">
        <f t="shared" si="45"/>
        <v>1</v>
      </c>
      <c r="DB158">
        <f t="shared" si="35"/>
        <v>4505.04</v>
      </c>
      <c r="DC158">
        <f t="shared" si="36"/>
        <v>0</v>
      </c>
    </row>
    <row r="159" spans="1:107" x14ac:dyDescent="0.2">
      <c r="A159">
        <f>ROW(Source!A105)</f>
        <v>105</v>
      </c>
      <c r="B159">
        <v>43095088</v>
      </c>
      <c r="C159">
        <v>43095810</v>
      </c>
      <c r="D159">
        <v>42305990</v>
      </c>
      <c r="E159">
        <v>1</v>
      </c>
      <c r="F159">
        <v>1</v>
      </c>
      <c r="G159">
        <v>29</v>
      </c>
      <c r="H159">
        <v>3</v>
      </c>
      <c r="I159" t="s">
        <v>696</v>
      </c>
      <c r="J159" t="s">
        <v>697</v>
      </c>
      <c r="K159" t="s">
        <v>698</v>
      </c>
      <c r="L159">
        <v>1301</v>
      </c>
      <c r="N159">
        <v>1003</v>
      </c>
      <c r="O159" t="s">
        <v>64</v>
      </c>
      <c r="P159" t="s">
        <v>64</v>
      </c>
      <c r="Q159">
        <v>1</v>
      </c>
      <c r="W159">
        <v>0</v>
      </c>
      <c r="X159">
        <v>-805156398</v>
      </c>
      <c r="Y159">
        <v>100</v>
      </c>
      <c r="AA159">
        <v>166.42</v>
      </c>
      <c r="AB159">
        <v>0</v>
      </c>
      <c r="AC159">
        <v>0</v>
      </c>
      <c r="AD159">
        <v>0</v>
      </c>
      <c r="AE159">
        <v>166.42</v>
      </c>
      <c r="AF159">
        <v>0</v>
      </c>
      <c r="AG159">
        <v>0</v>
      </c>
      <c r="AH159">
        <v>0</v>
      </c>
      <c r="AI159">
        <v>1</v>
      </c>
      <c r="AJ159">
        <v>1</v>
      </c>
      <c r="AK159">
        <v>1</v>
      </c>
      <c r="AL159">
        <v>1</v>
      </c>
      <c r="AN159">
        <v>0</v>
      </c>
      <c r="AO159">
        <v>1</v>
      </c>
      <c r="AP159">
        <v>0</v>
      </c>
      <c r="AQ159">
        <v>0</v>
      </c>
      <c r="AR159">
        <v>0</v>
      </c>
      <c r="AS159" t="s">
        <v>3</v>
      </c>
      <c r="AT159">
        <v>100</v>
      </c>
      <c r="AU159" t="s">
        <v>3</v>
      </c>
      <c r="AV159">
        <v>0</v>
      </c>
      <c r="AW159">
        <v>2</v>
      </c>
      <c r="AX159">
        <v>43095847</v>
      </c>
      <c r="AY159">
        <v>1</v>
      </c>
      <c r="AZ159">
        <v>0</v>
      </c>
      <c r="BA159">
        <v>147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>
        <v>0</v>
      </c>
      <c r="BQ159">
        <v>0</v>
      </c>
      <c r="BR159">
        <v>0</v>
      </c>
      <c r="BS159">
        <v>0</v>
      </c>
      <c r="BT159">
        <v>0</v>
      </c>
      <c r="BU159">
        <v>0</v>
      </c>
      <c r="BV159">
        <v>0</v>
      </c>
      <c r="BW159">
        <v>0</v>
      </c>
      <c r="CX159">
        <f>Y159*Source!I105</f>
        <v>74</v>
      </c>
      <c r="CY159">
        <f t="shared" si="43"/>
        <v>166.42</v>
      </c>
      <c r="CZ159">
        <f t="shared" si="44"/>
        <v>166.42</v>
      </c>
      <c r="DA159">
        <f t="shared" si="45"/>
        <v>1</v>
      </c>
      <c r="DB159">
        <f t="shared" si="35"/>
        <v>16642</v>
      </c>
      <c r="DC159">
        <f t="shared" si="36"/>
        <v>0</v>
      </c>
    </row>
    <row r="160" spans="1:107" x14ac:dyDescent="0.2">
      <c r="A160">
        <f>ROW(Source!A105)</f>
        <v>105</v>
      </c>
      <c r="B160">
        <v>43095088</v>
      </c>
      <c r="C160">
        <v>43095810</v>
      </c>
      <c r="D160">
        <v>42305991</v>
      </c>
      <c r="E160">
        <v>1</v>
      </c>
      <c r="F160">
        <v>1</v>
      </c>
      <c r="G160">
        <v>29</v>
      </c>
      <c r="H160">
        <v>3</v>
      </c>
      <c r="I160" t="s">
        <v>312</v>
      </c>
      <c r="J160" t="s">
        <v>314</v>
      </c>
      <c r="K160" t="s">
        <v>313</v>
      </c>
      <c r="L160">
        <v>1354</v>
      </c>
      <c r="N160">
        <v>1010</v>
      </c>
      <c r="O160" t="s">
        <v>20</v>
      </c>
      <c r="P160" t="s">
        <v>20</v>
      </c>
      <c r="Q160">
        <v>1</v>
      </c>
      <c r="W160">
        <v>1</v>
      </c>
      <c r="X160">
        <v>-1613597834</v>
      </c>
      <c r="Y160">
        <v>-15</v>
      </c>
      <c r="AA160">
        <v>67.209999999999994</v>
      </c>
      <c r="AB160">
        <v>0</v>
      </c>
      <c r="AC160">
        <v>0</v>
      </c>
      <c r="AD160">
        <v>0</v>
      </c>
      <c r="AE160">
        <v>67.209999999999994</v>
      </c>
      <c r="AF160">
        <v>0</v>
      </c>
      <c r="AG160">
        <v>0</v>
      </c>
      <c r="AH160">
        <v>0</v>
      </c>
      <c r="AI160">
        <v>1</v>
      </c>
      <c r="AJ160">
        <v>1</v>
      </c>
      <c r="AK160">
        <v>1</v>
      </c>
      <c r="AL160">
        <v>1</v>
      </c>
      <c r="AN160">
        <v>0</v>
      </c>
      <c r="AO160">
        <v>1</v>
      </c>
      <c r="AP160">
        <v>0</v>
      </c>
      <c r="AQ160">
        <v>0</v>
      </c>
      <c r="AR160">
        <v>0</v>
      </c>
      <c r="AS160" t="s">
        <v>3</v>
      </c>
      <c r="AT160">
        <v>-15</v>
      </c>
      <c r="AU160" t="s">
        <v>3</v>
      </c>
      <c r="AV160">
        <v>0</v>
      </c>
      <c r="AW160">
        <v>2</v>
      </c>
      <c r="AX160">
        <v>43095848</v>
      </c>
      <c r="AY160">
        <v>1</v>
      </c>
      <c r="AZ160">
        <v>6144</v>
      </c>
      <c r="BA160">
        <v>148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v>0</v>
      </c>
      <c r="BJ160">
        <v>0</v>
      </c>
      <c r="BK160">
        <v>0</v>
      </c>
      <c r="BL160">
        <v>0</v>
      </c>
      <c r="BM160">
        <v>0</v>
      </c>
      <c r="BN160">
        <v>0</v>
      </c>
      <c r="BO160">
        <v>0</v>
      </c>
      <c r="BP160">
        <v>0</v>
      </c>
      <c r="BQ160">
        <v>0</v>
      </c>
      <c r="BR160">
        <v>0</v>
      </c>
      <c r="BS160">
        <v>0</v>
      </c>
      <c r="BT160">
        <v>0</v>
      </c>
      <c r="BU160">
        <v>0</v>
      </c>
      <c r="BV160">
        <v>0</v>
      </c>
      <c r="BW160">
        <v>0</v>
      </c>
      <c r="CX160">
        <f>Y160*Source!I105</f>
        <v>-11.1</v>
      </c>
      <c r="CY160">
        <f t="shared" si="43"/>
        <v>67.209999999999994</v>
      </c>
      <c r="CZ160">
        <f t="shared" si="44"/>
        <v>67.209999999999994</v>
      </c>
      <c r="DA160">
        <f t="shared" si="45"/>
        <v>1</v>
      </c>
      <c r="DB160">
        <f t="shared" si="35"/>
        <v>-1008.15</v>
      </c>
      <c r="DC160">
        <f t="shared" si="36"/>
        <v>0</v>
      </c>
    </row>
    <row r="161" spans="1:107" x14ac:dyDescent="0.2">
      <c r="A161">
        <f>ROW(Source!A105)</f>
        <v>105</v>
      </c>
      <c r="B161">
        <v>43095088</v>
      </c>
      <c r="C161">
        <v>43095810</v>
      </c>
      <c r="D161">
        <v>42305992</v>
      </c>
      <c r="E161">
        <v>1</v>
      </c>
      <c r="F161">
        <v>1</v>
      </c>
      <c r="G161">
        <v>29</v>
      </c>
      <c r="H161">
        <v>3</v>
      </c>
      <c r="I161" t="s">
        <v>316</v>
      </c>
      <c r="J161" t="s">
        <v>318</v>
      </c>
      <c r="K161" t="s">
        <v>317</v>
      </c>
      <c r="L161">
        <v>1354</v>
      </c>
      <c r="N161">
        <v>1010</v>
      </c>
      <c r="O161" t="s">
        <v>20</v>
      </c>
      <c r="P161" t="s">
        <v>20</v>
      </c>
      <c r="Q161">
        <v>1</v>
      </c>
      <c r="W161">
        <v>1</v>
      </c>
      <c r="X161">
        <v>1636555119</v>
      </c>
      <c r="Y161">
        <v>-4</v>
      </c>
      <c r="AA161">
        <v>41.66</v>
      </c>
      <c r="AB161">
        <v>0</v>
      </c>
      <c r="AC161">
        <v>0</v>
      </c>
      <c r="AD161">
        <v>0</v>
      </c>
      <c r="AE161">
        <v>41.66</v>
      </c>
      <c r="AF161">
        <v>0</v>
      </c>
      <c r="AG161">
        <v>0</v>
      </c>
      <c r="AH161">
        <v>0</v>
      </c>
      <c r="AI161">
        <v>1</v>
      </c>
      <c r="AJ161">
        <v>1</v>
      </c>
      <c r="AK161">
        <v>1</v>
      </c>
      <c r="AL161">
        <v>1</v>
      </c>
      <c r="AN161">
        <v>0</v>
      </c>
      <c r="AO161">
        <v>1</v>
      </c>
      <c r="AP161">
        <v>0</v>
      </c>
      <c r="AQ161">
        <v>0</v>
      </c>
      <c r="AR161">
        <v>0</v>
      </c>
      <c r="AS161" t="s">
        <v>3</v>
      </c>
      <c r="AT161">
        <v>-4</v>
      </c>
      <c r="AU161" t="s">
        <v>3</v>
      </c>
      <c r="AV161">
        <v>0</v>
      </c>
      <c r="AW161">
        <v>2</v>
      </c>
      <c r="AX161">
        <v>43095849</v>
      </c>
      <c r="AY161">
        <v>1</v>
      </c>
      <c r="AZ161">
        <v>6144</v>
      </c>
      <c r="BA161">
        <v>149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>
        <v>0</v>
      </c>
      <c r="BQ161">
        <v>0</v>
      </c>
      <c r="BR161">
        <v>0</v>
      </c>
      <c r="BS161">
        <v>0</v>
      </c>
      <c r="BT161">
        <v>0</v>
      </c>
      <c r="BU161">
        <v>0</v>
      </c>
      <c r="BV161">
        <v>0</v>
      </c>
      <c r="BW161">
        <v>0</v>
      </c>
      <c r="CX161">
        <f>Y161*Source!I105</f>
        <v>-2.96</v>
      </c>
      <c r="CY161">
        <f t="shared" si="43"/>
        <v>41.66</v>
      </c>
      <c r="CZ161">
        <f t="shared" si="44"/>
        <v>41.66</v>
      </c>
      <c r="DA161">
        <f t="shared" si="45"/>
        <v>1</v>
      </c>
      <c r="DB161">
        <f t="shared" si="35"/>
        <v>-166.64</v>
      </c>
      <c r="DC161">
        <f t="shared" si="36"/>
        <v>0</v>
      </c>
    </row>
    <row r="162" spans="1:107" x14ac:dyDescent="0.2">
      <c r="A162">
        <f>ROW(Source!A105)</f>
        <v>105</v>
      </c>
      <c r="B162">
        <v>43095088</v>
      </c>
      <c r="C162">
        <v>43095810</v>
      </c>
      <c r="D162">
        <v>42305993</v>
      </c>
      <c r="E162">
        <v>1</v>
      </c>
      <c r="F162">
        <v>1</v>
      </c>
      <c r="G162">
        <v>29</v>
      </c>
      <c r="H162">
        <v>3</v>
      </c>
      <c r="I162" t="s">
        <v>320</v>
      </c>
      <c r="J162" t="s">
        <v>322</v>
      </c>
      <c r="K162" t="s">
        <v>321</v>
      </c>
      <c r="L162">
        <v>1354</v>
      </c>
      <c r="N162">
        <v>1010</v>
      </c>
      <c r="O162" t="s">
        <v>20</v>
      </c>
      <c r="P162" t="s">
        <v>20</v>
      </c>
      <c r="Q162">
        <v>1</v>
      </c>
      <c r="W162">
        <v>1</v>
      </c>
      <c r="X162">
        <v>-1633432379</v>
      </c>
      <c r="Y162">
        <v>-2</v>
      </c>
      <c r="AA162">
        <v>89.44</v>
      </c>
      <c r="AB162">
        <v>0</v>
      </c>
      <c r="AC162">
        <v>0</v>
      </c>
      <c r="AD162">
        <v>0</v>
      </c>
      <c r="AE162">
        <v>89.44</v>
      </c>
      <c r="AF162">
        <v>0</v>
      </c>
      <c r="AG162">
        <v>0</v>
      </c>
      <c r="AH162">
        <v>0</v>
      </c>
      <c r="AI162">
        <v>1</v>
      </c>
      <c r="AJ162">
        <v>1</v>
      </c>
      <c r="AK162">
        <v>1</v>
      </c>
      <c r="AL162">
        <v>1</v>
      </c>
      <c r="AN162">
        <v>0</v>
      </c>
      <c r="AO162">
        <v>1</v>
      </c>
      <c r="AP162">
        <v>0</v>
      </c>
      <c r="AQ162">
        <v>0</v>
      </c>
      <c r="AR162">
        <v>0</v>
      </c>
      <c r="AS162" t="s">
        <v>3</v>
      </c>
      <c r="AT162">
        <v>-2</v>
      </c>
      <c r="AU162" t="s">
        <v>3</v>
      </c>
      <c r="AV162">
        <v>0</v>
      </c>
      <c r="AW162">
        <v>2</v>
      </c>
      <c r="AX162">
        <v>43095850</v>
      </c>
      <c r="AY162">
        <v>1</v>
      </c>
      <c r="AZ162">
        <v>6144</v>
      </c>
      <c r="BA162">
        <v>150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>
        <v>0</v>
      </c>
      <c r="BQ162">
        <v>0</v>
      </c>
      <c r="BR162">
        <v>0</v>
      </c>
      <c r="BS162">
        <v>0</v>
      </c>
      <c r="BT162">
        <v>0</v>
      </c>
      <c r="BU162">
        <v>0</v>
      </c>
      <c r="BV162">
        <v>0</v>
      </c>
      <c r="BW162">
        <v>0</v>
      </c>
      <c r="CX162">
        <f>Y162*Source!I105</f>
        <v>-1.48</v>
      </c>
      <c r="CY162">
        <f t="shared" si="43"/>
        <v>89.44</v>
      </c>
      <c r="CZ162">
        <f t="shared" si="44"/>
        <v>89.44</v>
      </c>
      <c r="DA162">
        <f t="shared" si="45"/>
        <v>1</v>
      </c>
      <c r="DB162">
        <f t="shared" si="35"/>
        <v>-178.88</v>
      </c>
      <c r="DC162">
        <f t="shared" si="36"/>
        <v>0</v>
      </c>
    </row>
    <row r="163" spans="1:107" x14ac:dyDescent="0.2">
      <c r="A163">
        <f>ROW(Source!A105)</f>
        <v>105</v>
      </c>
      <c r="B163">
        <v>43095088</v>
      </c>
      <c r="C163">
        <v>43095810</v>
      </c>
      <c r="D163">
        <v>42305994</v>
      </c>
      <c r="E163">
        <v>1</v>
      </c>
      <c r="F163">
        <v>1</v>
      </c>
      <c r="G163">
        <v>29</v>
      </c>
      <c r="H163">
        <v>3</v>
      </c>
      <c r="I163" t="s">
        <v>324</v>
      </c>
      <c r="J163" t="s">
        <v>326</v>
      </c>
      <c r="K163" t="s">
        <v>325</v>
      </c>
      <c r="L163">
        <v>1354</v>
      </c>
      <c r="N163">
        <v>1010</v>
      </c>
      <c r="O163" t="s">
        <v>20</v>
      </c>
      <c r="P163" t="s">
        <v>20</v>
      </c>
      <c r="Q163">
        <v>1</v>
      </c>
      <c r="W163">
        <v>1</v>
      </c>
      <c r="X163">
        <v>472132693</v>
      </c>
      <c r="Y163">
        <v>-15</v>
      </c>
      <c r="AA163">
        <v>89.44</v>
      </c>
      <c r="AB163">
        <v>0</v>
      </c>
      <c r="AC163">
        <v>0</v>
      </c>
      <c r="AD163">
        <v>0</v>
      </c>
      <c r="AE163">
        <v>89.44</v>
      </c>
      <c r="AF163">
        <v>0</v>
      </c>
      <c r="AG163">
        <v>0</v>
      </c>
      <c r="AH163">
        <v>0</v>
      </c>
      <c r="AI163">
        <v>1</v>
      </c>
      <c r="AJ163">
        <v>1</v>
      </c>
      <c r="AK163">
        <v>1</v>
      </c>
      <c r="AL163">
        <v>1</v>
      </c>
      <c r="AN163">
        <v>0</v>
      </c>
      <c r="AO163">
        <v>1</v>
      </c>
      <c r="AP163">
        <v>0</v>
      </c>
      <c r="AQ163">
        <v>0</v>
      </c>
      <c r="AR163">
        <v>0</v>
      </c>
      <c r="AS163" t="s">
        <v>3</v>
      </c>
      <c r="AT163">
        <v>-15</v>
      </c>
      <c r="AU163" t="s">
        <v>3</v>
      </c>
      <c r="AV163">
        <v>0</v>
      </c>
      <c r="AW163">
        <v>2</v>
      </c>
      <c r="AX163">
        <v>43095851</v>
      </c>
      <c r="AY163">
        <v>1</v>
      </c>
      <c r="AZ163">
        <v>6144</v>
      </c>
      <c r="BA163">
        <v>151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>
        <v>0</v>
      </c>
      <c r="BQ163">
        <v>0</v>
      </c>
      <c r="BR163">
        <v>0</v>
      </c>
      <c r="BS163">
        <v>0</v>
      </c>
      <c r="BT163">
        <v>0</v>
      </c>
      <c r="BU163">
        <v>0</v>
      </c>
      <c r="BV163">
        <v>0</v>
      </c>
      <c r="BW163">
        <v>0</v>
      </c>
      <c r="CX163">
        <f>Y163*Source!I105</f>
        <v>-11.1</v>
      </c>
      <c r="CY163">
        <f t="shared" si="43"/>
        <v>89.44</v>
      </c>
      <c r="CZ163">
        <f t="shared" si="44"/>
        <v>89.44</v>
      </c>
      <c r="DA163">
        <f t="shared" si="45"/>
        <v>1</v>
      </c>
      <c r="DB163">
        <f t="shared" ref="DB163:DB194" si="46">ROUND(ROUND(AT163*CZ163,2),6)</f>
        <v>-1341.6</v>
      </c>
      <c r="DC163">
        <f t="shared" ref="DC163:DC194" si="47">ROUND(ROUND(AT163*AG163,2),6)</f>
        <v>0</v>
      </c>
    </row>
    <row r="164" spans="1:107" x14ac:dyDescent="0.2">
      <c r="A164">
        <f>ROW(Source!A105)</f>
        <v>105</v>
      </c>
      <c r="B164">
        <v>43095088</v>
      </c>
      <c r="C164">
        <v>43095810</v>
      </c>
      <c r="D164">
        <v>42305995</v>
      </c>
      <c r="E164">
        <v>1</v>
      </c>
      <c r="F164">
        <v>1</v>
      </c>
      <c r="G164">
        <v>29</v>
      </c>
      <c r="H164">
        <v>3</v>
      </c>
      <c r="I164" t="s">
        <v>328</v>
      </c>
      <c r="J164" t="s">
        <v>330</v>
      </c>
      <c r="K164" t="s">
        <v>329</v>
      </c>
      <c r="L164">
        <v>1354</v>
      </c>
      <c r="N164">
        <v>1010</v>
      </c>
      <c r="O164" t="s">
        <v>20</v>
      </c>
      <c r="P164" t="s">
        <v>20</v>
      </c>
      <c r="Q164">
        <v>1</v>
      </c>
      <c r="W164">
        <v>1</v>
      </c>
      <c r="X164">
        <v>-1403765118</v>
      </c>
      <c r="Y164">
        <v>-2</v>
      </c>
      <c r="AA164">
        <v>101.51</v>
      </c>
      <c r="AB164">
        <v>0</v>
      </c>
      <c r="AC164">
        <v>0</v>
      </c>
      <c r="AD164">
        <v>0</v>
      </c>
      <c r="AE164">
        <v>101.51</v>
      </c>
      <c r="AF164">
        <v>0</v>
      </c>
      <c r="AG164">
        <v>0</v>
      </c>
      <c r="AH164">
        <v>0</v>
      </c>
      <c r="AI164">
        <v>1</v>
      </c>
      <c r="AJ164">
        <v>1</v>
      </c>
      <c r="AK164">
        <v>1</v>
      </c>
      <c r="AL164">
        <v>1</v>
      </c>
      <c r="AN164">
        <v>0</v>
      </c>
      <c r="AO164">
        <v>1</v>
      </c>
      <c r="AP164">
        <v>0</v>
      </c>
      <c r="AQ164">
        <v>0</v>
      </c>
      <c r="AR164">
        <v>0</v>
      </c>
      <c r="AS164" t="s">
        <v>3</v>
      </c>
      <c r="AT164">
        <v>-2</v>
      </c>
      <c r="AU164" t="s">
        <v>3</v>
      </c>
      <c r="AV164">
        <v>0</v>
      </c>
      <c r="AW164">
        <v>2</v>
      </c>
      <c r="AX164">
        <v>43095852</v>
      </c>
      <c r="AY164">
        <v>1</v>
      </c>
      <c r="AZ164">
        <v>6144</v>
      </c>
      <c r="BA164">
        <v>152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>
        <v>0</v>
      </c>
      <c r="BQ164">
        <v>0</v>
      </c>
      <c r="BR164">
        <v>0</v>
      </c>
      <c r="BS164">
        <v>0</v>
      </c>
      <c r="BT164">
        <v>0</v>
      </c>
      <c r="BU164">
        <v>0</v>
      </c>
      <c r="BV164">
        <v>0</v>
      </c>
      <c r="BW164">
        <v>0</v>
      </c>
      <c r="CX164">
        <f>Y164*Source!I105</f>
        <v>-1.48</v>
      </c>
      <c r="CY164">
        <f t="shared" si="43"/>
        <v>101.51</v>
      </c>
      <c r="CZ164">
        <f t="shared" si="44"/>
        <v>101.51</v>
      </c>
      <c r="DA164">
        <f t="shared" si="45"/>
        <v>1</v>
      </c>
      <c r="DB164">
        <f t="shared" si="46"/>
        <v>-203.02</v>
      </c>
      <c r="DC164">
        <f t="shared" si="47"/>
        <v>0</v>
      </c>
    </row>
    <row r="165" spans="1:107" x14ac:dyDescent="0.2">
      <c r="A165">
        <f>ROW(Source!A105)</f>
        <v>105</v>
      </c>
      <c r="B165">
        <v>43095088</v>
      </c>
      <c r="C165">
        <v>43095810</v>
      </c>
      <c r="D165">
        <v>42307522</v>
      </c>
      <c r="E165">
        <v>1</v>
      </c>
      <c r="F165">
        <v>1</v>
      </c>
      <c r="G165">
        <v>29</v>
      </c>
      <c r="H165">
        <v>3</v>
      </c>
      <c r="I165" t="s">
        <v>642</v>
      </c>
      <c r="J165" t="s">
        <v>643</v>
      </c>
      <c r="K165" t="s">
        <v>644</v>
      </c>
      <c r="L165">
        <v>1354</v>
      </c>
      <c r="N165">
        <v>1010</v>
      </c>
      <c r="O165" t="s">
        <v>20</v>
      </c>
      <c r="P165" t="s">
        <v>20</v>
      </c>
      <c r="Q165">
        <v>1</v>
      </c>
      <c r="W165">
        <v>0</v>
      </c>
      <c r="X165">
        <v>1830738769</v>
      </c>
      <c r="Y165">
        <v>4</v>
      </c>
      <c r="AA165">
        <v>1561.93</v>
      </c>
      <c r="AB165">
        <v>0</v>
      </c>
      <c r="AC165">
        <v>0</v>
      </c>
      <c r="AD165">
        <v>0</v>
      </c>
      <c r="AE165">
        <v>1561.93</v>
      </c>
      <c r="AF165">
        <v>0</v>
      </c>
      <c r="AG165">
        <v>0</v>
      </c>
      <c r="AH165">
        <v>0</v>
      </c>
      <c r="AI165">
        <v>1</v>
      </c>
      <c r="AJ165">
        <v>1</v>
      </c>
      <c r="AK165">
        <v>1</v>
      </c>
      <c r="AL165">
        <v>1</v>
      </c>
      <c r="AN165">
        <v>0</v>
      </c>
      <c r="AO165">
        <v>1</v>
      </c>
      <c r="AP165">
        <v>0</v>
      </c>
      <c r="AQ165">
        <v>0</v>
      </c>
      <c r="AR165">
        <v>0</v>
      </c>
      <c r="AS165" t="s">
        <v>3</v>
      </c>
      <c r="AT165">
        <v>4</v>
      </c>
      <c r="AU165" t="s">
        <v>3</v>
      </c>
      <c r="AV165">
        <v>0</v>
      </c>
      <c r="AW165">
        <v>2</v>
      </c>
      <c r="AX165">
        <v>43095853</v>
      </c>
      <c r="AY165">
        <v>1</v>
      </c>
      <c r="AZ165">
        <v>0</v>
      </c>
      <c r="BA165">
        <v>153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>
        <v>0</v>
      </c>
      <c r="BQ165">
        <v>0</v>
      </c>
      <c r="BR165">
        <v>0</v>
      </c>
      <c r="BS165">
        <v>0</v>
      </c>
      <c r="BT165">
        <v>0</v>
      </c>
      <c r="BU165">
        <v>0</v>
      </c>
      <c r="BV165">
        <v>0</v>
      </c>
      <c r="BW165">
        <v>0</v>
      </c>
      <c r="CX165">
        <f>Y165*Source!I105</f>
        <v>2.96</v>
      </c>
      <c r="CY165">
        <f t="shared" si="43"/>
        <v>1561.93</v>
      </c>
      <c r="CZ165">
        <f t="shared" si="44"/>
        <v>1561.93</v>
      </c>
      <c r="DA165">
        <f t="shared" si="45"/>
        <v>1</v>
      </c>
      <c r="DB165">
        <f t="shared" si="46"/>
        <v>6247.72</v>
      </c>
      <c r="DC165">
        <f t="shared" si="47"/>
        <v>0</v>
      </c>
    </row>
    <row r="166" spans="1:107" x14ac:dyDescent="0.2">
      <c r="A166">
        <f>ROW(Source!A111)</f>
        <v>111</v>
      </c>
      <c r="B166">
        <v>43095088</v>
      </c>
      <c r="C166">
        <v>43095859</v>
      </c>
      <c r="D166">
        <v>42301367</v>
      </c>
      <c r="E166">
        <v>29</v>
      </c>
      <c r="F166">
        <v>1</v>
      </c>
      <c r="G166">
        <v>29</v>
      </c>
      <c r="H166">
        <v>1</v>
      </c>
      <c r="I166" t="s">
        <v>555</v>
      </c>
      <c r="J166" t="s">
        <v>3</v>
      </c>
      <c r="K166" t="s">
        <v>556</v>
      </c>
      <c r="L166">
        <v>1191</v>
      </c>
      <c r="N166">
        <v>1013</v>
      </c>
      <c r="O166" t="s">
        <v>557</v>
      </c>
      <c r="P166" t="s">
        <v>557</v>
      </c>
      <c r="Q166">
        <v>1</v>
      </c>
      <c r="W166">
        <v>0</v>
      </c>
      <c r="X166">
        <v>476480486</v>
      </c>
      <c r="Y166">
        <v>8.2899999999999991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1</v>
      </c>
      <c r="AJ166">
        <v>1</v>
      </c>
      <c r="AK166">
        <v>1</v>
      </c>
      <c r="AL166">
        <v>1</v>
      </c>
      <c r="AN166">
        <v>0</v>
      </c>
      <c r="AO166">
        <v>1</v>
      </c>
      <c r="AP166">
        <v>0</v>
      </c>
      <c r="AQ166">
        <v>0</v>
      </c>
      <c r="AR166">
        <v>0</v>
      </c>
      <c r="AS166" t="s">
        <v>3</v>
      </c>
      <c r="AT166">
        <v>8.2899999999999991</v>
      </c>
      <c r="AU166" t="s">
        <v>3</v>
      </c>
      <c r="AV166">
        <v>1</v>
      </c>
      <c r="AW166">
        <v>2</v>
      </c>
      <c r="AX166">
        <v>43095864</v>
      </c>
      <c r="AY166">
        <v>1</v>
      </c>
      <c r="AZ166">
        <v>0</v>
      </c>
      <c r="BA166">
        <v>154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v>0</v>
      </c>
      <c r="BJ166">
        <v>0</v>
      </c>
      <c r="BK166">
        <v>0</v>
      </c>
      <c r="BL166">
        <v>0</v>
      </c>
      <c r="BM166">
        <v>0</v>
      </c>
      <c r="BN166">
        <v>0</v>
      </c>
      <c r="BO166">
        <v>0</v>
      </c>
      <c r="BP166">
        <v>0</v>
      </c>
      <c r="BQ166">
        <v>0</v>
      </c>
      <c r="BR166">
        <v>0</v>
      </c>
      <c r="BS166">
        <v>0</v>
      </c>
      <c r="BT166">
        <v>0</v>
      </c>
      <c r="BU166">
        <v>0</v>
      </c>
      <c r="BV166">
        <v>0</v>
      </c>
      <c r="BW166">
        <v>0</v>
      </c>
      <c r="CX166">
        <f>Y166*Source!I111</f>
        <v>2.7357</v>
      </c>
      <c r="CY166">
        <f>AD166</f>
        <v>0</v>
      </c>
      <c r="CZ166">
        <f>AH166</f>
        <v>0</v>
      </c>
      <c r="DA166">
        <f>AL166</f>
        <v>1</v>
      </c>
      <c r="DB166">
        <f t="shared" si="46"/>
        <v>0</v>
      </c>
      <c r="DC166">
        <f t="shared" si="47"/>
        <v>0</v>
      </c>
    </row>
    <row r="167" spans="1:107" x14ac:dyDescent="0.2">
      <c r="A167">
        <f>ROW(Source!A111)</f>
        <v>111</v>
      </c>
      <c r="B167">
        <v>43095088</v>
      </c>
      <c r="C167">
        <v>43095859</v>
      </c>
      <c r="D167">
        <v>42313264</v>
      </c>
      <c r="E167">
        <v>1</v>
      </c>
      <c r="F167">
        <v>1</v>
      </c>
      <c r="G167">
        <v>29</v>
      </c>
      <c r="H167">
        <v>3</v>
      </c>
      <c r="I167" t="s">
        <v>333</v>
      </c>
      <c r="J167" t="s">
        <v>335</v>
      </c>
      <c r="K167" t="s">
        <v>334</v>
      </c>
      <c r="L167">
        <v>1303</v>
      </c>
      <c r="N167">
        <v>1003</v>
      </c>
      <c r="O167" t="s">
        <v>219</v>
      </c>
      <c r="P167" t="s">
        <v>219</v>
      </c>
      <c r="Q167">
        <v>1000</v>
      </c>
      <c r="W167">
        <v>0</v>
      </c>
      <c r="X167">
        <v>-1043724858</v>
      </c>
      <c r="Y167">
        <v>0.10199999999999999</v>
      </c>
      <c r="AA167">
        <v>180898.67</v>
      </c>
      <c r="AB167">
        <v>0</v>
      </c>
      <c r="AC167">
        <v>0</v>
      </c>
      <c r="AD167">
        <v>0</v>
      </c>
      <c r="AE167">
        <v>180898.67</v>
      </c>
      <c r="AF167">
        <v>0</v>
      </c>
      <c r="AG167">
        <v>0</v>
      </c>
      <c r="AH167">
        <v>0</v>
      </c>
      <c r="AI167">
        <v>1</v>
      </c>
      <c r="AJ167">
        <v>1</v>
      </c>
      <c r="AK167">
        <v>1</v>
      </c>
      <c r="AL167">
        <v>1</v>
      </c>
      <c r="AN167">
        <v>0</v>
      </c>
      <c r="AO167">
        <v>0</v>
      </c>
      <c r="AP167">
        <v>0</v>
      </c>
      <c r="AQ167">
        <v>0</v>
      </c>
      <c r="AR167">
        <v>0</v>
      </c>
      <c r="AS167" t="s">
        <v>3</v>
      </c>
      <c r="AT167">
        <v>0.10199999999999999</v>
      </c>
      <c r="AU167" t="s">
        <v>3</v>
      </c>
      <c r="AV167">
        <v>0</v>
      </c>
      <c r="AW167">
        <v>1</v>
      </c>
      <c r="AX167">
        <v>-1</v>
      </c>
      <c r="AY167">
        <v>0</v>
      </c>
      <c r="AZ167">
        <v>0</v>
      </c>
      <c r="BA167" t="s">
        <v>3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>
        <v>0</v>
      </c>
      <c r="BQ167">
        <v>0</v>
      </c>
      <c r="BR167">
        <v>0</v>
      </c>
      <c r="BS167">
        <v>0</v>
      </c>
      <c r="BT167">
        <v>0</v>
      </c>
      <c r="BU167">
        <v>0</v>
      </c>
      <c r="BV167">
        <v>0</v>
      </c>
      <c r="BW167">
        <v>0</v>
      </c>
      <c r="CX167">
        <f>Y167*Source!I111</f>
        <v>3.3660000000000002E-2</v>
      </c>
      <c r="CY167">
        <f>AA167</f>
        <v>180898.67</v>
      </c>
      <c r="CZ167">
        <f>AE167</f>
        <v>180898.67</v>
      </c>
      <c r="DA167">
        <f>AI167</f>
        <v>1</v>
      </c>
      <c r="DB167">
        <f t="shared" si="46"/>
        <v>18451.66</v>
      </c>
      <c r="DC167">
        <f t="shared" si="47"/>
        <v>0</v>
      </c>
    </row>
    <row r="168" spans="1:107" x14ac:dyDescent="0.2">
      <c r="A168">
        <f>ROW(Source!A113)</f>
        <v>113</v>
      </c>
      <c r="B168">
        <v>43095088</v>
      </c>
      <c r="C168">
        <v>43095866</v>
      </c>
      <c r="D168">
        <v>42301367</v>
      </c>
      <c r="E168">
        <v>29</v>
      </c>
      <c r="F168">
        <v>1</v>
      </c>
      <c r="G168">
        <v>29</v>
      </c>
      <c r="H168">
        <v>1</v>
      </c>
      <c r="I168" t="s">
        <v>555</v>
      </c>
      <c r="J168" t="s">
        <v>3</v>
      </c>
      <c r="K168" t="s">
        <v>556</v>
      </c>
      <c r="L168">
        <v>1191</v>
      </c>
      <c r="N168">
        <v>1013</v>
      </c>
      <c r="O168" t="s">
        <v>557</v>
      </c>
      <c r="P168" t="s">
        <v>557</v>
      </c>
      <c r="Q168">
        <v>1</v>
      </c>
      <c r="W168">
        <v>0</v>
      </c>
      <c r="X168">
        <v>476480486</v>
      </c>
      <c r="Y168">
        <v>4.74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1</v>
      </c>
      <c r="AJ168">
        <v>1</v>
      </c>
      <c r="AK168">
        <v>1</v>
      </c>
      <c r="AL168">
        <v>1</v>
      </c>
      <c r="AN168">
        <v>0</v>
      </c>
      <c r="AO168">
        <v>1</v>
      </c>
      <c r="AP168">
        <v>0</v>
      </c>
      <c r="AQ168">
        <v>0</v>
      </c>
      <c r="AR168">
        <v>0</v>
      </c>
      <c r="AS168" t="s">
        <v>3</v>
      </c>
      <c r="AT168">
        <v>4.74</v>
      </c>
      <c r="AU168" t="s">
        <v>3</v>
      </c>
      <c r="AV168">
        <v>1</v>
      </c>
      <c r="AW168">
        <v>2</v>
      </c>
      <c r="AX168">
        <v>43095891</v>
      </c>
      <c r="AY168">
        <v>1</v>
      </c>
      <c r="AZ168">
        <v>0</v>
      </c>
      <c r="BA168">
        <v>155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v>0</v>
      </c>
      <c r="BJ168">
        <v>0</v>
      </c>
      <c r="BK168">
        <v>0</v>
      </c>
      <c r="BL168">
        <v>0</v>
      </c>
      <c r="BM168">
        <v>0</v>
      </c>
      <c r="BN168">
        <v>0</v>
      </c>
      <c r="BO168">
        <v>0</v>
      </c>
      <c r="BP168">
        <v>0</v>
      </c>
      <c r="BQ168">
        <v>0</v>
      </c>
      <c r="BR168">
        <v>0</v>
      </c>
      <c r="BS168">
        <v>0</v>
      </c>
      <c r="BT168">
        <v>0</v>
      </c>
      <c r="BU168">
        <v>0</v>
      </c>
      <c r="BV168">
        <v>0</v>
      </c>
      <c r="BW168">
        <v>0</v>
      </c>
      <c r="CX168">
        <f>Y168*Source!I113</f>
        <v>22.751999999999999</v>
      </c>
      <c r="CY168">
        <f>AD168</f>
        <v>0</v>
      </c>
      <c r="CZ168">
        <f>AH168</f>
        <v>0</v>
      </c>
      <c r="DA168">
        <f>AL168</f>
        <v>1</v>
      </c>
      <c r="DB168">
        <f t="shared" si="46"/>
        <v>0</v>
      </c>
      <c r="DC168">
        <f t="shared" si="47"/>
        <v>0</v>
      </c>
    </row>
    <row r="169" spans="1:107" x14ac:dyDescent="0.2">
      <c r="A169">
        <f>ROW(Source!A113)</f>
        <v>113</v>
      </c>
      <c r="B169">
        <v>43095088</v>
      </c>
      <c r="C169">
        <v>43095866</v>
      </c>
      <c r="D169">
        <v>42305028</v>
      </c>
      <c r="E169">
        <v>1</v>
      </c>
      <c r="F169">
        <v>1</v>
      </c>
      <c r="G169">
        <v>29</v>
      </c>
      <c r="H169">
        <v>3</v>
      </c>
      <c r="I169" t="s">
        <v>645</v>
      </c>
      <c r="J169" t="s">
        <v>646</v>
      </c>
      <c r="K169" t="s">
        <v>647</v>
      </c>
      <c r="L169">
        <v>1346</v>
      </c>
      <c r="N169">
        <v>1009</v>
      </c>
      <c r="O169" t="s">
        <v>46</v>
      </c>
      <c r="P169" t="s">
        <v>46</v>
      </c>
      <c r="Q169">
        <v>1</v>
      </c>
      <c r="W169">
        <v>0</v>
      </c>
      <c r="X169">
        <v>-272147788</v>
      </c>
      <c r="Y169">
        <v>0.16</v>
      </c>
      <c r="AA169">
        <v>151.68</v>
      </c>
      <c r="AB169">
        <v>0</v>
      </c>
      <c r="AC169">
        <v>0</v>
      </c>
      <c r="AD169">
        <v>0</v>
      </c>
      <c r="AE169">
        <v>151.68</v>
      </c>
      <c r="AF169">
        <v>0</v>
      </c>
      <c r="AG169">
        <v>0</v>
      </c>
      <c r="AH169">
        <v>0</v>
      </c>
      <c r="AI169">
        <v>1</v>
      </c>
      <c r="AJ169">
        <v>1</v>
      </c>
      <c r="AK169">
        <v>1</v>
      </c>
      <c r="AL169">
        <v>1</v>
      </c>
      <c r="AN169">
        <v>0</v>
      </c>
      <c r="AO169">
        <v>1</v>
      </c>
      <c r="AP169">
        <v>0</v>
      </c>
      <c r="AQ169">
        <v>0</v>
      </c>
      <c r="AR169">
        <v>0</v>
      </c>
      <c r="AS169" t="s">
        <v>3</v>
      </c>
      <c r="AT169">
        <v>0.16</v>
      </c>
      <c r="AU169" t="s">
        <v>3</v>
      </c>
      <c r="AV169">
        <v>0</v>
      </c>
      <c r="AW169">
        <v>2</v>
      </c>
      <c r="AX169">
        <v>43095892</v>
      </c>
      <c r="AY169">
        <v>1</v>
      </c>
      <c r="AZ169">
        <v>0</v>
      </c>
      <c r="BA169">
        <v>156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v>0</v>
      </c>
      <c r="BJ169">
        <v>0</v>
      </c>
      <c r="BK169">
        <v>0</v>
      </c>
      <c r="BL169">
        <v>0</v>
      </c>
      <c r="BM169">
        <v>0</v>
      </c>
      <c r="BN169">
        <v>0</v>
      </c>
      <c r="BO169">
        <v>0</v>
      </c>
      <c r="BP169">
        <v>0</v>
      </c>
      <c r="BQ169">
        <v>0</v>
      </c>
      <c r="BR169">
        <v>0</v>
      </c>
      <c r="BS169">
        <v>0</v>
      </c>
      <c r="BT169">
        <v>0</v>
      </c>
      <c r="BU169">
        <v>0</v>
      </c>
      <c r="BV169">
        <v>0</v>
      </c>
      <c r="BW169">
        <v>0</v>
      </c>
      <c r="CX169">
        <f>Y169*Source!I113</f>
        <v>0.76800000000000002</v>
      </c>
      <c r="CY169">
        <f t="shared" ref="CY169:CY176" si="48">AA169</f>
        <v>151.68</v>
      </c>
      <c r="CZ169">
        <f t="shared" ref="CZ169:CZ176" si="49">AE169</f>
        <v>151.68</v>
      </c>
      <c r="DA169">
        <f t="shared" ref="DA169:DA176" si="50">AI169</f>
        <v>1</v>
      </c>
      <c r="DB169">
        <f t="shared" si="46"/>
        <v>24.27</v>
      </c>
      <c r="DC169">
        <f t="shared" si="47"/>
        <v>0</v>
      </c>
    </row>
    <row r="170" spans="1:107" x14ac:dyDescent="0.2">
      <c r="A170">
        <f>ROW(Source!A113)</f>
        <v>113</v>
      </c>
      <c r="B170">
        <v>43095088</v>
      </c>
      <c r="C170">
        <v>43095866</v>
      </c>
      <c r="D170">
        <v>42312161</v>
      </c>
      <c r="E170">
        <v>1</v>
      </c>
      <c r="F170">
        <v>1</v>
      </c>
      <c r="G170">
        <v>29</v>
      </c>
      <c r="H170">
        <v>3</v>
      </c>
      <c r="I170" t="s">
        <v>648</v>
      </c>
      <c r="J170" t="s">
        <v>649</v>
      </c>
      <c r="K170" t="s">
        <v>650</v>
      </c>
      <c r="L170">
        <v>1301</v>
      </c>
      <c r="N170">
        <v>1003</v>
      </c>
      <c r="O170" t="s">
        <v>64</v>
      </c>
      <c r="P170" t="s">
        <v>64</v>
      </c>
      <c r="Q170">
        <v>1</v>
      </c>
      <c r="W170">
        <v>0</v>
      </c>
      <c r="X170">
        <v>-1161964696</v>
      </c>
      <c r="Y170">
        <v>5.5</v>
      </c>
      <c r="AA170">
        <v>3.77</v>
      </c>
      <c r="AB170">
        <v>0</v>
      </c>
      <c r="AC170">
        <v>0</v>
      </c>
      <c r="AD170">
        <v>0</v>
      </c>
      <c r="AE170">
        <v>3.77</v>
      </c>
      <c r="AF170">
        <v>0</v>
      </c>
      <c r="AG170">
        <v>0</v>
      </c>
      <c r="AH170">
        <v>0</v>
      </c>
      <c r="AI170">
        <v>1</v>
      </c>
      <c r="AJ170">
        <v>1</v>
      </c>
      <c r="AK170">
        <v>1</v>
      </c>
      <c r="AL170">
        <v>1</v>
      </c>
      <c r="AN170">
        <v>0</v>
      </c>
      <c r="AO170">
        <v>1</v>
      </c>
      <c r="AP170">
        <v>0</v>
      </c>
      <c r="AQ170">
        <v>0</v>
      </c>
      <c r="AR170">
        <v>0</v>
      </c>
      <c r="AS170" t="s">
        <v>3</v>
      </c>
      <c r="AT170">
        <v>5.5</v>
      </c>
      <c r="AU170" t="s">
        <v>3</v>
      </c>
      <c r="AV170">
        <v>0</v>
      </c>
      <c r="AW170">
        <v>2</v>
      </c>
      <c r="AX170">
        <v>43095893</v>
      </c>
      <c r="AY170">
        <v>1</v>
      </c>
      <c r="AZ170">
        <v>0</v>
      </c>
      <c r="BA170">
        <v>157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v>0</v>
      </c>
      <c r="BJ170">
        <v>0</v>
      </c>
      <c r="BK170">
        <v>0</v>
      </c>
      <c r="BL170">
        <v>0</v>
      </c>
      <c r="BM170">
        <v>0</v>
      </c>
      <c r="BN170">
        <v>0</v>
      </c>
      <c r="BO170">
        <v>0</v>
      </c>
      <c r="BP170">
        <v>0</v>
      </c>
      <c r="BQ170">
        <v>0</v>
      </c>
      <c r="BR170">
        <v>0</v>
      </c>
      <c r="BS170">
        <v>0</v>
      </c>
      <c r="BT170">
        <v>0</v>
      </c>
      <c r="BU170">
        <v>0</v>
      </c>
      <c r="BV170">
        <v>0</v>
      </c>
      <c r="BW170">
        <v>0</v>
      </c>
      <c r="CX170">
        <f>Y170*Source!I113</f>
        <v>26.4</v>
      </c>
      <c r="CY170">
        <f t="shared" si="48"/>
        <v>3.77</v>
      </c>
      <c r="CZ170">
        <f t="shared" si="49"/>
        <v>3.77</v>
      </c>
      <c r="DA170">
        <f t="shared" si="50"/>
        <v>1</v>
      </c>
      <c r="DB170">
        <f t="shared" si="46"/>
        <v>20.74</v>
      </c>
      <c r="DC170">
        <f t="shared" si="47"/>
        <v>0</v>
      </c>
    </row>
    <row r="171" spans="1:107" x14ac:dyDescent="0.2">
      <c r="A171">
        <f>ROW(Source!A113)</f>
        <v>113</v>
      </c>
      <c r="B171">
        <v>43095088</v>
      </c>
      <c r="C171">
        <v>43095866</v>
      </c>
      <c r="D171">
        <v>42312058</v>
      </c>
      <c r="E171">
        <v>1</v>
      </c>
      <c r="F171">
        <v>1</v>
      </c>
      <c r="G171">
        <v>29</v>
      </c>
      <c r="H171">
        <v>3</v>
      </c>
      <c r="I171" t="s">
        <v>651</v>
      </c>
      <c r="J171" t="s">
        <v>652</v>
      </c>
      <c r="K171" t="s">
        <v>653</v>
      </c>
      <c r="L171">
        <v>1356</v>
      </c>
      <c r="N171">
        <v>1010</v>
      </c>
      <c r="O171" t="s">
        <v>285</v>
      </c>
      <c r="P171" t="s">
        <v>285</v>
      </c>
      <c r="Q171">
        <v>1000</v>
      </c>
      <c r="W171">
        <v>0</v>
      </c>
      <c r="X171">
        <v>-945376992</v>
      </c>
      <c r="Y171">
        <v>5.0000000000000001E-3</v>
      </c>
      <c r="AA171">
        <v>495.85</v>
      </c>
      <c r="AB171">
        <v>0</v>
      </c>
      <c r="AC171">
        <v>0</v>
      </c>
      <c r="AD171">
        <v>0</v>
      </c>
      <c r="AE171">
        <v>495.85</v>
      </c>
      <c r="AF171">
        <v>0</v>
      </c>
      <c r="AG171">
        <v>0</v>
      </c>
      <c r="AH171">
        <v>0</v>
      </c>
      <c r="AI171">
        <v>1</v>
      </c>
      <c r="AJ171">
        <v>1</v>
      </c>
      <c r="AK171">
        <v>1</v>
      </c>
      <c r="AL171">
        <v>1</v>
      </c>
      <c r="AN171">
        <v>0</v>
      </c>
      <c r="AO171">
        <v>1</v>
      </c>
      <c r="AP171">
        <v>0</v>
      </c>
      <c r="AQ171">
        <v>0</v>
      </c>
      <c r="AR171">
        <v>0</v>
      </c>
      <c r="AS171" t="s">
        <v>3</v>
      </c>
      <c r="AT171">
        <v>5.0000000000000001E-3</v>
      </c>
      <c r="AU171" t="s">
        <v>3</v>
      </c>
      <c r="AV171">
        <v>0</v>
      </c>
      <c r="AW171">
        <v>2</v>
      </c>
      <c r="AX171">
        <v>43095894</v>
      </c>
      <c r="AY171">
        <v>1</v>
      </c>
      <c r="AZ171">
        <v>0</v>
      </c>
      <c r="BA171">
        <v>158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>
        <v>0</v>
      </c>
      <c r="BQ171">
        <v>0</v>
      </c>
      <c r="BR171">
        <v>0</v>
      </c>
      <c r="BS171">
        <v>0</v>
      </c>
      <c r="BT171">
        <v>0</v>
      </c>
      <c r="BU171">
        <v>0</v>
      </c>
      <c r="BV171">
        <v>0</v>
      </c>
      <c r="BW171">
        <v>0</v>
      </c>
      <c r="CX171">
        <f>Y171*Source!I113</f>
        <v>2.4E-2</v>
      </c>
      <c r="CY171">
        <f t="shared" si="48"/>
        <v>495.85</v>
      </c>
      <c r="CZ171">
        <f t="shared" si="49"/>
        <v>495.85</v>
      </c>
      <c r="DA171">
        <f t="shared" si="50"/>
        <v>1</v>
      </c>
      <c r="DB171">
        <f t="shared" si="46"/>
        <v>2.48</v>
      </c>
      <c r="DC171">
        <f t="shared" si="47"/>
        <v>0</v>
      </c>
    </row>
    <row r="172" spans="1:107" x14ac:dyDescent="0.2">
      <c r="A172">
        <f>ROW(Source!A113)</f>
        <v>113</v>
      </c>
      <c r="B172">
        <v>43095088</v>
      </c>
      <c r="C172">
        <v>43095866</v>
      </c>
      <c r="D172">
        <v>42312342</v>
      </c>
      <c r="E172">
        <v>1</v>
      </c>
      <c r="F172">
        <v>1</v>
      </c>
      <c r="G172">
        <v>29</v>
      </c>
      <c r="H172">
        <v>3</v>
      </c>
      <c r="I172" t="s">
        <v>654</v>
      </c>
      <c r="J172" t="s">
        <v>655</v>
      </c>
      <c r="K172" t="s">
        <v>656</v>
      </c>
      <c r="L172">
        <v>1354</v>
      </c>
      <c r="N172">
        <v>1010</v>
      </c>
      <c r="O172" t="s">
        <v>20</v>
      </c>
      <c r="P172" t="s">
        <v>20</v>
      </c>
      <c r="Q172">
        <v>1</v>
      </c>
      <c r="W172">
        <v>0</v>
      </c>
      <c r="X172">
        <v>-560680092</v>
      </c>
      <c r="Y172">
        <v>10</v>
      </c>
      <c r="AA172">
        <v>21.08</v>
      </c>
      <c r="AB172">
        <v>0</v>
      </c>
      <c r="AC172">
        <v>0</v>
      </c>
      <c r="AD172">
        <v>0</v>
      </c>
      <c r="AE172">
        <v>21.08</v>
      </c>
      <c r="AF172">
        <v>0</v>
      </c>
      <c r="AG172">
        <v>0</v>
      </c>
      <c r="AH172">
        <v>0</v>
      </c>
      <c r="AI172">
        <v>1</v>
      </c>
      <c r="AJ172">
        <v>1</v>
      </c>
      <c r="AK172">
        <v>1</v>
      </c>
      <c r="AL172">
        <v>1</v>
      </c>
      <c r="AN172">
        <v>0</v>
      </c>
      <c r="AO172">
        <v>1</v>
      </c>
      <c r="AP172">
        <v>0</v>
      </c>
      <c r="AQ172">
        <v>0</v>
      </c>
      <c r="AR172">
        <v>0</v>
      </c>
      <c r="AS172" t="s">
        <v>3</v>
      </c>
      <c r="AT172">
        <v>10</v>
      </c>
      <c r="AU172" t="s">
        <v>3</v>
      </c>
      <c r="AV172">
        <v>0</v>
      </c>
      <c r="AW172">
        <v>2</v>
      </c>
      <c r="AX172">
        <v>43095895</v>
      </c>
      <c r="AY172">
        <v>1</v>
      </c>
      <c r="AZ172">
        <v>0</v>
      </c>
      <c r="BA172">
        <v>159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v>0</v>
      </c>
      <c r="BJ172">
        <v>0</v>
      </c>
      <c r="BK172">
        <v>0</v>
      </c>
      <c r="BL172">
        <v>0</v>
      </c>
      <c r="BM172">
        <v>0</v>
      </c>
      <c r="BN172">
        <v>0</v>
      </c>
      <c r="BO172">
        <v>0</v>
      </c>
      <c r="BP172">
        <v>0</v>
      </c>
      <c r="BQ172">
        <v>0</v>
      </c>
      <c r="BR172">
        <v>0</v>
      </c>
      <c r="BS172">
        <v>0</v>
      </c>
      <c r="BT172">
        <v>0</v>
      </c>
      <c r="BU172">
        <v>0</v>
      </c>
      <c r="BV172">
        <v>0</v>
      </c>
      <c r="BW172">
        <v>0</v>
      </c>
      <c r="CX172">
        <f>Y172*Source!I113</f>
        <v>48</v>
      </c>
      <c r="CY172">
        <f t="shared" si="48"/>
        <v>21.08</v>
      </c>
      <c r="CZ172">
        <f t="shared" si="49"/>
        <v>21.08</v>
      </c>
      <c r="DA172">
        <f t="shared" si="50"/>
        <v>1</v>
      </c>
      <c r="DB172">
        <f t="shared" si="46"/>
        <v>210.8</v>
      </c>
      <c r="DC172">
        <f t="shared" si="47"/>
        <v>0</v>
      </c>
    </row>
    <row r="173" spans="1:107" x14ac:dyDescent="0.2">
      <c r="A173">
        <f>ROW(Source!A113)</f>
        <v>113</v>
      </c>
      <c r="B173">
        <v>43095088</v>
      </c>
      <c r="C173">
        <v>43095866</v>
      </c>
      <c r="D173">
        <v>42312373</v>
      </c>
      <c r="E173">
        <v>1</v>
      </c>
      <c r="F173">
        <v>1</v>
      </c>
      <c r="G173">
        <v>29</v>
      </c>
      <c r="H173">
        <v>3</v>
      </c>
      <c r="I173" t="s">
        <v>657</v>
      </c>
      <c r="J173" t="s">
        <v>658</v>
      </c>
      <c r="K173" t="s">
        <v>659</v>
      </c>
      <c r="L173">
        <v>1355</v>
      </c>
      <c r="N173">
        <v>1010</v>
      </c>
      <c r="O173" t="s">
        <v>342</v>
      </c>
      <c r="P173" t="s">
        <v>342</v>
      </c>
      <c r="Q173">
        <v>100</v>
      </c>
      <c r="W173">
        <v>0</v>
      </c>
      <c r="X173">
        <v>1094888661</v>
      </c>
      <c r="Y173">
        <v>0.3</v>
      </c>
      <c r="AA173">
        <v>118.38</v>
      </c>
      <c r="AB173">
        <v>0</v>
      </c>
      <c r="AC173">
        <v>0</v>
      </c>
      <c r="AD173">
        <v>0</v>
      </c>
      <c r="AE173">
        <v>118.38</v>
      </c>
      <c r="AF173">
        <v>0</v>
      </c>
      <c r="AG173">
        <v>0</v>
      </c>
      <c r="AH173">
        <v>0</v>
      </c>
      <c r="AI173">
        <v>1</v>
      </c>
      <c r="AJ173">
        <v>1</v>
      </c>
      <c r="AK173">
        <v>1</v>
      </c>
      <c r="AL173">
        <v>1</v>
      </c>
      <c r="AN173">
        <v>0</v>
      </c>
      <c r="AO173">
        <v>1</v>
      </c>
      <c r="AP173">
        <v>0</v>
      </c>
      <c r="AQ173">
        <v>0</v>
      </c>
      <c r="AR173">
        <v>0</v>
      </c>
      <c r="AS173" t="s">
        <v>3</v>
      </c>
      <c r="AT173">
        <v>0.3</v>
      </c>
      <c r="AU173" t="s">
        <v>3</v>
      </c>
      <c r="AV173">
        <v>0</v>
      </c>
      <c r="AW173">
        <v>2</v>
      </c>
      <c r="AX173">
        <v>43095896</v>
      </c>
      <c r="AY173">
        <v>1</v>
      </c>
      <c r="AZ173">
        <v>0</v>
      </c>
      <c r="BA173">
        <v>160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v>0</v>
      </c>
      <c r="BJ173">
        <v>0</v>
      </c>
      <c r="BK173">
        <v>0</v>
      </c>
      <c r="BL173">
        <v>0</v>
      </c>
      <c r="BM173">
        <v>0</v>
      </c>
      <c r="BN173">
        <v>0</v>
      </c>
      <c r="BO173">
        <v>0</v>
      </c>
      <c r="BP173">
        <v>0</v>
      </c>
      <c r="BQ173">
        <v>0</v>
      </c>
      <c r="BR173">
        <v>0</v>
      </c>
      <c r="BS173">
        <v>0</v>
      </c>
      <c r="BT173">
        <v>0</v>
      </c>
      <c r="BU173">
        <v>0</v>
      </c>
      <c r="BV173">
        <v>0</v>
      </c>
      <c r="BW173">
        <v>0</v>
      </c>
      <c r="CX173">
        <f>Y173*Source!I113</f>
        <v>1.44</v>
      </c>
      <c r="CY173">
        <f t="shared" si="48"/>
        <v>118.38</v>
      </c>
      <c r="CZ173">
        <f t="shared" si="49"/>
        <v>118.38</v>
      </c>
      <c r="DA173">
        <f t="shared" si="50"/>
        <v>1</v>
      </c>
      <c r="DB173">
        <f t="shared" si="46"/>
        <v>35.51</v>
      </c>
      <c r="DC173">
        <f t="shared" si="47"/>
        <v>0</v>
      </c>
    </row>
    <row r="174" spans="1:107" x14ac:dyDescent="0.2">
      <c r="A174">
        <f>ROW(Source!A113)</f>
        <v>113</v>
      </c>
      <c r="B174">
        <v>43095088</v>
      </c>
      <c r="C174">
        <v>43095866</v>
      </c>
      <c r="D174">
        <v>42312095</v>
      </c>
      <c r="E174">
        <v>1</v>
      </c>
      <c r="F174">
        <v>1</v>
      </c>
      <c r="G174">
        <v>29</v>
      </c>
      <c r="H174">
        <v>3</v>
      </c>
      <c r="I174" t="s">
        <v>660</v>
      </c>
      <c r="J174" t="s">
        <v>661</v>
      </c>
      <c r="K174" t="s">
        <v>662</v>
      </c>
      <c r="L174">
        <v>1356</v>
      </c>
      <c r="N174">
        <v>1010</v>
      </c>
      <c r="O174" t="s">
        <v>285</v>
      </c>
      <c r="P174" t="s">
        <v>285</v>
      </c>
      <c r="Q174">
        <v>1000</v>
      </c>
      <c r="W174">
        <v>0</v>
      </c>
      <c r="X174">
        <v>815111038</v>
      </c>
      <c r="Y174">
        <v>0.02</v>
      </c>
      <c r="AA174">
        <v>187.09</v>
      </c>
      <c r="AB174">
        <v>0</v>
      </c>
      <c r="AC174">
        <v>0</v>
      </c>
      <c r="AD174">
        <v>0</v>
      </c>
      <c r="AE174">
        <v>187.09</v>
      </c>
      <c r="AF174">
        <v>0</v>
      </c>
      <c r="AG174">
        <v>0</v>
      </c>
      <c r="AH174">
        <v>0</v>
      </c>
      <c r="AI174">
        <v>1</v>
      </c>
      <c r="AJ174">
        <v>1</v>
      </c>
      <c r="AK174">
        <v>1</v>
      </c>
      <c r="AL174">
        <v>1</v>
      </c>
      <c r="AN174">
        <v>0</v>
      </c>
      <c r="AO174">
        <v>1</v>
      </c>
      <c r="AP174">
        <v>0</v>
      </c>
      <c r="AQ174">
        <v>0</v>
      </c>
      <c r="AR174">
        <v>0</v>
      </c>
      <c r="AS174" t="s">
        <v>3</v>
      </c>
      <c r="AT174">
        <v>0.02</v>
      </c>
      <c r="AU174" t="s">
        <v>3</v>
      </c>
      <c r="AV174">
        <v>0</v>
      </c>
      <c r="AW174">
        <v>2</v>
      </c>
      <c r="AX174">
        <v>43095897</v>
      </c>
      <c r="AY174">
        <v>1</v>
      </c>
      <c r="AZ174">
        <v>0</v>
      </c>
      <c r="BA174">
        <v>161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v>0</v>
      </c>
      <c r="BJ174">
        <v>0</v>
      </c>
      <c r="BK174">
        <v>0</v>
      </c>
      <c r="BL174">
        <v>0</v>
      </c>
      <c r="BM174">
        <v>0</v>
      </c>
      <c r="BN174">
        <v>0</v>
      </c>
      <c r="BO174">
        <v>0</v>
      </c>
      <c r="BP174">
        <v>0</v>
      </c>
      <c r="BQ174">
        <v>0</v>
      </c>
      <c r="BR174">
        <v>0</v>
      </c>
      <c r="BS174">
        <v>0</v>
      </c>
      <c r="BT174">
        <v>0</v>
      </c>
      <c r="BU174">
        <v>0</v>
      </c>
      <c r="BV174">
        <v>0</v>
      </c>
      <c r="BW174">
        <v>0</v>
      </c>
      <c r="CX174">
        <f>Y174*Source!I113</f>
        <v>9.6000000000000002E-2</v>
      </c>
      <c r="CY174">
        <f t="shared" si="48"/>
        <v>187.09</v>
      </c>
      <c r="CZ174">
        <f t="shared" si="49"/>
        <v>187.09</v>
      </c>
      <c r="DA174">
        <f t="shared" si="50"/>
        <v>1</v>
      </c>
      <c r="DB174">
        <f t="shared" si="46"/>
        <v>3.74</v>
      </c>
      <c r="DC174">
        <f t="shared" si="47"/>
        <v>0</v>
      </c>
    </row>
    <row r="175" spans="1:107" x14ac:dyDescent="0.2">
      <c r="A175">
        <f>ROW(Source!A113)</f>
        <v>113</v>
      </c>
      <c r="B175">
        <v>43095088</v>
      </c>
      <c r="C175">
        <v>43095866</v>
      </c>
      <c r="D175">
        <v>42313392</v>
      </c>
      <c r="E175">
        <v>1</v>
      </c>
      <c r="F175">
        <v>1</v>
      </c>
      <c r="G175">
        <v>29</v>
      </c>
      <c r="H175">
        <v>3</v>
      </c>
      <c r="I175" t="s">
        <v>217</v>
      </c>
      <c r="J175" t="s">
        <v>220</v>
      </c>
      <c r="K175" t="s">
        <v>218</v>
      </c>
      <c r="L175">
        <v>1303</v>
      </c>
      <c r="N175">
        <v>1003</v>
      </c>
      <c r="O175" t="s">
        <v>219</v>
      </c>
      <c r="P175" t="s">
        <v>219</v>
      </c>
      <c r="Q175">
        <v>1000</v>
      </c>
      <c r="W175">
        <v>1</v>
      </c>
      <c r="X175">
        <v>550560347</v>
      </c>
      <c r="Y175">
        <v>-0.10299999999999999</v>
      </c>
      <c r="AA175">
        <v>160962.20000000001</v>
      </c>
      <c r="AB175">
        <v>0</v>
      </c>
      <c r="AC175">
        <v>0</v>
      </c>
      <c r="AD175">
        <v>0</v>
      </c>
      <c r="AE175">
        <v>160962.20000000001</v>
      </c>
      <c r="AF175">
        <v>0</v>
      </c>
      <c r="AG175">
        <v>0</v>
      </c>
      <c r="AH175">
        <v>0</v>
      </c>
      <c r="AI175">
        <v>1</v>
      </c>
      <c r="AJ175">
        <v>1</v>
      </c>
      <c r="AK175">
        <v>1</v>
      </c>
      <c r="AL175">
        <v>1</v>
      </c>
      <c r="AN175">
        <v>0</v>
      </c>
      <c r="AO175">
        <v>1</v>
      </c>
      <c r="AP175">
        <v>0</v>
      </c>
      <c r="AQ175">
        <v>0</v>
      </c>
      <c r="AR175">
        <v>0</v>
      </c>
      <c r="AS175" t="s">
        <v>3</v>
      </c>
      <c r="AT175">
        <v>-0.10299999999999999</v>
      </c>
      <c r="AU175" t="s">
        <v>3</v>
      </c>
      <c r="AV175">
        <v>0</v>
      </c>
      <c r="AW175">
        <v>2</v>
      </c>
      <c r="AX175">
        <v>43095898</v>
      </c>
      <c r="AY175">
        <v>1</v>
      </c>
      <c r="AZ175">
        <v>6144</v>
      </c>
      <c r="BA175">
        <v>162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>
        <v>0</v>
      </c>
      <c r="BQ175">
        <v>0</v>
      </c>
      <c r="BR175">
        <v>0</v>
      </c>
      <c r="BS175">
        <v>0</v>
      </c>
      <c r="BT175">
        <v>0</v>
      </c>
      <c r="BU175">
        <v>0</v>
      </c>
      <c r="BV175">
        <v>0</v>
      </c>
      <c r="BW175">
        <v>0</v>
      </c>
      <c r="CX175">
        <f>Y175*Source!I113</f>
        <v>-0.49439999999999995</v>
      </c>
      <c r="CY175">
        <f t="shared" si="48"/>
        <v>160962.20000000001</v>
      </c>
      <c r="CZ175">
        <f t="shared" si="49"/>
        <v>160962.20000000001</v>
      </c>
      <c r="DA175">
        <f t="shared" si="50"/>
        <v>1</v>
      </c>
      <c r="DB175">
        <f t="shared" si="46"/>
        <v>-16579.11</v>
      </c>
      <c r="DC175">
        <f t="shared" si="47"/>
        <v>0</v>
      </c>
    </row>
    <row r="176" spans="1:107" x14ac:dyDescent="0.2">
      <c r="A176">
        <f>ROW(Source!A113)</f>
        <v>113</v>
      </c>
      <c r="B176">
        <v>43095088</v>
      </c>
      <c r="C176">
        <v>43095866</v>
      </c>
      <c r="D176">
        <v>42313264</v>
      </c>
      <c r="E176">
        <v>1</v>
      </c>
      <c r="F176">
        <v>1</v>
      </c>
      <c r="G176">
        <v>29</v>
      </c>
      <c r="H176">
        <v>3</v>
      </c>
      <c r="I176" t="s">
        <v>333</v>
      </c>
      <c r="J176" t="s">
        <v>335</v>
      </c>
      <c r="K176" t="s">
        <v>334</v>
      </c>
      <c r="L176">
        <v>1303</v>
      </c>
      <c r="N176">
        <v>1003</v>
      </c>
      <c r="O176" t="s">
        <v>219</v>
      </c>
      <c r="P176" t="s">
        <v>219</v>
      </c>
      <c r="Q176">
        <v>1000</v>
      </c>
      <c r="W176">
        <v>0</v>
      </c>
      <c r="X176">
        <v>-1043724858</v>
      </c>
      <c r="Y176">
        <v>0.10199999999999999</v>
      </c>
      <c r="AA176">
        <v>180898.67</v>
      </c>
      <c r="AB176">
        <v>0</v>
      </c>
      <c r="AC176">
        <v>0</v>
      </c>
      <c r="AD176">
        <v>0</v>
      </c>
      <c r="AE176">
        <v>180898.67</v>
      </c>
      <c r="AF176">
        <v>0</v>
      </c>
      <c r="AG176">
        <v>0</v>
      </c>
      <c r="AH176">
        <v>0</v>
      </c>
      <c r="AI176">
        <v>1</v>
      </c>
      <c r="AJ176">
        <v>1</v>
      </c>
      <c r="AK176">
        <v>1</v>
      </c>
      <c r="AL176">
        <v>1</v>
      </c>
      <c r="AN176">
        <v>0</v>
      </c>
      <c r="AO176">
        <v>0</v>
      </c>
      <c r="AP176">
        <v>0</v>
      </c>
      <c r="AQ176">
        <v>0</v>
      </c>
      <c r="AR176">
        <v>0</v>
      </c>
      <c r="AS176" t="s">
        <v>3</v>
      </c>
      <c r="AT176">
        <v>0.10199999999999999</v>
      </c>
      <c r="AU176" t="s">
        <v>3</v>
      </c>
      <c r="AV176">
        <v>0</v>
      </c>
      <c r="AW176">
        <v>1</v>
      </c>
      <c r="AX176">
        <v>-1</v>
      </c>
      <c r="AY176">
        <v>0</v>
      </c>
      <c r="AZ176">
        <v>0</v>
      </c>
      <c r="BA176" t="s">
        <v>3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v>0</v>
      </c>
      <c r="BJ176">
        <v>0</v>
      </c>
      <c r="BK176">
        <v>0</v>
      </c>
      <c r="BL176">
        <v>0</v>
      </c>
      <c r="BM176">
        <v>0</v>
      </c>
      <c r="BN176">
        <v>0</v>
      </c>
      <c r="BO176">
        <v>0</v>
      </c>
      <c r="BP176">
        <v>0</v>
      </c>
      <c r="BQ176">
        <v>0</v>
      </c>
      <c r="BR176">
        <v>0</v>
      </c>
      <c r="BS176">
        <v>0</v>
      </c>
      <c r="BT176">
        <v>0</v>
      </c>
      <c r="BU176">
        <v>0</v>
      </c>
      <c r="BV176">
        <v>0</v>
      </c>
      <c r="BW176">
        <v>0</v>
      </c>
      <c r="CX176">
        <f>Y176*Source!I113</f>
        <v>0.48959999999999992</v>
      </c>
      <c r="CY176">
        <f t="shared" si="48"/>
        <v>180898.67</v>
      </c>
      <c r="CZ176">
        <f t="shared" si="49"/>
        <v>180898.67</v>
      </c>
      <c r="DA176">
        <f t="shared" si="50"/>
        <v>1</v>
      </c>
      <c r="DB176">
        <f t="shared" si="46"/>
        <v>18451.66</v>
      </c>
      <c r="DC176">
        <f t="shared" si="47"/>
        <v>0</v>
      </c>
    </row>
    <row r="177" spans="1:107" x14ac:dyDescent="0.2">
      <c r="A177">
        <f>ROW(Source!A116)</f>
        <v>116</v>
      </c>
      <c r="B177">
        <v>43095088</v>
      </c>
      <c r="C177">
        <v>43095901</v>
      </c>
      <c r="D177">
        <v>42301367</v>
      </c>
      <c r="E177">
        <v>29</v>
      </c>
      <c r="F177">
        <v>1</v>
      </c>
      <c r="G177">
        <v>29</v>
      </c>
      <c r="H177">
        <v>1</v>
      </c>
      <c r="I177" t="s">
        <v>555</v>
      </c>
      <c r="J177" t="s">
        <v>3</v>
      </c>
      <c r="K177" t="s">
        <v>556</v>
      </c>
      <c r="L177">
        <v>1191</v>
      </c>
      <c r="N177">
        <v>1013</v>
      </c>
      <c r="O177" t="s">
        <v>557</v>
      </c>
      <c r="P177" t="s">
        <v>557</v>
      </c>
      <c r="Q177">
        <v>1</v>
      </c>
      <c r="W177">
        <v>0</v>
      </c>
      <c r="X177">
        <v>476480486</v>
      </c>
      <c r="Y177">
        <v>7.93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1</v>
      </c>
      <c r="AJ177">
        <v>1</v>
      </c>
      <c r="AK177">
        <v>1</v>
      </c>
      <c r="AL177">
        <v>1</v>
      </c>
      <c r="AN177">
        <v>0</v>
      </c>
      <c r="AO177">
        <v>1</v>
      </c>
      <c r="AP177">
        <v>0</v>
      </c>
      <c r="AQ177">
        <v>0</v>
      </c>
      <c r="AR177">
        <v>0</v>
      </c>
      <c r="AS177" t="s">
        <v>3</v>
      </c>
      <c r="AT177">
        <v>7.93</v>
      </c>
      <c r="AU177" t="s">
        <v>3</v>
      </c>
      <c r="AV177">
        <v>1</v>
      </c>
      <c r="AW177">
        <v>2</v>
      </c>
      <c r="AX177">
        <v>43095908</v>
      </c>
      <c r="AY177">
        <v>1</v>
      </c>
      <c r="AZ177">
        <v>0</v>
      </c>
      <c r="BA177">
        <v>163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v>0</v>
      </c>
      <c r="BJ177">
        <v>0</v>
      </c>
      <c r="BK177">
        <v>0</v>
      </c>
      <c r="BL177">
        <v>0</v>
      </c>
      <c r="BM177">
        <v>0</v>
      </c>
      <c r="BN177">
        <v>0</v>
      </c>
      <c r="BO177">
        <v>0</v>
      </c>
      <c r="BP177">
        <v>0</v>
      </c>
      <c r="BQ177">
        <v>0</v>
      </c>
      <c r="BR177">
        <v>0</v>
      </c>
      <c r="BS177">
        <v>0</v>
      </c>
      <c r="BT177">
        <v>0</v>
      </c>
      <c r="BU177">
        <v>0</v>
      </c>
      <c r="BV177">
        <v>0</v>
      </c>
      <c r="BW177">
        <v>0</v>
      </c>
      <c r="CX177">
        <f>Y177*Source!I116</f>
        <v>0</v>
      </c>
      <c r="CY177">
        <f>AD177</f>
        <v>0</v>
      </c>
      <c r="CZ177">
        <f>AH177</f>
        <v>0</v>
      </c>
      <c r="DA177">
        <f>AL177</f>
        <v>1</v>
      </c>
      <c r="DB177">
        <f t="shared" si="46"/>
        <v>0</v>
      </c>
      <c r="DC177">
        <f t="shared" si="47"/>
        <v>0</v>
      </c>
    </row>
    <row r="178" spans="1:107" x14ac:dyDescent="0.2">
      <c r="A178">
        <f>ROW(Source!A116)</f>
        <v>116</v>
      </c>
      <c r="B178">
        <v>43095088</v>
      </c>
      <c r="C178">
        <v>43095901</v>
      </c>
      <c r="D178">
        <v>42303124</v>
      </c>
      <c r="E178">
        <v>1</v>
      </c>
      <c r="F178">
        <v>1</v>
      </c>
      <c r="G178">
        <v>29</v>
      </c>
      <c r="H178">
        <v>2</v>
      </c>
      <c r="I178" t="s">
        <v>633</v>
      </c>
      <c r="J178" t="s">
        <v>634</v>
      </c>
      <c r="K178" t="s">
        <v>635</v>
      </c>
      <c r="L178">
        <v>1368</v>
      </c>
      <c r="N178">
        <v>1011</v>
      </c>
      <c r="O178" t="s">
        <v>480</v>
      </c>
      <c r="P178" t="s">
        <v>480</v>
      </c>
      <c r="Q178">
        <v>1</v>
      </c>
      <c r="W178">
        <v>0</v>
      </c>
      <c r="X178">
        <v>-376097338</v>
      </c>
      <c r="Y178">
        <v>7.7</v>
      </c>
      <c r="AA178">
        <v>0</v>
      </c>
      <c r="AB178">
        <v>3.14</v>
      </c>
      <c r="AC178">
        <v>0.01</v>
      </c>
      <c r="AD178">
        <v>0</v>
      </c>
      <c r="AE178">
        <v>0</v>
      </c>
      <c r="AF178">
        <v>3.14</v>
      </c>
      <c r="AG178">
        <v>0.01</v>
      </c>
      <c r="AH178">
        <v>0</v>
      </c>
      <c r="AI178">
        <v>1</v>
      </c>
      <c r="AJ178">
        <v>1</v>
      </c>
      <c r="AK178">
        <v>1</v>
      </c>
      <c r="AL178">
        <v>1</v>
      </c>
      <c r="AN178">
        <v>0</v>
      </c>
      <c r="AO178">
        <v>1</v>
      </c>
      <c r="AP178">
        <v>0</v>
      </c>
      <c r="AQ178">
        <v>0</v>
      </c>
      <c r="AR178">
        <v>0</v>
      </c>
      <c r="AS178" t="s">
        <v>3</v>
      </c>
      <c r="AT178">
        <v>7.7</v>
      </c>
      <c r="AU178" t="s">
        <v>3</v>
      </c>
      <c r="AV178">
        <v>0</v>
      </c>
      <c r="AW178">
        <v>2</v>
      </c>
      <c r="AX178">
        <v>43095909</v>
      </c>
      <c r="AY178">
        <v>1</v>
      </c>
      <c r="AZ178">
        <v>0</v>
      </c>
      <c r="BA178">
        <v>164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>
        <v>0</v>
      </c>
      <c r="BQ178">
        <v>0</v>
      </c>
      <c r="BR178">
        <v>0</v>
      </c>
      <c r="BS178">
        <v>0</v>
      </c>
      <c r="BT178">
        <v>0</v>
      </c>
      <c r="BU178">
        <v>0</v>
      </c>
      <c r="BV178">
        <v>0</v>
      </c>
      <c r="BW178">
        <v>0</v>
      </c>
      <c r="CX178">
        <f>Y178*Source!I116</f>
        <v>0</v>
      </c>
      <c r="CY178">
        <f>AB178</f>
        <v>3.14</v>
      </c>
      <c r="CZ178">
        <f>AF178</f>
        <v>3.14</v>
      </c>
      <c r="DA178">
        <f>AJ178</f>
        <v>1</v>
      </c>
      <c r="DB178">
        <f t="shared" si="46"/>
        <v>24.18</v>
      </c>
      <c r="DC178">
        <f t="shared" si="47"/>
        <v>0.08</v>
      </c>
    </row>
    <row r="179" spans="1:107" x14ac:dyDescent="0.2">
      <c r="A179">
        <f>ROW(Source!A117)</f>
        <v>117</v>
      </c>
      <c r="B179">
        <v>43095088</v>
      </c>
      <c r="C179">
        <v>43095910</v>
      </c>
      <c r="D179">
        <v>42301367</v>
      </c>
      <c r="E179">
        <v>29</v>
      </c>
      <c r="F179">
        <v>1</v>
      </c>
      <c r="G179">
        <v>29</v>
      </c>
      <c r="H179">
        <v>1</v>
      </c>
      <c r="I179" t="s">
        <v>555</v>
      </c>
      <c r="J179" t="s">
        <v>3</v>
      </c>
      <c r="K179" t="s">
        <v>556</v>
      </c>
      <c r="L179">
        <v>1191</v>
      </c>
      <c r="N179">
        <v>1013</v>
      </c>
      <c r="O179" t="s">
        <v>557</v>
      </c>
      <c r="P179" t="s">
        <v>557</v>
      </c>
      <c r="Q179">
        <v>1</v>
      </c>
      <c r="W179">
        <v>0</v>
      </c>
      <c r="X179">
        <v>476480486</v>
      </c>
      <c r="Y179">
        <v>6.8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1</v>
      </c>
      <c r="AJ179">
        <v>1</v>
      </c>
      <c r="AK179">
        <v>1</v>
      </c>
      <c r="AL179">
        <v>1</v>
      </c>
      <c r="AN179">
        <v>0</v>
      </c>
      <c r="AO179">
        <v>1</v>
      </c>
      <c r="AP179">
        <v>0</v>
      </c>
      <c r="AQ179">
        <v>0</v>
      </c>
      <c r="AR179">
        <v>0</v>
      </c>
      <c r="AS179" t="s">
        <v>3</v>
      </c>
      <c r="AT179">
        <v>6.8</v>
      </c>
      <c r="AU179" t="s">
        <v>3</v>
      </c>
      <c r="AV179">
        <v>1</v>
      </c>
      <c r="AW179">
        <v>2</v>
      </c>
      <c r="AX179">
        <v>43095917</v>
      </c>
      <c r="AY179">
        <v>1</v>
      </c>
      <c r="AZ179">
        <v>0</v>
      </c>
      <c r="BA179">
        <v>165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v>0</v>
      </c>
      <c r="BJ179">
        <v>0</v>
      </c>
      <c r="BK179">
        <v>0</v>
      </c>
      <c r="BL179">
        <v>0</v>
      </c>
      <c r="BM179">
        <v>0</v>
      </c>
      <c r="BN179">
        <v>0</v>
      </c>
      <c r="BO179">
        <v>0</v>
      </c>
      <c r="BP179">
        <v>0</v>
      </c>
      <c r="BQ179">
        <v>0</v>
      </c>
      <c r="BR179">
        <v>0</v>
      </c>
      <c r="BS179">
        <v>0</v>
      </c>
      <c r="BT179">
        <v>0</v>
      </c>
      <c r="BU179">
        <v>0</v>
      </c>
      <c r="BV179">
        <v>0</v>
      </c>
      <c r="BW179">
        <v>0</v>
      </c>
      <c r="CX179">
        <f>Y179*Source!I117</f>
        <v>0</v>
      </c>
      <c r="CY179">
        <f>AD179</f>
        <v>0</v>
      </c>
      <c r="CZ179">
        <f>AH179</f>
        <v>0</v>
      </c>
      <c r="DA179">
        <f>AL179</f>
        <v>1</v>
      </c>
      <c r="DB179">
        <f t="shared" si="46"/>
        <v>0</v>
      </c>
      <c r="DC179">
        <f t="shared" si="47"/>
        <v>0</v>
      </c>
    </row>
    <row r="180" spans="1:107" x14ac:dyDescent="0.2">
      <c r="A180">
        <f>ROW(Source!A117)</f>
        <v>117</v>
      </c>
      <c r="B180">
        <v>43095088</v>
      </c>
      <c r="C180">
        <v>43095910</v>
      </c>
      <c r="D180">
        <v>42303124</v>
      </c>
      <c r="E180">
        <v>1</v>
      </c>
      <c r="F180">
        <v>1</v>
      </c>
      <c r="G180">
        <v>29</v>
      </c>
      <c r="H180">
        <v>2</v>
      </c>
      <c r="I180" t="s">
        <v>633</v>
      </c>
      <c r="J180" t="s">
        <v>634</v>
      </c>
      <c r="K180" t="s">
        <v>635</v>
      </c>
      <c r="L180">
        <v>1368</v>
      </c>
      <c r="N180">
        <v>1011</v>
      </c>
      <c r="O180" t="s">
        <v>480</v>
      </c>
      <c r="P180" t="s">
        <v>480</v>
      </c>
      <c r="Q180">
        <v>1</v>
      </c>
      <c r="W180">
        <v>0</v>
      </c>
      <c r="X180">
        <v>-376097338</v>
      </c>
      <c r="Y180">
        <v>6.6</v>
      </c>
      <c r="AA180">
        <v>0</v>
      </c>
      <c r="AB180">
        <v>3.14</v>
      </c>
      <c r="AC180">
        <v>0.01</v>
      </c>
      <c r="AD180">
        <v>0</v>
      </c>
      <c r="AE180">
        <v>0</v>
      </c>
      <c r="AF180">
        <v>3.14</v>
      </c>
      <c r="AG180">
        <v>0.01</v>
      </c>
      <c r="AH180">
        <v>0</v>
      </c>
      <c r="AI180">
        <v>1</v>
      </c>
      <c r="AJ180">
        <v>1</v>
      </c>
      <c r="AK180">
        <v>1</v>
      </c>
      <c r="AL180">
        <v>1</v>
      </c>
      <c r="AN180">
        <v>0</v>
      </c>
      <c r="AO180">
        <v>1</v>
      </c>
      <c r="AP180">
        <v>0</v>
      </c>
      <c r="AQ180">
        <v>0</v>
      </c>
      <c r="AR180">
        <v>0</v>
      </c>
      <c r="AS180" t="s">
        <v>3</v>
      </c>
      <c r="AT180">
        <v>6.6</v>
      </c>
      <c r="AU180" t="s">
        <v>3</v>
      </c>
      <c r="AV180">
        <v>0</v>
      </c>
      <c r="AW180">
        <v>2</v>
      </c>
      <c r="AX180">
        <v>43095918</v>
      </c>
      <c r="AY180">
        <v>1</v>
      </c>
      <c r="AZ180">
        <v>0</v>
      </c>
      <c r="BA180">
        <v>166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v>0</v>
      </c>
      <c r="BJ180">
        <v>0</v>
      </c>
      <c r="BK180">
        <v>0</v>
      </c>
      <c r="BL180">
        <v>0</v>
      </c>
      <c r="BM180">
        <v>0</v>
      </c>
      <c r="BN180">
        <v>0</v>
      </c>
      <c r="BO180">
        <v>0</v>
      </c>
      <c r="BP180">
        <v>0</v>
      </c>
      <c r="BQ180">
        <v>0</v>
      </c>
      <c r="BR180">
        <v>0</v>
      </c>
      <c r="BS180">
        <v>0</v>
      </c>
      <c r="BT180">
        <v>0</v>
      </c>
      <c r="BU180">
        <v>0</v>
      </c>
      <c r="BV180">
        <v>0</v>
      </c>
      <c r="BW180">
        <v>0</v>
      </c>
      <c r="CX180">
        <f>Y180*Source!I117</f>
        <v>0</v>
      </c>
      <c r="CY180">
        <f>AB180</f>
        <v>3.14</v>
      </c>
      <c r="CZ180">
        <f>AF180</f>
        <v>3.14</v>
      </c>
      <c r="DA180">
        <f>AJ180</f>
        <v>1</v>
      </c>
      <c r="DB180">
        <f t="shared" si="46"/>
        <v>20.72</v>
      </c>
      <c r="DC180">
        <f t="shared" si="47"/>
        <v>7.0000000000000007E-2</v>
      </c>
    </row>
    <row r="181" spans="1:107" x14ac:dyDescent="0.2">
      <c r="A181">
        <f>ROW(Source!A118)</f>
        <v>118</v>
      </c>
      <c r="B181">
        <v>43095088</v>
      </c>
      <c r="C181">
        <v>43095919</v>
      </c>
      <c r="D181">
        <v>42301367</v>
      </c>
      <c r="E181">
        <v>29</v>
      </c>
      <c r="F181">
        <v>1</v>
      </c>
      <c r="G181">
        <v>29</v>
      </c>
      <c r="H181">
        <v>1</v>
      </c>
      <c r="I181" t="s">
        <v>555</v>
      </c>
      <c r="J181" t="s">
        <v>3</v>
      </c>
      <c r="K181" t="s">
        <v>556</v>
      </c>
      <c r="L181">
        <v>1191</v>
      </c>
      <c r="N181">
        <v>1013</v>
      </c>
      <c r="O181" t="s">
        <v>557</v>
      </c>
      <c r="P181" t="s">
        <v>557</v>
      </c>
      <c r="Q181">
        <v>1</v>
      </c>
      <c r="W181">
        <v>0</v>
      </c>
      <c r="X181">
        <v>476480486</v>
      </c>
      <c r="Y181">
        <v>20.6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1</v>
      </c>
      <c r="AJ181">
        <v>1</v>
      </c>
      <c r="AK181">
        <v>1</v>
      </c>
      <c r="AL181">
        <v>1</v>
      </c>
      <c r="AN181">
        <v>0</v>
      </c>
      <c r="AO181">
        <v>1</v>
      </c>
      <c r="AP181">
        <v>0</v>
      </c>
      <c r="AQ181">
        <v>0</v>
      </c>
      <c r="AR181">
        <v>0</v>
      </c>
      <c r="AS181" t="s">
        <v>3</v>
      </c>
      <c r="AT181">
        <v>20.6</v>
      </c>
      <c r="AU181" t="s">
        <v>3</v>
      </c>
      <c r="AV181">
        <v>1</v>
      </c>
      <c r="AW181">
        <v>2</v>
      </c>
      <c r="AX181">
        <v>43095926</v>
      </c>
      <c r="AY181">
        <v>1</v>
      </c>
      <c r="AZ181">
        <v>0</v>
      </c>
      <c r="BA181">
        <v>167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v>0</v>
      </c>
      <c r="BJ181">
        <v>0</v>
      </c>
      <c r="BK181">
        <v>0</v>
      </c>
      <c r="BL181">
        <v>0</v>
      </c>
      <c r="BM181">
        <v>0</v>
      </c>
      <c r="BN181">
        <v>0</v>
      </c>
      <c r="BO181">
        <v>0</v>
      </c>
      <c r="BP181">
        <v>0</v>
      </c>
      <c r="BQ181">
        <v>0</v>
      </c>
      <c r="BR181">
        <v>0</v>
      </c>
      <c r="BS181">
        <v>0</v>
      </c>
      <c r="BT181">
        <v>0</v>
      </c>
      <c r="BU181">
        <v>0</v>
      </c>
      <c r="BV181">
        <v>0</v>
      </c>
      <c r="BW181">
        <v>0</v>
      </c>
      <c r="CX181">
        <f>Y181*Source!I118</f>
        <v>0</v>
      </c>
      <c r="CY181">
        <f>AD181</f>
        <v>0</v>
      </c>
      <c r="CZ181">
        <f>AH181</f>
        <v>0</v>
      </c>
      <c r="DA181">
        <f>AL181</f>
        <v>1</v>
      </c>
      <c r="DB181">
        <f t="shared" si="46"/>
        <v>0</v>
      </c>
      <c r="DC181">
        <f t="shared" si="47"/>
        <v>0</v>
      </c>
    </row>
    <row r="182" spans="1:107" x14ac:dyDescent="0.2">
      <c r="A182">
        <f>ROW(Source!A118)</f>
        <v>118</v>
      </c>
      <c r="B182">
        <v>43095088</v>
      </c>
      <c r="C182">
        <v>43095919</v>
      </c>
      <c r="D182">
        <v>42303124</v>
      </c>
      <c r="E182">
        <v>1</v>
      </c>
      <c r="F182">
        <v>1</v>
      </c>
      <c r="G182">
        <v>29</v>
      </c>
      <c r="H182">
        <v>2</v>
      </c>
      <c r="I182" t="s">
        <v>633</v>
      </c>
      <c r="J182" t="s">
        <v>634</v>
      </c>
      <c r="K182" t="s">
        <v>635</v>
      </c>
      <c r="L182">
        <v>1368</v>
      </c>
      <c r="N182">
        <v>1011</v>
      </c>
      <c r="O182" t="s">
        <v>480</v>
      </c>
      <c r="P182" t="s">
        <v>480</v>
      </c>
      <c r="Q182">
        <v>1</v>
      </c>
      <c r="W182">
        <v>0</v>
      </c>
      <c r="X182">
        <v>-376097338</v>
      </c>
      <c r="Y182">
        <v>20</v>
      </c>
      <c r="AA182">
        <v>0</v>
      </c>
      <c r="AB182">
        <v>3.14</v>
      </c>
      <c r="AC182">
        <v>0.01</v>
      </c>
      <c r="AD182">
        <v>0</v>
      </c>
      <c r="AE182">
        <v>0</v>
      </c>
      <c r="AF182">
        <v>3.14</v>
      </c>
      <c r="AG182">
        <v>0.01</v>
      </c>
      <c r="AH182">
        <v>0</v>
      </c>
      <c r="AI182">
        <v>1</v>
      </c>
      <c r="AJ182">
        <v>1</v>
      </c>
      <c r="AK182">
        <v>1</v>
      </c>
      <c r="AL182">
        <v>1</v>
      </c>
      <c r="AN182">
        <v>0</v>
      </c>
      <c r="AO182">
        <v>1</v>
      </c>
      <c r="AP182">
        <v>0</v>
      </c>
      <c r="AQ182">
        <v>0</v>
      </c>
      <c r="AR182">
        <v>0</v>
      </c>
      <c r="AS182" t="s">
        <v>3</v>
      </c>
      <c r="AT182">
        <v>20</v>
      </c>
      <c r="AU182" t="s">
        <v>3</v>
      </c>
      <c r="AV182">
        <v>0</v>
      </c>
      <c r="AW182">
        <v>2</v>
      </c>
      <c r="AX182">
        <v>43095927</v>
      </c>
      <c r="AY182">
        <v>1</v>
      </c>
      <c r="AZ182">
        <v>0</v>
      </c>
      <c r="BA182">
        <v>168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0</v>
      </c>
      <c r="BI182">
        <v>0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>
        <v>0</v>
      </c>
      <c r="BQ182">
        <v>0</v>
      </c>
      <c r="BR182">
        <v>0</v>
      </c>
      <c r="BS182">
        <v>0</v>
      </c>
      <c r="BT182">
        <v>0</v>
      </c>
      <c r="BU182">
        <v>0</v>
      </c>
      <c r="BV182">
        <v>0</v>
      </c>
      <c r="BW182">
        <v>0</v>
      </c>
      <c r="CX182">
        <f>Y182*Source!I118</f>
        <v>0</v>
      </c>
      <c r="CY182">
        <f>AB182</f>
        <v>3.14</v>
      </c>
      <c r="CZ182">
        <f>AF182</f>
        <v>3.14</v>
      </c>
      <c r="DA182">
        <f>AJ182</f>
        <v>1</v>
      </c>
      <c r="DB182">
        <f t="shared" si="46"/>
        <v>62.8</v>
      </c>
      <c r="DC182">
        <f t="shared" si="47"/>
        <v>0.2</v>
      </c>
    </row>
    <row r="183" spans="1:107" x14ac:dyDescent="0.2">
      <c r="A183">
        <f>ROW(Source!A119)</f>
        <v>119</v>
      </c>
      <c r="B183">
        <v>43095088</v>
      </c>
      <c r="C183">
        <v>43095928</v>
      </c>
      <c r="D183">
        <v>42301367</v>
      </c>
      <c r="E183">
        <v>29</v>
      </c>
      <c r="F183">
        <v>1</v>
      </c>
      <c r="G183">
        <v>29</v>
      </c>
      <c r="H183">
        <v>1</v>
      </c>
      <c r="I183" t="s">
        <v>555</v>
      </c>
      <c r="J183" t="s">
        <v>3</v>
      </c>
      <c r="K183" t="s">
        <v>556</v>
      </c>
      <c r="L183">
        <v>1191</v>
      </c>
      <c r="N183">
        <v>1013</v>
      </c>
      <c r="O183" t="s">
        <v>557</v>
      </c>
      <c r="P183" t="s">
        <v>557</v>
      </c>
      <c r="Q183">
        <v>1</v>
      </c>
      <c r="W183">
        <v>0</v>
      </c>
      <c r="X183">
        <v>476480486</v>
      </c>
      <c r="Y183">
        <v>8.5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1</v>
      </c>
      <c r="AJ183">
        <v>1</v>
      </c>
      <c r="AK183">
        <v>1</v>
      </c>
      <c r="AL183">
        <v>1</v>
      </c>
      <c r="AN183">
        <v>0</v>
      </c>
      <c r="AO183">
        <v>1</v>
      </c>
      <c r="AP183">
        <v>0</v>
      </c>
      <c r="AQ183">
        <v>0</v>
      </c>
      <c r="AR183">
        <v>0</v>
      </c>
      <c r="AS183" t="s">
        <v>3</v>
      </c>
      <c r="AT183">
        <v>8.5</v>
      </c>
      <c r="AU183" t="s">
        <v>3</v>
      </c>
      <c r="AV183">
        <v>1</v>
      </c>
      <c r="AW183">
        <v>2</v>
      </c>
      <c r="AX183">
        <v>43095938</v>
      </c>
      <c r="AY183">
        <v>1</v>
      </c>
      <c r="AZ183">
        <v>0</v>
      </c>
      <c r="BA183">
        <v>169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0</v>
      </c>
      <c r="BI183">
        <v>0</v>
      </c>
      <c r="BJ183">
        <v>0</v>
      </c>
      <c r="BK183">
        <v>0</v>
      </c>
      <c r="BL183">
        <v>0</v>
      </c>
      <c r="BM183">
        <v>0</v>
      </c>
      <c r="BN183">
        <v>0</v>
      </c>
      <c r="BO183">
        <v>0</v>
      </c>
      <c r="BP183">
        <v>0</v>
      </c>
      <c r="BQ183">
        <v>0</v>
      </c>
      <c r="BR183">
        <v>0</v>
      </c>
      <c r="BS183">
        <v>0</v>
      </c>
      <c r="BT183">
        <v>0</v>
      </c>
      <c r="BU183">
        <v>0</v>
      </c>
      <c r="BV183">
        <v>0</v>
      </c>
      <c r="BW183">
        <v>0</v>
      </c>
      <c r="CX183">
        <f>Y183*Source!I119</f>
        <v>0</v>
      </c>
      <c r="CY183">
        <f>AD183</f>
        <v>0</v>
      </c>
      <c r="CZ183">
        <f>AH183</f>
        <v>0</v>
      </c>
      <c r="DA183">
        <f>AL183</f>
        <v>1</v>
      </c>
      <c r="DB183">
        <f t="shared" si="46"/>
        <v>0</v>
      </c>
      <c r="DC183">
        <f t="shared" si="47"/>
        <v>0</v>
      </c>
    </row>
    <row r="184" spans="1:107" x14ac:dyDescent="0.2">
      <c r="A184">
        <f>ROW(Source!A119)</f>
        <v>119</v>
      </c>
      <c r="B184">
        <v>43095088</v>
      </c>
      <c r="C184">
        <v>43095928</v>
      </c>
      <c r="D184">
        <v>42303124</v>
      </c>
      <c r="E184">
        <v>1</v>
      </c>
      <c r="F184">
        <v>1</v>
      </c>
      <c r="G184">
        <v>29</v>
      </c>
      <c r="H184">
        <v>2</v>
      </c>
      <c r="I184" t="s">
        <v>633</v>
      </c>
      <c r="J184" t="s">
        <v>634</v>
      </c>
      <c r="K184" t="s">
        <v>635</v>
      </c>
      <c r="L184">
        <v>1368</v>
      </c>
      <c r="N184">
        <v>1011</v>
      </c>
      <c r="O184" t="s">
        <v>480</v>
      </c>
      <c r="P184" t="s">
        <v>480</v>
      </c>
      <c r="Q184">
        <v>1</v>
      </c>
      <c r="W184">
        <v>0</v>
      </c>
      <c r="X184">
        <v>-376097338</v>
      </c>
      <c r="Y184">
        <v>8.5</v>
      </c>
      <c r="AA184">
        <v>0</v>
      </c>
      <c r="AB184">
        <v>3.14</v>
      </c>
      <c r="AC184">
        <v>0.01</v>
      </c>
      <c r="AD184">
        <v>0</v>
      </c>
      <c r="AE184">
        <v>0</v>
      </c>
      <c r="AF184">
        <v>3.14</v>
      </c>
      <c r="AG184">
        <v>0.01</v>
      </c>
      <c r="AH184">
        <v>0</v>
      </c>
      <c r="AI184">
        <v>1</v>
      </c>
      <c r="AJ184">
        <v>1</v>
      </c>
      <c r="AK184">
        <v>1</v>
      </c>
      <c r="AL184">
        <v>1</v>
      </c>
      <c r="AN184">
        <v>0</v>
      </c>
      <c r="AO184">
        <v>1</v>
      </c>
      <c r="AP184">
        <v>0</v>
      </c>
      <c r="AQ184">
        <v>0</v>
      </c>
      <c r="AR184">
        <v>0</v>
      </c>
      <c r="AS184" t="s">
        <v>3</v>
      </c>
      <c r="AT184">
        <v>8.5</v>
      </c>
      <c r="AU184" t="s">
        <v>3</v>
      </c>
      <c r="AV184">
        <v>0</v>
      </c>
      <c r="AW184">
        <v>2</v>
      </c>
      <c r="AX184">
        <v>43095939</v>
      </c>
      <c r="AY184">
        <v>1</v>
      </c>
      <c r="AZ184">
        <v>0</v>
      </c>
      <c r="BA184">
        <v>170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0</v>
      </c>
      <c r="BI184">
        <v>0</v>
      </c>
      <c r="BJ184">
        <v>0</v>
      </c>
      <c r="BK184">
        <v>0</v>
      </c>
      <c r="BL184">
        <v>0</v>
      </c>
      <c r="BM184">
        <v>0</v>
      </c>
      <c r="BN184">
        <v>0</v>
      </c>
      <c r="BO184">
        <v>0</v>
      </c>
      <c r="BP184">
        <v>0</v>
      </c>
      <c r="BQ184">
        <v>0</v>
      </c>
      <c r="BR184">
        <v>0</v>
      </c>
      <c r="BS184">
        <v>0</v>
      </c>
      <c r="BT184">
        <v>0</v>
      </c>
      <c r="BU184">
        <v>0</v>
      </c>
      <c r="BV184">
        <v>0</v>
      </c>
      <c r="BW184">
        <v>0</v>
      </c>
      <c r="CX184">
        <f>Y184*Source!I119</f>
        <v>0</v>
      </c>
      <c r="CY184">
        <f>AB184</f>
        <v>3.14</v>
      </c>
      <c r="CZ184">
        <f>AF184</f>
        <v>3.14</v>
      </c>
      <c r="DA184">
        <f>AJ184</f>
        <v>1</v>
      </c>
      <c r="DB184">
        <f t="shared" si="46"/>
        <v>26.69</v>
      </c>
      <c r="DC184">
        <f t="shared" si="47"/>
        <v>0.09</v>
      </c>
    </row>
    <row r="185" spans="1:107" x14ac:dyDescent="0.2">
      <c r="A185">
        <f>ROW(Source!A119)</f>
        <v>119</v>
      </c>
      <c r="B185">
        <v>43095088</v>
      </c>
      <c r="C185">
        <v>43095928</v>
      </c>
      <c r="D185">
        <v>42307519</v>
      </c>
      <c r="E185">
        <v>1</v>
      </c>
      <c r="F185">
        <v>1</v>
      </c>
      <c r="G185">
        <v>29</v>
      </c>
      <c r="H185">
        <v>3</v>
      </c>
      <c r="I185" t="s">
        <v>699</v>
      </c>
      <c r="J185" t="s">
        <v>700</v>
      </c>
      <c r="K185" t="s">
        <v>701</v>
      </c>
      <c r="L185">
        <v>1354</v>
      </c>
      <c r="N185">
        <v>1010</v>
      </c>
      <c r="O185" t="s">
        <v>20</v>
      </c>
      <c r="P185" t="s">
        <v>20</v>
      </c>
      <c r="Q185">
        <v>1</v>
      </c>
      <c r="W185">
        <v>0</v>
      </c>
      <c r="X185">
        <v>-530927079</v>
      </c>
      <c r="Y185">
        <v>10</v>
      </c>
      <c r="AA185">
        <v>1059.3499999999999</v>
      </c>
      <c r="AB185">
        <v>0</v>
      </c>
      <c r="AC185">
        <v>0</v>
      </c>
      <c r="AD185">
        <v>0</v>
      </c>
      <c r="AE185">
        <v>1059.3499999999999</v>
      </c>
      <c r="AF185">
        <v>0</v>
      </c>
      <c r="AG185">
        <v>0</v>
      </c>
      <c r="AH185">
        <v>0</v>
      </c>
      <c r="AI185">
        <v>1</v>
      </c>
      <c r="AJ185">
        <v>1</v>
      </c>
      <c r="AK185">
        <v>1</v>
      </c>
      <c r="AL185">
        <v>1</v>
      </c>
      <c r="AN185">
        <v>0</v>
      </c>
      <c r="AO185">
        <v>1</v>
      </c>
      <c r="AP185">
        <v>0</v>
      </c>
      <c r="AQ185">
        <v>0</v>
      </c>
      <c r="AR185">
        <v>0</v>
      </c>
      <c r="AS185" t="s">
        <v>3</v>
      </c>
      <c r="AT185">
        <v>10</v>
      </c>
      <c r="AU185" t="s">
        <v>3</v>
      </c>
      <c r="AV185">
        <v>0</v>
      </c>
      <c r="AW185">
        <v>2</v>
      </c>
      <c r="AX185">
        <v>43095940</v>
      </c>
      <c r="AY185">
        <v>1</v>
      </c>
      <c r="AZ185">
        <v>0</v>
      </c>
      <c r="BA185">
        <v>171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v>0</v>
      </c>
      <c r="BJ185">
        <v>0</v>
      </c>
      <c r="BK185">
        <v>0</v>
      </c>
      <c r="BL185">
        <v>0</v>
      </c>
      <c r="BM185">
        <v>0</v>
      </c>
      <c r="BN185">
        <v>0</v>
      </c>
      <c r="BO185">
        <v>0</v>
      </c>
      <c r="BP185">
        <v>0</v>
      </c>
      <c r="BQ185">
        <v>0</v>
      </c>
      <c r="BR185">
        <v>0</v>
      </c>
      <c r="BS185">
        <v>0</v>
      </c>
      <c r="BT185">
        <v>0</v>
      </c>
      <c r="BU185">
        <v>0</v>
      </c>
      <c r="BV185">
        <v>0</v>
      </c>
      <c r="BW185">
        <v>0</v>
      </c>
      <c r="CX185">
        <f>Y185*Source!I119</f>
        <v>0</v>
      </c>
      <c r="CY185">
        <f>AA185</f>
        <v>1059.3499999999999</v>
      </c>
      <c r="CZ185">
        <f>AE185</f>
        <v>1059.3499999999999</v>
      </c>
      <c r="DA185">
        <f>AI185</f>
        <v>1</v>
      </c>
      <c r="DB185">
        <f t="shared" si="46"/>
        <v>10593.5</v>
      </c>
      <c r="DC185">
        <f t="shared" si="47"/>
        <v>0</v>
      </c>
    </row>
    <row r="186" spans="1:107" x14ac:dyDescent="0.2">
      <c r="A186">
        <f>ROW(Source!A120)</f>
        <v>120</v>
      </c>
      <c r="B186">
        <v>43095088</v>
      </c>
      <c r="C186">
        <v>43095941</v>
      </c>
      <c r="D186">
        <v>42301367</v>
      </c>
      <c r="E186">
        <v>29</v>
      </c>
      <c r="F186">
        <v>1</v>
      </c>
      <c r="G186">
        <v>29</v>
      </c>
      <c r="H186">
        <v>1</v>
      </c>
      <c r="I186" t="s">
        <v>555</v>
      </c>
      <c r="J186" t="s">
        <v>3</v>
      </c>
      <c r="K186" t="s">
        <v>556</v>
      </c>
      <c r="L186">
        <v>1191</v>
      </c>
      <c r="N186">
        <v>1013</v>
      </c>
      <c r="O186" t="s">
        <v>557</v>
      </c>
      <c r="P186" t="s">
        <v>557</v>
      </c>
      <c r="Q186">
        <v>1</v>
      </c>
      <c r="W186">
        <v>0</v>
      </c>
      <c r="X186">
        <v>476480486</v>
      </c>
      <c r="Y186">
        <v>11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1</v>
      </c>
      <c r="AJ186">
        <v>1</v>
      </c>
      <c r="AK186">
        <v>1</v>
      </c>
      <c r="AL186">
        <v>1</v>
      </c>
      <c r="AN186">
        <v>0</v>
      </c>
      <c r="AO186">
        <v>1</v>
      </c>
      <c r="AP186">
        <v>0</v>
      </c>
      <c r="AQ186">
        <v>0</v>
      </c>
      <c r="AR186">
        <v>0</v>
      </c>
      <c r="AS186" t="s">
        <v>3</v>
      </c>
      <c r="AT186">
        <v>11</v>
      </c>
      <c r="AU186" t="s">
        <v>3</v>
      </c>
      <c r="AV186">
        <v>1</v>
      </c>
      <c r="AW186">
        <v>2</v>
      </c>
      <c r="AX186">
        <v>43095951</v>
      </c>
      <c r="AY186">
        <v>1</v>
      </c>
      <c r="AZ186">
        <v>0</v>
      </c>
      <c r="BA186">
        <v>172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0</v>
      </c>
      <c r="BI186">
        <v>0</v>
      </c>
      <c r="BJ186">
        <v>0</v>
      </c>
      <c r="BK186">
        <v>0</v>
      </c>
      <c r="BL186">
        <v>0</v>
      </c>
      <c r="BM186">
        <v>0</v>
      </c>
      <c r="BN186">
        <v>0</v>
      </c>
      <c r="BO186">
        <v>0</v>
      </c>
      <c r="BP186">
        <v>0</v>
      </c>
      <c r="BQ186">
        <v>0</v>
      </c>
      <c r="BR186">
        <v>0</v>
      </c>
      <c r="BS186">
        <v>0</v>
      </c>
      <c r="BT186">
        <v>0</v>
      </c>
      <c r="BU186">
        <v>0</v>
      </c>
      <c r="BV186">
        <v>0</v>
      </c>
      <c r="BW186">
        <v>0</v>
      </c>
      <c r="CX186">
        <f>Y186*Source!I120</f>
        <v>0.55000000000000004</v>
      </c>
      <c r="CY186">
        <f>AD186</f>
        <v>0</v>
      </c>
      <c r="CZ186">
        <f>AH186</f>
        <v>0</v>
      </c>
      <c r="DA186">
        <f>AL186</f>
        <v>1</v>
      </c>
      <c r="DB186">
        <f t="shared" si="46"/>
        <v>0</v>
      </c>
      <c r="DC186">
        <f t="shared" si="47"/>
        <v>0</v>
      </c>
    </row>
    <row r="187" spans="1:107" x14ac:dyDescent="0.2">
      <c r="A187">
        <f>ROW(Source!A120)</f>
        <v>120</v>
      </c>
      <c r="B187">
        <v>43095088</v>
      </c>
      <c r="C187">
        <v>43095941</v>
      </c>
      <c r="D187">
        <v>42303124</v>
      </c>
      <c r="E187">
        <v>1</v>
      </c>
      <c r="F187">
        <v>1</v>
      </c>
      <c r="G187">
        <v>29</v>
      </c>
      <c r="H187">
        <v>2</v>
      </c>
      <c r="I187" t="s">
        <v>633</v>
      </c>
      <c r="J187" t="s">
        <v>634</v>
      </c>
      <c r="K187" t="s">
        <v>635</v>
      </c>
      <c r="L187">
        <v>1368</v>
      </c>
      <c r="N187">
        <v>1011</v>
      </c>
      <c r="O187" t="s">
        <v>480</v>
      </c>
      <c r="P187" t="s">
        <v>480</v>
      </c>
      <c r="Q187">
        <v>1</v>
      </c>
      <c r="W187">
        <v>0</v>
      </c>
      <c r="X187">
        <v>-376097338</v>
      </c>
      <c r="Y187">
        <v>11</v>
      </c>
      <c r="AA187">
        <v>0</v>
      </c>
      <c r="AB187">
        <v>3.14</v>
      </c>
      <c r="AC187">
        <v>0.01</v>
      </c>
      <c r="AD187">
        <v>0</v>
      </c>
      <c r="AE187">
        <v>0</v>
      </c>
      <c r="AF187">
        <v>3.14</v>
      </c>
      <c r="AG187">
        <v>0.01</v>
      </c>
      <c r="AH187">
        <v>0</v>
      </c>
      <c r="AI187">
        <v>1</v>
      </c>
      <c r="AJ187">
        <v>1</v>
      </c>
      <c r="AK187">
        <v>1</v>
      </c>
      <c r="AL187">
        <v>1</v>
      </c>
      <c r="AN187">
        <v>0</v>
      </c>
      <c r="AO187">
        <v>1</v>
      </c>
      <c r="AP187">
        <v>0</v>
      </c>
      <c r="AQ187">
        <v>0</v>
      </c>
      <c r="AR187">
        <v>0</v>
      </c>
      <c r="AS187" t="s">
        <v>3</v>
      </c>
      <c r="AT187">
        <v>11</v>
      </c>
      <c r="AU187" t="s">
        <v>3</v>
      </c>
      <c r="AV187">
        <v>0</v>
      </c>
      <c r="AW187">
        <v>2</v>
      </c>
      <c r="AX187">
        <v>43095952</v>
      </c>
      <c r="AY187">
        <v>1</v>
      </c>
      <c r="AZ187">
        <v>0</v>
      </c>
      <c r="BA187">
        <v>173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0</v>
      </c>
      <c r="BI187">
        <v>0</v>
      </c>
      <c r="BJ187">
        <v>0</v>
      </c>
      <c r="BK187">
        <v>0</v>
      </c>
      <c r="BL187">
        <v>0</v>
      </c>
      <c r="BM187">
        <v>0</v>
      </c>
      <c r="BN187">
        <v>0</v>
      </c>
      <c r="BO187">
        <v>0</v>
      </c>
      <c r="BP187">
        <v>0</v>
      </c>
      <c r="BQ187">
        <v>0</v>
      </c>
      <c r="BR187">
        <v>0</v>
      </c>
      <c r="BS187">
        <v>0</v>
      </c>
      <c r="BT187">
        <v>0</v>
      </c>
      <c r="BU187">
        <v>0</v>
      </c>
      <c r="BV187">
        <v>0</v>
      </c>
      <c r="BW187">
        <v>0</v>
      </c>
      <c r="CX187">
        <f>Y187*Source!I120</f>
        <v>0.55000000000000004</v>
      </c>
      <c r="CY187">
        <f>AB187</f>
        <v>3.14</v>
      </c>
      <c r="CZ187">
        <f>AF187</f>
        <v>3.14</v>
      </c>
      <c r="DA187">
        <f>AJ187</f>
        <v>1</v>
      </c>
      <c r="DB187">
        <f t="shared" si="46"/>
        <v>34.54</v>
      </c>
      <c r="DC187">
        <f t="shared" si="47"/>
        <v>0.11</v>
      </c>
    </row>
    <row r="188" spans="1:107" x14ac:dyDescent="0.2">
      <c r="A188">
        <f>ROW(Source!A120)</f>
        <v>120</v>
      </c>
      <c r="B188">
        <v>43095088</v>
      </c>
      <c r="C188">
        <v>43095941</v>
      </c>
      <c r="D188">
        <v>42307520</v>
      </c>
      <c r="E188">
        <v>1</v>
      </c>
      <c r="F188">
        <v>1</v>
      </c>
      <c r="G188">
        <v>29</v>
      </c>
      <c r="H188">
        <v>3</v>
      </c>
      <c r="I188" t="s">
        <v>702</v>
      </c>
      <c r="J188" t="s">
        <v>703</v>
      </c>
      <c r="K188" t="s">
        <v>704</v>
      </c>
      <c r="L188">
        <v>1354</v>
      </c>
      <c r="N188">
        <v>1010</v>
      </c>
      <c r="O188" t="s">
        <v>20</v>
      </c>
      <c r="P188" t="s">
        <v>20</v>
      </c>
      <c r="Q188">
        <v>1</v>
      </c>
      <c r="W188">
        <v>0</v>
      </c>
      <c r="X188">
        <v>1601149888</v>
      </c>
      <c r="Y188">
        <v>10</v>
      </c>
      <c r="AA188">
        <v>2370.54</v>
      </c>
      <c r="AB188">
        <v>0</v>
      </c>
      <c r="AC188">
        <v>0</v>
      </c>
      <c r="AD188">
        <v>0</v>
      </c>
      <c r="AE188">
        <v>2370.54</v>
      </c>
      <c r="AF188">
        <v>0</v>
      </c>
      <c r="AG188">
        <v>0</v>
      </c>
      <c r="AH188">
        <v>0</v>
      </c>
      <c r="AI188">
        <v>1</v>
      </c>
      <c r="AJ188">
        <v>1</v>
      </c>
      <c r="AK188">
        <v>1</v>
      </c>
      <c r="AL188">
        <v>1</v>
      </c>
      <c r="AN188">
        <v>0</v>
      </c>
      <c r="AO188">
        <v>1</v>
      </c>
      <c r="AP188">
        <v>0</v>
      </c>
      <c r="AQ188">
        <v>0</v>
      </c>
      <c r="AR188">
        <v>0</v>
      </c>
      <c r="AS188" t="s">
        <v>3</v>
      </c>
      <c r="AT188">
        <v>10</v>
      </c>
      <c r="AU188" t="s">
        <v>3</v>
      </c>
      <c r="AV188">
        <v>0</v>
      </c>
      <c r="AW188">
        <v>2</v>
      </c>
      <c r="AX188">
        <v>43095953</v>
      </c>
      <c r="AY188">
        <v>1</v>
      </c>
      <c r="AZ188">
        <v>0</v>
      </c>
      <c r="BA188">
        <v>174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0</v>
      </c>
      <c r="BI188">
        <v>0</v>
      </c>
      <c r="BJ188">
        <v>0</v>
      </c>
      <c r="BK188">
        <v>0</v>
      </c>
      <c r="BL188">
        <v>0</v>
      </c>
      <c r="BM188">
        <v>0</v>
      </c>
      <c r="BN188">
        <v>0</v>
      </c>
      <c r="BO188">
        <v>0</v>
      </c>
      <c r="BP188">
        <v>0</v>
      </c>
      <c r="BQ188">
        <v>0</v>
      </c>
      <c r="BR188">
        <v>0</v>
      </c>
      <c r="BS188">
        <v>0</v>
      </c>
      <c r="BT188">
        <v>0</v>
      </c>
      <c r="BU188">
        <v>0</v>
      </c>
      <c r="BV188">
        <v>0</v>
      </c>
      <c r="BW188">
        <v>0</v>
      </c>
      <c r="CX188">
        <f>Y188*Source!I120</f>
        <v>0.5</v>
      </c>
      <c r="CY188">
        <f>AA188</f>
        <v>2370.54</v>
      </c>
      <c r="CZ188">
        <f>AE188</f>
        <v>2370.54</v>
      </c>
      <c r="DA188">
        <f>AI188</f>
        <v>1</v>
      </c>
      <c r="DB188">
        <f t="shared" si="46"/>
        <v>23705.4</v>
      </c>
      <c r="DC188">
        <f t="shared" si="47"/>
        <v>0</v>
      </c>
    </row>
    <row r="189" spans="1:107" x14ac:dyDescent="0.2">
      <c r="A189">
        <f>ROW(Source!A121)</f>
        <v>121</v>
      </c>
      <c r="B189">
        <v>43095088</v>
      </c>
      <c r="C189">
        <v>43095954</v>
      </c>
      <c r="D189">
        <v>42301367</v>
      </c>
      <c r="E189">
        <v>29</v>
      </c>
      <c r="F189">
        <v>1</v>
      </c>
      <c r="G189">
        <v>29</v>
      </c>
      <c r="H189">
        <v>1</v>
      </c>
      <c r="I189" t="s">
        <v>555</v>
      </c>
      <c r="J189" t="s">
        <v>3</v>
      </c>
      <c r="K189" t="s">
        <v>556</v>
      </c>
      <c r="L189">
        <v>1191</v>
      </c>
      <c r="N189">
        <v>1013</v>
      </c>
      <c r="O189" t="s">
        <v>557</v>
      </c>
      <c r="P189" t="s">
        <v>557</v>
      </c>
      <c r="Q189">
        <v>1</v>
      </c>
      <c r="W189">
        <v>0</v>
      </c>
      <c r="X189">
        <v>476480486</v>
      </c>
      <c r="Y189">
        <v>3.7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1</v>
      </c>
      <c r="AJ189">
        <v>1</v>
      </c>
      <c r="AK189">
        <v>1</v>
      </c>
      <c r="AL189">
        <v>1</v>
      </c>
      <c r="AN189">
        <v>0</v>
      </c>
      <c r="AO189">
        <v>1</v>
      </c>
      <c r="AP189">
        <v>0</v>
      </c>
      <c r="AQ189">
        <v>0</v>
      </c>
      <c r="AR189">
        <v>0</v>
      </c>
      <c r="AS189" t="s">
        <v>3</v>
      </c>
      <c r="AT189">
        <v>3.7</v>
      </c>
      <c r="AU189" t="s">
        <v>3</v>
      </c>
      <c r="AV189">
        <v>1</v>
      </c>
      <c r="AW189">
        <v>2</v>
      </c>
      <c r="AX189">
        <v>43095961</v>
      </c>
      <c r="AY189">
        <v>1</v>
      </c>
      <c r="AZ189">
        <v>0</v>
      </c>
      <c r="BA189">
        <v>175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0</v>
      </c>
      <c r="BI189">
        <v>0</v>
      </c>
      <c r="BJ189">
        <v>0</v>
      </c>
      <c r="BK189">
        <v>0</v>
      </c>
      <c r="BL189">
        <v>0</v>
      </c>
      <c r="BM189">
        <v>0</v>
      </c>
      <c r="BN189">
        <v>0</v>
      </c>
      <c r="BO189">
        <v>0</v>
      </c>
      <c r="BP189">
        <v>0</v>
      </c>
      <c r="BQ189">
        <v>0</v>
      </c>
      <c r="BR189">
        <v>0</v>
      </c>
      <c r="BS189">
        <v>0</v>
      </c>
      <c r="BT189">
        <v>0</v>
      </c>
      <c r="BU189">
        <v>0</v>
      </c>
      <c r="BV189">
        <v>0</v>
      </c>
      <c r="BW189">
        <v>0</v>
      </c>
      <c r="CX189">
        <f>Y189*Source!I121</f>
        <v>0.18500000000000003</v>
      </c>
      <c r="CY189">
        <f>AD189</f>
        <v>0</v>
      </c>
      <c r="CZ189">
        <f>AH189</f>
        <v>0</v>
      </c>
      <c r="DA189">
        <f>AL189</f>
        <v>1</v>
      </c>
      <c r="DB189">
        <f t="shared" si="46"/>
        <v>0</v>
      </c>
      <c r="DC189">
        <f t="shared" si="47"/>
        <v>0</v>
      </c>
    </row>
    <row r="190" spans="1:107" x14ac:dyDescent="0.2">
      <c r="A190">
        <f>ROW(Source!A121)</f>
        <v>121</v>
      </c>
      <c r="B190">
        <v>43095088</v>
      </c>
      <c r="C190">
        <v>43095954</v>
      </c>
      <c r="D190">
        <v>42303124</v>
      </c>
      <c r="E190">
        <v>1</v>
      </c>
      <c r="F190">
        <v>1</v>
      </c>
      <c r="G190">
        <v>29</v>
      </c>
      <c r="H190">
        <v>2</v>
      </c>
      <c r="I190" t="s">
        <v>633</v>
      </c>
      <c r="J190" t="s">
        <v>634</v>
      </c>
      <c r="K190" t="s">
        <v>635</v>
      </c>
      <c r="L190">
        <v>1368</v>
      </c>
      <c r="N190">
        <v>1011</v>
      </c>
      <c r="O190" t="s">
        <v>480</v>
      </c>
      <c r="P190" t="s">
        <v>480</v>
      </c>
      <c r="Q190">
        <v>1</v>
      </c>
      <c r="W190">
        <v>0</v>
      </c>
      <c r="X190">
        <v>-376097338</v>
      </c>
      <c r="Y190">
        <v>3.7</v>
      </c>
      <c r="AA190">
        <v>0</v>
      </c>
      <c r="AB190">
        <v>3.14</v>
      </c>
      <c r="AC190">
        <v>0.01</v>
      </c>
      <c r="AD190">
        <v>0</v>
      </c>
      <c r="AE190">
        <v>0</v>
      </c>
      <c r="AF190">
        <v>3.14</v>
      </c>
      <c r="AG190">
        <v>0.01</v>
      </c>
      <c r="AH190">
        <v>0</v>
      </c>
      <c r="AI190">
        <v>1</v>
      </c>
      <c r="AJ190">
        <v>1</v>
      </c>
      <c r="AK190">
        <v>1</v>
      </c>
      <c r="AL190">
        <v>1</v>
      </c>
      <c r="AN190">
        <v>0</v>
      </c>
      <c r="AO190">
        <v>1</v>
      </c>
      <c r="AP190">
        <v>0</v>
      </c>
      <c r="AQ190">
        <v>0</v>
      </c>
      <c r="AR190">
        <v>0</v>
      </c>
      <c r="AS190" t="s">
        <v>3</v>
      </c>
      <c r="AT190">
        <v>3.7</v>
      </c>
      <c r="AU190" t="s">
        <v>3</v>
      </c>
      <c r="AV190">
        <v>0</v>
      </c>
      <c r="AW190">
        <v>2</v>
      </c>
      <c r="AX190">
        <v>43095962</v>
      </c>
      <c r="AY190">
        <v>1</v>
      </c>
      <c r="AZ190">
        <v>0</v>
      </c>
      <c r="BA190">
        <v>176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0</v>
      </c>
      <c r="BI190">
        <v>0</v>
      </c>
      <c r="BJ190">
        <v>0</v>
      </c>
      <c r="BK190">
        <v>0</v>
      </c>
      <c r="BL190">
        <v>0</v>
      </c>
      <c r="BM190">
        <v>0</v>
      </c>
      <c r="BN190">
        <v>0</v>
      </c>
      <c r="BO190">
        <v>0</v>
      </c>
      <c r="BP190">
        <v>0</v>
      </c>
      <c r="BQ190">
        <v>0</v>
      </c>
      <c r="BR190">
        <v>0</v>
      </c>
      <c r="BS190">
        <v>0</v>
      </c>
      <c r="BT190">
        <v>0</v>
      </c>
      <c r="BU190">
        <v>0</v>
      </c>
      <c r="BV190">
        <v>0</v>
      </c>
      <c r="BW190">
        <v>0</v>
      </c>
      <c r="CX190">
        <f>Y190*Source!I121</f>
        <v>0.18500000000000003</v>
      </c>
      <c r="CY190">
        <f>AB190</f>
        <v>3.14</v>
      </c>
      <c r="CZ190">
        <f>AF190</f>
        <v>3.14</v>
      </c>
      <c r="DA190">
        <f>AJ190</f>
        <v>1</v>
      </c>
      <c r="DB190">
        <f t="shared" si="46"/>
        <v>11.62</v>
      </c>
      <c r="DC190">
        <f t="shared" si="47"/>
        <v>0.04</v>
      </c>
    </row>
    <row r="191" spans="1:107" x14ac:dyDescent="0.2">
      <c r="A191">
        <f>ROW(Source!A122)</f>
        <v>122</v>
      </c>
      <c r="B191">
        <v>43095088</v>
      </c>
      <c r="C191">
        <v>43095963</v>
      </c>
      <c r="D191">
        <v>42301367</v>
      </c>
      <c r="E191">
        <v>29</v>
      </c>
      <c r="F191">
        <v>1</v>
      </c>
      <c r="G191">
        <v>29</v>
      </c>
      <c r="H191">
        <v>1</v>
      </c>
      <c r="I191" t="s">
        <v>555</v>
      </c>
      <c r="J191" t="s">
        <v>3</v>
      </c>
      <c r="K191" t="s">
        <v>556</v>
      </c>
      <c r="L191">
        <v>1191</v>
      </c>
      <c r="N191">
        <v>1013</v>
      </c>
      <c r="O191" t="s">
        <v>557</v>
      </c>
      <c r="P191" t="s">
        <v>557</v>
      </c>
      <c r="Q191">
        <v>1</v>
      </c>
      <c r="W191">
        <v>0</v>
      </c>
      <c r="X191">
        <v>476480486</v>
      </c>
      <c r="Y191">
        <v>2.6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1</v>
      </c>
      <c r="AJ191">
        <v>1</v>
      </c>
      <c r="AK191">
        <v>1</v>
      </c>
      <c r="AL191">
        <v>1</v>
      </c>
      <c r="AN191">
        <v>0</v>
      </c>
      <c r="AO191">
        <v>1</v>
      </c>
      <c r="AP191">
        <v>0</v>
      </c>
      <c r="AQ191">
        <v>0</v>
      </c>
      <c r="AR191">
        <v>0</v>
      </c>
      <c r="AS191" t="s">
        <v>3</v>
      </c>
      <c r="AT191">
        <v>2.6</v>
      </c>
      <c r="AU191" t="s">
        <v>3</v>
      </c>
      <c r="AV191">
        <v>1</v>
      </c>
      <c r="AW191">
        <v>2</v>
      </c>
      <c r="AX191">
        <v>43095970</v>
      </c>
      <c r="AY191">
        <v>1</v>
      </c>
      <c r="AZ191">
        <v>0</v>
      </c>
      <c r="BA191">
        <v>177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0</v>
      </c>
      <c r="BK191">
        <v>0</v>
      </c>
      <c r="BL191">
        <v>0</v>
      </c>
      <c r="BM191">
        <v>0</v>
      </c>
      <c r="BN191">
        <v>0</v>
      </c>
      <c r="BO191">
        <v>0</v>
      </c>
      <c r="BP191">
        <v>0</v>
      </c>
      <c r="BQ191">
        <v>0</v>
      </c>
      <c r="BR191">
        <v>0</v>
      </c>
      <c r="BS191">
        <v>0</v>
      </c>
      <c r="BT191">
        <v>0</v>
      </c>
      <c r="BU191">
        <v>0</v>
      </c>
      <c r="BV191">
        <v>0</v>
      </c>
      <c r="BW191">
        <v>0</v>
      </c>
      <c r="CX191">
        <f>Y191*Source!I122</f>
        <v>0</v>
      </c>
      <c r="CY191">
        <f>AD191</f>
        <v>0</v>
      </c>
      <c r="CZ191">
        <f>AH191</f>
        <v>0</v>
      </c>
      <c r="DA191">
        <f>AL191</f>
        <v>1</v>
      </c>
      <c r="DB191">
        <f t="shared" si="46"/>
        <v>0</v>
      </c>
      <c r="DC191">
        <f t="shared" si="47"/>
        <v>0</v>
      </c>
    </row>
    <row r="192" spans="1:107" x14ac:dyDescent="0.2">
      <c r="A192">
        <f>ROW(Source!A122)</f>
        <v>122</v>
      </c>
      <c r="B192">
        <v>43095088</v>
      </c>
      <c r="C192">
        <v>43095963</v>
      </c>
      <c r="D192">
        <v>42303124</v>
      </c>
      <c r="E192">
        <v>1</v>
      </c>
      <c r="F192">
        <v>1</v>
      </c>
      <c r="G192">
        <v>29</v>
      </c>
      <c r="H192">
        <v>2</v>
      </c>
      <c r="I192" t="s">
        <v>633</v>
      </c>
      <c r="J192" t="s">
        <v>634</v>
      </c>
      <c r="K192" t="s">
        <v>635</v>
      </c>
      <c r="L192">
        <v>1368</v>
      </c>
      <c r="N192">
        <v>1011</v>
      </c>
      <c r="O192" t="s">
        <v>480</v>
      </c>
      <c r="P192" t="s">
        <v>480</v>
      </c>
      <c r="Q192">
        <v>1</v>
      </c>
      <c r="W192">
        <v>0</v>
      </c>
      <c r="X192">
        <v>-376097338</v>
      </c>
      <c r="Y192">
        <v>2.6</v>
      </c>
      <c r="AA192">
        <v>0</v>
      </c>
      <c r="AB192">
        <v>3.14</v>
      </c>
      <c r="AC192">
        <v>0.01</v>
      </c>
      <c r="AD192">
        <v>0</v>
      </c>
      <c r="AE192">
        <v>0</v>
      </c>
      <c r="AF192">
        <v>3.14</v>
      </c>
      <c r="AG192">
        <v>0.01</v>
      </c>
      <c r="AH192">
        <v>0</v>
      </c>
      <c r="AI192">
        <v>1</v>
      </c>
      <c r="AJ192">
        <v>1</v>
      </c>
      <c r="AK192">
        <v>1</v>
      </c>
      <c r="AL192">
        <v>1</v>
      </c>
      <c r="AN192">
        <v>0</v>
      </c>
      <c r="AO192">
        <v>1</v>
      </c>
      <c r="AP192">
        <v>0</v>
      </c>
      <c r="AQ192">
        <v>0</v>
      </c>
      <c r="AR192">
        <v>0</v>
      </c>
      <c r="AS192" t="s">
        <v>3</v>
      </c>
      <c r="AT192">
        <v>2.6</v>
      </c>
      <c r="AU192" t="s">
        <v>3</v>
      </c>
      <c r="AV192">
        <v>0</v>
      </c>
      <c r="AW192">
        <v>2</v>
      </c>
      <c r="AX192">
        <v>43095971</v>
      </c>
      <c r="AY192">
        <v>1</v>
      </c>
      <c r="AZ192">
        <v>0</v>
      </c>
      <c r="BA192">
        <v>178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>
        <v>0</v>
      </c>
      <c r="BQ192">
        <v>0</v>
      </c>
      <c r="BR192">
        <v>0</v>
      </c>
      <c r="BS192">
        <v>0</v>
      </c>
      <c r="BT192">
        <v>0</v>
      </c>
      <c r="BU192">
        <v>0</v>
      </c>
      <c r="BV192">
        <v>0</v>
      </c>
      <c r="BW192">
        <v>0</v>
      </c>
      <c r="CX192">
        <f>Y192*Source!I122</f>
        <v>0</v>
      </c>
      <c r="CY192">
        <f>AB192</f>
        <v>3.14</v>
      </c>
      <c r="CZ192">
        <f>AF192</f>
        <v>3.14</v>
      </c>
      <c r="DA192">
        <f>AJ192</f>
        <v>1</v>
      </c>
      <c r="DB192">
        <f t="shared" si="46"/>
        <v>8.16</v>
      </c>
      <c r="DC192">
        <f t="shared" si="47"/>
        <v>0.03</v>
      </c>
    </row>
    <row r="193" spans="1:107" x14ac:dyDescent="0.2">
      <c r="A193">
        <f>ROW(Source!A123)</f>
        <v>123</v>
      </c>
      <c r="B193">
        <v>43095088</v>
      </c>
      <c r="C193">
        <v>43095972</v>
      </c>
      <c r="D193">
        <v>42301367</v>
      </c>
      <c r="E193">
        <v>29</v>
      </c>
      <c r="F193">
        <v>1</v>
      </c>
      <c r="G193">
        <v>29</v>
      </c>
      <c r="H193">
        <v>1</v>
      </c>
      <c r="I193" t="s">
        <v>555</v>
      </c>
      <c r="J193" t="s">
        <v>3</v>
      </c>
      <c r="K193" t="s">
        <v>556</v>
      </c>
      <c r="L193">
        <v>1191</v>
      </c>
      <c r="N193">
        <v>1013</v>
      </c>
      <c r="O193" t="s">
        <v>557</v>
      </c>
      <c r="P193" t="s">
        <v>557</v>
      </c>
      <c r="Q193">
        <v>1</v>
      </c>
      <c r="W193">
        <v>0</v>
      </c>
      <c r="X193">
        <v>476480486</v>
      </c>
      <c r="Y193">
        <v>95.38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1</v>
      </c>
      <c r="AJ193">
        <v>1</v>
      </c>
      <c r="AK193">
        <v>1</v>
      </c>
      <c r="AL193">
        <v>1</v>
      </c>
      <c r="AN193">
        <v>0</v>
      </c>
      <c r="AO193">
        <v>1</v>
      </c>
      <c r="AP193">
        <v>0</v>
      </c>
      <c r="AQ193">
        <v>0</v>
      </c>
      <c r="AR193">
        <v>0</v>
      </c>
      <c r="AS193" t="s">
        <v>3</v>
      </c>
      <c r="AT193">
        <v>95.38</v>
      </c>
      <c r="AU193" t="s">
        <v>3</v>
      </c>
      <c r="AV193">
        <v>1</v>
      </c>
      <c r="AW193">
        <v>2</v>
      </c>
      <c r="AX193">
        <v>43095980</v>
      </c>
      <c r="AY193">
        <v>1</v>
      </c>
      <c r="AZ193">
        <v>0</v>
      </c>
      <c r="BA193">
        <v>179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>
        <v>0</v>
      </c>
      <c r="BQ193">
        <v>0</v>
      </c>
      <c r="BR193">
        <v>0</v>
      </c>
      <c r="BS193">
        <v>0</v>
      </c>
      <c r="BT193">
        <v>0</v>
      </c>
      <c r="BU193">
        <v>0</v>
      </c>
      <c r="BV193">
        <v>0</v>
      </c>
      <c r="BW193">
        <v>0</v>
      </c>
      <c r="CX193">
        <f>Y193*Source!I123</f>
        <v>0</v>
      </c>
      <c r="CY193">
        <f>AD193</f>
        <v>0</v>
      </c>
      <c r="CZ193">
        <f>AH193</f>
        <v>0</v>
      </c>
      <c r="DA193">
        <f>AL193</f>
        <v>1</v>
      </c>
      <c r="DB193">
        <f t="shared" si="46"/>
        <v>0</v>
      </c>
      <c r="DC193">
        <f t="shared" si="47"/>
        <v>0</v>
      </c>
    </row>
    <row r="194" spans="1:107" x14ac:dyDescent="0.2">
      <c r="A194">
        <f>ROW(Source!A123)</f>
        <v>123</v>
      </c>
      <c r="B194">
        <v>43095088</v>
      </c>
      <c r="C194">
        <v>43095972</v>
      </c>
      <c r="D194">
        <v>42302640</v>
      </c>
      <c r="E194">
        <v>1</v>
      </c>
      <c r="F194">
        <v>1</v>
      </c>
      <c r="G194">
        <v>29</v>
      </c>
      <c r="H194">
        <v>2</v>
      </c>
      <c r="I194" t="s">
        <v>705</v>
      </c>
      <c r="J194" t="s">
        <v>706</v>
      </c>
      <c r="K194" t="s">
        <v>707</v>
      </c>
      <c r="L194">
        <v>1368</v>
      </c>
      <c r="N194">
        <v>1011</v>
      </c>
      <c r="O194" t="s">
        <v>480</v>
      </c>
      <c r="P194" t="s">
        <v>480</v>
      </c>
      <c r="Q194">
        <v>1</v>
      </c>
      <c r="W194">
        <v>0</v>
      </c>
      <c r="X194">
        <v>275678518</v>
      </c>
      <c r="Y194">
        <v>26.36</v>
      </c>
      <c r="AA194">
        <v>0</v>
      </c>
      <c r="AB194">
        <v>1105.8800000000001</v>
      </c>
      <c r="AC194">
        <v>446.17</v>
      </c>
      <c r="AD194">
        <v>0</v>
      </c>
      <c r="AE194">
        <v>0</v>
      </c>
      <c r="AF194">
        <v>1105.8800000000001</v>
      </c>
      <c r="AG194">
        <v>446.17</v>
      </c>
      <c r="AH194">
        <v>0</v>
      </c>
      <c r="AI194">
        <v>1</v>
      </c>
      <c r="AJ194">
        <v>1</v>
      </c>
      <c r="AK194">
        <v>1</v>
      </c>
      <c r="AL194">
        <v>1</v>
      </c>
      <c r="AN194">
        <v>0</v>
      </c>
      <c r="AO194">
        <v>1</v>
      </c>
      <c r="AP194">
        <v>0</v>
      </c>
      <c r="AQ194">
        <v>0</v>
      </c>
      <c r="AR194">
        <v>0</v>
      </c>
      <c r="AS194" t="s">
        <v>3</v>
      </c>
      <c r="AT194">
        <v>26.36</v>
      </c>
      <c r="AU194" t="s">
        <v>3</v>
      </c>
      <c r="AV194">
        <v>0</v>
      </c>
      <c r="AW194">
        <v>2</v>
      </c>
      <c r="AX194">
        <v>43095981</v>
      </c>
      <c r="AY194">
        <v>1</v>
      </c>
      <c r="AZ194">
        <v>0</v>
      </c>
      <c r="BA194">
        <v>180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>
        <v>0</v>
      </c>
      <c r="BQ194">
        <v>0</v>
      </c>
      <c r="BR194">
        <v>0</v>
      </c>
      <c r="BS194">
        <v>0</v>
      </c>
      <c r="BT194">
        <v>0</v>
      </c>
      <c r="BU194">
        <v>0</v>
      </c>
      <c r="BV194">
        <v>0</v>
      </c>
      <c r="BW194">
        <v>0</v>
      </c>
      <c r="CX194">
        <f>Y194*Source!I123</f>
        <v>0</v>
      </c>
      <c r="CY194">
        <f>AB194</f>
        <v>1105.8800000000001</v>
      </c>
      <c r="CZ194">
        <f>AF194</f>
        <v>1105.8800000000001</v>
      </c>
      <c r="DA194">
        <f>AJ194</f>
        <v>1</v>
      </c>
      <c r="DB194">
        <f t="shared" si="46"/>
        <v>29151</v>
      </c>
      <c r="DC194">
        <f t="shared" si="47"/>
        <v>11761.04</v>
      </c>
    </row>
    <row r="195" spans="1:107" x14ac:dyDescent="0.2">
      <c r="A195">
        <f>ROW(Source!A123)</f>
        <v>123</v>
      </c>
      <c r="B195">
        <v>43095088</v>
      </c>
      <c r="C195">
        <v>43095972</v>
      </c>
      <c r="D195">
        <v>42303164</v>
      </c>
      <c r="E195">
        <v>1</v>
      </c>
      <c r="F195">
        <v>1</v>
      </c>
      <c r="G195">
        <v>29</v>
      </c>
      <c r="H195">
        <v>2</v>
      </c>
      <c r="I195" t="s">
        <v>708</v>
      </c>
      <c r="J195" t="s">
        <v>709</v>
      </c>
      <c r="K195" t="s">
        <v>710</v>
      </c>
      <c r="L195">
        <v>1368</v>
      </c>
      <c r="N195">
        <v>1011</v>
      </c>
      <c r="O195" t="s">
        <v>480</v>
      </c>
      <c r="P195" t="s">
        <v>480</v>
      </c>
      <c r="Q195">
        <v>1</v>
      </c>
      <c r="W195">
        <v>0</v>
      </c>
      <c r="X195">
        <v>-1718173949</v>
      </c>
      <c r="Y195">
        <v>52.71</v>
      </c>
      <c r="AA195">
        <v>0</v>
      </c>
      <c r="AB195">
        <v>6.02</v>
      </c>
      <c r="AC195">
        <v>0.02</v>
      </c>
      <c r="AD195">
        <v>0</v>
      </c>
      <c r="AE195">
        <v>0</v>
      </c>
      <c r="AF195">
        <v>6.02</v>
      </c>
      <c r="AG195">
        <v>0.02</v>
      </c>
      <c r="AH195">
        <v>0</v>
      </c>
      <c r="AI195">
        <v>1</v>
      </c>
      <c r="AJ195">
        <v>1</v>
      </c>
      <c r="AK195">
        <v>1</v>
      </c>
      <c r="AL195">
        <v>1</v>
      </c>
      <c r="AN195">
        <v>0</v>
      </c>
      <c r="AO195">
        <v>1</v>
      </c>
      <c r="AP195">
        <v>0</v>
      </c>
      <c r="AQ195">
        <v>0</v>
      </c>
      <c r="AR195">
        <v>0</v>
      </c>
      <c r="AS195" t="s">
        <v>3</v>
      </c>
      <c r="AT195">
        <v>52.71</v>
      </c>
      <c r="AU195" t="s">
        <v>3</v>
      </c>
      <c r="AV195">
        <v>0</v>
      </c>
      <c r="AW195">
        <v>2</v>
      </c>
      <c r="AX195">
        <v>43095982</v>
      </c>
      <c r="AY195">
        <v>1</v>
      </c>
      <c r="AZ195">
        <v>0</v>
      </c>
      <c r="BA195">
        <v>181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0</v>
      </c>
      <c r="BK195">
        <v>0</v>
      </c>
      <c r="BL195">
        <v>0</v>
      </c>
      <c r="BM195">
        <v>0</v>
      </c>
      <c r="BN195">
        <v>0</v>
      </c>
      <c r="BO195">
        <v>0</v>
      </c>
      <c r="BP195">
        <v>0</v>
      </c>
      <c r="BQ195">
        <v>0</v>
      </c>
      <c r="BR195">
        <v>0</v>
      </c>
      <c r="BS195">
        <v>0</v>
      </c>
      <c r="BT195">
        <v>0</v>
      </c>
      <c r="BU195">
        <v>0</v>
      </c>
      <c r="BV195">
        <v>0</v>
      </c>
      <c r="BW195">
        <v>0</v>
      </c>
      <c r="CX195">
        <f>Y195*Source!I123</f>
        <v>0</v>
      </c>
      <c r="CY195">
        <f>AB195</f>
        <v>6.02</v>
      </c>
      <c r="CZ195">
        <f>AF195</f>
        <v>6.02</v>
      </c>
      <c r="DA195">
        <f>AJ195</f>
        <v>1</v>
      </c>
      <c r="DB195">
        <f t="shared" ref="DB195:DB226" si="51">ROUND(ROUND(AT195*CZ195,2),6)</f>
        <v>317.31</v>
      </c>
      <c r="DC195">
        <f t="shared" ref="DC195:DC226" si="52">ROUND(ROUND(AT195*AG195,2),6)</f>
        <v>1.05</v>
      </c>
    </row>
    <row r="196" spans="1:107" x14ac:dyDescent="0.2">
      <c r="A196">
        <f>ROW(Source!A124)</f>
        <v>124</v>
      </c>
      <c r="B196">
        <v>43095088</v>
      </c>
      <c r="C196">
        <v>43095983</v>
      </c>
      <c r="D196">
        <v>42301367</v>
      </c>
      <c r="E196">
        <v>29</v>
      </c>
      <c r="F196">
        <v>1</v>
      </c>
      <c r="G196">
        <v>29</v>
      </c>
      <c r="H196">
        <v>1</v>
      </c>
      <c r="I196" t="s">
        <v>555</v>
      </c>
      <c r="J196" t="s">
        <v>3</v>
      </c>
      <c r="K196" t="s">
        <v>556</v>
      </c>
      <c r="L196">
        <v>1191</v>
      </c>
      <c r="N196">
        <v>1013</v>
      </c>
      <c r="O196" t="s">
        <v>557</v>
      </c>
      <c r="P196" t="s">
        <v>557</v>
      </c>
      <c r="Q196">
        <v>1</v>
      </c>
      <c r="W196">
        <v>0</v>
      </c>
      <c r="X196">
        <v>476480486</v>
      </c>
      <c r="Y196">
        <v>26.96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1</v>
      </c>
      <c r="AJ196">
        <v>1</v>
      </c>
      <c r="AK196">
        <v>1</v>
      </c>
      <c r="AL196">
        <v>1</v>
      </c>
      <c r="AN196">
        <v>0</v>
      </c>
      <c r="AO196">
        <v>1</v>
      </c>
      <c r="AP196">
        <v>0</v>
      </c>
      <c r="AQ196">
        <v>0</v>
      </c>
      <c r="AR196">
        <v>0</v>
      </c>
      <c r="AS196" t="s">
        <v>3</v>
      </c>
      <c r="AT196">
        <v>26.96</v>
      </c>
      <c r="AU196" t="s">
        <v>3</v>
      </c>
      <c r="AV196">
        <v>1</v>
      </c>
      <c r="AW196">
        <v>2</v>
      </c>
      <c r="AX196">
        <v>43095993</v>
      </c>
      <c r="AY196">
        <v>1</v>
      </c>
      <c r="AZ196">
        <v>0</v>
      </c>
      <c r="BA196">
        <v>182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>
        <v>0</v>
      </c>
      <c r="BQ196">
        <v>0</v>
      </c>
      <c r="BR196">
        <v>0</v>
      </c>
      <c r="BS196">
        <v>0</v>
      </c>
      <c r="BT196">
        <v>0</v>
      </c>
      <c r="BU196">
        <v>0</v>
      </c>
      <c r="BV196">
        <v>0</v>
      </c>
      <c r="BW196">
        <v>0</v>
      </c>
      <c r="CX196">
        <f>Y196*Source!I124</f>
        <v>0</v>
      </c>
      <c r="CY196">
        <f>AD196</f>
        <v>0</v>
      </c>
      <c r="CZ196">
        <f>AH196</f>
        <v>0</v>
      </c>
      <c r="DA196">
        <f>AL196</f>
        <v>1</v>
      </c>
      <c r="DB196">
        <f t="shared" si="51"/>
        <v>0</v>
      </c>
      <c r="DC196">
        <f t="shared" si="52"/>
        <v>0</v>
      </c>
    </row>
    <row r="197" spans="1:107" x14ac:dyDescent="0.2">
      <c r="A197">
        <f>ROW(Source!A124)</f>
        <v>124</v>
      </c>
      <c r="B197">
        <v>43095088</v>
      </c>
      <c r="C197">
        <v>43095983</v>
      </c>
      <c r="D197">
        <v>42302640</v>
      </c>
      <c r="E197">
        <v>1</v>
      </c>
      <c r="F197">
        <v>1</v>
      </c>
      <c r="G197">
        <v>29</v>
      </c>
      <c r="H197">
        <v>2</v>
      </c>
      <c r="I197" t="s">
        <v>705</v>
      </c>
      <c r="J197" t="s">
        <v>706</v>
      </c>
      <c r="K197" t="s">
        <v>707</v>
      </c>
      <c r="L197">
        <v>1368</v>
      </c>
      <c r="N197">
        <v>1011</v>
      </c>
      <c r="O197" t="s">
        <v>480</v>
      </c>
      <c r="P197" t="s">
        <v>480</v>
      </c>
      <c r="Q197">
        <v>1</v>
      </c>
      <c r="W197">
        <v>0</v>
      </c>
      <c r="X197">
        <v>275678518</v>
      </c>
      <c r="Y197">
        <v>7.75</v>
      </c>
      <c r="AA197">
        <v>0</v>
      </c>
      <c r="AB197">
        <v>1105.8800000000001</v>
      </c>
      <c r="AC197">
        <v>446.17</v>
      </c>
      <c r="AD197">
        <v>0</v>
      </c>
      <c r="AE197">
        <v>0</v>
      </c>
      <c r="AF197">
        <v>1105.8800000000001</v>
      </c>
      <c r="AG197">
        <v>446.17</v>
      </c>
      <c r="AH197">
        <v>0</v>
      </c>
      <c r="AI197">
        <v>1</v>
      </c>
      <c r="AJ197">
        <v>1</v>
      </c>
      <c r="AK197">
        <v>1</v>
      </c>
      <c r="AL197">
        <v>1</v>
      </c>
      <c r="AN197">
        <v>0</v>
      </c>
      <c r="AO197">
        <v>1</v>
      </c>
      <c r="AP197">
        <v>0</v>
      </c>
      <c r="AQ197">
        <v>0</v>
      </c>
      <c r="AR197">
        <v>0</v>
      </c>
      <c r="AS197" t="s">
        <v>3</v>
      </c>
      <c r="AT197">
        <v>7.75</v>
      </c>
      <c r="AU197" t="s">
        <v>3</v>
      </c>
      <c r="AV197">
        <v>0</v>
      </c>
      <c r="AW197">
        <v>2</v>
      </c>
      <c r="AX197">
        <v>43095994</v>
      </c>
      <c r="AY197">
        <v>1</v>
      </c>
      <c r="AZ197">
        <v>0</v>
      </c>
      <c r="BA197">
        <v>183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0</v>
      </c>
      <c r="BI197">
        <v>0</v>
      </c>
      <c r="BJ197">
        <v>0</v>
      </c>
      <c r="BK197">
        <v>0</v>
      </c>
      <c r="BL197">
        <v>0</v>
      </c>
      <c r="BM197">
        <v>0</v>
      </c>
      <c r="BN197">
        <v>0</v>
      </c>
      <c r="BO197">
        <v>0</v>
      </c>
      <c r="BP197">
        <v>0</v>
      </c>
      <c r="BQ197">
        <v>0</v>
      </c>
      <c r="BR197">
        <v>0</v>
      </c>
      <c r="BS197">
        <v>0</v>
      </c>
      <c r="BT197">
        <v>0</v>
      </c>
      <c r="BU197">
        <v>0</v>
      </c>
      <c r="BV197">
        <v>0</v>
      </c>
      <c r="BW197">
        <v>0</v>
      </c>
      <c r="CX197">
        <f>Y197*Source!I124</f>
        <v>0</v>
      </c>
      <c r="CY197">
        <f>AB197</f>
        <v>1105.8800000000001</v>
      </c>
      <c r="CZ197">
        <f>AF197</f>
        <v>1105.8800000000001</v>
      </c>
      <c r="DA197">
        <f>AJ197</f>
        <v>1</v>
      </c>
      <c r="DB197">
        <f t="shared" si="51"/>
        <v>8570.57</v>
      </c>
      <c r="DC197">
        <f t="shared" si="52"/>
        <v>3457.82</v>
      </c>
    </row>
    <row r="198" spans="1:107" x14ac:dyDescent="0.2">
      <c r="A198">
        <f>ROW(Source!A124)</f>
        <v>124</v>
      </c>
      <c r="B198">
        <v>43095088</v>
      </c>
      <c r="C198">
        <v>43095983</v>
      </c>
      <c r="D198">
        <v>42303164</v>
      </c>
      <c r="E198">
        <v>1</v>
      </c>
      <c r="F198">
        <v>1</v>
      </c>
      <c r="G198">
        <v>29</v>
      </c>
      <c r="H198">
        <v>2</v>
      </c>
      <c r="I198" t="s">
        <v>708</v>
      </c>
      <c r="J198" t="s">
        <v>709</v>
      </c>
      <c r="K198" t="s">
        <v>710</v>
      </c>
      <c r="L198">
        <v>1368</v>
      </c>
      <c r="N198">
        <v>1011</v>
      </c>
      <c r="O198" t="s">
        <v>480</v>
      </c>
      <c r="P198" t="s">
        <v>480</v>
      </c>
      <c r="Q198">
        <v>1</v>
      </c>
      <c r="W198">
        <v>0</v>
      </c>
      <c r="X198">
        <v>-1718173949</v>
      </c>
      <c r="Y198">
        <v>15.5</v>
      </c>
      <c r="AA198">
        <v>0</v>
      </c>
      <c r="AB198">
        <v>6.02</v>
      </c>
      <c r="AC198">
        <v>0.02</v>
      </c>
      <c r="AD198">
        <v>0</v>
      </c>
      <c r="AE198">
        <v>0</v>
      </c>
      <c r="AF198">
        <v>6.02</v>
      </c>
      <c r="AG198">
        <v>0.02</v>
      </c>
      <c r="AH198">
        <v>0</v>
      </c>
      <c r="AI198">
        <v>1</v>
      </c>
      <c r="AJ198">
        <v>1</v>
      </c>
      <c r="AK198">
        <v>1</v>
      </c>
      <c r="AL198">
        <v>1</v>
      </c>
      <c r="AN198">
        <v>0</v>
      </c>
      <c r="AO198">
        <v>1</v>
      </c>
      <c r="AP198">
        <v>0</v>
      </c>
      <c r="AQ198">
        <v>0</v>
      </c>
      <c r="AR198">
        <v>0</v>
      </c>
      <c r="AS198" t="s">
        <v>3</v>
      </c>
      <c r="AT198">
        <v>15.5</v>
      </c>
      <c r="AU198" t="s">
        <v>3</v>
      </c>
      <c r="AV198">
        <v>0</v>
      </c>
      <c r="AW198">
        <v>2</v>
      </c>
      <c r="AX198">
        <v>43095995</v>
      </c>
      <c r="AY198">
        <v>1</v>
      </c>
      <c r="AZ198">
        <v>0</v>
      </c>
      <c r="BA198">
        <v>184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0</v>
      </c>
      <c r="BI198">
        <v>0</v>
      </c>
      <c r="BJ198">
        <v>0</v>
      </c>
      <c r="BK198">
        <v>0</v>
      </c>
      <c r="BL198">
        <v>0</v>
      </c>
      <c r="BM198">
        <v>0</v>
      </c>
      <c r="BN198">
        <v>0</v>
      </c>
      <c r="BO198">
        <v>0</v>
      </c>
      <c r="BP198">
        <v>0</v>
      </c>
      <c r="BQ198">
        <v>0</v>
      </c>
      <c r="BR198">
        <v>0</v>
      </c>
      <c r="BS198">
        <v>0</v>
      </c>
      <c r="BT198">
        <v>0</v>
      </c>
      <c r="BU198">
        <v>0</v>
      </c>
      <c r="BV198">
        <v>0</v>
      </c>
      <c r="BW198">
        <v>0</v>
      </c>
      <c r="CX198">
        <f>Y198*Source!I124</f>
        <v>0</v>
      </c>
      <c r="CY198">
        <f>AB198</f>
        <v>6.02</v>
      </c>
      <c r="CZ198">
        <f>AF198</f>
        <v>6.02</v>
      </c>
      <c r="DA198">
        <f>AJ198</f>
        <v>1</v>
      </c>
      <c r="DB198">
        <f t="shared" si="51"/>
        <v>93.31</v>
      </c>
      <c r="DC198">
        <f t="shared" si="52"/>
        <v>0.31</v>
      </c>
    </row>
    <row r="199" spans="1:107" x14ac:dyDescent="0.2">
      <c r="A199">
        <f>ROW(Source!A125)</f>
        <v>125</v>
      </c>
      <c r="B199">
        <v>43095088</v>
      </c>
      <c r="C199">
        <v>43095996</v>
      </c>
      <c r="D199">
        <v>42301367</v>
      </c>
      <c r="E199">
        <v>29</v>
      </c>
      <c r="F199">
        <v>1</v>
      </c>
      <c r="G199">
        <v>29</v>
      </c>
      <c r="H199">
        <v>1</v>
      </c>
      <c r="I199" t="s">
        <v>555</v>
      </c>
      <c r="J199" t="s">
        <v>3</v>
      </c>
      <c r="K199" t="s">
        <v>556</v>
      </c>
      <c r="L199">
        <v>1191</v>
      </c>
      <c r="N199">
        <v>1013</v>
      </c>
      <c r="O199" t="s">
        <v>557</v>
      </c>
      <c r="P199" t="s">
        <v>557</v>
      </c>
      <c r="Q199">
        <v>1</v>
      </c>
      <c r="W199">
        <v>0</v>
      </c>
      <c r="X199">
        <v>476480486</v>
      </c>
      <c r="Y199">
        <v>109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1</v>
      </c>
      <c r="AJ199">
        <v>1</v>
      </c>
      <c r="AK199">
        <v>1</v>
      </c>
      <c r="AL199">
        <v>1</v>
      </c>
      <c r="AN199">
        <v>0</v>
      </c>
      <c r="AO199">
        <v>1</v>
      </c>
      <c r="AP199">
        <v>0</v>
      </c>
      <c r="AQ199">
        <v>0</v>
      </c>
      <c r="AR199">
        <v>0</v>
      </c>
      <c r="AS199" t="s">
        <v>3</v>
      </c>
      <c r="AT199">
        <v>109</v>
      </c>
      <c r="AU199" t="s">
        <v>3</v>
      </c>
      <c r="AV199">
        <v>1</v>
      </c>
      <c r="AW199">
        <v>2</v>
      </c>
      <c r="AX199">
        <v>43096012</v>
      </c>
      <c r="AY199">
        <v>1</v>
      </c>
      <c r="AZ199">
        <v>0</v>
      </c>
      <c r="BA199">
        <v>185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0</v>
      </c>
      <c r="BI199">
        <v>0</v>
      </c>
      <c r="BJ199">
        <v>0</v>
      </c>
      <c r="BK199">
        <v>0</v>
      </c>
      <c r="BL199">
        <v>0</v>
      </c>
      <c r="BM199">
        <v>0</v>
      </c>
      <c r="BN199">
        <v>0</v>
      </c>
      <c r="BO199">
        <v>0</v>
      </c>
      <c r="BP199">
        <v>0</v>
      </c>
      <c r="BQ199">
        <v>0</v>
      </c>
      <c r="BR199">
        <v>0</v>
      </c>
      <c r="BS199">
        <v>0</v>
      </c>
      <c r="BT199">
        <v>0</v>
      </c>
      <c r="BU199">
        <v>0</v>
      </c>
      <c r="BV199">
        <v>0</v>
      </c>
      <c r="BW199">
        <v>0</v>
      </c>
      <c r="CX199">
        <f>Y199*Source!I125</f>
        <v>0</v>
      </c>
      <c r="CY199">
        <f>AD199</f>
        <v>0</v>
      </c>
      <c r="CZ199">
        <f>AH199</f>
        <v>0</v>
      </c>
      <c r="DA199">
        <f>AL199</f>
        <v>1</v>
      </c>
      <c r="DB199">
        <f t="shared" si="51"/>
        <v>0</v>
      </c>
      <c r="DC199">
        <f t="shared" si="52"/>
        <v>0</v>
      </c>
    </row>
    <row r="200" spans="1:107" x14ac:dyDescent="0.2">
      <c r="A200">
        <f>ROW(Source!A125)</f>
        <v>125</v>
      </c>
      <c r="B200">
        <v>43095088</v>
      </c>
      <c r="C200">
        <v>43095996</v>
      </c>
      <c r="D200">
        <v>42304279</v>
      </c>
      <c r="E200">
        <v>1</v>
      </c>
      <c r="F200">
        <v>1</v>
      </c>
      <c r="G200">
        <v>29</v>
      </c>
      <c r="H200">
        <v>3</v>
      </c>
      <c r="I200" t="s">
        <v>711</v>
      </c>
      <c r="J200" t="s">
        <v>712</v>
      </c>
      <c r="K200" t="s">
        <v>713</v>
      </c>
      <c r="L200">
        <v>1348</v>
      </c>
      <c r="N200">
        <v>1009</v>
      </c>
      <c r="O200" t="s">
        <v>402</v>
      </c>
      <c r="P200" t="s">
        <v>402</v>
      </c>
      <c r="Q200">
        <v>1000</v>
      </c>
      <c r="W200">
        <v>0</v>
      </c>
      <c r="X200">
        <v>2061294312</v>
      </c>
      <c r="Y200">
        <v>2E-3</v>
      </c>
      <c r="AA200">
        <v>88472.75</v>
      </c>
      <c r="AB200">
        <v>0</v>
      </c>
      <c r="AC200">
        <v>0</v>
      </c>
      <c r="AD200">
        <v>0</v>
      </c>
      <c r="AE200">
        <v>88472.75</v>
      </c>
      <c r="AF200">
        <v>0</v>
      </c>
      <c r="AG200">
        <v>0</v>
      </c>
      <c r="AH200">
        <v>0</v>
      </c>
      <c r="AI200">
        <v>1</v>
      </c>
      <c r="AJ200">
        <v>1</v>
      </c>
      <c r="AK200">
        <v>1</v>
      </c>
      <c r="AL200">
        <v>1</v>
      </c>
      <c r="AN200">
        <v>0</v>
      </c>
      <c r="AO200">
        <v>1</v>
      </c>
      <c r="AP200">
        <v>0</v>
      </c>
      <c r="AQ200">
        <v>0</v>
      </c>
      <c r="AR200">
        <v>0</v>
      </c>
      <c r="AS200" t="s">
        <v>3</v>
      </c>
      <c r="AT200">
        <v>2E-3</v>
      </c>
      <c r="AU200" t="s">
        <v>3</v>
      </c>
      <c r="AV200">
        <v>0</v>
      </c>
      <c r="AW200">
        <v>2</v>
      </c>
      <c r="AX200">
        <v>43096013</v>
      </c>
      <c r="AY200">
        <v>1</v>
      </c>
      <c r="AZ200">
        <v>0</v>
      </c>
      <c r="BA200">
        <v>186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0</v>
      </c>
      <c r="BI200">
        <v>0</v>
      </c>
      <c r="BJ200">
        <v>0</v>
      </c>
      <c r="BK200">
        <v>0</v>
      </c>
      <c r="BL200">
        <v>0</v>
      </c>
      <c r="BM200">
        <v>0</v>
      </c>
      <c r="BN200">
        <v>0</v>
      </c>
      <c r="BO200">
        <v>0</v>
      </c>
      <c r="BP200">
        <v>0</v>
      </c>
      <c r="BQ200">
        <v>0</v>
      </c>
      <c r="BR200">
        <v>0</v>
      </c>
      <c r="BS200">
        <v>0</v>
      </c>
      <c r="BT200">
        <v>0</v>
      </c>
      <c r="BU200">
        <v>0</v>
      </c>
      <c r="BV200">
        <v>0</v>
      </c>
      <c r="BW200">
        <v>0</v>
      </c>
      <c r="CX200">
        <f>Y200*Source!I125</f>
        <v>0</v>
      </c>
      <c r="CY200">
        <f>AA200</f>
        <v>88472.75</v>
      </c>
      <c r="CZ200">
        <f>AE200</f>
        <v>88472.75</v>
      </c>
      <c r="DA200">
        <f>AI200</f>
        <v>1</v>
      </c>
      <c r="DB200">
        <f t="shared" si="51"/>
        <v>176.95</v>
      </c>
      <c r="DC200">
        <f t="shared" si="52"/>
        <v>0</v>
      </c>
    </row>
    <row r="201" spans="1:107" x14ac:dyDescent="0.2">
      <c r="A201">
        <f>ROW(Source!A125)</f>
        <v>125</v>
      </c>
      <c r="B201">
        <v>43095088</v>
      </c>
      <c r="C201">
        <v>43095996</v>
      </c>
      <c r="D201">
        <v>42303861</v>
      </c>
      <c r="E201">
        <v>1</v>
      </c>
      <c r="F201">
        <v>1</v>
      </c>
      <c r="G201">
        <v>29</v>
      </c>
      <c r="H201">
        <v>3</v>
      </c>
      <c r="I201" t="s">
        <v>714</v>
      </c>
      <c r="J201" t="s">
        <v>715</v>
      </c>
      <c r="K201" t="s">
        <v>716</v>
      </c>
      <c r="L201">
        <v>1339</v>
      </c>
      <c r="N201">
        <v>1007</v>
      </c>
      <c r="O201" t="s">
        <v>81</v>
      </c>
      <c r="P201" t="s">
        <v>81</v>
      </c>
      <c r="Q201">
        <v>1</v>
      </c>
      <c r="W201">
        <v>0</v>
      </c>
      <c r="X201">
        <v>1122250432</v>
      </c>
      <c r="Y201">
        <v>6.7000000000000004E-2</v>
      </c>
      <c r="AA201">
        <v>9080.02</v>
      </c>
      <c r="AB201">
        <v>0</v>
      </c>
      <c r="AC201">
        <v>0</v>
      </c>
      <c r="AD201">
        <v>0</v>
      </c>
      <c r="AE201">
        <v>9080.02</v>
      </c>
      <c r="AF201">
        <v>0</v>
      </c>
      <c r="AG201">
        <v>0</v>
      </c>
      <c r="AH201">
        <v>0</v>
      </c>
      <c r="AI201">
        <v>1</v>
      </c>
      <c r="AJ201">
        <v>1</v>
      </c>
      <c r="AK201">
        <v>1</v>
      </c>
      <c r="AL201">
        <v>1</v>
      </c>
      <c r="AN201">
        <v>0</v>
      </c>
      <c r="AO201">
        <v>1</v>
      </c>
      <c r="AP201">
        <v>0</v>
      </c>
      <c r="AQ201">
        <v>0</v>
      </c>
      <c r="AR201">
        <v>0</v>
      </c>
      <c r="AS201" t="s">
        <v>3</v>
      </c>
      <c r="AT201">
        <v>6.7000000000000004E-2</v>
      </c>
      <c r="AU201" t="s">
        <v>3</v>
      </c>
      <c r="AV201">
        <v>0</v>
      </c>
      <c r="AW201">
        <v>2</v>
      </c>
      <c r="AX201">
        <v>43096014</v>
      </c>
      <c r="AY201">
        <v>1</v>
      </c>
      <c r="AZ201">
        <v>0</v>
      </c>
      <c r="BA201">
        <v>187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0</v>
      </c>
      <c r="BP201">
        <v>0</v>
      </c>
      <c r="BQ201">
        <v>0</v>
      </c>
      <c r="BR201">
        <v>0</v>
      </c>
      <c r="BS201">
        <v>0</v>
      </c>
      <c r="BT201">
        <v>0</v>
      </c>
      <c r="BU201">
        <v>0</v>
      </c>
      <c r="BV201">
        <v>0</v>
      </c>
      <c r="BW201">
        <v>0</v>
      </c>
      <c r="CX201">
        <f>Y201*Source!I125</f>
        <v>0</v>
      </c>
      <c r="CY201">
        <f>AA201</f>
        <v>9080.02</v>
      </c>
      <c r="CZ201">
        <f>AE201</f>
        <v>9080.02</v>
      </c>
      <c r="DA201">
        <f>AI201</f>
        <v>1</v>
      </c>
      <c r="DB201">
        <f t="shared" si="51"/>
        <v>608.36</v>
      </c>
      <c r="DC201">
        <f t="shared" si="52"/>
        <v>0</v>
      </c>
    </row>
    <row r="202" spans="1:107" x14ac:dyDescent="0.2">
      <c r="A202">
        <f>ROW(Source!A125)</f>
        <v>125</v>
      </c>
      <c r="B202">
        <v>43095088</v>
      </c>
      <c r="C202">
        <v>43095996</v>
      </c>
      <c r="D202">
        <v>42303899</v>
      </c>
      <c r="E202">
        <v>1</v>
      </c>
      <c r="F202">
        <v>1</v>
      </c>
      <c r="G202">
        <v>29</v>
      </c>
      <c r="H202">
        <v>3</v>
      </c>
      <c r="I202" t="s">
        <v>717</v>
      </c>
      <c r="J202" t="s">
        <v>718</v>
      </c>
      <c r="K202" t="s">
        <v>719</v>
      </c>
      <c r="L202">
        <v>1339</v>
      </c>
      <c r="N202">
        <v>1007</v>
      </c>
      <c r="O202" t="s">
        <v>81</v>
      </c>
      <c r="P202" t="s">
        <v>81</v>
      </c>
      <c r="Q202">
        <v>1</v>
      </c>
      <c r="W202">
        <v>0</v>
      </c>
      <c r="X202">
        <v>184909553</v>
      </c>
      <c r="Y202">
        <v>5.3999999999999999E-2</v>
      </c>
      <c r="AA202">
        <v>10227.51</v>
      </c>
      <c r="AB202">
        <v>0</v>
      </c>
      <c r="AC202">
        <v>0</v>
      </c>
      <c r="AD202">
        <v>0</v>
      </c>
      <c r="AE202">
        <v>10227.51</v>
      </c>
      <c r="AF202">
        <v>0</v>
      </c>
      <c r="AG202">
        <v>0</v>
      </c>
      <c r="AH202">
        <v>0</v>
      </c>
      <c r="AI202">
        <v>1</v>
      </c>
      <c r="AJ202">
        <v>1</v>
      </c>
      <c r="AK202">
        <v>1</v>
      </c>
      <c r="AL202">
        <v>1</v>
      </c>
      <c r="AN202">
        <v>0</v>
      </c>
      <c r="AO202">
        <v>1</v>
      </c>
      <c r="AP202">
        <v>0</v>
      </c>
      <c r="AQ202">
        <v>0</v>
      </c>
      <c r="AR202">
        <v>0</v>
      </c>
      <c r="AS202" t="s">
        <v>3</v>
      </c>
      <c r="AT202">
        <v>5.3999999999999999E-2</v>
      </c>
      <c r="AU202" t="s">
        <v>3</v>
      </c>
      <c r="AV202">
        <v>0</v>
      </c>
      <c r="AW202">
        <v>2</v>
      </c>
      <c r="AX202">
        <v>43096015</v>
      </c>
      <c r="AY202">
        <v>1</v>
      </c>
      <c r="AZ202">
        <v>0</v>
      </c>
      <c r="BA202">
        <v>188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0</v>
      </c>
      <c r="BI202">
        <v>0</v>
      </c>
      <c r="BJ202">
        <v>0</v>
      </c>
      <c r="BK202">
        <v>0</v>
      </c>
      <c r="BL202">
        <v>0</v>
      </c>
      <c r="BM202">
        <v>0</v>
      </c>
      <c r="BN202">
        <v>0</v>
      </c>
      <c r="BO202">
        <v>0</v>
      </c>
      <c r="BP202">
        <v>0</v>
      </c>
      <c r="BQ202">
        <v>0</v>
      </c>
      <c r="BR202">
        <v>0</v>
      </c>
      <c r="BS202">
        <v>0</v>
      </c>
      <c r="BT202">
        <v>0</v>
      </c>
      <c r="BU202">
        <v>0</v>
      </c>
      <c r="BV202">
        <v>0</v>
      </c>
      <c r="BW202">
        <v>0</v>
      </c>
      <c r="CX202">
        <f>Y202*Source!I125</f>
        <v>0</v>
      </c>
      <c r="CY202">
        <f>AA202</f>
        <v>10227.51</v>
      </c>
      <c r="CZ202">
        <f>AE202</f>
        <v>10227.51</v>
      </c>
      <c r="DA202">
        <f>AI202</f>
        <v>1</v>
      </c>
      <c r="DB202">
        <f t="shared" si="51"/>
        <v>552.29</v>
      </c>
      <c r="DC202">
        <f t="shared" si="52"/>
        <v>0</v>
      </c>
    </row>
    <row r="203" spans="1:107" x14ac:dyDescent="0.2">
      <c r="A203">
        <f>ROW(Source!A125)</f>
        <v>125</v>
      </c>
      <c r="B203">
        <v>43095088</v>
      </c>
      <c r="C203">
        <v>43095996</v>
      </c>
      <c r="D203">
        <v>42306195</v>
      </c>
      <c r="E203">
        <v>1</v>
      </c>
      <c r="F203">
        <v>1</v>
      </c>
      <c r="G203">
        <v>29</v>
      </c>
      <c r="H203">
        <v>3</v>
      </c>
      <c r="I203" t="s">
        <v>720</v>
      </c>
      <c r="J203" t="s">
        <v>721</v>
      </c>
      <c r="K203" t="s">
        <v>722</v>
      </c>
      <c r="L203">
        <v>1339</v>
      </c>
      <c r="N203">
        <v>1007</v>
      </c>
      <c r="O203" t="s">
        <v>81</v>
      </c>
      <c r="P203" t="s">
        <v>81</v>
      </c>
      <c r="Q203">
        <v>1</v>
      </c>
      <c r="W203">
        <v>0</v>
      </c>
      <c r="X203">
        <v>-1114121591</v>
      </c>
      <c r="Y203">
        <v>0.312</v>
      </c>
      <c r="AA203">
        <v>3917.3</v>
      </c>
      <c r="AB203">
        <v>0</v>
      </c>
      <c r="AC203">
        <v>0</v>
      </c>
      <c r="AD203">
        <v>0</v>
      </c>
      <c r="AE203">
        <v>3917.3</v>
      </c>
      <c r="AF203">
        <v>0</v>
      </c>
      <c r="AG203">
        <v>0</v>
      </c>
      <c r="AH203">
        <v>0</v>
      </c>
      <c r="AI203">
        <v>1</v>
      </c>
      <c r="AJ203">
        <v>1</v>
      </c>
      <c r="AK203">
        <v>1</v>
      </c>
      <c r="AL203">
        <v>1</v>
      </c>
      <c r="AN203">
        <v>0</v>
      </c>
      <c r="AO203">
        <v>1</v>
      </c>
      <c r="AP203">
        <v>0</v>
      </c>
      <c r="AQ203">
        <v>0</v>
      </c>
      <c r="AR203">
        <v>0</v>
      </c>
      <c r="AS203" t="s">
        <v>3</v>
      </c>
      <c r="AT203">
        <v>0.312</v>
      </c>
      <c r="AU203" t="s">
        <v>3</v>
      </c>
      <c r="AV203">
        <v>0</v>
      </c>
      <c r="AW203">
        <v>2</v>
      </c>
      <c r="AX203">
        <v>43096016</v>
      </c>
      <c r="AY203">
        <v>1</v>
      </c>
      <c r="AZ203">
        <v>0</v>
      </c>
      <c r="BA203">
        <v>189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0</v>
      </c>
      <c r="BI203">
        <v>0</v>
      </c>
      <c r="BJ203">
        <v>0</v>
      </c>
      <c r="BK203">
        <v>0</v>
      </c>
      <c r="BL203">
        <v>0</v>
      </c>
      <c r="BM203">
        <v>0</v>
      </c>
      <c r="BN203">
        <v>0</v>
      </c>
      <c r="BO203">
        <v>0</v>
      </c>
      <c r="BP203">
        <v>0</v>
      </c>
      <c r="BQ203">
        <v>0</v>
      </c>
      <c r="BR203">
        <v>0</v>
      </c>
      <c r="BS203">
        <v>0</v>
      </c>
      <c r="BT203">
        <v>0</v>
      </c>
      <c r="BU203">
        <v>0</v>
      </c>
      <c r="BV203">
        <v>0</v>
      </c>
      <c r="BW203">
        <v>0</v>
      </c>
      <c r="CX203">
        <f>Y203*Source!I125</f>
        <v>0</v>
      </c>
      <c r="CY203">
        <f>AA203</f>
        <v>3917.3</v>
      </c>
      <c r="CZ203">
        <f>AE203</f>
        <v>3917.3</v>
      </c>
      <c r="DA203">
        <f>AI203</f>
        <v>1</v>
      </c>
      <c r="DB203">
        <f t="shared" si="51"/>
        <v>1222.2</v>
      </c>
      <c r="DC203">
        <f t="shared" si="52"/>
        <v>0</v>
      </c>
    </row>
    <row r="204" spans="1:107" x14ac:dyDescent="0.2">
      <c r="A204">
        <f>ROW(Source!A126)</f>
        <v>126</v>
      </c>
      <c r="B204">
        <v>43095088</v>
      </c>
      <c r="C204">
        <v>43096017</v>
      </c>
      <c r="D204">
        <v>42301367</v>
      </c>
      <c r="E204">
        <v>29</v>
      </c>
      <c r="F204">
        <v>1</v>
      </c>
      <c r="G204">
        <v>29</v>
      </c>
      <c r="H204">
        <v>1</v>
      </c>
      <c r="I204" t="s">
        <v>555</v>
      </c>
      <c r="J204" t="s">
        <v>3</v>
      </c>
      <c r="K204" t="s">
        <v>556</v>
      </c>
      <c r="L204">
        <v>1191</v>
      </c>
      <c r="N204">
        <v>1013</v>
      </c>
      <c r="O204" t="s">
        <v>557</v>
      </c>
      <c r="P204" t="s">
        <v>557</v>
      </c>
      <c r="Q204">
        <v>1</v>
      </c>
      <c r="W204">
        <v>0</v>
      </c>
      <c r="X204">
        <v>476480486</v>
      </c>
      <c r="Y204">
        <v>95.84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1</v>
      </c>
      <c r="AJ204">
        <v>1</v>
      </c>
      <c r="AK204">
        <v>1</v>
      </c>
      <c r="AL204">
        <v>1</v>
      </c>
      <c r="AN204">
        <v>0</v>
      </c>
      <c r="AO204">
        <v>1</v>
      </c>
      <c r="AP204">
        <v>0</v>
      </c>
      <c r="AQ204">
        <v>0</v>
      </c>
      <c r="AR204">
        <v>0</v>
      </c>
      <c r="AS204" t="s">
        <v>3</v>
      </c>
      <c r="AT204">
        <v>95.84</v>
      </c>
      <c r="AU204" t="s">
        <v>3</v>
      </c>
      <c r="AV204">
        <v>1</v>
      </c>
      <c r="AW204">
        <v>2</v>
      </c>
      <c r="AX204">
        <v>43096033</v>
      </c>
      <c r="AY204">
        <v>1</v>
      </c>
      <c r="AZ204">
        <v>0</v>
      </c>
      <c r="BA204">
        <v>190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0</v>
      </c>
      <c r="BP204">
        <v>0</v>
      </c>
      <c r="BQ204">
        <v>0</v>
      </c>
      <c r="BR204">
        <v>0</v>
      </c>
      <c r="BS204">
        <v>0</v>
      </c>
      <c r="BT204">
        <v>0</v>
      </c>
      <c r="BU204">
        <v>0</v>
      </c>
      <c r="BV204">
        <v>0</v>
      </c>
      <c r="BW204">
        <v>0</v>
      </c>
      <c r="CX204">
        <f>Y204*Source!I126</f>
        <v>2.8272800000000001E-2</v>
      </c>
      <c r="CY204">
        <f>AD204</f>
        <v>0</v>
      </c>
      <c r="CZ204">
        <f>AH204</f>
        <v>0</v>
      </c>
      <c r="DA204">
        <f>AL204</f>
        <v>1</v>
      </c>
      <c r="DB204">
        <f t="shared" si="51"/>
        <v>0</v>
      </c>
      <c r="DC204">
        <f t="shared" si="52"/>
        <v>0</v>
      </c>
    </row>
    <row r="205" spans="1:107" x14ac:dyDescent="0.2">
      <c r="A205">
        <f>ROW(Source!A126)</f>
        <v>126</v>
      </c>
      <c r="B205">
        <v>43095088</v>
      </c>
      <c r="C205">
        <v>43096017</v>
      </c>
      <c r="D205">
        <v>42304279</v>
      </c>
      <c r="E205">
        <v>1</v>
      </c>
      <c r="F205">
        <v>1</v>
      </c>
      <c r="G205">
        <v>29</v>
      </c>
      <c r="H205">
        <v>3</v>
      </c>
      <c r="I205" t="s">
        <v>711</v>
      </c>
      <c r="J205" t="s">
        <v>712</v>
      </c>
      <c r="K205" t="s">
        <v>713</v>
      </c>
      <c r="L205">
        <v>1348</v>
      </c>
      <c r="N205">
        <v>1009</v>
      </c>
      <c r="O205" t="s">
        <v>402</v>
      </c>
      <c r="P205" t="s">
        <v>402</v>
      </c>
      <c r="Q205">
        <v>1000</v>
      </c>
      <c r="W205">
        <v>0</v>
      </c>
      <c r="X205">
        <v>2061294312</v>
      </c>
      <c r="Y205">
        <v>6.0000000000000001E-3</v>
      </c>
      <c r="AA205">
        <v>88472.75</v>
      </c>
      <c r="AB205">
        <v>0</v>
      </c>
      <c r="AC205">
        <v>0</v>
      </c>
      <c r="AD205">
        <v>0</v>
      </c>
      <c r="AE205">
        <v>88472.75</v>
      </c>
      <c r="AF205">
        <v>0</v>
      </c>
      <c r="AG205">
        <v>0</v>
      </c>
      <c r="AH205">
        <v>0</v>
      </c>
      <c r="AI205">
        <v>1</v>
      </c>
      <c r="AJ205">
        <v>1</v>
      </c>
      <c r="AK205">
        <v>1</v>
      </c>
      <c r="AL205">
        <v>1</v>
      </c>
      <c r="AN205">
        <v>0</v>
      </c>
      <c r="AO205">
        <v>1</v>
      </c>
      <c r="AP205">
        <v>0</v>
      </c>
      <c r="AQ205">
        <v>0</v>
      </c>
      <c r="AR205">
        <v>0</v>
      </c>
      <c r="AS205" t="s">
        <v>3</v>
      </c>
      <c r="AT205">
        <v>6.0000000000000001E-3</v>
      </c>
      <c r="AU205" t="s">
        <v>3</v>
      </c>
      <c r="AV205">
        <v>0</v>
      </c>
      <c r="AW205">
        <v>2</v>
      </c>
      <c r="AX205">
        <v>43096034</v>
      </c>
      <c r="AY205">
        <v>1</v>
      </c>
      <c r="AZ205">
        <v>0</v>
      </c>
      <c r="BA205">
        <v>191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0</v>
      </c>
      <c r="BI205">
        <v>0</v>
      </c>
      <c r="BJ205">
        <v>0</v>
      </c>
      <c r="BK205">
        <v>0</v>
      </c>
      <c r="BL205">
        <v>0</v>
      </c>
      <c r="BM205">
        <v>0</v>
      </c>
      <c r="BN205">
        <v>0</v>
      </c>
      <c r="BO205">
        <v>0</v>
      </c>
      <c r="BP205">
        <v>0</v>
      </c>
      <c r="BQ205">
        <v>0</v>
      </c>
      <c r="BR205">
        <v>0</v>
      </c>
      <c r="BS205">
        <v>0</v>
      </c>
      <c r="BT205">
        <v>0</v>
      </c>
      <c r="BU205">
        <v>0</v>
      </c>
      <c r="BV205">
        <v>0</v>
      </c>
      <c r="BW205">
        <v>0</v>
      </c>
      <c r="CX205">
        <f>Y205*Source!I126</f>
        <v>1.7700000000000002E-6</v>
      </c>
      <c r="CY205">
        <f>AA205</f>
        <v>88472.75</v>
      </c>
      <c r="CZ205">
        <f>AE205</f>
        <v>88472.75</v>
      </c>
      <c r="DA205">
        <f>AI205</f>
        <v>1</v>
      </c>
      <c r="DB205">
        <f t="shared" si="51"/>
        <v>530.84</v>
      </c>
      <c r="DC205">
        <f t="shared" si="52"/>
        <v>0</v>
      </c>
    </row>
    <row r="206" spans="1:107" x14ac:dyDescent="0.2">
      <c r="A206">
        <f>ROW(Source!A126)</f>
        <v>126</v>
      </c>
      <c r="B206">
        <v>43095088</v>
      </c>
      <c r="C206">
        <v>43096017</v>
      </c>
      <c r="D206">
        <v>42303861</v>
      </c>
      <c r="E206">
        <v>1</v>
      </c>
      <c r="F206">
        <v>1</v>
      </c>
      <c r="G206">
        <v>29</v>
      </c>
      <c r="H206">
        <v>3</v>
      </c>
      <c r="I206" t="s">
        <v>714</v>
      </c>
      <c r="J206" t="s">
        <v>715</v>
      </c>
      <c r="K206" t="s">
        <v>716</v>
      </c>
      <c r="L206">
        <v>1339</v>
      </c>
      <c r="N206">
        <v>1007</v>
      </c>
      <c r="O206" t="s">
        <v>81</v>
      </c>
      <c r="P206" t="s">
        <v>81</v>
      </c>
      <c r="Q206">
        <v>1</v>
      </c>
      <c r="W206">
        <v>0</v>
      </c>
      <c r="X206">
        <v>1122250432</v>
      </c>
      <c r="Y206">
        <v>0.20799999999999999</v>
      </c>
      <c r="AA206">
        <v>9080.02</v>
      </c>
      <c r="AB206">
        <v>0</v>
      </c>
      <c r="AC206">
        <v>0</v>
      </c>
      <c r="AD206">
        <v>0</v>
      </c>
      <c r="AE206">
        <v>9080.02</v>
      </c>
      <c r="AF206">
        <v>0</v>
      </c>
      <c r="AG206">
        <v>0</v>
      </c>
      <c r="AH206">
        <v>0</v>
      </c>
      <c r="AI206">
        <v>1</v>
      </c>
      <c r="AJ206">
        <v>1</v>
      </c>
      <c r="AK206">
        <v>1</v>
      </c>
      <c r="AL206">
        <v>1</v>
      </c>
      <c r="AN206">
        <v>0</v>
      </c>
      <c r="AO206">
        <v>1</v>
      </c>
      <c r="AP206">
        <v>0</v>
      </c>
      <c r="AQ206">
        <v>0</v>
      </c>
      <c r="AR206">
        <v>0</v>
      </c>
      <c r="AS206" t="s">
        <v>3</v>
      </c>
      <c r="AT206">
        <v>0.20799999999999999</v>
      </c>
      <c r="AU206" t="s">
        <v>3</v>
      </c>
      <c r="AV206">
        <v>0</v>
      </c>
      <c r="AW206">
        <v>2</v>
      </c>
      <c r="AX206">
        <v>43096035</v>
      </c>
      <c r="AY206">
        <v>1</v>
      </c>
      <c r="AZ206">
        <v>0</v>
      </c>
      <c r="BA206">
        <v>192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>
        <v>0</v>
      </c>
      <c r="BQ206">
        <v>0</v>
      </c>
      <c r="BR206">
        <v>0</v>
      </c>
      <c r="BS206">
        <v>0</v>
      </c>
      <c r="BT206">
        <v>0</v>
      </c>
      <c r="BU206">
        <v>0</v>
      </c>
      <c r="BV206">
        <v>0</v>
      </c>
      <c r="BW206">
        <v>0</v>
      </c>
      <c r="CX206">
        <f>Y206*Source!I126</f>
        <v>6.1359999999999995E-5</v>
      </c>
      <c r="CY206">
        <f>AA206</f>
        <v>9080.02</v>
      </c>
      <c r="CZ206">
        <f>AE206</f>
        <v>9080.02</v>
      </c>
      <c r="DA206">
        <f>AI206</f>
        <v>1</v>
      </c>
      <c r="DB206">
        <f t="shared" si="51"/>
        <v>1888.64</v>
      </c>
      <c r="DC206">
        <f t="shared" si="52"/>
        <v>0</v>
      </c>
    </row>
    <row r="207" spans="1:107" x14ac:dyDescent="0.2">
      <c r="A207">
        <f>ROW(Source!A126)</f>
        <v>126</v>
      </c>
      <c r="B207">
        <v>43095088</v>
      </c>
      <c r="C207">
        <v>43096017</v>
      </c>
      <c r="D207">
        <v>42303904</v>
      </c>
      <c r="E207">
        <v>1</v>
      </c>
      <c r="F207">
        <v>1</v>
      </c>
      <c r="G207">
        <v>29</v>
      </c>
      <c r="H207">
        <v>3</v>
      </c>
      <c r="I207" t="s">
        <v>723</v>
      </c>
      <c r="J207" t="s">
        <v>724</v>
      </c>
      <c r="K207" t="s">
        <v>725</v>
      </c>
      <c r="L207">
        <v>1339</v>
      </c>
      <c r="N207">
        <v>1007</v>
      </c>
      <c r="O207" t="s">
        <v>81</v>
      </c>
      <c r="P207" t="s">
        <v>81</v>
      </c>
      <c r="Q207">
        <v>1</v>
      </c>
      <c r="W207">
        <v>0</v>
      </c>
      <c r="X207">
        <v>2001043145</v>
      </c>
      <c r="Y207">
        <v>0.18099999999999999</v>
      </c>
      <c r="AA207">
        <v>9420.01</v>
      </c>
      <c r="AB207">
        <v>0</v>
      </c>
      <c r="AC207">
        <v>0</v>
      </c>
      <c r="AD207">
        <v>0</v>
      </c>
      <c r="AE207">
        <v>9420.01</v>
      </c>
      <c r="AF207">
        <v>0</v>
      </c>
      <c r="AG207">
        <v>0</v>
      </c>
      <c r="AH207">
        <v>0</v>
      </c>
      <c r="AI207">
        <v>1</v>
      </c>
      <c r="AJ207">
        <v>1</v>
      </c>
      <c r="AK207">
        <v>1</v>
      </c>
      <c r="AL207">
        <v>1</v>
      </c>
      <c r="AN207">
        <v>0</v>
      </c>
      <c r="AO207">
        <v>1</v>
      </c>
      <c r="AP207">
        <v>0</v>
      </c>
      <c r="AQ207">
        <v>0</v>
      </c>
      <c r="AR207">
        <v>0</v>
      </c>
      <c r="AS207" t="s">
        <v>3</v>
      </c>
      <c r="AT207">
        <v>0.18099999999999999</v>
      </c>
      <c r="AU207" t="s">
        <v>3</v>
      </c>
      <c r="AV207">
        <v>0</v>
      </c>
      <c r="AW207">
        <v>2</v>
      </c>
      <c r="AX207">
        <v>43096036</v>
      </c>
      <c r="AY207">
        <v>1</v>
      </c>
      <c r="AZ207">
        <v>0</v>
      </c>
      <c r="BA207">
        <v>193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0</v>
      </c>
      <c r="BT207">
        <v>0</v>
      </c>
      <c r="BU207">
        <v>0</v>
      </c>
      <c r="BV207">
        <v>0</v>
      </c>
      <c r="BW207">
        <v>0</v>
      </c>
      <c r="CX207">
        <f>Y207*Source!I126</f>
        <v>5.3395E-5</v>
      </c>
      <c r="CY207">
        <f>AA207</f>
        <v>9420.01</v>
      </c>
      <c r="CZ207">
        <f>AE207</f>
        <v>9420.01</v>
      </c>
      <c r="DA207">
        <f>AI207</f>
        <v>1</v>
      </c>
      <c r="DB207">
        <f t="shared" si="51"/>
        <v>1705.02</v>
      </c>
      <c r="DC207">
        <f t="shared" si="52"/>
        <v>0</v>
      </c>
    </row>
    <row r="208" spans="1:107" x14ac:dyDescent="0.2">
      <c r="A208">
        <f>ROW(Source!A126)</f>
        <v>126</v>
      </c>
      <c r="B208">
        <v>43095088</v>
      </c>
      <c r="C208">
        <v>43096017</v>
      </c>
      <c r="D208">
        <v>42306195</v>
      </c>
      <c r="E208">
        <v>1</v>
      </c>
      <c r="F208">
        <v>1</v>
      </c>
      <c r="G208">
        <v>29</v>
      </c>
      <c r="H208">
        <v>3</v>
      </c>
      <c r="I208" t="s">
        <v>720</v>
      </c>
      <c r="J208" t="s">
        <v>721</v>
      </c>
      <c r="K208" t="s">
        <v>722</v>
      </c>
      <c r="L208">
        <v>1339</v>
      </c>
      <c r="N208">
        <v>1007</v>
      </c>
      <c r="O208" t="s">
        <v>81</v>
      </c>
      <c r="P208" t="s">
        <v>81</v>
      </c>
      <c r="Q208">
        <v>1</v>
      </c>
      <c r="W208">
        <v>0</v>
      </c>
      <c r="X208">
        <v>-1114121591</v>
      </c>
      <c r="Y208">
        <v>1.04</v>
      </c>
      <c r="AA208">
        <v>3917.3</v>
      </c>
      <c r="AB208">
        <v>0</v>
      </c>
      <c r="AC208">
        <v>0</v>
      </c>
      <c r="AD208">
        <v>0</v>
      </c>
      <c r="AE208">
        <v>3917.3</v>
      </c>
      <c r="AF208">
        <v>0</v>
      </c>
      <c r="AG208">
        <v>0</v>
      </c>
      <c r="AH208">
        <v>0</v>
      </c>
      <c r="AI208">
        <v>1</v>
      </c>
      <c r="AJ208">
        <v>1</v>
      </c>
      <c r="AK208">
        <v>1</v>
      </c>
      <c r="AL208">
        <v>1</v>
      </c>
      <c r="AN208">
        <v>0</v>
      </c>
      <c r="AO208">
        <v>1</v>
      </c>
      <c r="AP208">
        <v>0</v>
      </c>
      <c r="AQ208">
        <v>0</v>
      </c>
      <c r="AR208">
        <v>0</v>
      </c>
      <c r="AS208" t="s">
        <v>3</v>
      </c>
      <c r="AT208">
        <v>1.04</v>
      </c>
      <c r="AU208" t="s">
        <v>3</v>
      </c>
      <c r="AV208">
        <v>0</v>
      </c>
      <c r="AW208">
        <v>2</v>
      </c>
      <c r="AX208">
        <v>43096037</v>
      </c>
      <c r="AY208">
        <v>1</v>
      </c>
      <c r="AZ208">
        <v>0</v>
      </c>
      <c r="BA208">
        <v>194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>
        <v>0</v>
      </c>
      <c r="BP208">
        <v>0</v>
      </c>
      <c r="BQ208">
        <v>0</v>
      </c>
      <c r="BR208">
        <v>0</v>
      </c>
      <c r="BS208">
        <v>0</v>
      </c>
      <c r="BT208">
        <v>0</v>
      </c>
      <c r="BU208">
        <v>0</v>
      </c>
      <c r="BV208">
        <v>0</v>
      </c>
      <c r="BW208">
        <v>0</v>
      </c>
      <c r="CX208">
        <f>Y208*Source!I126</f>
        <v>3.0680000000000003E-4</v>
      </c>
      <c r="CY208">
        <f>AA208</f>
        <v>3917.3</v>
      </c>
      <c r="CZ208">
        <f>AE208</f>
        <v>3917.3</v>
      </c>
      <c r="DA208">
        <f>AI208</f>
        <v>1</v>
      </c>
      <c r="DB208">
        <f t="shared" si="51"/>
        <v>4073.99</v>
      </c>
      <c r="DC208">
        <f t="shared" si="52"/>
        <v>0</v>
      </c>
    </row>
    <row r="209" spans="1:107" x14ac:dyDescent="0.2">
      <c r="A209">
        <f>ROW(Source!A127)</f>
        <v>127</v>
      </c>
      <c r="B209">
        <v>43095088</v>
      </c>
      <c r="C209">
        <v>43096038</v>
      </c>
      <c r="D209">
        <v>42301367</v>
      </c>
      <c r="E209">
        <v>29</v>
      </c>
      <c r="F209">
        <v>1</v>
      </c>
      <c r="G209">
        <v>29</v>
      </c>
      <c r="H209">
        <v>1</v>
      </c>
      <c r="I209" t="s">
        <v>555</v>
      </c>
      <c r="J209" t="s">
        <v>3</v>
      </c>
      <c r="K209" t="s">
        <v>556</v>
      </c>
      <c r="L209">
        <v>1191</v>
      </c>
      <c r="N209">
        <v>1013</v>
      </c>
      <c r="O209" t="s">
        <v>557</v>
      </c>
      <c r="P209" t="s">
        <v>557</v>
      </c>
      <c r="Q209">
        <v>1</v>
      </c>
      <c r="W209">
        <v>0</v>
      </c>
      <c r="X209">
        <v>476480486</v>
      </c>
      <c r="Y209">
        <v>205.6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1</v>
      </c>
      <c r="AJ209">
        <v>1</v>
      </c>
      <c r="AK209">
        <v>1</v>
      </c>
      <c r="AL209">
        <v>1</v>
      </c>
      <c r="AN209">
        <v>0</v>
      </c>
      <c r="AO209">
        <v>1</v>
      </c>
      <c r="AP209">
        <v>0</v>
      </c>
      <c r="AQ209">
        <v>0</v>
      </c>
      <c r="AR209">
        <v>0</v>
      </c>
      <c r="AS209" t="s">
        <v>3</v>
      </c>
      <c r="AT209">
        <v>205.6</v>
      </c>
      <c r="AU209" t="s">
        <v>3</v>
      </c>
      <c r="AV209">
        <v>1</v>
      </c>
      <c r="AW209">
        <v>2</v>
      </c>
      <c r="AX209">
        <v>43096048</v>
      </c>
      <c r="AY209">
        <v>1</v>
      </c>
      <c r="AZ209">
        <v>0</v>
      </c>
      <c r="BA209">
        <v>195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</v>
      </c>
      <c r="BQ209">
        <v>0</v>
      </c>
      <c r="BR209">
        <v>0</v>
      </c>
      <c r="BS209">
        <v>0</v>
      </c>
      <c r="BT209">
        <v>0</v>
      </c>
      <c r="BU209">
        <v>0</v>
      </c>
      <c r="BV209">
        <v>0</v>
      </c>
      <c r="BW209">
        <v>0</v>
      </c>
      <c r="CX209">
        <f>Y209*Source!I127</f>
        <v>0</v>
      </c>
      <c r="CY209">
        <f>AD209</f>
        <v>0</v>
      </c>
      <c r="CZ209">
        <f>AH209</f>
        <v>0</v>
      </c>
      <c r="DA209">
        <f>AL209</f>
        <v>1</v>
      </c>
      <c r="DB209">
        <f t="shared" si="51"/>
        <v>0</v>
      </c>
      <c r="DC209">
        <f t="shared" si="52"/>
        <v>0</v>
      </c>
    </row>
    <row r="210" spans="1:107" x14ac:dyDescent="0.2">
      <c r="A210">
        <f>ROW(Source!A127)</f>
        <v>127</v>
      </c>
      <c r="B210">
        <v>43095088</v>
      </c>
      <c r="C210">
        <v>43096038</v>
      </c>
      <c r="D210">
        <v>42306260</v>
      </c>
      <c r="E210">
        <v>1</v>
      </c>
      <c r="F210">
        <v>1</v>
      </c>
      <c r="G210">
        <v>29</v>
      </c>
      <c r="H210">
        <v>3</v>
      </c>
      <c r="I210" t="s">
        <v>726</v>
      </c>
      <c r="J210" t="s">
        <v>727</v>
      </c>
      <c r="K210" t="s">
        <v>728</v>
      </c>
      <c r="L210">
        <v>1339</v>
      </c>
      <c r="N210">
        <v>1007</v>
      </c>
      <c r="O210" t="s">
        <v>81</v>
      </c>
      <c r="P210" t="s">
        <v>81</v>
      </c>
      <c r="Q210">
        <v>1</v>
      </c>
      <c r="W210">
        <v>0</v>
      </c>
      <c r="X210">
        <v>811643834</v>
      </c>
      <c r="Y210">
        <v>2.2000000000000002</v>
      </c>
      <c r="AA210">
        <v>3421.78</v>
      </c>
      <c r="AB210">
        <v>0</v>
      </c>
      <c r="AC210">
        <v>0</v>
      </c>
      <c r="AD210">
        <v>0</v>
      </c>
      <c r="AE210">
        <v>3421.78</v>
      </c>
      <c r="AF210">
        <v>0</v>
      </c>
      <c r="AG210">
        <v>0</v>
      </c>
      <c r="AH210">
        <v>0</v>
      </c>
      <c r="AI210">
        <v>1</v>
      </c>
      <c r="AJ210">
        <v>1</v>
      </c>
      <c r="AK210">
        <v>1</v>
      </c>
      <c r="AL210">
        <v>1</v>
      </c>
      <c r="AN210">
        <v>0</v>
      </c>
      <c r="AO210">
        <v>1</v>
      </c>
      <c r="AP210">
        <v>0</v>
      </c>
      <c r="AQ210">
        <v>0</v>
      </c>
      <c r="AR210">
        <v>0</v>
      </c>
      <c r="AS210" t="s">
        <v>3</v>
      </c>
      <c r="AT210">
        <v>2.2000000000000002</v>
      </c>
      <c r="AU210" t="s">
        <v>3</v>
      </c>
      <c r="AV210">
        <v>0</v>
      </c>
      <c r="AW210">
        <v>2</v>
      </c>
      <c r="AX210">
        <v>43096049</v>
      </c>
      <c r="AY210">
        <v>1</v>
      </c>
      <c r="AZ210">
        <v>0</v>
      </c>
      <c r="BA210">
        <v>196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>
        <v>0</v>
      </c>
      <c r="BR210">
        <v>0</v>
      </c>
      <c r="BS210">
        <v>0</v>
      </c>
      <c r="BT210">
        <v>0</v>
      </c>
      <c r="BU210">
        <v>0</v>
      </c>
      <c r="BV210">
        <v>0</v>
      </c>
      <c r="BW210">
        <v>0</v>
      </c>
      <c r="CX210">
        <f>Y210*Source!I127</f>
        <v>0</v>
      </c>
      <c r="CY210">
        <f>AA210</f>
        <v>3421.78</v>
      </c>
      <c r="CZ210">
        <f>AE210</f>
        <v>3421.78</v>
      </c>
      <c r="DA210">
        <f>AI210</f>
        <v>1</v>
      </c>
      <c r="DB210">
        <f t="shared" si="51"/>
        <v>7527.92</v>
      </c>
      <c r="DC210">
        <f t="shared" si="52"/>
        <v>0</v>
      </c>
    </row>
    <row r="211" spans="1:107" x14ac:dyDescent="0.2">
      <c r="A211">
        <f>ROW(Source!A127)</f>
        <v>127</v>
      </c>
      <c r="B211">
        <v>43095088</v>
      </c>
      <c r="C211">
        <v>43096038</v>
      </c>
      <c r="D211">
        <v>42301369</v>
      </c>
      <c r="E211">
        <v>29</v>
      </c>
      <c r="F211">
        <v>1</v>
      </c>
      <c r="G211">
        <v>29</v>
      </c>
      <c r="H211">
        <v>3</v>
      </c>
      <c r="I211" t="s">
        <v>729</v>
      </c>
      <c r="J211" t="s">
        <v>3</v>
      </c>
      <c r="K211" t="s">
        <v>730</v>
      </c>
      <c r="L211">
        <v>1348</v>
      </c>
      <c r="N211">
        <v>1009</v>
      </c>
      <c r="O211" t="s">
        <v>402</v>
      </c>
      <c r="P211" t="s">
        <v>402</v>
      </c>
      <c r="Q211">
        <v>1000</v>
      </c>
      <c r="W211">
        <v>0</v>
      </c>
      <c r="X211">
        <v>1489638031</v>
      </c>
      <c r="Y211">
        <v>3.38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1</v>
      </c>
      <c r="AJ211">
        <v>1</v>
      </c>
      <c r="AK211">
        <v>1</v>
      </c>
      <c r="AL211">
        <v>1</v>
      </c>
      <c r="AN211">
        <v>0</v>
      </c>
      <c r="AO211">
        <v>1</v>
      </c>
      <c r="AP211">
        <v>0</v>
      </c>
      <c r="AQ211">
        <v>0</v>
      </c>
      <c r="AR211">
        <v>0</v>
      </c>
      <c r="AS211" t="s">
        <v>3</v>
      </c>
      <c r="AT211">
        <v>3.38</v>
      </c>
      <c r="AU211" t="s">
        <v>3</v>
      </c>
      <c r="AV211">
        <v>0</v>
      </c>
      <c r="AW211">
        <v>2</v>
      </c>
      <c r="AX211">
        <v>43096050</v>
      </c>
      <c r="AY211">
        <v>1</v>
      </c>
      <c r="AZ211">
        <v>0</v>
      </c>
      <c r="BA211">
        <v>197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0</v>
      </c>
      <c r="BI211">
        <v>0</v>
      </c>
      <c r="BJ211">
        <v>0</v>
      </c>
      <c r="BK211">
        <v>0</v>
      </c>
      <c r="BL211">
        <v>0</v>
      </c>
      <c r="BM211">
        <v>0</v>
      </c>
      <c r="BN211">
        <v>0</v>
      </c>
      <c r="BO211">
        <v>0</v>
      </c>
      <c r="BP211">
        <v>0</v>
      </c>
      <c r="BQ211">
        <v>0</v>
      </c>
      <c r="BR211">
        <v>0</v>
      </c>
      <c r="BS211">
        <v>0</v>
      </c>
      <c r="BT211">
        <v>0</v>
      </c>
      <c r="BU211">
        <v>0</v>
      </c>
      <c r="BV211">
        <v>0</v>
      </c>
      <c r="BW211">
        <v>0</v>
      </c>
      <c r="CX211">
        <f>Y211*Source!I127</f>
        <v>0</v>
      </c>
      <c r="CY211">
        <f>AA211</f>
        <v>0</v>
      </c>
      <c r="CZ211">
        <f>AE211</f>
        <v>0</v>
      </c>
      <c r="DA211">
        <f>AI211</f>
        <v>1</v>
      </c>
      <c r="DB211">
        <f t="shared" si="51"/>
        <v>0</v>
      </c>
      <c r="DC211">
        <f t="shared" si="52"/>
        <v>0</v>
      </c>
    </row>
    <row r="212" spans="1:107" x14ac:dyDescent="0.2">
      <c r="A212">
        <f>ROW(Source!A128)</f>
        <v>128</v>
      </c>
      <c r="B212">
        <v>43095088</v>
      </c>
      <c r="C212">
        <v>43096051</v>
      </c>
      <c r="D212">
        <v>42301367</v>
      </c>
      <c r="E212">
        <v>29</v>
      </c>
      <c r="F212">
        <v>1</v>
      </c>
      <c r="G212">
        <v>29</v>
      </c>
      <c r="H212">
        <v>1</v>
      </c>
      <c r="I212" t="s">
        <v>555</v>
      </c>
      <c r="J212" t="s">
        <v>3</v>
      </c>
      <c r="K212" t="s">
        <v>556</v>
      </c>
      <c r="L212">
        <v>1191</v>
      </c>
      <c r="N212">
        <v>1013</v>
      </c>
      <c r="O212" t="s">
        <v>557</v>
      </c>
      <c r="P212" t="s">
        <v>557</v>
      </c>
      <c r="Q212">
        <v>1</v>
      </c>
      <c r="W212">
        <v>0</v>
      </c>
      <c r="X212">
        <v>476480486</v>
      </c>
      <c r="Y212">
        <v>26.3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1</v>
      </c>
      <c r="AJ212">
        <v>1</v>
      </c>
      <c r="AK212">
        <v>1</v>
      </c>
      <c r="AL212">
        <v>1</v>
      </c>
      <c r="AN212">
        <v>0</v>
      </c>
      <c r="AO212">
        <v>1</v>
      </c>
      <c r="AP212">
        <v>0</v>
      </c>
      <c r="AQ212">
        <v>0</v>
      </c>
      <c r="AR212">
        <v>0</v>
      </c>
      <c r="AS212" t="s">
        <v>3</v>
      </c>
      <c r="AT212">
        <v>26.3</v>
      </c>
      <c r="AU212" t="s">
        <v>3</v>
      </c>
      <c r="AV212">
        <v>1</v>
      </c>
      <c r="AW212">
        <v>2</v>
      </c>
      <c r="AX212">
        <v>43096076</v>
      </c>
      <c r="AY212">
        <v>1</v>
      </c>
      <c r="AZ212">
        <v>0</v>
      </c>
      <c r="BA212">
        <v>198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0</v>
      </c>
      <c r="BQ212">
        <v>0</v>
      </c>
      <c r="BR212">
        <v>0</v>
      </c>
      <c r="BS212">
        <v>0</v>
      </c>
      <c r="BT212">
        <v>0</v>
      </c>
      <c r="BU212">
        <v>0</v>
      </c>
      <c r="BV212">
        <v>0</v>
      </c>
      <c r="BW212">
        <v>0</v>
      </c>
      <c r="CX212">
        <f>Y212*Source!I128</f>
        <v>0</v>
      </c>
      <c r="CY212">
        <f>AD212</f>
        <v>0</v>
      </c>
      <c r="CZ212">
        <f>AH212</f>
        <v>0</v>
      </c>
      <c r="DA212">
        <f>AL212</f>
        <v>1</v>
      </c>
      <c r="DB212">
        <f t="shared" si="51"/>
        <v>0</v>
      </c>
      <c r="DC212">
        <f t="shared" si="52"/>
        <v>0</v>
      </c>
    </row>
    <row r="213" spans="1:107" x14ac:dyDescent="0.2">
      <c r="A213">
        <f>ROW(Source!A128)</f>
        <v>128</v>
      </c>
      <c r="B213">
        <v>43095088</v>
      </c>
      <c r="C213">
        <v>43096051</v>
      </c>
      <c r="D213">
        <v>42305225</v>
      </c>
      <c r="E213">
        <v>1</v>
      </c>
      <c r="F213">
        <v>1</v>
      </c>
      <c r="G213">
        <v>29</v>
      </c>
      <c r="H213">
        <v>3</v>
      </c>
      <c r="I213" t="s">
        <v>79</v>
      </c>
      <c r="J213" t="s">
        <v>82</v>
      </c>
      <c r="K213" t="s">
        <v>80</v>
      </c>
      <c r="L213">
        <v>1339</v>
      </c>
      <c r="N213">
        <v>1007</v>
      </c>
      <c r="O213" t="s">
        <v>81</v>
      </c>
      <c r="P213" t="s">
        <v>81</v>
      </c>
      <c r="Q213">
        <v>1</v>
      </c>
      <c r="W213">
        <v>0</v>
      </c>
      <c r="X213">
        <v>-1142489294</v>
      </c>
      <c r="Y213">
        <v>0.24</v>
      </c>
      <c r="AA213">
        <v>36.31</v>
      </c>
      <c r="AB213">
        <v>0</v>
      </c>
      <c r="AC213">
        <v>0</v>
      </c>
      <c r="AD213">
        <v>0</v>
      </c>
      <c r="AE213">
        <v>36.31</v>
      </c>
      <c r="AF213">
        <v>0</v>
      </c>
      <c r="AG213">
        <v>0</v>
      </c>
      <c r="AH213">
        <v>0</v>
      </c>
      <c r="AI213">
        <v>1</v>
      </c>
      <c r="AJ213">
        <v>1</v>
      </c>
      <c r="AK213">
        <v>1</v>
      </c>
      <c r="AL213">
        <v>1</v>
      </c>
      <c r="AN213">
        <v>0</v>
      </c>
      <c r="AO213">
        <v>1</v>
      </c>
      <c r="AP213">
        <v>0</v>
      </c>
      <c r="AQ213">
        <v>0</v>
      </c>
      <c r="AR213">
        <v>0</v>
      </c>
      <c r="AS213" t="s">
        <v>3</v>
      </c>
      <c r="AT213">
        <v>0.24</v>
      </c>
      <c r="AU213" t="s">
        <v>3</v>
      </c>
      <c r="AV213">
        <v>0</v>
      </c>
      <c r="AW213">
        <v>2</v>
      </c>
      <c r="AX213">
        <v>43096077</v>
      </c>
      <c r="AY213">
        <v>1</v>
      </c>
      <c r="AZ213">
        <v>0</v>
      </c>
      <c r="BA213">
        <v>199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0</v>
      </c>
      <c r="BI213">
        <v>0</v>
      </c>
      <c r="BJ213">
        <v>0</v>
      </c>
      <c r="BK213">
        <v>0</v>
      </c>
      <c r="BL213">
        <v>0</v>
      </c>
      <c r="BM213">
        <v>0</v>
      </c>
      <c r="BN213">
        <v>0</v>
      </c>
      <c r="BO213">
        <v>0</v>
      </c>
      <c r="BP213">
        <v>0</v>
      </c>
      <c r="BQ213">
        <v>0</v>
      </c>
      <c r="BR213">
        <v>0</v>
      </c>
      <c r="BS213">
        <v>0</v>
      </c>
      <c r="BT213">
        <v>0</v>
      </c>
      <c r="BU213">
        <v>0</v>
      </c>
      <c r="BV213">
        <v>0</v>
      </c>
      <c r="BW213">
        <v>0</v>
      </c>
      <c r="CX213">
        <f>Y213*Source!I128</f>
        <v>0</v>
      </c>
      <c r="CY213">
        <f t="shared" ref="CY213:CY219" si="53">AA213</f>
        <v>36.31</v>
      </c>
      <c r="CZ213">
        <f t="shared" ref="CZ213:CZ219" si="54">AE213</f>
        <v>36.31</v>
      </c>
      <c r="DA213">
        <f t="shared" ref="DA213:DA219" si="55">AI213</f>
        <v>1</v>
      </c>
      <c r="DB213">
        <f t="shared" si="51"/>
        <v>8.7100000000000009</v>
      </c>
      <c r="DC213">
        <f t="shared" si="52"/>
        <v>0</v>
      </c>
    </row>
    <row r="214" spans="1:107" x14ac:dyDescent="0.2">
      <c r="A214">
        <f>ROW(Source!A128)</f>
        <v>128</v>
      </c>
      <c r="B214">
        <v>43095088</v>
      </c>
      <c r="C214">
        <v>43096051</v>
      </c>
      <c r="D214">
        <v>42305379</v>
      </c>
      <c r="E214">
        <v>1</v>
      </c>
      <c r="F214">
        <v>1</v>
      </c>
      <c r="G214">
        <v>29</v>
      </c>
      <c r="H214">
        <v>3</v>
      </c>
      <c r="I214" t="s">
        <v>731</v>
      </c>
      <c r="J214" t="s">
        <v>732</v>
      </c>
      <c r="K214" t="s">
        <v>733</v>
      </c>
      <c r="L214">
        <v>1348</v>
      </c>
      <c r="N214">
        <v>1009</v>
      </c>
      <c r="O214" t="s">
        <v>402</v>
      </c>
      <c r="P214" t="s">
        <v>402</v>
      </c>
      <c r="Q214">
        <v>1000</v>
      </c>
      <c r="W214">
        <v>0</v>
      </c>
      <c r="X214">
        <v>-963299524</v>
      </c>
      <c r="Y214">
        <v>1.2E-2</v>
      </c>
      <c r="AA214">
        <v>3290.37</v>
      </c>
      <c r="AB214">
        <v>0</v>
      </c>
      <c r="AC214">
        <v>0</v>
      </c>
      <c r="AD214">
        <v>0</v>
      </c>
      <c r="AE214">
        <v>3290.37</v>
      </c>
      <c r="AF214">
        <v>0</v>
      </c>
      <c r="AG214">
        <v>0</v>
      </c>
      <c r="AH214">
        <v>0</v>
      </c>
      <c r="AI214">
        <v>1</v>
      </c>
      <c r="AJ214">
        <v>1</v>
      </c>
      <c r="AK214">
        <v>1</v>
      </c>
      <c r="AL214">
        <v>1</v>
      </c>
      <c r="AN214">
        <v>0</v>
      </c>
      <c r="AO214">
        <v>1</v>
      </c>
      <c r="AP214">
        <v>0</v>
      </c>
      <c r="AQ214">
        <v>0</v>
      </c>
      <c r="AR214">
        <v>0</v>
      </c>
      <c r="AS214" t="s">
        <v>3</v>
      </c>
      <c r="AT214">
        <v>1.2E-2</v>
      </c>
      <c r="AU214" t="s">
        <v>3</v>
      </c>
      <c r="AV214">
        <v>0</v>
      </c>
      <c r="AW214">
        <v>2</v>
      </c>
      <c r="AX214">
        <v>43096078</v>
      </c>
      <c r="AY214">
        <v>1</v>
      </c>
      <c r="AZ214">
        <v>0</v>
      </c>
      <c r="BA214">
        <v>200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0</v>
      </c>
      <c r="BP214">
        <v>0</v>
      </c>
      <c r="BQ214">
        <v>0</v>
      </c>
      <c r="BR214">
        <v>0</v>
      </c>
      <c r="BS214">
        <v>0</v>
      </c>
      <c r="BT214">
        <v>0</v>
      </c>
      <c r="BU214">
        <v>0</v>
      </c>
      <c r="BV214">
        <v>0</v>
      </c>
      <c r="BW214">
        <v>0</v>
      </c>
      <c r="CX214">
        <f>Y214*Source!I128</f>
        <v>0</v>
      </c>
      <c r="CY214">
        <f t="shared" si="53"/>
        <v>3290.37</v>
      </c>
      <c r="CZ214">
        <f t="shared" si="54"/>
        <v>3290.37</v>
      </c>
      <c r="DA214">
        <f t="shared" si="55"/>
        <v>1</v>
      </c>
      <c r="DB214">
        <f t="shared" si="51"/>
        <v>39.479999999999997</v>
      </c>
      <c r="DC214">
        <f t="shared" si="52"/>
        <v>0</v>
      </c>
    </row>
    <row r="215" spans="1:107" x14ac:dyDescent="0.2">
      <c r="A215">
        <f>ROW(Source!A128)</f>
        <v>128</v>
      </c>
      <c r="B215">
        <v>43095088</v>
      </c>
      <c r="C215">
        <v>43096051</v>
      </c>
      <c r="D215">
        <v>42305385</v>
      </c>
      <c r="E215">
        <v>1</v>
      </c>
      <c r="F215">
        <v>1</v>
      </c>
      <c r="G215">
        <v>29</v>
      </c>
      <c r="H215">
        <v>3</v>
      </c>
      <c r="I215" t="s">
        <v>734</v>
      </c>
      <c r="J215" t="s">
        <v>735</v>
      </c>
      <c r="K215" t="s">
        <v>736</v>
      </c>
      <c r="L215">
        <v>1348</v>
      </c>
      <c r="N215">
        <v>1009</v>
      </c>
      <c r="O215" t="s">
        <v>402</v>
      </c>
      <c r="P215" t="s">
        <v>402</v>
      </c>
      <c r="Q215">
        <v>1000</v>
      </c>
      <c r="W215">
        <v>0</v>
      </c>
      <c r="X215">
        <v>222756741</v>
      </c>
      <c r="Y215">
        <v>6.4000000000000005E-4</v>
      </c>
      <c r="AA215">
        <v>37604.99</v>
      </c>
      <c r="AB215">
        <v>0</v>
      </c>
      <c r="AC215">
        <v>0</v>
      </c>
      <c r="AD215">
        <v>0</v>
      </c>
      <c r="AE215">
        <v>37604.99</v>
      </c>
      <c r="AF215">
        <v>0</v>
      </c>
      <c r="AG215">
        <v>0</v>
      </c>
      <c r="AH215">
        <v>0</v>
      </c>
      <c r="AI215">
        <v>1</v>
      </c>
      <c r="AJ215">
        <v>1</v>
      </c>
      <c r="AK215">
        <v>1</v>
      </c>
      <c r="AL215">
        <v>1</v>
      </c>
      <c r="AN215">
        <v>0</v>
      </c>
      <c r="AO215">
        <v>1</v>
      </c>
      <c r="AP215">
        <v>0</v>
      </c>
      <c r="AQ215">
        <v>0</v>
      </c>
      <c r="AR215">
        <v>0</v>
      </c>
      <c r="AS215" t="s">
        <v>3</v>
      </c>
      <c r="AT215">
        <v>6.4000000000000005E-4</v>
      </c>
      <c r="AU215" t="s">
        <v>3</v>
      </c>
      <c r="AV215">
        <v>0</v>
      </c>
      <c r="AW215">
        <v>2</v>
      </c>
      <c r="AX215">
        <v>43096079</v>
      </c>
      <c r="AY215">
        <v>1</v>
      </c>
      <c r="AZ215">
        <v>0</v>
      </c>
      <c r="BA215">
        <v>201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0</v>
      </c>
      <c r="BI215">
        <v>0</v>
      </c>
      <c r="BJ215">
        <v>0</v>
      </c>
      <c r="BK215">
        <v>0</v>
      </c>
      <c r="BL215">
        <v>0</v>
      </c>
      <c r="BM215">
        <v>0</v>
      </c>
      <c r="BN215">
        <v>0</v>
      </c>
      <c r="BO215">
        <v>0</v>
      </c>
      <c r="BP215">
        <v>0</v>
      </c>
      <c r="BQ215">
        <v>0</v>
      </c>
      <c r="BR215">
        <v>0</v>
      </c>
      <c r="BS215">
        <v>0</v>
      </c>
      <c r="BT215">
        <v>0</v>
      </c>
      <c r="BU215">
        <v>0</v>
      </c>
      <c r="BV215">
        <v>0</v>
      </c>
      <c r="BW215">
        <v>0</v>
      </c>
      <c r="CX215">
        <f>Y215*Source!I128</f>
        <v>0</v>
      </c>
      <c r="CY215">
        <f t="shared" si="53"/>
        <v>37604.99</v>
      </c>
      <c r="CZ215">
        <f t="shared" si="54"/>
        <v>37604.99</v>
      </c>
      <c r="DA215">
        <f t="shared" si="55"/>
        <v>1</v>
      </c>
      <c r="DB215">
        <f t="shared" si="51"/>
        <v>24.07</v>
      </c>
      <c r="DC215">
        <f t="shared" si="52"/>
        <v>0</v>
      </c>
    </row>
    <row r="216" spans="1:107" x14ac:dyDescent="0.2">
      <c r="A216">
        <f>ROW(Source!A128)</f>
        <v>128</v>
      </c>
      <c r="B216">
        <v>43095088</v>
      </c>
      <c r="C216">
        <v>43096051</v>
      </c>
      <c r="D216">
        <v>42305576</v>
      </c>
      <c r="E216">
        <v>1</v>
      </c>
      <c r="F216">
        <v>1</v>
      </c>
      <c r="G216">
        <v>29</v>
      </c>
      <c r="H216">
        <v>3</v>
      </c>
      <c r="I216" t="s">
        <v>737</v>
      </c>
      <c r="J216" t="s">
        <v>738</v>
      </c>
      <c r="K216" t="s">
        <v>739</v>
      </c>
      <c r="L216">
        <v>1327</v>
      </c>
      <c r="N216">
        <v>1005</v>
      </c>
      <c r="O216" t="s">
        <v>94</v>
      </c>
      <c r="P216" t="s">
        <v>94</v>
      </c>
      <c r="Q216">
        <v>1</v>
      </c>
      <c r="W216">
        <v>0</v>
      </c>
      <c r="X216">
        <v>721383829</v>
      </c>
      <c r="Y216">
        <v>0.8</v>
      </c>
      <c r="AA216">
        <v>333.42</v>
      </c>
      <c r="AB216">
        <v>0</v>
      </c>
      <c r="AC216">
        <v>0</v>
      </c>
      <c r="AD216">
        <v>0</v>
      </c>
      <c r="AE216">
        <v>333.42</v>
      </c>
      <c r="AF216">
        <v>0</v>
      </c>
      <c r="AG216">
        <v>0</v>
      </c>
      <c r="AH216">
        <v>0</v>
      </c>
      <c r="AI216">
        <v>1</v>
      </c>
      <c r="AJ216">
        <v>1</v>
      </c>
      <c r="AK216">
        <v>1</v>
      </c>
      <c r="AL216">
        <v>1</v>
      </c>
      <c r="AN216">
        <v>0</v>
      </c>
      <c r="AO216">
        <v>1</v>
      </c>
      <c r="AP216">
        <v>0</v>
      </c>
      <c r="AQ216">
        <v>0</v>
      </c>
      <c r="AR216">
        <v>0</v>
      </c>
      <c r="AS216" t="s">
        <v>3</v>
      </c>
      <c r="AT216">
        <v>0.8</v>
      </c>
      <c r="AU216" t="s">
        <v>3</v>
      </c>
      <c r="AV216">
        <v>0</v>
      </c>
      <c r="AW216">
        <v>2</v>
      </c>
      <c r="AX216">
        <v>43096080</v>
      </c>
      <c r="AY216">
        <v>1</v>
      </c>
      <c r="AZ216">
        <v>0</v>
      </c>
      <c r="BA216">
        <v>202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0</v>
      </c>
      <c r="BI216">
        <v>0</v>
      </c>
      <c r="BJ216">
        <v>0</v>
      </c>
      <c r="BK216">
        <v>0</v>
      </c>
      <c r="BL216">
        <v>0</v>
      </c>
      <c r="BM216">
        <v>0</v>
      </c>
      <c r="BN216">
        <v>0</v>
      </c>
      <c r="BO216">
        <v>0</v>
      </c>
      <c r="BP216">
        <v>0</v>
      </c>
      <c r="BQ216">
        <v>0</v>
      </c>
      <c r="BR216">
        <v>0</v>
      </c>
      <c r="BS216">
        <v>0</v>
      </c>
      <c r="BT216">
        <v>0</v>
      </c>
      <c r="BU216">
        <v>0</v>
      </c>
      <c r="BV216">
        <v>0</v>
      </c>
      <c r="BW216">
        <v>0</v>
      </c>
      <c r="CX216">
        <f>Y216*Source!I128</f>
        <v>0</v>
      </c>
      <c r="CY216">
        <f t="shared" si="53"/>
        <v>333.42</v>
      </c>
      <c r="CZ216">
        <f t="shared" si="54"/>
        <v>333.42</v>
      </c>
      <c r="DA216">
        <f t="shared" si="55"/>
        <v>1</v>
      </c>
      <c r="DB216">
        <f t="shared" si="51"/>
        <v>266.74</v>
      </c>
      <c r="DC216">
        <f t="shared" si="52"/>
        <v>0</v>
      </c>
    </row>
    <row r="217" spans="1:107" x14ac:dyDescent="0.2">
      <c r="A217">
        <f>ROW(Source!A128)</f>
        <v>128</v>
      </c>
      <c r="B217">
        <v>43095088</v>
      </c>
      <c r="C217">
        <v>43096051</v>
      </c>
      <c r="D217">
        <v>42305595</v>
      </c>
      <c r="E217">
        <v>1</v>
      </c>
      <c r="F217">
        <v>1</v>
      </c>
      <c r="G217">
        <v>29</v>
      </c>
      <c r="H217">
        <v>3</v>
      </c>
      <c r="I217" t="s">
        <v>740</v>
      </c>
      <c r="J217" t="s">
        <v>741</v>
      </c>
      <c r="K217" t="s">
        <v>742</v>
      </c>
      <c r="L217">
        <v>1348</v>
      </c>
      <c r="N217">
        <v>1009</v>
      </c>
      <c r="O217" t="s">
        <v>402</v>
      </c>
      <c r="P217" t="s">
        <v>402</v>
      </c>
      <c r="Q217">
        <v>1000</v>
      </c>
      <c r="W217">
        <v>0</v>
      </c>
      <c r="X217">
        <v>-1349304866</v>
      </c>
      <c r="Y217">
        <v>6.4000000000000003E-3</v>
      </c>
      <c r="AA217">
        <v>26217.02</v>
      </c>
      <c r="AB217">
        <v>0</v>
      </c>
      <c r="AC217">
        <v>0</v>
      </c>
      <c r="AD217">
        <v>0</v>
      </c>
      <c r="AE217">
        <v>26217.02</v>
      </c>
      <c r="AF217">
        <v>0</v>
      </c>
      <c r="AG217">
        <v>0</v>
      </c>
      <c r="AH217">
        <v>0</v>
      </c>
      <c r="AI217">
        <v>1</v>
      </c>
      <c r="AJ217">
        <v>1</v>
      </c>
      <c r="AK217">
        <v>1</v>
      </c>
      <c r="AL217">
        <v>1</v>
      </c>
      <c r="AN217">
        <v>0</v>
      </c>
      <c r="AO217">
        <v>1</v>
      </c>
      <c r="AP217">
        <v>0</v>
      </c>
      <c r="AQ217">
        <v>0</v>
      </c>
      <c r="AR217">
        <v>0</v>
      </c>
      <c r="AS217" t="s">
        <v>3</v>
      </c>
      <c r="AT217">
        <v>6.4000000000000003E-3</v>
      </c>
      <c r="AU217" t="s">
        <v>3</v>
      </c>
      <c r="AV217">
        <v>0</v>
      </c>
      <c r="AW217">
        <v>2</v>
      </c>
      <c r="AX217">
        <v>43096081</v>
      </c>
      <c r="AY217">
        <v>1</v>
      </c>
      <c r="AZ217">
        <v>0</v>
      </c>
      <c r="BA217">
        <v>203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0</v>
      </c>
      <c r="BI217">
        <v>0</v>
      </c>
      <c r="BJ217">
        <v>0</v>
      </c>
      <c r="BK217">
        <v>0</v>
      </c>
      <c r="BL217">
        <v>0</v>
      </c>
      <c r="BM217">
        <v>0</v>
      </c>
      <c r="BN217">
        <v>0</v>
      </c>
      <c r="BO217">
        <v>0</v>
      </c>
      <c r="BP217">
        <v>0</v>
      </c>
      <c r="BQ217">
        <v>0</v>
      </c>
      <c r="BR217">
        <v>0</v>
      </c>
      <c r="BS217">
        <v>0</v>
      </c>
      <c r="BT217">
        <v>0</v>
      </c>
      <c r="BU217">
        <v>0</v>
      </c>
      <c r="BV217">
        <v>0</v>
      </c>
      <c r="BW217">
        <v>0</v>
      </c>
      <c r="CX217">
        <f>Y217*Source!I128</f>
        <v>0</v>
      </c>
      <c r="CY217">
        <f t="shared" si="53"/>
        <v>26217.02</v>
      </c>
      <c r="CZ217">
        <f t="shared" si="54"/>
        <v>26217.02</v>
      </c>
      <c r="DA217">
        <f t="shared" si="55"/>
        <v>1</v>
      </c>
      <c r="DB217">
        <f t="shared" si="51"/>
        <v>167.79</v>
      </c>
      <c r="DC217">
        <f t="shared" si="52"/>
        <v>0</v>
      </c>
    </row>
    <row r="218" spans="1:107" x14ac:dyDescent="0.2">
      <c r="A218">
        <f>ROW(Source!A128)</f>
        <v>128</v>
      </c>
      <c r="B218">
        <v>43095088</v>
      </c>
      <c r="C218">
        <v>43096051</v>
      </c>
      <c r="D218">
        <v>42305287</v>
      </c>
      <c r="E218">
        <v>1</v>
      </c>
      <c r="F218">
        <v>1</v>
      </c>
      <c r="G218">
        <v>29</v>
      </c>
      <c r="H218">
        <v>3</v>
      </c>
      <c r="I218" t="s">
        <v>743</v>
      </c>
      <c r="J218" t="s">
        <v>744</v>
      </c>
      <c r="K218" t="s">
        <v>745</v>
      </c>
      <c r="L218">
        <v>1348</v>
      </c>
      <c r="N218">
        <v>1009</v>
      </c>
      <c r="O218" t="s">
        <v>402</v>
      </c>
      <c r="P218" t="s">
        <v>402</v>
      </c>
      <c r="Q218">
        <v>1000</v>
      </c>
      <c r="W218">
        <v>0</v>
      </c>
      <c r="X218">
        <v>896253345</v>
      </c>
      <c r="Y218">
        <v>2.4299999999999999E-3</v>
      </c>
      <c r="AA218">
        <v>546290.88</v>
      </c>
      <c r="AB218">
        <v>0</v>
      </c>
      <c r="AC218">
        <v>0</v>
      </c>
      <c r="AD218">
        <v>0</v>
      </c>
      <c r="AE218">
        <v>546290.88</v>
      </c>
      <c r="AF218">
        <v>0</v>
      </c>
      <c r="AG218">
        <v>0</v>
      </c>
      <c r="AH218">
        <v>0</v>
      </c>
      <c r="AI218">
        <v>1</v>
      </c>
      <c r="AJ218">
        <v>1</v>
      </c>
      <c r="AK218">
        <v>1</v>
      </c>
      <c r="AL218">
        <v>1</v>
      </c>
      <c r="AN218">
        <v>0</v>
      </c>
      <c r="AO218">
        <v>1</v>
      </c>
      <c r="AP218">
        <v>0</v>
      </c>
      <c r="AQ218">
        <v>0</v>
      </c>
      <c r="AR218">
        <v>0</v>
      </c>
      <c r="AS218" t="s">
        <v>3</v>
      </c>
      <c r="AT218">
        <v>2.4299999999999999E-3</v>
      </c>
      <c r="AU218" t="s">
        <v>3</v>
      </c>
      <c r="AV218">
        <v>0</v>
      </c>
      <c r="AW218">
        <v>2</v>
      </c>
      <c r="AX218">
        <v>43096082</v>
      </c>
      <c r="AY218">
        <v>1</v>
      </c>
      <c r="AZ218">
        <v>0</v>
      </c>
      <c r="BA218">
        <v>204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0</v>
      </c>
      <c r="BI218">
        <v>0</v>
      </c>
      <c r="BJ218">
        <v>0</v>
      </c>
      <c r="BK218">
        <v>0</v>
      </c>
      <c r="BL218">
        <v>0</v>
      </c>
      <c r="BM218">
        <v>0</v>
      </c>
      <c r="BN218">
        <v>0</v>
      </c>
      <c r="BO218">
        <v>0</v>
      </c>
      <c r="BP218">
        <v>0</v>
      </c>
      <c r="BQ218">
        <v>0</v>
      </c>
      <c r="BR218">
        <v>0</v>
      </c>
      <c r="BS218">
        <v>0</v>
      </c>
      <c r="BT218">
        <v>0</v>
      </c>
      <c r="BU218">
        <v>0</v>
      </c>
      <c r="BV218">
        <v>0</v>
      </c>
      <c r="BW218">
        <v>0</v>
      </c>
      <c r="CX218">
        <f>Y218*Source!I128</f>
        <v>0</v>
      </c>
      <c r="CY218">
        <f t="shared" si="53"/>
        <v>546290.88</v>
      </c>
      <c r="CZ218">
        <f t="shared" si="54"/>
        <v>546290.88</v>
      </c>
      <c r="DA218">
        <f t="shared" si="55"/>
        <v>1</v>
      </c>
      <c r="DB218">
        <f t="shared" si="51"/>
        <v>1327.49</v>
      </c>
      <c r="DC218">
        <f t="shared" si="52"/>
        <v>0</v>
      </c>
    </row>
    <row r="219" spans="1:107" x14ac:dyDescent="0.2">
      <c r="A219">
        <f>ROW(Source!A128)</f>
        <v>128</v>
      </c>
      <c r="B219">
        <v>43095088</v>
      </c>
      <c r="C219">
        <v>43096051</v>
      </c>
      <c r="D219">
        <v>42303642</v>
      </c>
      <c r="E219">
        <v>1</v>
      </c>
      <c r="F219">
        <v>1</v>
      </c>
      <c r="G219">
        <v>29</v>
      </c>
      <c r="H219">
        <v>3</v>
      </c>
      <c r="I219" t="s">
        <v>746</v>
      </c>
      <c r="J219" t="s">
        <v>747</v>
      </c>
      <c r="K219" t="s">
        <v>748</v>
      </c>
      <c r="L219">
        <v>1348</v>
      </c>
      <c r="N219">
        <v>1009</v>
      </c>
      <c r="O219" t="s">
        <v>402</v>
      </c>
      <c r="P219" t="s">
        <v>402</v>
      </c>
      <c r="Q219">
        <v>1000</v>
      </c>
      <c r="W219">
        <v>0</v>
      </c>
      <c r="X219">
        <v>1903661654</v>
      </c>
      <c r="Y219">
        <v>6.7000000000000004E-2</v>
      </c>
      <c r="AA219">
        <v>85201.19</v>
      </c>
      <c r="AB219">
        <v>0</v>
      </c>
      <c r="AC219">
        <v>0</v>
      </c>
      <c r="AD219">
        <v>0</v>
      </c>
      <c r="AE219">
        <v>85201.19</v>
      </c>
      <c r="AF219">
        <v>0</v>
      </c>
      <c r="AG219">
        <v>0</v>
      </c>
      <c r="AH219">
        <v>0</v>
      </c>
      <c r="AI219">
        <v>1</v>
      </c>
      <c r="AJ219">
        <v>1</v>
      </c>
      <c r="AK219">
        <v>1</v>
      </c>
      <c r="AL219">
        <v>1</v>
      </c>
      <c r="AN219">
        <v>0</v>
      </c>
      <c r="AO219">
        <v>1</v>
      </c>
      <c r="AP219">
        <v>0</v>
      </c>
      <c r="AQ219">
        <v>0</v>
      </c>
      <c r="AR219">
        <v>0</v>
      </c>
      <c r="AS219" t="s">
        <v>3</v>
      </c>
      <c r="AT219">
        <v>6.7000000000000004E-2</v>
      </c>
      <c r="AU219" t="s">
        <v>3</v>
      </c>
      <c r="AV219">
        <v>0</v>
      </c>
      <c r="AW219">
        <v>2</v>
      </c>
      <c r="AX219">
        <v>43096083</v>
      </c>
      <c r="AY219">
        <v>1</v>
      </c>
      <c r="AZ219">
        <v>0</v>
      </c>
      <c r="BA219">
        <v>205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0</v>
      </c>
      <c r="BI219">
        <v>0</v>
      </c>
      <c r="BJ219">
        <v>0</v>
      </c>
      <c r="BK219">
        <v>0</v>
      </c>
      <c r="BL219">
        <v>0</v>
      </c>
      <c r="BM219">
        <v>0</v>
      </c>
      <c r="BN219">
        <v>0</v>
      </c>
      <c r="BO219">
        <v>0</v>
      </c>
      <c r="BP219">
        <v>0</v>
      </c>
      <c r="BQ219">
        <v>0</v>
      </c>
      <c r="BR219">
        <v>0</v>
      </c>
      <c r="BS219">
        <v>0</v>
      </c>
      <c r="BT219">
        <v>0</v>
      </c>
      <c r="BU219">
        <v>0</v>
      </c>
      <c r="BV219">
        <v>0</v>
      </c>
      <c r="BW219">
        <v>0</v>
      </c>
      <c r="CX219">
        <f>Y219*Source!I128</f>
        <v>0</v>
      </c>
      <c r="CY219">
        <f t="shared" si="53"/>
        <v>85201.19</v>
      </c>
      <c r="CZ219">
        <f t="shared" si="54"/>
        <v>85201.19</v>
      </c>
      <c r="DA219">
        <f t="shared" si="55"/>
        <v>1</v>
      </c>
      <c r="DB219">
        <f t="shared" si="51"/>
        <v>5708.48</v>
      </c>
      <c r="DC219">
        <f t="shared" si="52"/>
        <v>0</v>
      </c>
    </row>
    <row r="220" spans="1:107" x14ac:dyDescent="0.2">
      <c r="A220">
        <f>ROW(Source!A129)</f>
        <v>129</v>
      </c>
      <c r="B220">
        <v>43095088</v>
      </c>
      <c r="C220">
        <v>43096084</v>
      </c>
      <c r="D220">
        <v>42301367</v>
      </c>
      <c r="E220">
        <v>29</v>
      </c>
      <c r="F220">
        <v>1</v>
      </c>
      <c r="G220">
        <v>29</v>
      </c>
      <c r="H220">
        <v>1</v>
      </c>
      <c r="I220" t="s">
        <v>555</v>
      </c>
      <c r="J220" t="s">
        <v>3</v>
      </c>
      <c r="K220" t="s">
        <v>556</v>
      </c>
      <c r="L220">
        <v>1191</v>
      </c>
      <c r="N220">
        <v>1013</v>
      </c>
      <c r="O220" t="s">
        <v>557</v>
      </c>
      <c r="P220" t="s">
        <v>557</v>
      </c>
      <c r="Q220">
        <v>1</v>
      </c>
      <c r="W220">
        <v>0</v>
      </c>
      <c r="X220">
        <v>476480486</v>
      </c>
      <c r="Y220">
        <v>19.05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1</v>
      </c>
      <c r="AJ220">
        <v>1</v>
      </c>
      <c r="AK220">
        <v>1</v>
      </c>
      <c r="AL220">
        <v>1</v>
      </c>
      <c r="AN220">
        <v>0</v>
      </c>
      <c r="AO220">
        <v>1</v>
      </c>
      <c r="AP220">
        <v>0</v>
      </c>
      <c r="AQ220">
        <v>0</v>
      </c>
      <c r="AR220">
        <v>0</v>
      </c>
      <c r="AS220" t="s">
        <v>3</v>
      </c>
      <c r="AT220">
        <v>19.05</v>
      </c>
      <c r="AU220" t="s">
        <v>3</v>
      </c>
      <c r="AV220">
        <v>1</v>
      </c>
      <c r="AW220">
        <v>2</v>
      </c>
      <c r="AX220">
        <v>43096091</v>
      </c>
      <c r="AY220">
        <v>1</v>
      </c>
      <c r="AZ220">
        <v>0</v>
      </c>
      <c r="BA220">
        <v>206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0</v>
      </c>
      <c r="BQ220">
        <v>0</v>
      </c>
      <c r="BR220">
        <v>0</v>
      </c>
      <c r="BS220">
        <v>0</v>
      </c>
      <c r="BT220">
        <v>0</v>
      </c>
      <c r="BU220">
        <v>0</v>
      </c>
      <c r="BV220">
        <v>0</v>
      </c>
      <c r="BW220">
        <v>0</v>
      </c>
      <c r="CX220">
        <f>Y220*Source!I129</f>
        <v>0.38100000000000001</v>
      </c>
      <c r="CY220">
        <f>AD220</f>
        <v>0</v>
      </c>
      <c r="CZ220">
        <f>AH220</f>
        <v>0</v>
      </c>
      <c r="DA220">
        <f>AL220</f>
        <v>1</v>
      </c>
      <c r="DB220">
        <f t="shared" si="51"/>
        <v>0</v>
      </c>
      <c r="DC220">
        <f t="shared" si="52"/>
        <v>0</v>
      </c>
    </row>
    <row r="221" spans="1:107" x14ac:dyDescent="0.2">
      <c r="A221">
        <f>ROW(Source!A129)</f>
        <v>129</v>
      </c>
      <c r="B221">
        <v>43095088</v>
      </c>
      <c r="C221">
        <v>43096084</v>
      </c>
      <c r="D221">
        <v>42307588</v>
      </c>
      <c r="E221">
        <v>1</v>
      </c>
      <c r="F221">
        <v>1</v>
      </c>
      <c r="G221">
        <v>29</v>
      </c>
      <c r="H221">
        <v>3</v>
      </c>
      <c r="I221" t="s">
        <v>749</v>
      </c>
      <c r="J221" t="s">
        <v>750</v>
      </c>
      <c r="K221" t="s">
        <v>751</v>
      </c>
      <c r="L221">
        <v>1035</v>
      </c>
      <c r="N221">
        <v>1013</v>
      </c>
      <c r="O221" t="s">
        <v>752</v>
      </c>
      <c r="P221" t="s">
        <v>752</v>
      </c>
      <c r="Q221">
        <v>1</v>
      </c>
      <c r="W221">
        <v>0</v>
      </c>
      <c r="X221">
        <v>-1768023765</v>
      </c>
      <c r="Y221">
        <v>100</v>
      </c>
      <c r="AA221">
        <v>171.69</v>
      </c>
      <c r="AB221">
        <v>0</v>
      </c>
      <c r="AC221">
        <v>0</v>
      </c>
      <c r="AD221">
        <v>0</v>
      </c>
      <c r="AE221">
        <v>171.69</v>
      </c>
      <c r="AF221">
        <v>0</v>
      </c>
      <c r="AG221">
        <v>0</v>
      </c>
      <c r="AH221">
        <v>0</v>
      </c>
      <c r="AI221">
        <v>1</v>
      </c>
      <c r="AJ221">
        <v>1</v>
      </c>
      <c r="AK221">
        <v>1</v>
      </c>
      <c r="AL221">
        <v>1</v>
      </c>
      <c r="AN221">
        <v>0</v>
      </c>
      <c r="AO221">
        <v>1</v>
      </c>
      <c r="AP221">
        <v>0</v>
      </c>
      <c r="AQ221">
        <v>0</v>
      </c>
      <c r="AR221">
        <v>0</v>
      </c>
      <c r="AS221" t="s">
        <v>3</v>
      </c>
      <c r="AT221">
        <v>100</v>
      </c>
      <c r="AU221" t="s">
        <v>3</v>
      </c>
      <c r="AV221">
        <v>0</v>
      </c>
      <c r="AW221">
        <v>2</v>
      </c>
      <c r="AX221">
        <v>43096092</v>
      </c>
      <c r="AY221">
        <v>1</v>
      </c>
      <c r="AZ221">
        <v>0</v>
      </c>
      <c r="BA221">
        <v>207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0</v>
      </c>
      <c r="BI221">
        <v>0</v>
      </c>
      <c r="BJ221">
        <v>0</v>
      </c>
      <c r="BK221">
        <v>0</v>
      </c>
      <c r="BL221">
        <v>0</v>
      </c>
      <c r="BM221">
        <v>0</v>
      </c>
      <c r="BN221">
        <v>0</v>
      </c>
      <c r="BO221">
        <v>0</v>
      </c>
      <c r="BP221">
        <v>0</v>
      </c>
      <c r="BQ221">
        <v>0</v>
      </c>
      <c r="BR221">
        <v>0</v>
      </c>
      <c r="BS221">
        <v>0</v>
      </c>
      <c r="BT221">
        <v>0</v>
      </c>
      <c r="BU221">
        <v>0</v>
      </c>
      <c r="BV221">
        <v>0</v>
      </c>
      <c r="BW221">
        <v>0</v>
      </c>
      <c r="CX221">
        <f>Y221*Source!I129</f>
        <v>2</v>
      </c>
      <c r="CY221">
        <f>AA221</f>
        <v>171.69</v>
      </c>
      <c r="CZ221">
        <f>AE221</f>
        <v>171.69</v>
      </c>
      <c r="DA221">
        <f>AI221</f>
        <v>1</v>
      </c>
      <c r="DB221">
        <f t="shared" si="51"/>
        <v>17169</v>
      </c>
      <c r="DC221">
        <f t="shared" si="52"/>
        <v>0</v>
      </c>
    </row>
    <row r="222" spans="1:107" x14ac:dyDescent="0.2">
      <c r="A222">
        <f>ROW(Source!A130)</f>
        <v>130</v>
      </c>
      <c r="B222">
        <v>43095088</v>
      </c>
      <c r="C222">
        <v>43096093</v>
      </c>
      <c r="D222">
        <v>42301367</v>
      </c>
      <c r="E222">
        <v>29</v>
      </c>
      <c r="F222">
        <v>1</v>
      </c>
      <c r="G222">
        <v>29</v>
      </c>
      <c r="H222">
        <v>1</v>
      </c>
      <c r="I222" t="s">
        <v>555</v>
      </c>
      <c r="J222" t="s">
        <v>3</v>
      </c>
      <c r="K222" t="s">
        <v>556</v>
      </c>
      <c r="L222">
        <v>1191</v>
      </c>
      <c r="N222">
        <v>1013</v>
      </c>
      <c r="O222" t="s">
        <v>557</v>
      </c>
      <c r="P222" t="s">
        <v>557</v>
      </c>
      <c r="Q222">
        <v>1</v>
      </c>
      <c r="W222">
        <v>0</v>
      </c>
      <c r="X222">
        <v>476480486</v>
      </c>
      <c r="Y222">
        <v>67.5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1</v>
      </c>
      <c r="AJ222">
        <v>1</v>
      </c>
      <c r="AK222">
        <v>1</v>
      </c>
      <c r="AL222">
        <v>1</v>
      </c>
      <c r="AN222">
        <v>0</v>
      </c>
      <c r="AO222">
        <v>1</v>
      </c>
      <c r="AP222">
        <v>0</v>
      </c>
      <c r="AQ222">
        <v>0</v>
      </c>
      <c r="AR222">
        <v>0</v>
      </c>
      <c r="AS222" t="s">
        <v>3</v>
      </c>
      <c r="AT222">
        <v>67.5</v>
      </c>
      <c r="AU222" t="s">
        <v>3</v>
      </c>
      <c r="AV222">
        <v>1</v>
      </c>
      <c r="AW222">
        <v>2</v>
      </c>
      <c r="AX222">
        <v>43096110</v>
      </c>
      <c r="AY222">
        <v>1</v>
      </c>
      <c r="AZ222">
        <v>0</v>
      </c>
      <c r="BA222">
        <v>208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0</v>
      </c>
      <c r="BI222">
        <v>0</v>
      </c>
      <c r="BJ222">
        <v>0</v>
      </c>
      <c r="BK222">
        <v>0</v>
      </c>
      <c r="BL222">
        <v>0</v>
      </c>
      <c r="BM222">
        <v>0</v>
      </c>
      <c r="BN222">
        <v>0</v>
      </c>
      <c r="BO222">
        <v>0</v>
      </c>
      <c r="BP222">
        <v>0</v>
      </c>
      <c r="BQ222">
        <v>0</v>
      </c>
      <c r="BR222">
        <v>0</v>
      </c>
      <c r="BS222">
        <v>0</v>
      </c>
      <c r="BT222">
        <v>0</v>
      </c>
      <c r="BU222">
        <v>0</v>
      </c>
      <c r="BV222">
        <v>0</v>
      </c>
      <c r="BW222">
        <v>0</v>
      </c>
      <c r="CX222">
        <f>Y222*Source!I130</f>
        <v>0.43739999999999996</v>
      </c>
      <c r="CY222">
        <f>AD222</f>
        <v>0</v>
      </c>
      <c r="CZ222">
        <f>AH222</f>
        <v>0</v>
      </c>
      <c r="DA222">
        <f>AL222</f>
        <v>1</v>
      </c>
      <c r="DB222">
        <f t="shared" si="51"/>
        <v>0</v>
      </c>
      <c r="DC222">
        <f t="shared" si="52"/>
        <v>0</v>
      </c>
    </row>
    <row r="223" spans="1:107" x14ac:dyDescent="0.2">
      <c r="A223">
        <f>ROW(Source!A130)</f>
        <v>130</v>
      </c>
      <c r="B223">
        <v>43095088</v>
      </c>
      <c r="C223">
        <v>43096093</v>
      </c>
      <c r="D223">
        <v>42302736</v>
      </c>
      <c r="E223">
        <v>1</v>
      </c>
      <c r="F223">
        <v>1</v>
      </c>
      <c r="G223">
        <v>29</v>
      </c>
      <c r="H223">
        <v>2</v>
      </c>
      <c r="I223" t="s">
        <v>690</v>
      </c>
      <c r="J223" t="s">
        <v>691</v>
      </c>
      <c r="K223" t="s">
        <v>692</v>
      </c>
      <c r="L223">
        <v>1368</v>
      </c>
      <c r="N223">
        <v>1011</v>
      </c>
      <c r="O223" t="s">
        <v>480</v>
      </c>
      <c r="P223" t="s">
        <v>480</v>
      </c>
      <c r="Q223">
        <v>1</v>
      </c>
      <c r="W223">
        <v>0</v>
      </c>
      <c r="X223">
        <v>829511768</v>
      </c>
      <c r="Y223">
        <v>14.12</v>
      </c>
      <c r="AA223">
        <v>0</v>
      </c>
      <c r="AB223">
        <v>366.19</v>
      </c>
      <c r="AC223">
        <v>7.37</v>
      </c>
      <c r="AD223">
        <v>0</v>
      </c>
      <c r="AE223">
        <v>0</v>
      </c>
      <c r="AF223">
        <v>366.19</v>
      </c>
      <c r="AG223">
        <v>7.37</v>
      </c>
      <c r="AH223">
        <v>0</v>
      </c>
      <c r="AI223">
        <v>1</v>
      </c>
      <c r="AJ223">
        <v>1</v>
      </c>
      <c r="AK223">
        <v>1</v>
      </c>
      <c r="AL223">
        <v>1</v>
      </c>
      <c r="AN223">
        <v>0</v>
      </c>
      <c r="AO223">
        <v>1</v>
      </c>
      <c r="AP223">
        <v>0</v>
      </c>
      <c r="AQ223">
        <v>0</v>
      </c>
      <c r="AR223">
        <v>0</v>
      </c>
      <c r="AS223" t="s">
        <v>3</v>
      </c>
      <c r="AT223">
        <v>14.12</v>
      </c>
      <c r="AU223" t="s">
        <v>3</v>
      </c>
      <c r="AV223">
        <v>0</v>
      </c>
      <c r="AW223">
        <v>2</v>
      </c>
      <c r="AX223">
        <v>43096111</v>
      </c>
      <c r="AY223">
        <v>1</v>
      </c>
      <c r="AZ223">
        <v>0</v>
      </c>
      <c r="BA223">
        <v>209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0</v>
      </c>
      <c r="BI223">
        <v>0</v>
      </c>
      <c r="BJ223">
        <v>0</v>
      </c>
      <c r="BK223">
        <v>0</v>
      </c>
      <c r="BL223">
        <v>0</v>
      </c>
      <c r="BM223">
        <v>0</v>
      </c>
      <c r="BN223">
        <v>0</v>
      </c>
      <c r="BO223">
        <v>0</v>
      </c>
      <c r="BP223">
        <v>0</v>
      </c>
      <c r="BQ223">
        <v>0</v>
      </c>
      <c r="BR223">
        <v>0</v>
      </c>
      <c r="BS223">
        <v>0</v>
      </c>
      <c r="BT223">
        <v>0</v>
      </c>
      <c r="BU223">
        <v>0</v>
      </c>
      <c r="BV223">
        <v>0</v>
      </c>
      <c r="BW223">
        <v>0</v>
      </c>
      <c r="CX223">
        <f>Y223*Source!I130</f>
        <v>9.1497599999999984E-2</v>
      </c>
      <c r="CY223">
        <f>AB223</f>
        <v>366.19</v>
      </c>
      <c r="CZ223">
        <f>AF223</f>
        <v>366.19</v>
      </c>
      <c r="DA223">
        <f>AJ223</f>
        <v>1</v>
      </c>
      <c r="DB223">
        <f t="shared" si="51"/>
        <v>5170.6000000000004</v>
      </c>
      <c r="DC223">
        <f t="shared" si="52"/>
        <v>104.06</v>
      </c>
    </row>
    <row r="224" spans="1:107" x14ac:dyDescent="0.2">
      <c r="A224">
        <f>ROW(Source!A130)</f>
        <v>130</v>
      </c>
      <c r="B224">
        <v>43095088</v>
      </c>
      <c r="C224">
        <v>43096093</v>
      </c>
      <c r="D224">
        <v>42304254</v>
      </c>
      <c r="E224">
        <v>1</v>
      </c>
      <c r="F224">
        <v>1</v>
      </c>
      <c r="G224">
        <v>29</v>
      </c>
      <c r="H224">
        <v>3</v>
      </c>
      <c r="I224" t="s">
        <v>663</v>
      </c>
      <c r="J224" t="s">
        <v>664</v>
      </c>
      <c r="K224" t="s">
        <v>665</v>
      </c>
      <c r="L224">
        <v>1348</v>
      </c>
      <c r="N224">
        <v>1009</v>
      </c>
      <c r="O224" t="s">
        <v>402</v>
      </c>
      <c r="P224" t="s">
        <v>402</v>
      </c>
      <c r="Q224">
        <v>1000</v>
      </c>
      <c r="W224">
        <v>0</v>
      </c>
      <c r="X224">
        <v>-1288676302</v>
      </c>
      <c r="Y224">
        <v>2.5400000000000002E-3</v>
      </c>
      <c r="AA224">
        <v>146451.23000000001</v>
      </c>
      <c r="AB224">
        <v>0</v>
      </c>
      <c r="AC224">
        <v>0</v>
      </c>
      <c r="AD224">
        <v>0</v>
      </c>
      <c r="AE224">
        <v>146451.23000000001</v>
      </c>
      <c r="AF224">
        <v>0</v>
      </c>
      <c r="AG224">
        <v>0</v>
      </c>
      <c r="AH224">
        <v>0</v>
      </c>
      <c r="AI224">
        <v>1</v>
      </c>
      <c r="AJ224">
        <v>1</v>
      </c>
      <c r="AK224">
        <v>1</v>
      </c>
      <c r="AL224">
        <v>1</v>
      </c>
      <c r="AN224">
        <v>0</v>
      </c>
      <c r="AO224">
        <v>1</v>
      </c>
      <c r="AP224">
        <v>0</v>
      </c>
      <c r="AQ224">
        <v>0</v>
      </c>
      <c r="AR224">
        <v>0</v>
      </c>
      <c r="AS224" t="s">
        <v>3</v>
      </c>
      <c r="AT224">
        <v>2.5400000000000002E-3</v>
      </c>
      <c r="AU224" t="s">
        <v>3</v>
      </c>
      <c r="AV224">
        <v>0</v>
      </c>
      <c r="AW224">
        <v>2</v>
      </c>
      <c r="AX224">
        <v>43096112</v>
      </c>
      <c r="AY224">
        <v>1</v>
      </c>
      <c r="AZ224">
        <v>0</v>
      </c>
      <c r="BA224">
        <v>210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0</v>
      </c>
      <c r="BI224">
        <v>0</v>
      </c>
      <c r="BJ224">
        <v>0</v>
      </c>
      <c r="BK224">
        <v>0</v>
      </c>
      <c r="BL224">
        <v>0</v>
      </c>
      <c r="BM224">
        <v>0</v>
      </c>
      <c r="BN224">
        <v>0</v>
      </c>
      <c r="BO224">
        <v>0</v>
      </c>
      <c r="BP224">
        <v>0</v>
      </c>
      <c r="BQ224">
        <v>0</v>
      </c>
      <c r="BR224">
        <v>0</v>
      </c>
      <c r="BS224">
        <v>0</v>
      </c>
      <c r="BT224">
        <v>0</v>
      </c>
      <c r="BU224">
        <v>0</v>
      </c>
      <c r="BV224">
        <v>0</v>
      </c>
      <c r="BW224">
        <v>0</v>
      </c>
      <c r="CX224">
        <f>Y224*Source!I130</f>
        <v>1.64592E-5</v>
      </c>
      <c r="CY224">
        <f>AA224</f>
        <v>146451.23000000001</v>
      </c>
      <c r="CZ224">
        <f>AE224</f>
        <v>146451.23000000001</v>
      </c>
      <c r="DA224">
        <f>AI224</f>
        <v>1</v>
      </c>
      <c r="DB224">
        <f t="shared" si="51"/>
        <v>371.99</v>
      </c>
      <c r="DC224">
        <f t="shared" si="52"/>
        <v>0</v>
      </c>
    </row>
    <row r="225" spans="1:107" x14ac:dyDescent="0.2">
      <c r="A225">
        <f>ROW(Source!A130)</f>
        <v>130</v>
      </c>
      <c r="B225">
        <v>43095088</v>
      </c>
      <c r="C225">
        <v>43096093</v>
      </c>
      <c r="D225">
        <v>42305119</v>
      </c>
      <c r="E225">
        <v>1</v>
      </c>
      <c r="F225">
        <v>1</v>
      </c>
      <c r="G225">
        <v>29</v>
      </c>
      <c r="H225">
        <v>3</v>
      </c>
      <c r="I225" t="s">
        <v>753</v>
      </c>
      <c r="J225" t="s">
        <v>754</v>
      </c>
      <c r="K225" t="s">
        <v>755</v>
      </c>
      <c r="L225">
        <v>1348</v>
      </c>
      <c r="N225">
        <v>1009</v>
      </c>
      <c r="O225" t="s">
        <v>402</v>
      </c>
      <c r="P225" t="s">
        <v>402</v>
      </c>
      <c r="Q225">
        <v>1000</v>
      </c>
      <c r="W225">
        <v>0</v>
      </c>
      <c r="X225">
        <v>640721353</v>
      </c>
      <c r="Y225">
        <v>3.3600000000000001E-3</v>
      </c>
      <c r="AA225">
        <v>110835.3</v>
      </c>
      <c r="AB225">
        <v>0</v>
      </c>
      <c r="AC225">
        <v>0</v>
      </c>
      <c r="AD225">
        <v>0</v>
      </c>
      <c r="AE225">
        <v>110835.3</v>
      </c>
      <c r="AF225">
        <v>0</v>
      </c>
      <c r="AG225">
        <v>0</v>
      </c>
      <c r="AH225">
        <v>0</v>
      </c>
      <c r="AI225">
        <v>1</v>
      </c>
      <c r="AJ225">
        <v>1</v>
      </c>
      <c r="AK225">
        <v>1</v>
      </c>
      <c r="AL225">
        <v>1</v>
      </c>
      <c r="AN225">
        <v>0</v>
      </c>
      <c r="AO225">
        <v>1</v>
      </c>
      <c r="AP225">
        <v>0</v>
      </c>
      <c r="AQ225">
        <v>0</v>
      </c>
      <c r="AR225">
        <v>0</v>
      </c>
      <c r="AS225" t="s">
        <v>3</v>
      </c>
      <c r="AT225">
        <v>3.3600000000000001E-3</v>
      </c>
      <c r="AU225" t="s">
        <v>3</v>
      </c>
      <c r="AV225">
        <v>0</v>
      </c>
      <c r="AW225">
        <v>2</v>
      </c>
      <c r="AX225">
        <v>43096113</v>
      </c>
      <c r="AY225">
        <v>1</v>
      </c>
      <c r="AZ225">
        <v>0</v>
      </c>
      <c r="BA225">
        <v>211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0</v>
      </c>
      <c r="BI225">
        <v>0</v>
      </c>
      <c r="BJ225">
        <v>0</v>
      </c>
      <c r="BK225">
        <v>0</v>
      </c>
      <c r="BL225">
        <v>0</v>
      </c>
      <c r="BM225">
        <v>0</v>
      </c>
      <c r="BN225">
        <v>0</v>
      </c>
      <c r="BO225">
        <v>0</v>
      </c>
      <c r="BP225">
        <v>0</v>
      </c>
      <c r="BQ225">
        <v>0</v>
      </c>
      <c r="BR225">
        <v>0</v>
      </c>
      <c r="BS225">
        <v>0</v>
      </c>
      <c r="BT225">
        <v>0</v>
      </c>
      <c r="BU225">
        <v>0</v>
      </c>
      <c r="BV225">
        <v>0</v>
      </c>
      <c r="BW225">
        <v>0</v>
      </c>
      <c r="CX225">
        <f>Y225*Source!I130</f>
        <v>2.1772799999999999E-5</v>
      </c>
      <c r="CY225">
        <f>AA225</f>
        <v>110835.3</v>
      </c>
      <c r="CZ225">
        <f>AE225</f>
        <v>110835.3</v>
      </c>
      <c r="DA225">
        <f>AI225</f>
        <v>1</v>
      </c>
      <c r="DB225">
        <f t="shared" si="51"/>
        <v>372.41</v>
      </c>
      <c r="DC225">
        <f t="shared" si="52"/>
        <v>0</v>
      </c>
    </row>
    <row r="226" spans="1:107" x14ac:dyDescent="0.2">
      <c r="A226">
        <f>ROW(Source!A135)</f>
        <v>135</v>
      </c>
      <c r="B226">
        <v>43095088</v>
      </c>
      <c r="C226">
        <v>43096118</v>
      </c>
      <c r="D226">
        <v>42301367</v>
      </c>
      <c r="E226">
        <v>29</v>
      </c>
      <c r="F226">
        <v>1</v>
      </c>
      <c r="G226">
        <v>29</v>
      </c>
      <c r="H226">
        <v>1</v>
      </c>
      <c r="I226" t="s">
        <v>555</v>
      </c>
      <c r="J226" t="s">
        <v>3</v>
      </c>
      <c r="K226" t="s">
        <v>556</v>
      </c>
      <c r="L226">
        <v>1191</v>
      </c>
      <c r="N226">
        <v>1013</v>
      </c>
      <c r="O226" t="s">
        <v>557</v>
      </c>
      <c r="P226" t="s">
        <v>557</v>
      </c>
      <c r="Q226">
        <v>1</v>
      </c>
      <c r="W226">
        <v>0</v>
      </c>
      <c r="X226">
        <v>476480486</v>
      </c>
      <c r="Y226">
        <v>10.66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1</v>
      </c>
      <c r="AJ226">
        <v>1</v>
      </c>
      <c r="AK226">
        <v>1</v>
      </c>
      <c r="AL226">
        <v>1</v>
      </c>
      <c r="AN226">
        <v>0</v>
      </c>
      <c r="AO226">
        <v>1</v>
      </c>
      <c r="AP226">
        <v>0</v>
      </c>
      <c r="AQ226">
        <v>0</v>
      </c>
      <c r="AR226">
        <v>0</v>
      </c>
      <c r="AS226" t="s">
        <v>3</v>
      </c>
      <c r="AT226">
        <v>10.66</v>
      </c>
      <c r="AU226" t="s">
        <v>3</v>
      </c>
      <c r="AV226">
        <v>1</v>
      </c>
      <c r="AW226">
        <v>2</v>
      </c>
      <c r="AX226">
        <v>43096146</v>
      </c>
      <c r="AY226">
        <v>1</v>
      </c>
      <c r="AZ226">
        <v>0</v>
      </c>
      <c r="BA226">
        <v>212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0</v>
      </c>
      <c r="BI226">
        <v>0</v>
      </c>
      <c r="BJ226">
        <v>0</v>
      </c>
      <c r="BK226">
        <v>0</v>
      </c>
      <c r="BL226">
        <v>0</v>
      </c>
      <c r="BM226">
        <v>0</v>
      </c>
      <c r="BN226">
        <v>0</v>
      </c>
      <c r="BO226">
        <v>0</v>
      </c>
      <c r="BP226">
        <v>0</v>
      </c>
      <c r="BQ226">
        <v>0</v>
      </c>
      <c r="BR226">
        <v>0</v>
      </c>
      <c r="BS226">
        <v>0</v>
      </c>
      <c r="BT226">
        <v>0</v>
      </c>
      <c r="BU226">
        <v>0</v>
      </c>
      <c r="BV226">
        <v>0</v>
      </c>
      <c r="BW226">
        <v>0</v>
      </c>
      <c r="CX226">
        <f>Y226*Source!I135</f>
        <v>1.1726000000000001</v>
      </c>
      <c r="CY226">
        <f>AD226</f>
        <v>0</v>
      </c>
      <c r="CZ226">
        <f>AH226</f>
        <v>0</v>
      </c>
      <c r="DA226">
        <f>AL226</f>
        <v>1</v>
      </c>
      <c r="DB226">
        <f t="shared" si="51"/>
        <v>0</v>
      </c>
      <c r="DC226">
        <f t="shared" si="52"/>
        <v>0</v>
      </c>
    </row>
    <row r="227" spans="1:107" x14ac:dyDescent="0.2">
      <c r="A227">
        <f>ROW(Source!A135)</f>
        <v>135</v>
      </c>
      <c r="B227">
        <v>43095088</v>
      </c>
      <c r="C227">
        <v>43096118</v>
      </c>
      <c r="D227">
        <v>42302736</v>
      </c>
      <c r="E227">
        <v>1</v>
      </c>
      <c r="F227">
        <v>1</v>
      </c>
      <c r="G227">
        <v>29</v>
      </c>
      <c r="H227">
        <v>2</v>
      </c>
      <c r="I227" t="s">
        <v>690</v>
      </c>
      <c r="J227" t="s">
        <v>691</v>
      </c>
      <c r="K227" t="s">
        <v>692</v>
      </c>
      <c r="L227">
        <v>1368</v>
      </c>
      <c r="N227">
        <v>1011</v>
      </c>
      <c r="O227" t="s">
        <v>480</v>
      </c>
      <c r="P227" t="s">
        <v>480</v>
      </c>
      <c r="Q227">
        <v>1</v>
      </c>
      <c r="W227">
        <v>0</v>
      </c>
      <c r="X227">
        <v>829511768</v>
      </c>
      <c r="Y227">
        <v>3.24</v>
      </c>
      <c r="AA227">
        <v>0</v>
      </c>
      <c r="AB227">
        <v>366.19</v>
      </c>
      <c r="AC227">
        <v>7.37</v>
      </c>
      <c r="AD227">
        <v>0</v>
      </c>
      <c r="AE227">
        <v>0</v>
      </c>
      <c r="AF227">
        <v>366.19</v>
      </c>
      <c r="AG227">
        <v>7.37</v>
      </c>
      <c r="AH227">
        <v>0</v>
      </c>
      <c r="AI227">
        <v>1</v>
      </c>
      <c r="AJ227">
        <v>1</v>
      </c>
      <c r="AK227">
        <v>1</v>
      </c>
      <c r="AL227">
        <v>1</v>
      </c>
      <c r="AN227">
        <v>0</v>
      </c>
      <c r="AO227">
        <v>1</v>
      </c>
      <c r="AP227">
        <v>0</v>
      </c>
      <c r="AQ227">
        <v>0</v>
      </c>
      <c r="AR227">
        <v>0</v>
      </c>
      <c r="AS227" t="s">
        <v>3</v>
      </c>
      <c r="AT227">
        <v>3.24</v>
      </c>
      <c r="AU227" t="s">
        <v>3</v>
      </c>
      <c r="AV227">
        <v>0</v>
      </c>
      <c r="AW227">
        <v>2</v>
      </c>
      <c r="AX227">
        <v>43096147</v>
      </c>
      <c r="AY227">
        <v>1</v>
      </c>
      <c r="AZ227">
        <v>0</v>
      </c>
      <c r="BA227">
        <v>213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0</v>
      </c>
      <c r="BI227">
        <v>0</v>
      </c>
      <c r="BJ227">
        <v>0</v>
      </c>
      <c r="BK227">
        <v>0</v>
      </c>
      <c r="BL227">
        <v>0</v>
      </c>
      <c r="BM227">
        <v>0</v>
      </c>
      <c r="BN227">
        <v>0</v>
      </c>
      <c r="BO227">
        <v>0</v>
      </c>
      <c r="BP227">
        <v>0</v>
      </c>
      <c r="BQ227">
        <v>0</v>
      </c>
      <c r="BR227">
        <v>0</v>
      </c>
      <c r="BS227">
        <v>0</v>
      </c>
      <c r="BT227">
        <v>0</v>
      </c>
      <c r="BU227">
        <v>0</v>
      </c>
      <c r="BV227">
        <v>0</v>
      </c>
      <c r="BW227">
        <v>0</v>
      </c>
      <c r="CX227">
        <f>Y227*Source!I135</f>
        <v>0.35640000000000005</v>
      </c>
      <c r="CY227">
        <f>AB227</f>
        <v>366.19</v>
      </c>
      <c r="CZ227">
        <f>AF227</f>
        <v>366.19</v>
      </c>
      <c r="DA227">
        <f>AJ227</f>
        <v>1</v>
      </c>
      <c r="DB227">
        <f t="shared" ref="DB227:DB240" si="56">ROUND(ROUND(AT227*CZ227,2),6)</f>
        <v>1186.46</v>
      </c>
      <c r="DC227">
        <f t="shared" ref="DC227:DC240" si="57">ROUND(ROUND(AT227*AG227,2),6)</f>
        <v>23.88</v>
      </c>
    </row>
    <row r="228" spans="1:107" x14ac:dyDescent="0.2">
      <c r="A228">
        <f>ROW(Source!A135)</f>
        <v>135</v>
      </c>
      <c r="B228">
        <v>43095088</v>
      </c>
      <c r="C228">
        <v>43096118</v>
      </c>
      <c r="D228">
        <v>42303124</v>
      </c>
      <c r="E228">
        <v>1</v>
      </c>
      <c r="F228">
        <v>1</v>
      </c>
      <c r="G228">
        <v>29</v>
      </c>
      <c r="H228">
        <v>2</v>
      </c>
      <c r="I228" t="s">
        <v>633</v>
      </c>
      <c r="J228" t="s">
        <v>634</v>
      </c>
      <c r="K228" t="s">
        <v>635</v>
      </c>
      <c r="L228">
        <v>1368</v>
      </c>
      <c r="N228">
        <v>1011</v>
      </c>
      <c r="O228" t="s">
        <v>480</v>
      </c>
      <c r="P228" t="s">
        <v>480</v>
      </c>
      <c r="Q228">
        <v>1</v>
      </c>
      <c r="W228">
        <v>0</v>
      </c>
      <c r="X228">
        <v>-376097338</v>
      </c>
      <c r="Y228">
        <v>2.38</v>
      </c>
      <c r="AA228">
        <v>0</v>
      </c>
      <c r="AB228">
        <v>3.14</v>
      </c>
      <c r="AC228">
        <v>0.01</v>
      </c>
      <c r="AD228">
        <v>0</v>
      </c>
      <c r="AE228">
        <v>0</v>
      </c>
      <c r="AF228">
        <v>3.14</v>
      </c>
      <c r="AG228">
        <v>0.01</v>
      </c>
      <c r="AH228">
        <v>0</v>
      </c>
      <c r="AI228">
        <v>1</v>
      </c>
      <c r="AJ228">
        <v>1</v>
      </c>
      <c r="AK228">
        <v>1</v>
      </c>
      <c r="AL228">
        <v>1</v>
      </c>
      <c r="AN228">
        <v>0</v>
      </c>
      <c r="AO228">
        <v>1</v>
      </c>
      <c r="AP228">
        <v>0</v>
      </c>
      <c r="AQ228">
        <v>0</v>
      </c>
      <c r="AR228">
        <v>0</v>
      </c>
      <c r="AS228" t="s">
        <v>3</v>
      </c>
      <c r="AT228">
        <v>2.38</v>
      </c>
      <c r="AU228" t="s">
        <v>3</v>
      </c>
      <c r="AV228">
        <v>0</v>
      </c>
      <c r="AW228">
        <v>2</v>
      </c>
      <c r="AX228">
        <v>43096148</v>
      </c>
      <c r="AY228">
        <v>1</v>
      </c>
      <c r="AZ228">
        <v>0</v>
      </c>
      <c r="BA228">
        <v>214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0</v>
      </c>
      <c r="BI228">
        <v>0</v>
      </c>
      <c r="BJ228">
        <v>0</v>
      </c>
      <c r="BK228">
        <v>0</v>
      </c>
      <c r="BL228">
        <v>0</v>
      </c>
      <c r="BM228">
        <v>0</v>
      </c>
      <c r="BN228">
        <v>0</v>
      </c>
      <c r="BO228">
        <v>0</v>
      </c>
      <c r="BP228">
        <v>0</v>
      </c>
      <c r="BQ228">
        <v>0</v>
      </c>
      <c r="BR228">
        <v>0</v>
      </c>
      <c r="BS228">
        <v>0</v>
      </c>
      <c r="BT228">
        <v>0</v>
      </c>
      <c r="BU228">
        <v>0</v>
      </c>
      <c r="BV228">
        <v>0</v>
      </c>
      <c r="BW228">
        <v>0</v>
      </c>
      <c r="CX228">
        <f>Y228*Source!I135</f>
        <v>0.26179999999999998</v>
      </c>
      <c r="CY228">
        <f>AB228</f>
        <v>3.14</v>
      </c>
      <c r="CZ228">
        <f>AF228</f>
        <v>3.14</v>
      </c>
      <c r="DA228">
        <f>AJ228</f>
        <v>1</v>
      </c>
      <c r="DB228">
        <f t="shared" si="56"/>
        <v>7.47</v>
      </c>
      <c r="DC228">
        <f t="shared" si="57"/>
        <v>0.02</v>
      </c>
    </row>
    <row r="229" spans="1:107" x14ac:dyDescent="0.2">
      <c r="A229">
        <f>ROW(Source!A135)</f>
        <v>135</v>
      </c>
      <c r="B229">
        <v>43095088</v>
      </c>
      <c r="C229">
        <v>43096118</v>
      </c>
      <c r="D229">
        <v>42302401</v>
      </c>
      <c r="E229">
        <v>1</v>
      </c>
      <c r="F229">
        <v>1</v>
      </c>
      <c r="G229">
        <v>29</v>
      </c>
      <c r="H229">
        <v>2</v>
      </c>
      <c r="I229" t="s">
        <v>756</v>
      </c>
      <c r="J229" t="s">
        <v>757</v>
      </c>
      <c r="K229" t="s">
        <v>758</v>
      </c>
      <c r="L229">
        <v>1368</v>
      </c>
      <c r="N229">
        <v>1011</v>
      </c>
      <c r="O229" t="s">
        <v>480</v>
      </c>
      <c r="P229" t="s">
        <v>480</v>
      </c>
      <c r="Q229">
        <v>1</v>
      </c>
      <c r="W229">
        <v>0</v>
      </c>
      <c r="X229">
        <v>-1567512807</v>
      </c>
      <c r="Y229">
        <v>3.59</v>
      </c>
      <c r="AA229">
        <v>0</v>
      </c>
      <c r="AB229">
        <v>1120.82</v>
      </c>
      <c r="AC229">
        <v>545.34</v>
      </c>
      <c r="AD229">
        <v>0</v>
      </c>
      <c r="AE229">
        <v>0</v>
      </c>
      <c r="AF229">
        <v>1120.82</v>
      </c>
      <c r="AG229">
        <v>545.34</v>
      </c>
      <c r="AH229">
        <v>0</v>
      </c>
      <c r="AI229">
        <v>1</v>
      </c>
      <c r="AJ229">
        <v>1</v>
      </c>
      <c r="AK229">
        <v>1</v>
      </c>
      <c r="AL229">
        <v>1</v>
      </c>
      <c r="AN229">
        <v>0</v>
      </c>
      <c r="AO229">
        <v>1</v>
      </c>
      <c r="AP229">
        <v>0</v>
      </c>
      <c r="AQ229">
        <v>0</v>
      </c>
      <c r="AR229">
        <v>0</v>
      </c>
      <c r="AS229" t="s">
        <v>3</v>
      </c>
      <c r="AT229">
        <v>3.59</v>
      </c>
      <c r="AU229" t="s">
        <v>3</v>
      </c>
      <c r="AV229">
        <v>0</v>
      </c>
      <c r="AW229">
        <v>2</v>
      </c>
      <c r="AX229">
        <v>43096149</v>
      </c>
      <c r="AY229">
        <v>1</v>
      </c>
      <c r="AZ229">
        <v>0</v>
      </c>
      <c r="BA229">
        <v>215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0</v>
      </c>
      <c r="BI229">
        <v>0</v>
      </c>
      <c r="BJ229">
        <v>0</v>
      </c>
      <c r="BK229">
        <v>0</v>
      </c>
      <c r="BL229">
        <v>0</v>
      </c>
      <c r="BM229">
        <v>0</v>
      </c>
      <c r="BN229">
        <v>0</v>
      </c>
      <c r="BO229">
        <v>0</v>
      </c>
      <c r="BP229">
        <v>0</v>
      </c>
      <c r="BQ229">
        <v>0</v>
      </c>
      <c r="BR229">
        <v>0</v>
      </c>
      <c r="BS229">
        <v>0</v>
      </c>
      <c r="BT229">
        <v>0</v>
      </c>
      <c r="BU229">
        <v>0</v>
      </c>
      <c r="BV229">
        <v>0</v>
      </c>
      <c r="BW229">
        <v>0</v>
      </c>
      <c r="CX229">
        <f>Y229*Source!I135</f>
        <v>0.39489999999999997</v>
      </c>
      <c r="CY229">
        <f>AB229</f>
        <v>1120.82</v>
      </c>
      <c r="CZ229">
        <f>AF229</f>
        <v>1120.82</v>
      </c>
      <c r="DA229">
        <f>AJ229</f>
        <v>1</v>
      </c>
      <c r="DB229">
        <f t="shared" si="56"/>
        <v>4023.74</v>
      </c>
      <c r="DC229">
        <f t="shared" si="57"/>
        <v>1957.77</v>
      </c>
    </row>
    <row r="230" spans="1:107" x14ac:dyDescent="0.2">
      <c r="A230">
        <f>ROW(Source!A135)</f>
        <v>135</v>
      </c>
      <c r="B230">
        <v>43095088</v>
      </c>
      <c r="C230">
        <v>43096118</v>
      </c>
      <c r="D230">
        <v>42304366</v>
      </c>
      <c r="E230">
        <v>1</v>
      </c>
      <c r="F230">
        <v>1</v>
      </c>
      <c r="G230">
        <v>29</v>
      </c>
      <c r="H230">
        <v>3</v>
      </c>
      <c r="I230" t="s">
        <v>759</v>
      </c>
      <c r="J230" t="s">
        <v>760</v>
      </c>
      <c r="K230" t="s">
        <v>761</v>
      </c>
      <c r="L230">
        <v>1035</v>
      </c>
      <c r="N230">
        <v>1013</v>
      </c>
      <c r="O230" t="s">
        <v>752</v>
      </c>
      <c r="P230" t="s">
        <v>752</v>
      </c>
      <c r="Q230">
        <v>1</v>
      </c>
      <c r="W230">
        <v>0</v>
      </c>
      <c r="X230">
        <v>-1019107836</v>
      </c>
      <c r="Y230">
        <v>43.4</v>
      </c>
      <c r="AA230">
        <v>11.27</v>
      </c>
      <c r="AB230">
        <v>0</v>
      </c>
      <c r="AC230">
        <v>0</v>
      </c>
      <c r="AD230">
        <v>0</v>
      </c>
      <c r="AE230">
        <v>11.27</v>
      </c>
      <c r="AF230">
        <v>0</v>
      </c>
      <c r="AG230">
        <v>0</v>
      </c>
      <c r="AH230">
        <v>0</v>
      </c>
      <c r="AI230">
        <v>1</v>
      </c>
      <c r="AJ230">
        <v>1</v>
      </c>
      <c r="AK230">
        <v>1</v>
      </c>
      <c r="AL230">
        <v>1</v>
      </c>
      <c r="AN230">
        <v>0</v>
      </c>
      <c r="AO230">
        <v>1</v>
      </c>
      <c r="AP230">
        <v>0</v>
      </c>
      <c r="AQ230">
        <v>0</v>
      </c>
      <c r="AR230">
        <v>0</v>
      </c>
      <c r="AS230" t="s">
        <v>3</v>
      </c>
      <c r="AT230">
        <v>43.4</v>
      </c>
      <c r="AU230" t="s">
        <v>3</v>
      </c>
      <c r="AV230">
        <v>0</v>
      </c>
      <c r="AW230">
        <v>2</v>
      </c>
      <c r="AX230">
        <v>43096150</v>
      </c>
      <c r="AY230">
        <v>1</v>
      </c>
      <c r="AZ230">
        <v>0</v>
      </c>
      <c r="BA230">
        <v>216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0</v>
      </c>
      <c r="BI230">
        <v>0</v>
      </c>
      <c r="BJ230">
        <v>0</v>
      </c>
      <c r="BK230">
        <v>0</v>
      </c>
      <c r="BL230">
        <v>0</v>
      </c>
      <c r="BM230">
        <v>0</v>
      </c>
      <c r="BN230">
        <v>0</v>
      </c>
      <c r="BO230">
        <v>0</v>
      </c>
      <c r="BP230">
        <v>0</v>
      </c>
      <c r="BQ230">
        <v>0</v>
      </c>
      <c r="BR230">
        <v>0</v>
      </c>
      <c r="BS230">
        <v>0</v>
      </c>
      <c r="BT230">
        <v>0</v>
      </c>
      <c r="BU230">
        <v>0</v>
      </c>
      <c r="BV230">
        <v>0</v>
      </c>
      <c r="BW230">
        <v>0</v>
      </c>
      <c r="CX230">
        <f>Y230*Source!I135</f>
        <v>4.774</v>
      </c>
      <c r="CY230">
        <f t="shared" ref="CY230:CY235" si="58">AA230</f>
        <v>11.27</v>
      </c>
      <c r="CZ230">
        <f t="shared" ref="CZ230:CZ235" si="59">AE230</f>
        <v>11.27</v>
      </c>
      <c r="DA230">
        <f t="shared" ref="DA230:DA235" si="60">AI230</f>
        <v>1</v>
      </c>
      <c r="DB230">
        <f t="shared" si="56"/>
        <v>489.12</v>
      </c>
      <c r="DC230">
        <f t="shared" si="57"/>
        <v>0</v>
      </c>
    </row>
    <row r="231" spans="1:107" x14ac:dyDescent="0.2">
      <c r="A231">
        <f>ROW(Source!A135)</f>
        <v>135</v>
      </c>
      <c r="B231">
        <v>43095088</v>
      </c>
      <c r="C231">
        <v>43096118</v>
      </c>
      <c r="D231">
        <v>42304249</v>
      </c>
      <c r="E231">
        <v>1</v>
      </c>
      <c r="F231">
        <v>1</v>
      </c>
      <c r="G231">
        <v>29</v>
      </c>
      <c r="H231">
        <v>3</v>
      </c>
      <c r="I231" t="s">
        <v>762</v>
      </c>
      <c r="J231" t="s">
        <v>763</v>
      </c>
      <c r="K231" t="s">
        <v>764</v>
      </c>
      <c r="L231">
        <v>1348</v>
      </c>
      <c r="N231">
        <v>1009</v>
      </c>
      <c r="O231" t="s">
        <v>402</v>
      </c>
      <c r="P231" t="s">
        <v>402</v>
      </c>
      <c r="Q231">
        <v>1000</v>
      </c>
      <c r="W231">
        <v>0</v>
      </c>
      <c r="X231">
        <v>-50048475</v>
      </c>
      <c r="Y231">
        <v>1.25E-3</v>
      </c>
      <c r="AA231">
        <v>134401.64000000001</v>
      </c>
      <c r="AB231">
        <v>0</v>
      </c>
      <c r="AC231">
        <v>0</v>
      </c>
      <c r="AD231">
        <v>0</v>
      </c>
      <c r="AE231">
        <v>134401.64000000001</v>
      </c>
      <c r="AF231">
        <v>0</v>
      </c>
      <c r="AG231">
        <v>0</v>
      </c>
      <c r="AH231">
        <v>0</v>
      </c>
      <c r="AI231">
        <v>1</v>
      </c>
      <c r="AJ231">
        <v>1</v>
      </c>
      <c r="AK231">
        <v>1</v>
      </c>
      <c r="AL231">
        <v>1</v>
      </c>
      <c r="AN231">
        <v>0</v>
      </c>
      <c r="AO231">
        <v>1</v>
      </c>
      <c r="AP231">
        <v>0</v>
      </c>
      <c r="AQ231">
        <v>0</v>
      </c>
      <c r="AR231">
        <v>0</v>
      </c>
      <c r="AS231" t="s">
        <v>3</v>
      </c>
      <c r="AT231">
        <v>1.25E-3</v>
      </c>
      <c r="AU231" t="s">
        <v>3</v>
      </c>
      <c r="AV231">
        <v>0</v>
      </c>
      <c r="AW231">
        <v>2</v>
      </c>
      <c r="AX231">
        <v>43096151</v>
      </c>
      <c r="AY231">
        <v>1</v>
      </c>
      <c r="AZ231">
        <v>0</v>
      </c>
      <c r="BA231">
        <v>217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0</v>
      </c>
      <c r="BI231">
        <v>0</v>
      </c>
      <c r="BJ231">
        <v>0</v>
      </c>
      <c r="BK231">
        <v>0</v>
      </c>
      <c r="BL231">
        <v>0</v>
      </c>
      <c r="BM231">
        <v>0</v>
      </c>
      <c r="BN231">
        <v>0</v>
      </c>
      <c r="BO231">
        <v>0</v>
      </c>
      <c r="BP231">
        <v>0</v>
      </c>
      <c r="BQ231">
        <v>0</v>
      </c>
      <c r="BR231">
        <v>0</v>
      </c>
      <c r="BS231">
        <v>0</v>
      </c>
      <c r="BT231">
        <v>0</v>
      </c>
      <c r="BU231">
        <v>0</v>
      </c>
      <c r="BV231">
        <v>0</v>
      </c>
      <c r="BW231">
        <v>0</v>
      </c>
      <c r="CX231">
        <f>Y231*Source!I135</f>
        <v>1.3750000000000001E-4</v>
      </c>
      <c r="CY231">
        <f t="shared" si="58"/>
        <v>134401.64000000001</v>
      </c>
      <c r="CZ231">
        <f t="shared" si="59"/>
        <v>134401.64000000001</v>
      </c>
      <c r="DA231">
        <f t="shared" si="60"/>
        <v>1</v>
      </c>
      <c r="DB231">
        <f t="shared" si="56"/>
        <v>168</v>
      </c>
      <c r="DC231">
        <f t="shared" si="57"/>
        <v>0</v>
      </c>
    </row>
    <row r="232" spans="1:107" x14ac:dyDescent="0.2">
      <c r="A232">
        <f>ROW(Source!A135)</f>
        <v>135</v>
      </c>
      <c r="B232">
        <v>43095088</v>
      </c>
      <c r="C232">
        <v>43096118</v>
      </c>
      <c r="D232">
        <v>42304411</v>
      </c>
      <c r="E232">
        <v>1</v>
      </c>
      <c r="F232">
        <v>1</v>
      </c>
      <c r="G232">
        <v>29</v>
      </c>
      <c r="H232">
        <v>3</v>
      </c>
      <c r="I232" t="s">
        <v>765</v>
      </c>
      <c r="J232" t="s">
        <v>766</v>
      </c>
      <c r="K232" t="s">
        <v>767</v>
      </c>
      <c r="L232">
        <v>1355</v>
      </c>
      <c r="N232">
        <v>1010</v>
      </c>
      <c r="O232" t="s">
        <v>342</v>
      </c>
      <c r="P232" t="s">
        <v>342</v>
      </c>
      <c r="Q232">
        <v>100</v>
      </c>
      <c r="W232">
        <v>0</v>
      </c>
      <c r="X232">
        <v>161213493</v>
      </c>
      <c r="Y232">
        <v>0.3</v>
      </c>
      <c r="AA232">
        <v>28.5</v>
      </c>
      <c r="AB232">
        <v>0</v>
      </c>
      <c r="AC232">
        <v>0</v>
      </c>
      <c r="AD232">
        <v>0</v>
      </c>
      <c r="AE232">
        <v>28.5</v>
      </c>
      <c r="AF232">
        <v>0</v>
      </c>
      <c r="AG232">
        <v>0</v>
      </c>
      <c r="AH232">
        <v>0</v>
      </c>
      <c r="AI232">
        <v>1</v>
      </c>
      <c r="AJ232">
        <v>1</v>
      </c>
      <c r="AK232">
        <v>1</v>
      </c>
      <c r="AL232">
        <v>1</v>
      </c>
      <c r="AN232">
        <v>0</v>
      </c>
      <c r="AO232">
        <v>1</v>
      </c>
      <c r="AP232">
        <v>0</v>
      </c>
      <c r="AQ232">
        <v>0</v>
      </c>
      <c r="AR232">
        <v>0</v>
      </c>
      <c r="AS232" t="s">
        <v>3</v>
      </c>
      <c r="AT232">
        <v>0.3</v>
      </c>
      <c r="AU232" t="s">
        <v>3</v>
      </c>
      <c r="AV232">
        <v>0</v>
      </c>
      <c r="AW232">
        <v>2</v>
      </c>
      <c r="AX232">
        <v>43096152</v>
      </c>
      <c r="AY232">
        <v>1</v>
      </c>
      <c r="AZ232">
        <v>0</v>
      </c>
      <c r="BA232">
        <v>218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0</v>
      </c>
      <c r="BI232">
        <v>0</v>
      </c>
      <c r="BJ232">
        <v>0</v>
      </c>
      <c r="BK232">
        <v>0</v>
      </c>
      <c r="BL232">
        <v>0</v>
      </c>
      <c r="BM232">
        <v>0</v>
      </c>
      <c r="BN232">
        <v>0</v>
      </c>
      <c r="BO232">
        <v>0</v>
      </c>
      <c r="BP232">
        <v>0</v>
      </c>
      <c r="BQ232">
        <v>0</v>
      </c>
      <c r="BR232">
        <v>0</v>
      </c>
      <c r="BS232">
        <v>0</v>
      </c>
      <c r="BT232">
        <v>0</v>
      </c>
      <c r="BU232">
        <v>0</v>
      </c>
      <c r="BV232">
        <v>0</v>
      </c>
      <c r="BW232">
        <v>0</v>
      </c>
      <c r="CX232">
        <f>Y232*Source!I135</f>
        <v>3.3000000000000002E-2</v>
      </c>
      <c r="CY232">
        <f t="shared" si="58"/>
        <v>28.5</v>
      </c>
      <c r="CZ232">
        <f t="shared" si="59"/>
        <v>28.5</v>
      </c>
      <c r="DA232">
        <f t="shared" si="60"/>
        <v>1</v>
      </c>
      <c r="DB232">
        <f t="shared" si="56"/>
        <v>8.5500000000000007</v>
      </c>
      <c r="DC232">
        <f t="shared" si="57"/>
        <v>0</v>
      </c>
    </row>
    <row r="233" spans="1:107" x14ac:dyDescent="0.2">
      <c r="A233">
        <f>ROW(Source!A135)</f>
        <v>135</v>
      </c>
      <c r="B233">
        <v>43095088</v>
      </c>
      <c r="C233">
        <v>43096118</v>
      </c>
      <c r="D233">
        <v>42305119</v>
      </c>
      <c r="E233">
        <v>1</v>
      </c>
      <c r="F233">
        <v>1</v>
      </c>
      <c r="G233">
        <v>29</v>
      </c>
      <c r="H233">
        <v>3</v>
      </c>
      <c r="I233" t="s">
        <v>753</v>
      </c>
      <c r="J233" t="s">
        <v>754</v>
      </c>
      <c r="K233" t="s">
        <v>755</v>
      </c>
      <c r="L233">
        <v>1348</v>
      </c>
      <c r="N233">
        <v>1009</v>
      </c>
      <c r="O233" t="s">
        <v>402</v>
      </c>
      <c r="P233" t="s">
        <v>402</v>
      </c>
      <c r="Q233">
        <v>1000</v>
      </c>
      <c r="W233">
        <v>0</v>
      </c>
      <c r="X233">
        <v>640721353</v>
      </c>
      <c r="Y233">
        <v>2.14E-3</v>
      </c>
      <c r="AA233">
        <v>110835.3</v>
      </c>
      <c r="AB233">
        <v>0</v>
      </c>
      <c r="AC233">
        <v>0</v>
      </c>
      <c r="AD233">
        <v>0</v>
      </c>
      <c r="AE233">
        <v>110835.3</v>
      </c>
      <c r="AF233">
        <v>0</v>
      </c>
      <c r="AG233">
        <v>0</v>
      </c>
      <c r="AH233">
        <v>0</v>
      </c>
      <c r="AI233">
        <v>1</v>
      </c>
      <c r="AJ233">
        <v>1</v>
      </c>
      <c r="AK233">
        <v>1</v>
      </c>
      <c r="AL233">
        <v>1</v>
      </c>
      <c r="AN233">
        <v>0</v>
      </c>
      <c r="AO233">
        <v>1</v>
      </c>
      <c r="AP233">
        <v>0</v>
      </c>
      <c r="AQ233">
        <v>0</v>
      </c>
      <c r="AR233">
        <v>0</v>
      </c>
      <c r="AS233" t="s">
        <v>3</v>
      </c>
      <c r="AT233">
        <v>2.14E-3</v>
      </c>
      <c r="AU233" t="s">
        <v>3</v>
      </c>
      <c r="AV233">
        <v>0</v>
      </c>
      <c r="AW233">
        <v>2</v>
      </c>
      <c r="AX233">
        <v>43096153</v>
      </c>
      <c r="AY233">
        <v>1</v>
      </c>
      <c r="AZ233">
        <v>0</v>
      </c>
      <c r="BA233">
        <v>219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0</v>
      </c>
      <c r="BI233">
        <v>0</v>
      </c>
      <c r="BJ233">
        <v>0</v>
      </c>
      <c r="BK233">
        <v>0</v>
      </c>
      <c r="BL233">
        <v>0</v>
      </c>
      <c r="BM233">
        <v>0</v>
      </c>
      <c r="BN233">
        <v>0</v>
      </c>
      <c r="BO233">
        <v>0</v>
      </c>
      <c r="BP233">
        <v>0</v>
      </c>
      <c r="BQ233">
        <v>0</v>
      </c>
      <c r="BR233">
        <v>0</v>
      </c>
      <c r="BS233">
        <v>0</v>
      </c>
      <c r="BT233">
        <v>0</v>
      </c>
      <c r="BU233">
        <v>0</v>
      </c>
      <c r="BV233">
        <v>0</v>
      </c>
      <c r="BW233">
        <v>0</v>
      </c>
      <c r="CX233">
        <f>Y233*Source!I135</f>
        <v>2.354E-4</v>
      </c>
      <c r="CY233">
        <f t="shared" si="58"/>
        <v>110835.3</v>
      </c>
      <c r="CZ233">
        <f t="shared" si="59"/>
        <v>110835.3</v>
      </c>
      <c r="DA233">
        <f t="shared" si="60"/>
        <v>1</v>
      </c>
      <c r="DB233">
        <f t="shared" si="56"/>
        <v>237.19</v>
      </c>
      <c r="DC233">
        <f t="shared" si="57"/>
        <v>0</v>
      </c>
    </row>
    <row r="234" spans="1:107" x14ac:dyDescent="0.2">
      <c r="A234">
        <f>ROW(Source!A135)</f>
        <v>135</v>
      </c>
      <c r="B234">
        <v>43095088</v>
      </c>
      <c r="C234">
        <v>43096118</v>
      </c>
      <c r="D234">
        <v>42307567</v>
      </c>
      <c r="E234">
        <v>1</v>
      </c>
      <c r="F234">
        <v>1</v>
      </c>
      <c r="G234">
        <v>29</v>
      </c>
      <c r="H234">
        <v>3</v>
      </c>
      <c r="I234" t="s">
        <v>425</v>
      </c>
      <c r="J234" t="s">
        <v>427</v>
      </c>
      <c r="K234" t="s">
        <v>426</v>
      </c>
      <c r="L234">
        <v>1301</v>
      </c>
      <c r="N234">
        <v>1003</v>
      </c>
      <c r="O234" t="s">
        <v>64</v>
      </c>
      <c r="P234" t="s">
        <v>64</v>
      </c>
      <c r="Q234">
        <v>1</v>
      </c>
      <c r="W234">
        <v>0</v>
      </c>
      <c r="X234">
        <v>-60746170</v>
      </c>
      <c r="Y234">
        <v>0</v>
      </c>
      <c r="AA234">
        <v>25.1</v>
      </c>
      <c r="AB234">
        <v>0</v>
      </c>
      <c r="AC234">
        <v>0</v>
      </c>
      <c r="AD234">
        <v>0</v>
      </c>
      <c r="AE234">
        <v>25.1</v>
      </c>
      <c r="AF234">
        <v>0</v>
      </c>
      <c r="AG234">
        <v>0</v>
      </c>
      <c r="AH234">
        <v>0</v>
      </c>
      <c r="AI234">
        <v>1</v>
      </c>
      <c r="AJ234">
        <v>1</v>
      </c>
      <c r="AK234">
        <v>1</v>
      </c>
      <c r="AL234">
        <v>1</v>
      </c>
      <c r="AN234">
        <v>0</v>
      </c>
      <c r="AO234">
        <v>0</v>
      </c>
      <c r="AP234">
        <v>0</v>
      </c>
      <c r="AQ234">
        <v>0</v>
      </c>
      <c r="AR234">
        <v>0</v>
      </c>
      <c r="AS234" t="s">
        <v>3</v>
      </c>
      <c r="AT234">
        <v>0</v>
      </c>
      <c r="AU234" t="s">
        <v>3</v>
      </c>
      <c r="AV234">
        <v>0</v>
      </c>
      <c r="AW234">
        <v>1</v>
      </c>
      <c r="AX234">
        <v>-1</v>
      </c>
      <c r="AY234">
        <v>0</v>
      </c>
      <c r="AZ234">
        <v>0</v>
      </c>
      <c r="BA234" t="s">
        <v>3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0</v>
      </c>
      <c r="BI234">
        <v>0</v>
      </c>
      <c r="BJ234">
        <v>0</v>
      </c>
      <c r="BK234">
        <v>0</v>
      </c>
      <c r="BL234">
        <v>0</v>
      </c>
      <c r="BM234">
        <v>0</v>
      </c>
      <c r="BN234">
        <v>0</v>
      </c>
      <c r="BO234">
        <v>0</v>
      </c>
      <c r="BP234">
        <v>0</v>
      </c>
      <c r="BQ234">
        <v>0</v>
      </c>
      <c r="BR234">
        <v>0</v>
      </c>
      <c r="BS234">
        <v>0</v>
      </c>
      <c r="BT234">
        <v>0</v>
      </c>
      <c r="BU234">
        <v>0</v>
      </c>
      <c r="BV234">
        <v>0</v>
      </c>
      <c r="BW234">
        <v>0</v>
      </c>
      <c r="CX234">
        <f>Y234*Source!I135</f>
        <v>0</v>
      </c>
      <c r="CY234">
        <f t="shared" si="58"/>
        <v>25.1</v>
      </c>
      <c r="CZ234">
        <f t="shared" si="59"/>
        <v>25.1</v>
      </c>
      <c r="DA234">
        <f t="shared" si="60"/>
        <v>1</v>
      </c>
      <c r="DB234">
        <f t="shared" si="56"/>
        <v>0</v>
      </c>
      <c r="DC234">
        <f t="shared" si="57"/>
        <v>0</v>
      </c>
    </row>
    <row r="235" spans="1:107" x14ac:dyDescent="0.2">
      <c r="A235">
        <f>ROW(Source!A135)</f>
        <v>135</v>
      </c>
      <c r="B235">
        <v>43095088</v>
      </c>
      <c r="C235">
        <v>43096118</v>
      </c>
      <c r="D235">
        <v>0</v>
      </c>
      <c r="E235">
        <v>0</v>
      </c>
      <c r="F235">
        <v>1</v>
      </c>
      <c r="G235">
        <v>29</v>
      </c>
      <c r="H235">
        <v>3</v>
      </c>
      <c r="I235" t="s">
        <v>34</v>
      </c>
      <c r="J235" t="s">
        <v>3</v>
      </c>
      <c r="K235" t="s">
        <v>420</v>
      </c>
      <c r="L235">
        <v>1301</v>
      </c>
      <c r="N235">
        <v>1003</v>
      </c>
      <c r="O235" t="s">
        <v>64</v>
      </c>
      <c r="P235" t="s">
        <v>64</v>
      </c>
      <c r="Q235">
        <v>1</v>
      </c>
      <c r="W235">
        <v>0</v>
      </c>
      <c r="X235">
        <v>2059045151</v>
      </c>
      <c r="Y235">
        <v>200</v>
      </c>
      <c r="AA235">
        <v>562.38</v>
      </c>
      <c r="AB235">
        <v>0</v>
      </c>
      <c r="AC235">
        <v>0</v>
      </c>
      <c r="AD235">
        <v>0</v>
      </c>
      <c r="AE235">
        <v>562.38</v>
      </c>
      <c r="AF235">
        <v>0</v>
      </c>
      <c r="AG235">
        <v>0</v>
      </c>
      <c r="AH235">
        <v>0</v>
      </c>
      <c r="AI235">
        <v>1</v>
      </c>
      <c r="AJ235">
        <v>1</v>
      </c>
      <c r="AK235">
        <v>1</v>
      </c>
      <c r="AL235">
        <v>1</v>
      </c>
      <c r="AN235">
        <v>0</v>
      </c>
      <c r="AO235">
        <v>0</v>
      </c>
      <c r="AP235">
        <v>0</v>
      </c>
      <c r="AQ235">
        <v>0</v>
      </c>
      <c r="AR235">
        <v>0</v>
      </c>
      <c r="AS235" t="s">
        <v>3</v>
      </c>
      <c r="AT235">
        <v>200</v>
      </c>
      <c r="AU235" t="s">
        <v>3</v>
      </c>
      <c r="AV235">
        <v>0</v>
      </c>
      <c r="AW235">
        <v>1</v>
      </c>
      <c r="AX235">
        <v>-1</v>
      </c>
      <c r="AY235">
        <v>0</v>
      </c>
      <c r="AZ235">
        <v>0</v>
      </c>
      <c r="BA235" t="s">
        <v>3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0</v>
      </c>
      <c r="BI235">
        <v>0</v>
      </c>
      <c r="BJ235">
        <v>0</v>
      </c>
      <c r="BK235">
        <v>0</v>
      </c>
      <c r="BL235">
        <v>0</v>
      </c>
      <c r="BM235">
        <v>0</v>
      </c>
      <c r="BN235">
        <v>0</v>
      </c>
      <c r="BO235">
        <v>0</v>
      </c>
      <c r="BP235">
        <v>0</v>
      </c>
      <c r="BQ235">
        <v>0</v>
      </c>
      <c r="BR235">
        <v>0</v>
      </c>
      <c r="BS235">
        <v>0</v>
      </c>
      <c r="BT235">
        <v>0</v>
      </c>
      <c r="BU235">
        <v>0</v>
      </c>
      <c r="BV235">
        <v>0</v>
      </c>
      <c r="BW235">
        <v>0</v>
      </c>
      <c r="CX235">
        <f>Y235*Source!I135</f>
        <v>22</v>
      </c>
      <c r="CY235">
        <f t="shared" si="58"/>
        <v>562.38</v>
      </c>
      <c r="CZ235">
        <f t="shared" si="59"/>
        <v>562.38</v>
      </c>
      <c r="DA235">
        <f t="shared" si="60"/>
        <v>1</v>
      </c>
      <c r="DB235">
        <f t="shared" si="56"/>
        <v>112476</v>
      </c>
      <c r="DC235">
        <f t="shared" si="57"/>
        <v>0</v>
      </c>
    </row>
    <row r="236" spans="1:107" x14ac:dyDescent="0.2">
      <c r="A236">
        <f>ROW(Source!A139)</f>
        <v>139</v>
      </c>
      <c r="B236">
        <v>43095088</v>
      </c>
      <c r="C236">
        <v>43096157</v>
      </c>
      <c r="D236">
        <v>42301367</v>
      </c>
      <c r="E236">
        <v>29</v>
      </c>
      <c r="F236">
        <v>1</v>
      </c>
      <c r="G236">
        <v>29</v>
      </c>
      <c r="H236">
        <v>1</v>
      </c>
      <c r="I236" t="s">
        <v>555</v>
      </c>
      <c r="J236" t="s">
        <v>3</v>
      </c>
      <c r="K236" t="s">
        <v>556</v>
      </c>
      <c r="L236">
        <v>1191</v>
      </c>
      <c r="N236">
        <v>1013</v>
      </c>
      <c r="O236" t="s">
        <v>557</v>
      </c>
      <c r="P236" t="s">
        <v>557</v>
      </c>
      <c r="Q236">
        <v>1</v>
      </c>
      <c r="W236">
        <v>0</v>
      </c>
      <c r="X236">
        <v>476480486</v>
      </c>
      <c r="Y236">
        <v>0.36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1</v>
      </c>
      <c r="AJ236">
        <v>1</v>
      </c>
      <c r="AK236">
        <v>1</v>
      </c>
      <c r="AL236">
        <v>1</v>
      </c>
      <c r="AN236">
        <v>0</v>
      </c>
      <c r="AO236">
        <v>1</v>
      </c>
      <c r="AP236">
        <v>0</v>
      </c>
      <c r="AQ236">
        <v>0</v>
      </c>
      <c r="AR236">
        <v>0</v>
      </c>
      <c r="AS236" t="s">
        <v>3</v>
      </c>
      <c r="AT236">
        <v>0.36</v>
      </c>
      <c r="AU236" t="s">
        <v>3</v>
      </c>
      <c r="AV236">
        <v>1</v>
      </c>
      <c r="AW236">
        <v>2</v>
      </c>
      <c r="AX236">
        <v>43096161</v>
      </c>
      <c r="AY236">
        <v>1</v>
      </c>
      <c r="AZ236">
        <v>0</v>
      </c>
      <c r="BA236">
        <v>220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0</v>
      </c>
      <c r="BI236">
        <v>0</v>
      </c>
      <c r="BJ236">
        <v>0</v>
      </c>
      <c r="BK236">
        <v>0</v>
      </c>
      <c r="BL236">
        <v>0</v>
      </c>
      <c r="BM236">
        <v>0</v>
      </c>
      <c r="BN236">
        <v>0</v>
      </c>
      <c r="BO236">
        <v>0</v>
      </c>
      <c r="BP236">
        <v>0</v>
      </c>
      <c r="BQ236">
        <v>0</v>
      </c>
      <c r="BR236">
        <v>0</v>
      </c>
      <c r="BS236">
        <v>0</v>
      </c>
      <c r="BT236">
        <v>0</v>
      </c>
      <c r="BU236">
        <v>0</v>
      </c>
      <c r="BV236">
        <v>0</v>
      </c>
      <c r="BW236">
        <v>0</v>
      </c>
      <c r="CX236">
        <f>Y236*Source!I139</f>
        <v>0</v>
      </c>
      <c r="CY236">
        <f>AD236</f>
        <v>0</v>
      </c>
      <c r="CZ236">
        <f>AH236</f>
        <v>0</v>
      </c>
      <c r="DA236">
        <f>AL236</f>
        <v>1</v>
      </c>
      <c r="DB236">
        <f t="shared" si="56"/>
        <v>0</v>
      </c>
      <c r="DC236">
        <f t="shared" si="57"/>
        <v>0</v>
      </c>
    </row>
    <row r="237" spans="1:107" x14ac:dyDescent="0.2">
      <c r="A237">
        <f>ROW(Source!A140)</f>
        <v>140</v>
      </c>
      <c r="B237">
        <v>43095088</v>
      </c>
      <c r="C237">
        <v>43096162</v>
      </c>
      <c r="D237">
        <v>42301367</v>
      </c>
      <c r="E237">
        <v>29</v>
      </c>
      <c r="F237">
        <v>1</v>
      </c>
      <c r="G237">
        <v>29</v>
      </c>
      <c r="H237">
        <v>1</v>
      </c>
      <c r="I237" t="s">
        <v>555</v>
      </c>
      <c r="J237" t="s">
        <v>3</v>
      </c>
      <c r="K237" t="s">
        <v>556</v>
      </c>
      <c r="L237">
        <v>1191</v>
      </c>
      <c r="N237">
        <v>1013</v>
      </c>
      <c r="O237" t="s">
        <v>557</v>
      </c>
      <c r="P237" t="s">
        <v>557</v>
      </c>
      <c r="Q237">
        <v>1</v>
      </c>
      <c r="W237">
        <v>0</v>
      </c>
      <c r="X237">
        <v>476480486</v>
      </c>
      <c r="Y237">
        <v>15.41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1</v>
      </c>
      <c r="AJ237">
        <v>1</v>
      </c>
      <c r="AK237">
        <v>1</v>
      </c>
      <c r="AL237">
        <v>1</v>
      </c>
      <c r="AN237">
        <v>0</v>
      </c>
      <c r="AO237">
        <v>1</v>
      </c>
      <c r="AP237">
        <v>0</v>
      </c>
      <c r="AQ237">
        <v>0</v>
      </c>
      <c r="AR237">
        <v>0</v>
      </c>
      <c r="AS237" t="s">
        <v>3</v>
      </c>
      <c r="AT237">
        <v>15.41</v>
      </c>
      <c r="AU237" t="s">
        <v>3</v>
      </c>
      <c r="AV237">
        <v>1</v>
      </c>
      <c r="AW237">
        <v>2</v>
      </c>
      <c r="AX237">
        <v>43096175</v>
      </c>
      <c r="AY237">
        <v>1</v>
      </c>
      <c r="AZ237">
        <v>0</v>
      </c>
      <c r="BA237">
        <v>221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0</v>
      </c>
      <c r="BI237">
        <v>0</v>
      </c>
      <c r="BJ237">
        <v>0</v>
      </c>
      <c r="BK237">
        <v>0</v>
      </c>
      <c r="BL237">
        <v>0</v>
      </c>
      <c r="BM237">
        <v>0</v>
      </c>
      <c r="BN237">
        <v>0</v>
      </c>
      <c r="BO237">
        <v>0</v>
      </c>
      <c r="BP237">
        <v>0</v>
      </c>
      <c r="BQ237">
        <v>0</v>
      </c>
      <c r="BR237">
        <v>0</v>
      </c>
      <c r="BS237">
        <v>0</v>
      </c>
      <c r="BT237">
        <v>0</v>
      </c>
      <c r="BU237">
        <v>0</v>
      </c>
      <c r="BV237">
        <v>0</v>
      </c>
      <c r="BW237">
        <v>0</v>
      </c>
      <c r="CX237">
        <f>Y237*Source!I140</f>
        <v>0</v>
      </c>
      <c r="CY237">
        <f>AD237</f>
        <v>0</v>
      </c>
      <c r="CZ237">
        <f>AH237</f>
        <v>0</v>
      </c>
      <c r="DA237">
        <f>AL237</f>
        <v>1</v>
      </c>
      <c r="DB237">
        <f t="shared" si="56"/>
        <v>0</v>
      </c>
      <c r="DC237">
        <f t="shared" si="57"/>
        <v>0</v>
      </c>
    </row>
    <row r="238" spans="1:107" x14ac:dyDescent="0.2">
      <c r="A238">
        <f>ROW(Source!A140)</f>
        <v>140</v>
      </c>
      <c r="B238">
        <v>43095088</v>
      </c>
      <c r="C238">
        <v>43096162</v>
      </c>
      <c r="D238">
        <v>42307612</v>
      </c>
      <c r="E238">
        <v>1</v>
      </c>
      <c r="F238">
        <v>1</v>
      </c>
      <c r="G238">
        <v>29</v>
      </c>
      <c r="H238">
        <v>3</v>
      </c>
      <c r="I238" t="s">
        <v>768</v>
      </c>
      <c r="J238" t="s">
        <v>769</v>
      </c>
      <c r="K238" t="s">
        <v>770</v>
      </c>
      <c r="L238">
        <v>1354</v>
      </c>
      <c r="N238">
        <v>1010</v>
      </c>
      <c r="O238" t="s">
        <v>20</v>
      </c>
      <c r="P238" t="s">
        <v>20</v>
      </c>
      <c r="Q238">
        <v>1</v>
      </c>
      <c r="W238">
        <v>0</v>
      </c>
      <c r="X238">
        <v>1556510502</v>
      </c>
      <c r="Y238">
        <v>33.33</v>
      </c>
      <c r="AA238">
        <v>478.07</v>
      </c>
      <c r="AB238">
        <v>0</v>
      </c>
      <c r="AC238">
        <v>0</v>
      </c>
      <c r="AD238">
        <v>0</v>
      </c>
      <c r="AE238">
        <v>478.07</v>
      </c>
      <c r="AF238">
        <v>0</v>
      </c>
      <c r="AG238">
        <v>0</v>
      </c>
      <c r="AH238">
        <v>0</v>
      </c>
      <c r="AI238">
        <v>1</v>
      </c>
      <c r="AJ238">
        <v>1</v>
      </c>
      <c r="AK238">
        <v>1</v>
      </c>
      <c r="AL238">
        <v>1</v>
      </c>
      <c r="AN238">
        <v>0</v>
      </c>
      <c r="AO238">
        <v>1</v>
      </c>
      <c r="AP238">
        <v>0</v>
      </c>
      <c r="AQ238">
        <v>0</v>
      </c>
      <c r="AR238">
        <v>0</v>
      </c>
      <c r="AS238" t="s">
        <v>3</v>
      </c>
      <c r="AT238">
        <v>33.33</v>
      </c>
      <c r="AU238" t="s">
        <v>3</v>
      </c>
      <c r="AV238">
        <v>0</v>
      </c>
      <c r="AW238">
        <v>2</v>
      </c>
      <c r="AX238">
        <v>43096176</v>
      </c>
      <c r="AY238">
        <v>1</v>
      </c>
      <c r="AZ238">
        <v>0</v>
      </c>
      <c r="BA238">
        <v>222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0</v>
      </c>
      <c r="BI238">
        <v>0</v>
      </c>
      <c r="BJ238">
        <v>0</v>
      </c>
      <c r="BK238">
        <v>0</v>
      </c>
      <c r="BL238">
        <v>0</v>
      </c>
      <c r="BM238">
        <v>0</v>
      </c>
      <c r="BN238">
        <v>0</v>
      </c>
      <c r="BO238">
        <v>0</v>
      </c>
      <c r="BP238">
        <v>0</v>
      </c>
      <c r="BQ238">
        <v>0</v>
      </c>
      <c r="BR238">
        <v>0</v>
      </c>
      <c r="BS238">
        <v>0</v>
      </c>
      <c r="BT238">
        <v>0</v>
      </c>
      <c r="BU238">
        <v>0</v>
      </c>
      <c r="BV238">
        <v>0</v>
      </c>
      <c r="BW238">
        <v>0</v>
      </c>
      <c r="CX238">
        <f>Y238*Source!I140</f>
        <v>0</v>
      </c>
      <c r="CY238">
        <f>AA238</f>
        <v>478.07</v>
      </c>
      <c r="CZ238">
        <f>AE238</f>
        <v>478.07</v>
      </c>
      <c r="DA238">
        <f>AI238</f>
        <v>1</v>
      </c>
      <c r="DB238">
        <f t="shared" si="56"/>
        <v>15934.07</v>
      </c>
      <c r="DC238">
        <f t="shared" si="57"/>
        <v>0</v>
      </c>
    </row>
    <row r="239" spans="1:107" x14ac:dyDescent="0.2">
      <c r="A239">
        <f>ROW(Source!A140)</f>
        <v>140</v>
      </c>
      <c r="B239">
        <v>43095088</v>
      </c>
      <c r="C239">
        <v>43096162</v>
      </c>
      <c r="D239">
        <v>42307613</v>
      </c>
      <c r="E239">
        <v>1</v>
      </c>
      <c r="F239">
        <v>1</v>
      </c>
      <c r="G239">
        <v>29</v>
      </c>
      <c r="H239">
        <v>3</v>
      </c>
      <c r="I239" t="s">
        <v>771</v>
      </c>
      <c r="J239" t="s">
        <v>772</v>
      </c>
      <c r="K239" t="s">
        <v>773</v>
      </c>
      <c r="L239">
        <v>1354</v>
      </c>
      <c r="N239">
        <v>1010</v>
      </c>
      <c r="O239" t="s">
        <v>20</v>
      </c>
      <c r="P239" t="s">
        <v>20</v>
      </c>
      <c r="Q239">
        <v>1</v>
      </c>
      <c r="W239">
        <v>0</v>
      </c>
      <c r="X239">
        <v>295835584</v>
      </c>
      <c r="Y239">
        <v>33.340000000000003</v>
      </c>
      <c r="AA239">
        <v>541.96</v>
      </c>
      <c r="AB239">
        <v>0</v>
      </c>
      <c r="AC239">
        <v>0</v>
      </c>
      <c r="AD239">
        <v>0</v>
      </c>
      <c r="AE239">
        <v>541.96</v>
      </c>
      <c r="AF239">
        <v>0</v>
      </c>
      <c r="AG239">
        <v>0</v>
      </c>
      <c r="AH239">
        <v>0</v>
      </c>
      <c r="AI239">
        <v>1</v>
      </c>
      <c r="AJ239">
        <v>1</v>
      </c>
      <c r="AK239">
        <v>1</v>
      </c>
      <c r="AL239">
        <v>1</v>
      </c>
      <c r="AN239">
        <v>0</v>
      </c>
      <c r="AO239">
        <v>1</v>
      </c>
      <c r="AP239">
        <v>0</v>
      </c>
      <c r="AQ239">
        <v>0</v>
      </c>
      <c r="AR239">
        <v>0</v>
      </c>
      <c r="AS239" t="s">
        <v>3</v>
      </c>
      <c r="AT239">
        <v>33.340000000000003</v>
      </c>
      <c r="AU239" t="s">
        <v>3</v>
      </c>
      <c r="AV239">
        <v>0</v>
      </c>
      <c r="AW239">
        <v>2</v>
      </c>
      <c r="AX239">
        <v>43096177</v>
      </c>
      <c r="AY239">
        <v>1</v>
      </c>
      <c r="AZ239">
        <v>0</v>
      </c>
      <c r="BA239">
        <v>223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0</v>
      </c>
      <c r="BI239">
        <v>0</v>
      </c>
      <c r="BJ239">
        <v>0</v>
      </c>
      <c r="BK239">
        <v>0</v>
      </c>
      <c r="BL239">
        <v>0</v>
      </c>
      <c r="BM239">
        <v>0</v>
      </c>
      <c r="BN239">
        <v>0</v>
      </c>
      <c r="BO239">
        <v>0</v>
      </c>
      <c r="BP239">
        <v>0</v>
      </c>
      <c r="BQ239">
        <v>0</v>
      </c>
      <c r="BR239">
        <v>0</v>
      </c>
      <c r="BS239">
        <v>0</v>
      </c>
      <c r="BT239">
        <v>0</v>
      </c>
      <c r="BU239">
        <v>0</v>
      </c>
      <c r="BV239">
        <v>0</v>
      </c>
      <c r="BW239">
        <v>0</v>
      </c>
      <c r="CX239">
        <f>Y239*Source!I140</f>
        <v>0</v>
      </c>
      <c r="CY239">
        <f>AA239</f>
        <v>541.96</v>
      </c>
      <c r="CZ239">
        <f>AE239</f>
        <v>541.96</v>
      </c>
      <c r="DA239">
        <f>AI239</f>
        <v>1</v>
      </c>
      <c r="DB239">
        <f t="shared" si="56"/>
        <v>18068.95</v>
      </c>
      <c r="DC239">
        <f t="shared" si="57"/>
        <v>0</v>
      </c>
    </row>
    <row r="240" spans="1:107" x14ac:dyDescent="0.2">
      <c r="A240">
        <f>ROW(Source!A140)</f>
        <v>140</v>
      </c>
      <c r="B240">
        <v>43095088</v>
      </c>
      <c r="C240">
        <v>43096162</v>
      </c>
      <c r="D240">
        <v>42307614</v>
      </c>
      <c r="E240">
        <v>1</v>
      </c>
      <c r="F240">
        <v>1</v>
      </c>
      <c r="G240">
        <v>29</v>
      </c>
      <c r="H240">
        <v>3</v>
      </c>
      <c r="I240" t="s">
        <v>774</v>
      </c>
      <c r="J240" t="s">
        <v>775</v>
      </c>
      <c r="K240" t="s">
        <v>776</v>
      </c>
      <c r="L240">
        <v>1354</v>
      </c>
      <c r="N240">
        <v>1010</v>
      </c>
      <c r="O240" t="s">
        <v>20</v>
      </c>
      <c r="P240" t="s">
        <v>20</v>
      </c>
      <c r="Q240">
        <v>1</v>
      </c>
      <c r="W240">
        <v>0</v>
      </c>
      <c r="X240">
        <v>-975120284</v>
      </c>
      <c r="Y240">
        <v>33.340000000000003</v>
      </c>
      <c r="AA240">
        <v>838.96</v>
      </c>
      <c r="AB240">
        <v>0</v>
      </c>
      <c r="AC240">
        <v>0</v>
      </c>
      <c r="AD240">
        <v>0</v>
      </c>
      <c r="AE240">
        <v>838.96</v>
      </c>
      <c r="AF240">
        <v>0</v>
      </c>
      <c r="AG240">
        <v>0</v>
      </c>
      <c r="AH240">
        <v>0</v>
      </c>
      <c r="AI240">
        <v>1</v>
      </c>
      <c r="AJ240">
        <v>1</v>
      </c>
      <c r="AK240">
        <v>1</v>
      </c>
      <c r="AL240">
        <v>1</v>
      </c>
      <c r="AN240">
        <v>0</v>
      </c>
      <c r="AO240">
        <v>1</v>
      </c>
      <c r="AP240">
        <v>0</v>
      </c>
      <c r="AQ240">
        <v>0</v>
      </c>
      <c r="AR240">
        <v>0</v>
      </c>
      <c r="AS240" t="s">
        <v>3</v>
      </c>
      <c r="AT240">
        <v>33.340000000000003</v>
      </c>
      <c r="AU240" t="s">
        <v>3</v>
      </c>
      <c r="AV240">
        <v>0</v>
      </c>
      <c r="AW240">
        <v>2</v>
      </c>
      <c r="AX240">
        <v>43096178</v>
      </c>
      <c r="AY240">
        <v>1</v>
      </c>
      <c r="AZ240">
        <v>0</v>
      </c>
      <c r="BA240">
        <v>224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0</v>
      </c>
      <c r="BI240">
        <v>0</v>
      </c>
      <c r="BJ240">
        <v>0</v>
      </c>
      <c r="BK240">
        <v>0</v>
      </c>
      <c r="BL240">
        <v>0</v>
      </c>
      <c r="BM240">
        <v>0</v>
      </c>
      <c r="BN240">
        <v>0</v>
      </c>
      <c r="BO240">
        <v>0</v>
      </c>
      <c r="BP240">
        <v>0</v>
      </c>
      <c r="BQ240">
        <v>0</v>
      </c>
      <c r="BR240">
        <v>0</v>
      </c>
      <c r="BS240">
        <v>0</v>
      </c>
      <c r="BT240">
        <v>0</v>
      </c>
      <c r="BU240">
        <v>0</v>
      </c>
      <c r="BV240">
        <v>0</v>
      </c>
      <c r="BW240">
        <v>0</v>
      </c>
      <c r="CX240">
        <f>Y240*Source!I140</f>
        <v>0</v>
      </c>
      <c r="CY240">
        <f>AA240</f>
        <v>838.96</v>
      </c>
      <c r="CZ240">
        <f>AE240</f>
        <v>838.96</v>
      </c>
      <c r="DA240">
        <f>AI240</f>
        <v>1</v>
      </c>
      <c r="DB240">
        <f t="shared" si="56"/>
        <v>27970.93</v>
      </c>
      <c r="DC240">
        <f t="shared" si="57"/>
        <v>0</v>
      </c>
    </row>
    <row r="241" spans="1:107" x14ac:dyDescent="0.2">
      <c r="A241">
        <f>ROW(Source!A141)</f>
        <v>141</v>
      </c>
      <c r="B241">
        <v>43095088</v>
      </c>
      <c r="C241">
        <v>43096179</v>
      </c>
      <c r="D241">
        <v>42301367</v>
      </c>
      <c r="E241">
        <v>29</v>
      </c>
      <c r="F241">
        <v>1</v>
      </c>
      <c r="G241">
        <v>29</v>
      </c>
      <c r="H241">
        <v>1</v>
      </c>
      <c r="I241" t="s">
        <v>555</v>
      </c>
      <c r="J241" t="s">
        <v>3</v>
      </c>
      <c r="K241" t="s">
        <v>556</v>
      </c>
      <c r="L241">
        <v>1191</v>
      </c>
      <c r="N241">
        <v>1013</v>
      </c>
      <c r="O241" t="s">
        <v>557</v>
      </c>
      <c r="P241" t="s">
        <v>557</v>
      </c>
      <c r="Q241">
        <v>1</v>
      </c>
      <c r="W241">
        <v>0</v>
      </c>
      <c r="X241">
        <v>476480486</v>
      </c>
      <c r="Y241">
        <v>25.604000000000003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1</v>
      </c>
      <c r="AJ241">
        <v>1</v>
      </c>
      <c r="AK241">
        <v>1</v>
      </c>
      <c r="AL241">
        <v>1</v>
      </c>
      <c r="AN241">
        <v>0</v>
      </c>
      <c r="AO241">
        <v>1</v>
      </c>
      <c r="AP241">
        <v>1</v>
      </c>
      <c r="AQ241">
        <v>0</v>
      </c>
      <c r="AR241">
        <v>0</v>
      </c>
      <c r="AS241" t="s">
        <v>3</v>
      </c>
      <c r="AT241">
        <v>128.02000000000001</v>
      </c>
      <c r="AU241" t="s">
        <v>441</v>
      </c>
      <c r="AV241">
        <v>1</v>
      </c>
      <c r="AW241">
        <v>2</v>
      </c>
      <c r="AX241">
        <v>43096216</v>
      </c>
      <c r="AY241">
        <v>1</v>
      </c>
      <c r="AZ241">
        <v>0</v>
      </c>
      <c r="BA241">
        <v>225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0</v>
      </c>
      <c r="BI241">
        <v>0</v>
      </c>
      <c r="BJ241">
        <v>0</v>
      </c>
      <c r="BK241">
        <v>0</v>
      </c>
      <c r="BL241">
        <v>0</v>
      </c>
      <c r="BM241">
        <v>0</v>
      </c>
      <c r="BN241">
        <v>0</v>
      </c>
      <c r="BO241">
        <v>0</v>
      </c>
      <c r="BP241">
        <v>0</v>
      </c>
      <c r="BQ241">
        <v>0</v>
      </c>
      <c r="BR241">
        <v>0</v>
      </c>
      <c r="BS241">
        <v>0</v>
      </c>
      <c r="BT241">
        <v>0</v>
      </c>
      <c r="BU241">
        <v>0</v>
      </c>
      <c r="BV241">
        <v>0</v>
      </c>
      <c r="BW241">
        <v>0</v>
      </c>
      <c r="CX241">
        <f>Y241*Source!I141</f>
        <v>0</v>
      </c>
      <c r="CY241">
        <f>AD241</f>
        <v>0</v>
      </c>
      <c r="CZ241">
        <f>AH241</f>
        <v>0</v>
      </c>
      <c r="DA241">
        <f>AL241</f>
        <v>1</v>
      </c>
      <c r="DB241">
        <f>ROUND((ROUND(AT241*CZ241,2)*0.2),6)</f>
        <v>0</v>
      </c>
      <c r="DC241">
        <f>ROUND((ROUND(AT241*AG241,2)*0.2),6)</f>
        <v>0</v>
      </c>
    </row>
    <row r="242" spans="1:107" x14ac:dyDescent="0.2">
      <c r="A242">
        <f>ROW(Source!A141)</f>
        <v>141</v>
      </c>
      <c r="B242">
        <v>43095088</v>
      </c>
      <c r="C242">
        <v>43096179</v>
      </c>
      <c r="D242">
        <v>42303204</v>
      </c>
      <c r="E242">
        <v>1</v>
      </c>
      <c r="F242">
        <v>1</v>
      </c>
      <c r="G242">
        <v>29</v>
      </c>
      <c r="H242">
        <v>2</v>
      </c>
      <c r="I242" t="s">
        <v>636</v>
      </c>
      <c r="J242" t="s">
        <v>637</v>
      </c>
      <c r="K242" t="s">
        <v>638</v>
      </c>
      <c r="L242">
        <v>1368</v>
      </c>
      <c r="N242">
        <v>1011</v>
      </c>
      <c r="O242" t="s">
        <v>480</v>
      </c>
      <c r="P242" t="s">
        <v>480</v>
      </c>
      <c r="Q242">
        <v>1</v>
      </c>
      <c r="W242">
        <v>0</v>
      </c>
      <c r="X242">
        <v>-1879814166</v>
      </c>
      <c r="Y242">
        <v>2.012</v>
      </c>
      <c r="AA242">
        <v>0</v>
      </c>
      <c r="AB242">
        <v>7.81</v>
      </c>
      <c r="AC242">
        <v>1.03</v>
      </c>
      <c r="AD242">
        <v>0</v>
      </c>
      <c r="AE242">
        <v>0</v>
      </c>
      <c r="AF242">
        <v>7.81</v>
      </c>
      <c r="AG242">
        <v>1.03</v>
      </c>
      <c r="AH242">
        <v>0</v>
      </c>
      <c r="AI242">
        <v>1</v>
      </c>
      <c r="AJ242">
        <v>1</v>
      </c>
      <c r="AK242">
        <v>1</v>
      </c>
      <c r="AL242">
        <v>1</v>
      </c>
      <c r="AN242">
        <v>0</v>
      </c>
      <c r="AO242">
        <v>1</v>
      </c>
      <c r="AP242">
        <v>1</v>
      </c>
      <c r="AQ242">
        <v>0</v>
      </c>
      <c r="AR242">
        <v>0</v>
      </c>
      <c r="AS242" t="s">
        <v>3</v>
      </c>
      <c r="AT242">
        <v>10.06</v>
      </c>
      <c r="AU242" t="s">
        <v>441</v>
      </c>
      <c r="AV242">
        <v>0</v>
      </c>
      <c r="AW242">
        <v>2</v>
      </c>
      <c r="AX242">
        <v>43096217</v>
      </c>
      <c r="AY242">
        <v>1</v>
      </c>
      <c r="AZ242">
        <v>0</v>
      </c>
      <c r="BA242">
        <v>226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0</v>
      </c>
      <c r="BI242">
        <v>0</v>
      </c>
      <c r="BJ242">
        <v>0</v>
      </c>
      <c r="BK242">
        <v>0</v>
      </c>
      <c r="BL242">
        <v>0</v>
      </c>
      <c r="BM242">
        <v>0</v>
      </c>
      <c r="BN242">
        <v>0</v>
      </c>
      <c r="BO242">
        <v>0</v>
      </c>
      <c r="BP242">
        <v>0</v>
      </c>
      <c r="BQ242">
        <v>0</v>
      </c>
      <c r="BR242">
        <v>0</v>
      </c>
      <c r="BS242">
        <v>0</v>
      </c>
      <c r="BT242">
        <v>0</v>
      </c>
      <c r="BU242">
        <v>0</v>
      </c>
      <c r="BV242">
        <v>0</v>
      </c>
      <c r="BW242">
        <v>0</v>
      </c>
      <c r="CX242">
        <f>Y242*Source!I141</f>
        <v>0</v>
      </c>
      <c r="CY242">
        <f>AB242</f>
        <v>7.81</v>
      </c>
      <c r="CZ242">
        <f>AF242</f>
        <v>7.81</v>
      </c>
      <c r="DA242">
        <f>AJ242</f>
        <v>1</v>
      </c>
      <c r="DB242">
        <f>ROUND((ROUND(AT242*CZ242,2)*0.2),6)</f>
        <v>15.714</v>
      </c>
      <c r="DC242">
        <f>ROUND((ROUND(AT242*AG242,2)*0.2),6)</f>
        <v>2.0720000000000001</v>
      </c>
    </row>
    <row r="243" spans="1:107" x14ac:dyDescent="0.2">
      <c r="A243">
        <f>ROW(Source!A141)</f>
        <v>141</v>
      </c>
      <c r="B243">
        <v>43095088</v>
      </c>
      <c r="C243">
        <v>43096179</v>
      </c>
      <c r="D243">
        <v>42303166</v>
      </c>
      <c r="E243">
        <v>1</v>
      </c>
      <c r="F243">
        <v>1</v>
      </c>
      <c r="G243">
        <v>29</v>
      </c>
      <c r="H243">
        <v>2</v>
      </c>
      <c r="I243" t="s">
        <v>561</v>
      </c>
      <c r="J243" t="s">
        <v>562</v>
      </c>
      <c r="K243" t="s">
        <v>563</v>
      </c>
      <c r="L243">
        <v>1368</v>
      </c>
      <c r="N243">
        <v>1011</v>
      </c>
      <c r="O243" t="s">
        <v>480</v>
      </c>
      <c r="P243" t="s">
        <v>480</v>
      </c>
      <c r="Q243">
        <v>1</v>
      </c>
      <c r="W243">
        <v>0</v>
      </c>
      <c r="X243">
        <v>1197532078</v>
      </c>
      <c r="Y243">
        <v>8.8719999999999999</v>
      </c>
      <c r="AA243">
        <v>0</v>
      </c>
      <c r="AB243">
        <v>5.17</v>
      </c>
      <c r="AC243">
        <v>0.01</v>
      </c>
      <c r="AD243">
        <v>0</v>
      </c>
      <c r="AE243">
        <v>0</v>
      </c>
      <c r="AF243">
        <v>5.17</v>
      </c>
      <c r="AG243">
        <v>0.01</v>
      </c>
      <c r="AH243">
        <v>0</v>
      </c>
      <c r="AI243">
        <v>1</v>
      </c>
      <c r="AJ243">
        <v>1</v>
      </c>
      <c r="AK243">
        <v>1</v>
      </c>
      <c r="AL243">
        <v>1</v>
      </c>
      <c r="AN243">
        <v>0</v>
      </c>
      <c r="AO243">
        <v>1</v>
      </c>
      <c r="AP243">
        <v>1</v>
      </c>
      <c r="AQ243">
        <v>0</v>
      </c>
      <c r="AR243">
        <v>0</v>
      </c>
      <c r="AS243" t="s">
        <v>3</v>
      </c>
      <c r="AT243">
        <v>44.36</v>
      </c>
      <c r="AU243" t="s">
        <v>441</v>
      </c>
      <c r="AV243">
        <v>0</v>
      </c>
      <c r="AW243">
        <v>2</v>
      </c>
      <c r="AX243">
        <v>43096218</v>
      </c>
      <c r="AY243">
        <v>1</v>
      </c>
      <c r="AZ243">
        <v>0</v>
      </c>
      <c r="BA243">
        <v>227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0</v>
      </c>
      <c r="BI243">
        <v>0</v>
      </c>
      <c r="BJ243">
        <v>0</v>
      </c>
      <c r="BK243">
        <v>0</v>
      </c>
      <c r="BL243">
        <v>0</v>
      </c>
      <c r="BM243">
        <v>0</v>
      </c>
      <c r="BN243">
        <v>0</v>
      </c>
      <c r="BO243">
        <v>0</v>
      </c>
      <c r="BP243">
        <v>0</v>
      </c>
      <c r="BQ243">
        <v>0</v>
      </c>
      <c r="BR243">
        <v>0</v>
      </c>
      <c r="BS243">
        <v>0</v>
      </c>
      <c r="BT243">
        <v>0</v>
      </c>
      <c r="BU243">
        <v>0</v>
      </c>
      <c r="BV243">
        <v>0</v>
      </c>
      <c r="BW243">
        <v>0</v>
      </c>
      <c r="CX243">
        <f>Y243*Source!I141</f>
        <v>0</v>
      </c>
      <c r="CY243">
        <f>AB243</f>
        <v>5.17</v>
      </c>
      <c r="CZ243">
        <f>AF243</f>
        <v>5.17</v>
      </c>
      <c r="DA243">
        <f>AJ243</f>
        <v>1</v>
      </c>
      <c r="DB243">
        <f>ROUND((ROUND(AT243*CZ243,2)*0.2),6)</f>
        <v>45.868000000000002</v>
      </c>
      <c r="DC243">
        <f>ROUND((ROUND(AT243*AG243,2)*0.2),6)</f>
        <v>8.7999999999999995E-2</v>
      </c>
    </row>
    <row r="244" spans="1:107" x14ac:dyDescent="0.2">
      <c r="A244">
        <f>ROW(Source!A141)</f>
        <v>141</v>
      </c>
      <c r="B244">
        <v>43095088</v>
      </c>
      <c r="C244">
        <v>43096179</v>
      </c>
      <c r="D244">
        <v>42303184</v>
      </c>
      <c r="E244">
        <v>1</v>
      </c>
      <c r="F244">
        <v>1</v>
      </c>
      <c r="G244">
        <v>29</v>
      </c>
      <c r="H244">
        <v>2</v>
      </c>
      <c r="I244" t="s">
        <v>777</v>
      </c>
      <c r="J244" t="s">
        <v>778</v>
      </c>
      <c r="K244" t="s">
        <v>779</v>
      </c>
      <c r="L244">
        <v>1368</v>
      </c>
      <c r="N244">
        <v>1011</v>
      </c>
      <c r="O244" t="s">
        <v>480</v>
      </c>
      <c r="P244" t="s">
        <v>480</v>
      </c>
      <c r="Q244">
        <v>1</v>
      </c>
      <c r="W244">
        <v>0</v>
      </c>
      <c r="X244">
        <v>753711009</v>
      </c>
      <c r="Y244">
        <v>0.99600000000000011</v>
      </c>
      <c r="AA244">
        <v>0</v>
      </c>
      <c r="AB244">
        <v>16.350000000000001</v>
      </c>
      <c r="AC244">
        <v>1.18</v>
      </c>
      <c r="AD244">
        <v>0</v>
      </c>
      <c r="AE244">
        <v>0</v>
      </c>
      <c r="AF244">
        <v>16.350000000000001</v>
      </c>
      <c r="AG244">
        <v>1.18</v>
      </c>
      <c r="AH244">
        <v>0</v>
      </c>
      <c r="AI244">
        <v>1</v>
      </c>
      <c r="AJ244">
        <v>1</v>
      </c>
      <c r="AK244">
        <v>1</v>
      </c>
      <c r="AL244">
        <v>1</v>
      </c>
      <c r="AN244">
        <v>0</v>
      </c>
      <c r="AO244">
        <v>1</v>
      </c>
      <c r="AP244">
        <v>1</v>
      </c>
      <c r="AQ244">
        <v>0</v>
      </c>
      <c r="AR244">
        <v>0</v>
      </c>
      <c r="AS244" t="s">
        <v>3</v>
      </c>
      <c r="AT244">
        <v>4.9800000000000004</v>
      </c>
      <c r="AU244" t="s">
        <v>441</v>
      </c>
      <c r="AV244">
        <v>0</v>
      </c>
      <c r="AW244">
        <v>2</v>
      </c>
      <c r="AX244">
        <v>43096219</v>
      </c>
      <c r="AY244">
        <v>1</v>
      </c>
      <c r="AZ244">
        <v>0</v>
      </c>
      <c r="BA244">
        <v>228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0</v>
      </c>
      <c r="BI244">
        <v>0</v>
      </c>
      <c r="BJ244">
        <v>0</v>
      </c>
      <c r="BK244">
        <v>0</v>
      </c>
      <c r="BL244">
        <v>0</v>
      </c>
      <c r="BM244">
        <v>0</v>
      </c>
      <c r="BN244">
        <v>0</v>
      </c>
      <c r="BO244">
        <v>0</v>
      </c>
      <c r="BP244">
        <v>0</v>
      </c>
      <c r="BQ244">
        <v>0</v>
      </c>
      <c r="BR244">
        <v>0</v>
      </c>
      <c r="BS244">
        <v>0</v>
      </c>
      <c r="BT244">
        <v>0</v>
      </c>
      <c r="BU244">
        <v>0</v>
      </c>
      <c r="BV244">
        <v>0</v>
      </c>
      <c r="BW244">
        <v>0</v>
      </c>
      <c r="CX244">
        <f>Y244*Source!I141</f>
        <v>0</v>
      </c>
      <c r="CY244">
        <f>AB244</f>
        <v>16.350000000000001</v>
      </c>
      <c r="CZ244">
        <f>AF244</f>
        <v>16.350000000000001</v>
      </c>
      <c r="DA244">
        <f>AJ244</f>
        <v>1</v>
      </c>
      <c r="DB244">
        <f>ROUND((ROUND(AT244*CZ244,2)*0.2),6)</f>
        <v>16.283999999999999</v>
      </c>
      <c r="DC244">
        <f>ROUND((ROUND(AT244*AG244,2)*0.2),6)</f>
        <v>1.1759999999999999</v>
      </c>
    </row>
    <row r="245" spans="1:107" x14ac:dyDescent="0.2">
      <c r="A245">
        <f>ROW(Source!A141)</f>
        <v>141</v>
      </c>
      <c r="B245">
        <v>43095088</v>
      </c>
      <c r="C245">
        <v>43096179</v>
      </c>
      <c r="D245">
        <v>42304362</v>
      </c>
      <c r="E245">
        <v>1</v>
      </c>
      <c r="F245">
        <v>1</v>
      </c>
      <c r="G245">
        <v>29</v>
      </c>
      <c r="H245">
        <v>3</v>
      </c>
      <c r="I245" t="s">
        <v>446</v>
      </c>
      <c r="J245" t="s">
        <v>448</v>
      </c>
      <c r="K245" t="s">
        <v>447</v>
      </c>
      <c r="L245">
        <v>1355</v>
      </c>
      <c r="N245">
        <v>1010</v>
      </c>
      <c r="O245" t="s">
        <v>342</v>
      </c>
      <c r="P245" t="s">
        <v>342</v>
      </c>
      <c r="Q245">
        <v>100</v>
      </c>
      <c r="W245">
        <v>0</v>
      </c>
      <c r="X245">
        <v>-177941802</v>
      </c>
      <c r="Y245">
        <v>0</v>
      </c>
      <c r="AA245">
        <v>24.56</v>
      </c>
      <c r="AB245">
        <v>0</v>
      </c>
      <c r="AC245">
        <v>0</v>
      </c>
      <c r="AD245">
        <v>0</v>
      </c>
      <c r="AE245">
        <v>24.56</v>
      </c>
      <c r="AF245">
        <v>0</v>
      </c>
      <c r="AG245">
        <v>0</v>
      </c>
      <c r="AH245">
        <v>0</v>
      </c>
      <c r="AI245">
        <v>1</v>
      </c>
      <c r="AJ245">
        <v>1</v>
      </c>
      <c r="AK245">
        <v>1</v>
      </c>
      <c r="AL245">
        <v>1</v>
      </c>
      <c r="AN245">
        <v>0</v>
      </c>
      <c r="AO245">
        <v>1</v>
      </c>
      <c r="AP245">
        <v>1</v>
      </c>
      <c r="AQ245">
        <v>0</v>
      </c>
      <c r="AR245">
        <v>0</v>
      </c>
      <c r="AS245" t="s">
        <v>3</v>
      </c>
      <c r="AT245">
        <v>29</v>
      </c>
      <c r="AU245" t="s">
        <v>440</v>
      </c>
      <c r="AV245">
        <v>0</v>
      </c>
      <c r="AW245">
        <v>2</v>
      </c>
      <c r="AX245">
        <v>43096220</v>
      </c>
      <c r="AY245">
        <v>1</v>
      </c>
      <c r="AZ245">
        <v>0</v>
      </c>
      <c r="BA245">
        <v>229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0</v>
      </c>
      <c r="BI245">
        <v>0</v>
      </c>
      <c r="BJ245">
        <v>0</v>
      </c>
      <c r="BK245">
        <v>0</v>
      </c>
      <c r="BL245">
        <v>0</v>
      </c>
      <c r="BM245">
        <v>0</v>
      </c>
      <c r="BN245">
        <v>0</v>
      </c>
      <c r="BO245">
        <v>0</v>
      </c>
      <c r="BP245">
        <v>0</v>
      </c>
      <c r="BQ245">
        <v>0</v>
      </c>
      <c r="BR245">
        <v>0</v>
      </c>
      <c r="BS245">
        <v>0</v>
      </c>
      <c r="BT245">
        <v>0</v>
      </c>
      <c r="BU245">
        <v>0</v>
      </c>
      <c r="BV245">
        <v>0</v>
      </c>
      <c r="BW245">
        <v>0</v>
      </c>
      <c r="CX245">
        <f>Y245*Source!I141</f>
        <v>0</v>
      </c>
      <c r="CY245">
        <f t="shared" ref="CY245:CY252" si="61">AA245</f>
        <v>24.56</v>
      </c>
      <c r="CZ245">
        <f t="shared" ref="CZ245:CZ252" si="62">AE245</f>
        <v>24.56</v>
      </c>
      <c r="DA245">
        <f t="shared" ref="DA245:DA252" si="63">AI245</f>
        <v>1</v>
      </c>
      <c r="DB245">
        <f t="shared" ref="DB245:DB252" si="64">ROUND((ROUND(AT245*CZ245,2)*0),6)</f>
        <v>0</v>
      </c>
      <c r="DC245">
        <f t="shared" ref="DC245:DC252" si="65">ROUND((ROUND(AT245*AG245,2)*0),6)</f>
        <v>0</v>
      </c>
    </row>
    <row r="246" spans="1:107" x14ac:dyDescent="0.2">
      <c r="A246">
        <f>ROW(Source!A141)</f>
        <v>141</v>
      </c>
      <c r="B246">
        <v>43095088</v>
      </c>
      <c r="C246">
        <v>43096179</v>
      </c>
      <c r="D246">
        <v>42304301</v>
      </c>
      <c r="E246">
        <v>1</v>
      </c>
      <c r="F246">
        <v>1</v>
      </c>
      <c r="G246">
        <v>29</v>
      </c>
      <c r="H246">
        <v>3</v>
      </c>
      <c r="I246" t="s">
        <v>450</v>
      </c>
      <c r="J246" t="s">
        <v>452</v>
      </c>
      <c r="K246" t="s">
        <v>451</v>
      </c>
      <c r="L246">
        <v>1355</v>
      </c>
      <c r="N246">
        <v>1010</v>
      </c>
      <c r="O246" t="s">
        <v>342</v>
      </c>
      <c r="P246" t="s">
        <v>342</v>
      </c>
      <c r="Q246">
        <v>100</v>
      </c>
      <c r="W246">
        <v>0</v>
      </c>
      <c r="X246">
        <v>-1006674015</v>
      </c>
      <c r="Y246">
        <v>0</v>
      </c>
      <c r="AA246">
        <v>303.5</v>
      </c>
      <c r="AB246">
        <v>0</v>
      </c>
      <c r="AC246">
        <v>0</v>
      </c>
      <c r="AD246">
        <v>0</v>
      </c>
      <c r="AE246">
        <v>303.5</v>
      </c>
      <c r="AF246">
        <v>0</v>
      </c>
      <c r="AG246">
        <v>0</v>
      </c>
      <c r="AH246">
        <v>0</v>
      </c>
      <c r="AI246">
        <v>1</v>
      </c>
      <c r="AJ246">
        <v>1</v>
      </c>
      <c r="AK246">
        <v>1</v>
      </c>
      <c r="AL246">
        <v>1</v>
      </c>
      <c r="AN246">
        <v>0</v>
      </c>
      <c r="AO246">
        <v>1</v>
      </c>
      <c r="AP246">
        <v>1</v>
      </c>
      <c r="AQ246">
        <v>0</v>
      </c>
      <c r="AR246">
        <v>0</v>
      </c>
      <c r="AS246" t="s">
        <v>3</v>
      </c>
      <c r="AT246">
        <v>7</v>
      </c>
      <c r="AU246" t="s">
        <v>440</v>
      </c>
      <c r="AV246">
        <v>0</v>
      </c>
      <c r="AW246">
        <v>2</v>
      </c>
      <c r="AX246">
        <v>43096221</v>
      </c>
      <c r="AY246">
        <v>1</v>
      </c>
      <c r="AZ246">
        <v>0</v>
      </c>
      <c r="BA246">
        <v>230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0</v>
      </c>
      <c r="BI246">
        <v>0</v>
      </c>
      <c r="BJ246">
        <v>0</v>
      </c>
      <c r="BK246">
        <v>0</v>
      </c>
      <c r="BL246">
        <v>0</v>
      </c>
      <c r="BM246">
        <v>0</v>
      </c>
      <c r="BN246">
        <v>0</v>
      </c>
      <c r="BO246">
        <v>0</v>
      </c>
      <c r="BP246">
        <v>0</v>
      </c>
      <c r="BQ246">
        <v>0</v>
      </c>
      <c r="BR246">
        <v>0</v>
      </c>
      <c r="BS246">
        <v>0</v>
      </c>
      <c r="BT246">
        <v>0</v>
      </c>
      <c r="BU246">
        <v>0</v>
      </c>
      <c r="BV246">
        <v>0</v>
      </c>
      <c r="BW246">
        <v>0</v>
      </c>
      <c r="CX246">
        <f>Y246*Source!I141</f>
        <v>0</v>
      </c>
      <c r="CY246">
        <f t="shared" si="61"/>
        <v>303.5</v>
      </c>
      <c r="CZ246">
        <f t="shared" si="62"/>
        <v>303.5</v>
      </c>
      <c r="DA246">
        <f t="shared" si="63"/>
        <v>1</v>
      </c>
      <c r="DB246">
        <f t="shared" si="64"/>
        <v>0</v>
      </c>
      <c r="DC246">
        <f t="shared" si="65"/>
        <v>0</v>
      </c>
    </row>
    <row r="247" spans="1:107" x14ac:dyDescent="0.2">
      <c r="A247">
        <f>ROW(Source!A141)</f>
        <v>141</v>
      </c>
      <c r="B247">
        <v>43095088</v>
      </c>
      <c r="C247">
        <v>43096179</v>
      </c>
      <c r="D247">
        <v>42307353</v>
      </c>
      <c r="E247">
        <v>1</v>
      </c>
      <c r="F247">
        <v>1</v>
      </c>
      <c r="G247">
        <v>29</v>
      </c>
      <c r="H247">
        <v>3</v>
      </c>
      <c r="I247" t="s">
        <v>454</v>
      </c>
      <c r="J247" t="s">
        <v>456</v>
      </c>
      <c r="K247" t="s">
        <v>455</v>
      </c>
      <c r="L247">
        <v>1354</v>
      </c>
      <c r="N247">
        <v>1010</v>
      </c>
      <c r="O247" t="s">
        <v>20</v>
      </c>
      <c r="P247" t="s">
        <v>20</v>
      </c>
      <c r="Q247">
        <v>1</v>
      </c>
      <c r="W247">
        <v>0</v>
      </c>
      <c r="X247">
        <v>511488652</v>
      </c>
      <c r="Y247">
        <v>0</v>
      </c>
      <c r="AA247">
        <v>34.01</v>
      </c>
      <c r="AB247">
        <v>0</v>
      </c>
      <c r="AC247">
        <v>0</v>
      </c>
      <c r="AD247">
        <v>0</v>
      </c>
      <c r="AE247">
        <v>34.01</v>
      </c>
      <c r="AF247">
        <v>0</v>
      </c>
      <c r="AG247">
        <v>0</v>
      </c>
      <c r="AH247">
        <v>0</v>
      </c>
      <c r="AI247">
        <v>1</v>
      </c>
      <c r="AJ247">
        <v>1</v>
      </c>
      <c r="AK247">
        <v>1</v>
      </c>
      <c r="AL247">
        <v>1</v>
      </c>
      <c r="AN247">
        <v>0</v>
      </c>
      <c r="AO247">
        <v>1</v>
      </c>
      <c r="AP247">
        <v>1</v>
      </c>
      <c r="AQ247">
        <v>0</v>
      </c>
      <c r="AR247">
        <v>0</v>
      </c>
      <c r="AS247" t="s">
        <v>3</v>
      </c>
      <c r="AT247">
        <v>350</v>
      </c>
      <c r="AU247" t="s">
        <v>440</v>
      </c>
      <c r="AV247">
        <v>0</v>
      </c>
      <c r="AW247">
        <v>2</v>
      </c>
      <c r="AX247">
        <v>43096222</v>
      </c>
      <c r="AY247">
        <v>1</v>
      </c>
      <c r="AZ247">
        <v>0</v>
      </c>
      <c r="BA247">
        <v>231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0</v>
      </c>
      <c r="BI247">
        <v>0</v>
      </c>
      <c r="BJ247">
        <v>0</v>
      </c>
      <c r="BK247">
        <v>0</v>
      </c>
      <c r="BL247">
        <v>0</v>
      </c>
      <c r="BM247">
        <v>0</v>
      </c>
      <c r="BN247">
        <v>0</v>
      </c>
      <c r="BO247">
        <v>0</v>
      </c>
      <c r="BP247">
        <v>0</v>
      </c>
      <c r="BQ247">
        <v>0</v>
      </c>
      <c r="BR247">
        <v>0</v>
      </c>
      <c r="BS247">
        <v>0</v>
      </c>
      <c r="BT247">
        <v>0</v>
      </c>
      <c r="BU247">
        <v>0</v>
      </c>
      <c r="BV247">
        <v>0</v>
      </c>
      <c r="BW247">
        <v>0</v>
      </c>
      <c r="CX247">
        <f>Y247*Source!I141</f>
        <v>0</v>
      </c>
      <c r="CY247">
        <f t="shared" si="61"/>
        <v>34.01</v>
      </c>
      <c r="CZ247">
        <f t="shared" si="62"/>
        <v>34.01</v>
      </c>
      <c r="DA247">
        <f t="shared" si="63"/>
        <v>1</v>
      </c>
      <c r="DB247">
        <f t="shared" si="64"/>
        <v>0</v>
      </c>
      <c r="DC247">
        <f t="shared" si="65"/>
        <v>0</v>
      </c>
    </row>
    <row r="248" spans="1:107" x14ac:dyDescent="0.2">
      <c r="A248">
        <f>ROW(Source!A141)</f>
        <v>141</v>
      </c>
      <c r="B248">
        <v>43095088</v>
      </c>
      <c r="C248">
        <v>43096179</v>
      </c>
      <c r="D248">
        <v>42307363</v>
      </c>
      <c r="E248">
        <v>1</v>
      </c>
      <c r="F248">
        <v>1</v>
      </c>
      <c r="G248">
        <v>29</v>
      </c>
      <c r="H248">
        <v>3</v>
      </c>
      <c r="I248" t="s">
        <v>458</v>
      </c>
      <c r="J248" t="s">
        <v>460</v>
      </c>
      <c r="K248" t="s">
        <v>459</v>
      </c>
      <c r="L248">
        <v>1301</v>
      </c>
      <c r="N248">
        <v>1003</v>
      </c>
      <c r="O248" t="s">
        <v>64</v>
      </c>
      <c r="P248" t="s">
        <v>64</v>
      </c>
      <c r="Q248">
        <v>1</v>
      </c>
      <c r="W248">
        <v>0</v>
      </c>
      <c r="X248">
        <v>-2003117653</v>
      </c>
      <c r="Y248">
        <v>0</v>
      </c>
      <c r="AA248">
        <v>86.49</v>
      </c>
      <c r="AB248">
        <v>0</v>
      </c>
      <c r="AC248">
        <v>0</v>
      </c>
      <c r="AD248">
        <v>0</v>
      </c>
      <c r="AE248">
        <v>86.49</v>
      </c>
      <c r="AF248">
        <v>0</v>
      </c>
      <c r="AG248">
        <v>0</v>
      </c>
      <c r="AH248">
        <v>0</v>
      </c>
      <c r="AI248">
        <v>1</v>
      </c>
      <c r="AJ248">
        <v>1</v>
      </c>
      <c r="AK248">
        <v>1</v>
      </c>
      <c r="AL248">
        <v>1</v>
      </c>
      <c r="AN248">
        <v>0</v>
      </c>
      <c r="AO248">
        <v>1</v>
      </c>
      <c r="AP248">
        <v>1</v>
      </c>
      <c r="AQ248">
        <v>0</v>
      </c>
      <c r="AR248">
        <v>0</v>
      </c>
      <c r="AS248" t="s">
        <v>3</v>
      </c>
      <c r="AT248">
        <v>42</v>
      </c>
      <c r="AU248" t="s">
        <v>440</v>
      </c>
      <c r="AV248">
        <v>0</v>
      </c>
      <c r="AW248">
        <v>2</v>
      </c>
      <c r="AX248">
        <v>43096223</v>
      </c>
      <c r="AY248">
        <v>1</v>
      </c>
      <c r="AZ248">
        <v>0</v>
      </c>
      <c r="BA248">
        <v>232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0</v>
      </c>
      <c r="BI248">
        <v>0</v>
      </c>
      <c r="BJ248">
        <v>0</v>
      </c>
      <c r="BK248">
        <v>0</v>
      </c>
      <c r="BL248">
        <v>0</v>
      </c>
      <c r="BM248">
        <v>0</v>
      </c>
      <c r="BN248">
        <v>0</v>
      </c>
      <c r="BO248">
        <v>0</v>
      </c>
      <c r="BP248">
        <v>0</v>
      </c>
      <c r="BQ248">
        <v>0</v>
      </c>
      <c r="BR248">
        <v>0</v>
      </c>
      <c r="BS248">
        <v>0</v>
      </c>
      <c r="BT248">
        <v>0</v>
      </c>
      <c r="BU248">
        <v>0</v>
      </c>
      <c r="BV248">
        <v>0</v>
      </c>
      <c r="BW248">
        <v>0</v>
      </c>
      <c r="CX248">
        <f>Y248*Source!I141</f>
        <v>0</v>
      </c>
      <c r="CY248">
        <f t="shared" si="61"/>
        <v>86.49</v>
      </c>
      <c r="CZ248">
        <f t="shared" si="62"/>
        <v>86.49</v>
      </c>
      <c r="DA248">
        <f t="shared" si="63"/>
        <v>1</v>
      </c>
      <c r="DB248">
        <f t="shared" si="64"/>
        <v>0</v>
      </c>
      <c r="DC248">
        <f t="shared" si="65"/>
        <v>0</v>
      </c>
    </row>
    <row r="249" spans="1:107" x14ac:dyDescent="0.2">
      <c r="A249">
        <f>ROW(Source!A141)</f>
        <v>141</v>
      </c>
      <c r="B249">
        <v>43095088</v>
      </c>
      <c r="C249">
        <v>43096179</v>
      </c>
      <c r="D249">
        <v>42307364</v>
      </c>
      <c r="E249">
        <v>1</v>
      </c>
      <c r="F249">
        <v>1</v>
      </c>
      <c r="G249">
        <v>29</v>
      </c>
      <c r="H249">
        <v>3</v>
      </c>
      <c r="I249" t="s">
        <v>462</v>
      </c>
      <c r="J249" t="s">
        <v>464</v>
      </c>
      <c r="K249" t="s">
        <v>463</v>
      </c>
      <c r="L249">
        <v>1301</v>
      </c>
      <c r="N249">
        <v>1003</v>
      </c>
      <c r="O249" t="s">
        <v>64</v>
      </c>
      <c r="P249" t="s">
        <v>64</v>
      </c>
      <c r="Q249">
        <v>1</v>
      </c>
      <c r="W249">
        <v>0</v>
      </c>
      <c r="X249">
        <v>-1377275622</v>
      </c>
      <c r="Y249">
        <v>0</v>
      </c>
      <c r="AA249">
        <v>281.07</v>
      </c>
      <c r="AB249">
        <v>0</v>
      </c>
      <c r="AC249">
        <v>0</v>
      </c>
      <c r="AD249">
        <v>0</v>
      </c>
      <c r="AE249">
        <v>281.07</v>
      </c>
      <c r="AF249">
        <v>0</v>
      </c>
      <c r="AG249">
        <v>0</v>
      </c>
      <c r="AH249">
        <v>0</v>
      </c>
      <c r="AI249">
        <v>1</v>
      </c>
      <c r="AJ249">
        <v>1</v>
      </c>
      <c r="AK249">
        <v>1</v>
      </c>
      <c r="AL249">
        <v>1</v>
      </c>
      <c r="AN249">
        <v>0</v>
      </c>
      <c r="AO249">
        <v>1</v>
      </c>
      <c r="AP249">
        <v>1</v>
      </c>
      <c r="AQ249">
        <v>0</v>
      </c>
      <c r="AR249">
        <v>0</v>
      </c>
      <c r="AS249" t="s">
        <v>3</v>
      </c>
      <c r="AT249">
        <v>12</v>
      </c>
      <c r="AU249" t="s">
        <v>440</v>
      </c>
      <c r="AV249">
        <v>0</v>
      </c>
      <c r="AW249">
        <v>2</v>
      </c>
      <c r="AX249">
        <v>43096224</v>
      </c>
      <c r="AY249">
        <v>1</v>
      </c>
      <c r="AZ249">
        <v>0</v>
      </c>
      <c r="BA249">
        <v>233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0</v>
      </c>
      <c r="BI249">
        <v>0</v>
      </c>
      <c r="BJ249">
        <v>0</v>
      </c>
      <c r="BK249">
        <v>0</v>
      </c>
      <c r="BL249">
        <v>0</v>
      </c>
      <c r="BM249">
        <v>0</v>
      </c>
      <c r="BN249">
        <v>0</v>
      </c>
      <c r="BO249">
        <v>0</v>
      </c>
      <c r="BP249">
        <v>0</v>
      </c>
      <c r="BQ249">
        <v>0</v>
      </c>
      <c r="BR249">
        <v>0</v>
      </c>
      <c r="BS249">
        <v>0</v>
      </c>
      <c r="BT249">
        <v>0</v>
      </c>
      <c r="BU249">
        <v>0</v>
      </c>
      <c r="BV249">
        <v>0</v>
      </c>
      <c r="BW249">
        <v>0</v>
      </c>
      <c r="CX249">
        <f>Y249*Source!I141</f>
        <v>0</v>
      </c>
      <c r="CY249">
        <f t="shared" si="61"/>
        <v>281.07</v>
      </c>
      <c r="CZ249">
        <f t="shared" si="62"/>
        <v>281.07</v>
      </c>
      <c r="DA249">
        <f t="shared" si="63"/>
        <v>1</v>
      </c>
      <c r="DB249">
        <f t="shared" si="64"/>
        <v>0</v>
      </c>
      <c r="DC249">
        <f t="shared" si="65"/>
        <v>0</v>
      </c>
    </row>
    <row r="250" spans="1:107" x14ac:dyDescent="0.2">
      <c r="A250">
        <f>ROW(Source!A141)</f>
        <v>141</v>
      </c>
      <c r="B250">
        <v>43095088</v>
      </c>
      <c r="C250">
        <v>43096179</v>
      </c>
      <c r="D250">
        <v>42307365</v>
      </c>
      <c r="E250">
        <v>1</v>
      </c>
      <c r="F250">
        <v>1</v>
      </c>
      <c r="G250">
        <v>29</v>
      </c>
      <c r="H250">
        <v>3</v>
      </c>
      <c r="I250" t="s">
        <v>466</v>
      </c>
      <c r="J250" t="s">
        <v>468</v>
      </c>
      <c r="K250" t="s">
        <v>467</v>
      </c>
      <c r="L250">
        <v>1301</v>
      </c>
      <c r="N250">
        <v>1003</v>
      </c>
      <c r="O250" t="s">
        <v>64</v>
      </c>
      <c r="P250" t="s">
        <v>64</v>
      </c>
      <c r="Q250">
        <v>1</v>
      </c>
      <c r="W250">
        <v>0</v>
      </c>
      <c r="X250">
        <v>-2058990990</v>
      </c>
      <c r="Y250">
        <v>0</v>
      </c>
      <c r="AA250">
        <v>152.68</v>
      </c>
      <c r="AB250">
        <v>0</v>
      </c>
      <c r="AC250">
        <v>0</v>
      </c>
      <c r="AD250">
        <v>0</v>
      </c>
      <c r="AE250">
        <v>152.68</v>
      </c>
      <c r="AF250">
        <v>0</v>
      </c>
      <c r="AG250">
        <v>0</v>
      </c>
      <c r="AH250">
        <v>0</v>
      </c>
      <c r="AI250">
        <v>1</v>
      </c>
      <c r="AJ250">
        <v>1</v>
      </c>
      <c r="AK250">
        <v>1</v>
      </c>
      <c r="AL250">
        <v>1</v>
      </c>
      <c r="AN250">
        <v>0</v>
      </c>
      <c r="AO250">
        <v>1</v>
      </c>
      <c r="AP250">
        <v>1</v>
      </c>
      <c r="AQ250">
        <v>0</v>
      </c>
      <c r="AR250">
        <v>0</v>
      </c>
      <c r="AS250" t="s">
        <v>3</v>
      </c>
      <c r="AT250">
        <v>55</v>
      </c>
      <c r="AU250" t="s">
        <v>440</v>
      </c>
      <c r="AV250">
        <v>0</v>
      </c>
      <c r="AW250">
        <v>2</v>
      </c>
      <c r="AX250">
        <v>43096225</v>
      </c>
      <c r="AY250">
        <v>1</v>
      </c>
      <c r="AZ250">
        <v>0</v>
      </c>
      <c r="BA250">
        <v>234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0</v>
      </c>
      <c r="BI250">
        <v>0</v>
      </c>
      <c r="BJ250">
        <v>0</v>
      </c>
      <c r="BK250">
        <v>0</v>
      </c>
      <c r="BL250">
        <v>0</v>
      </c>
      <c r="BM250">
        <v>0</v>
      </c>
      <c r="BN250">
        <v>0</v>
      </c>
      <c r="BO250">
        <v>0</v>
      </c>
      <c r="BP250">
        <v>0</v>
      </c>
      <c r="BQ250">
        <v>0</v>
      </c>
      <c r="BR250">
        <v>0</v>
      </c>
      <c r="BS250">
        <v>0</v>
      </c>
      <c r="BT250">
        <v>0</v>
      </c>
      <c r="BU250">
        <v>0</v>
      </c>
      <c r="BV250">
        <v>0</v>
      </c>
      <c r="BW250">
        <v>0</v>
      </c>
      <c r="CX250">
        <f>Y250*Source!I141</f>
        <v>0</v>
      </c>
      <c r="CY250">
        <f t="shared" si="61"/>
        <v>152.68</v>
      </c>
      <c r="CZ250">
        <f t="shared" si="62"/>
        <v>152.68</v>
      </c>
      <c r="DA250">
        <f t="shared" si="63"/>
        <v>1</v>
      </c>
      <c r="DB250">
        <f t="shared" si="64"/>
        <v>0</v>
      </c>
      <c r="DC250">
        <f t="shared" si="65"/>
        <v>0</v>
      </c>
    </row>
    <row r="251" spans="1:107" x14ac:dyDescent="0.2">
      <c r="A251">
        <f>ROW(Source!A141)</f>
        <v>141</v>
      </c>
      <c r="B251">
        <v>43095088</v>
      </c>
      <c r="C251">
        <v>43096179</v>
      </c>
      <c r="D251">
        <v>42307399</v>
      </c>
      <c r="E251">
        <v>1</v>
      </c>
      <c r="F251">
        <v>1</v>
      </c>
      <c r="G251">
        <v>29</v>
      </c>
      <c r="H251">
        <v>3</v>
      </c>
      <c r="I251" t="s">
        <v>470</v>
      </c>
      <c r="J251" t="s">
        <v>472</v>
      </c>
      <c r="K251" t="s">
        <v>471</v>
      </c>
      <c r="L251">
        <v>1327</v>
      </c>
      <c r="N251">
        <v>1005</v>
      </c>
      <c r="O251" t="s">
        <v>94</v>
      </c>
      <c r="P251" t="s">
        <v>94</v>
      </c>
      <c r="Q251">
        <v>1</v>
      </c>
      <c r="W251">
        <v>0</v>
      </c>
      <c r="X251">
        <v>-111100368</v>
      </c>
      <c r="Y251">
        <v>0</v>
      </c>
      <c r="AA251">
        <v>779</v>
      </c>
      <c r="AB251">
        <v>0</v>
      </c>
      <c r="AC251">
        <v>0</v>
      </c>
      <c r="AD251">
        <v>0</v>
      </c>
      <c r="AE251">
        <v>779</v>
      </c>
      <c r="AF251">
        <v>0</v>
      </c>
      <c r="AG251">
        <v>0</v>
      </c>
      <c r="AH251">
        <v>0</v>
      </c>
      <c r="AI251">
        <v>1</v>
      </c>
      <c r="AJ251">
        <v>1</v>
      </c>
      <c r="AK251">
        <v>1</v>
      </c>
      <c r="AL251">
        <v>1</v>
      </c>
      <c r="AN251">
        <v>0</v>
      </c>
      <c r="AO251">
        <v>1</v>
      </c>
      <c r="AP251">
        <v>1</v>
      </c>
      <c r="AQ251">
        <v>0</v>
      </c>
      <c r="AR251">
        <v>0</v>
      </c>
      <c r="AS251" t="s">
        <v>3</v>
      </c>
      <c r="AT251">
        <v>116.6</v>
      </c>
      <c r="AU251" t="s">
        <v>440</v>
      </c>
      <c r="AV251">
        <v>0</v>
      </c>
      <c r="AW251">
        <v>2</v>
      </c>
      <c r="AX251">
        <v>43096226</v>
      </c>
      <c r="AY251">
        <v>1</v>
      </c>
      <c r="AZ251">
        <v>0</v>
      </c>
      <c r="BA251">
        <v>235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0</v>
      </c>
      <c r="BI251">
        <v>0</v>
      </c>
      <c r="BJ251">
        <v>0</v>
      </c>
      <c r="BK251">
        <v>0</v>
      </c>
      <c r="BL251">
        <v>0</v>
      </c>
      <c r="BM251">
        <v>0</v>
      </c>
      <c r="BN251">
        <v>0</v>
      </c>
      <c r="BO251">
        <v>0</v>
      </c>
      <c r="BP251">
        <v>0</v>
      </c>
      <c r="BQ251">
        <v>0</v>
      </c>
      <c r="BR251">
        <v>0</v>
      </c>
      <c r="BS251">
        <v>0</v>
      </c>
      <c r="BT251">
        <v>0</v>
      </c>
      <c r="BU251">
        <v>0</v>
      </c>
      <c r="BV251">
        <v>0</v>
      </c>
      <c r="BW251">
        <v>0</v>
      </c>
      <c r="CX251">
        <f>Y251*Source!I141</f>
        <v>0</v>
      </c>
      <c r="CY251">
        <f t="shared" si="61"/>
        <v>779</v>
      </c>
      <c r="CZ251">
        <f t="shared" si="62"/>
        <v>779</v>
      </c>
      <c r="DA251">
        <f t="shared" si="63"/>
        <v>1</v>
      </c>
      <c r="DB251">
        <f t="shared" si="64"/>
        <v>0</v>
      </c>
      <c r="DC251">
        <f t="shared" si="65"/>
        <v>0</v>
      </c>
    </row>
    <row r="252" spans="1:107" x14ac:dyDescent="0.2">
      <c r="A252">
        <f>ROW(Source!A141)</f>
        <v>141</v>
      </c>
      <c r="B252">
        <v>43095088</v>
      </c>
      <c r="C252">
        <v>43096179</v>
      </c>
      <c r="D252">
        <v>42307569</v>
      </c>
      <c r="E252">
        <v>1</v>
      </c>
      <c r="F252">
        <v>1</v>
      </c>
      <c r="G252">
        <v>29</v>
      </c>
      <c r="H252">
        <v>3</v>
      </c>
      <c r="I252" t="s">
        <v>474</v>
      </c>
      <c r="J252" t="s">
        <v>476</v>
      </c>
      <c r="K252" t="s">
        <v>475</v>
      </c>
      <c r="L252">
        <v>1348</v>
      </c>
      <c r="N252">
        <v>1009</v>
      </c>
      <c r="O252" t="s">
        <v>402</v>
      </c>
      <c r="P252" t="s">
        <v>402</v>
      </c>
      <c r="Q252">
        <v>1000</v>
      </c>
      <c r="W252">
        <v>0</v>
      </c>
      <c r="X252">
        <v>1159034141</v>
      </c>
      <c r="Y252">
        <v>0</v>
      </c>
      <c r="AA252">
        <v>217076.76</v>
      </c>
      <c r="AB252">
        <v>0</v>
      </c>
      <c r="AC252">
        <v>0</v>
      </c>
      <c r="AD252">
        <v>0</v>
      </c>
      <c r="AE252">
        <v>217076.76</v>
      </c>
      <c r="AF252">
        <v>0</v>
      </c>
      <c r="AG252">
        <v>0</v>
      </c>
      <c r="AH252">
        <v>0</v>
      </c>
      <c r="AI252">
        <v>1</v>
      </c>
      <c r="AJ252">
        <v>1</v>
      </c>
      <c r="AK252">
        <v>1</v>
      </c>
      <c r="AL252">
        <v>1</v>
      </c>
      <c r="AN252">
        <v>0</v>
      </c>
      <c r="AO252">
        <v>1</v>
      </c>
      <c r="AP252">
        <v>1</v>
      </c>
      <c r="AQ252">
        <v>0</v>
      </c>
      <c r="AR252">
        <v>0</v>
      </c>
      <c r="AS252" t="s">
        <v>3</v>
      </c>
      <c r="AT252">
        <v>0.14399999999999999</v>
      </c>
      <c r="AU252" t="s">
        <v>440</v>
      </c>
      <c r="AV252">
        <v>0</v>
      </c>
      <c r="AW252">
        <v>2</v>
      </c>
      <c r="AX252">
        <v>43096227</v>
      </c>
      <c r="AY252">
        <v>1</v>
      </c>
      <c r="AZ252">
        <v>0</v>
      </c>
      <c r="BA252">
        <v>236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0</v>
      </c>
      <c r="BI252">
        <v>0</v>
      </c>
      <c r="BJ252">
        <v>0</v>
      </c>
      <c r="BK252">
        <v>0</v>
      </c>
      <c r="BL252">
        <v>0</v>
      </c>
      <c r="BM252">
        <v>0</v>
      </c>
      <c r="BN252">
        <v>0</v>
      </c>
      <c r="BO252">
        <v>0</v>
      </c>
      <c r="BP252">
        <v>0</v>
      </c>
      <c r="BQ252">
        <v>0</v>
      </c>
      <c r="BR252">
        <v>0</v>
      </c>
      <c r="BS252">
        <v>0</v>
      </c>
      <c r="BT252">
        <v>0</v>
      </c>
      <c r="BU252">
        <v>0</v>
      </c>
      <c r="BV252">
        <v>0</v>
      </c>
      <c r="BW252">
        <v>0</v>
      </c>
      <c r="CX252">
        <f>Y252*Source!I141</f>
        <v>0</v>
      </c>
      <c r="CY252">
        <f t="shared" si="61"/>
        <v>217076.76</v>
      </c>
      <c r="CZ252">
        <f t="shared" si="62"/>
        <v>217076.76</v>
      </c>
      <c r="DA252">
        <f t="shared" si="63"/>
        <v>1</v>
      </c>
      <c r="DB252">
        <f t="shared" si="64"/>
        <v>0</v>
      </c>
      <c r="DC252">
        <f t="shared" si="65"/>
        <v>0</v>
      </c>
    </row>
    <row r="253" spans="1:107" x14ac:dyDescent="0.2">
      <c r="A253">
        <f>ROW(Source!A142)</f>
        <v>142</v>
      </c>
      <c r="B253">
        <v>43095088</v>
      </c>
      <c r="C253">
        <v>43096228</v>
      </c>
      <c r="D253">
        <v>42301367</v>
      </c>
      <c r="E253">
        <v>29</v>
      </c>
      <c r="F253">
        <v>1</v>
      </c>
      <c r="G253">
        <v>29</v>
      </c>
      <c r="H253">
        <v>1</v>
      </c>
      <c r="I253" t="s">
        <v>555</v>
      </c>
      <c r="J253" t="s">
        <v>3</v>
      </c>
      <c r="K253" t="s">
        <v>556</v>
      </c>
      <c r="L253">
        <v>1191</v>
      </c>
      <c r="N253">
        <v>1013</v>
      </c>
      <c r="O253" t="s">
        <v>557</v>
      </c>
      <c r="P253" t="s">
        <v>557</v>
      </c>
      <c r="Q253">
        <v>1</v>
      </c>
      <c r="W253">
        <v>0</v>
      </c>
      <c r="X253">
        <v>476480486</v>
      </c>
      <c r="Y253">
        <v>128.02000000000001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1</v>
      </c>
      <c r="AJ253">
        <v>1</v>
      </c>
      <c r="AK253">
        <v>1</v>
      </c>
      <c r="AL253">
        <v>1</v>
      </c>
      <c r="AN253">
        <v>0</v>
      </c>
      <c r="AO253">
        <v>1</v>
      </c>
      <c r="AP253">
        <v>0</v>
      </c>
      <c r="AQ253">
        <v>0</v>
      </c>
      <c r="AR253">
        <v>0</v>
      </c>
      <c r="AS253" t="s">
        <v>3</v>
      </c>
      <c r="AT253">
        <v>128.02000000000001</v>
      </c>
      <c r="AU253" t="s">
        <v>3</v>
      </c>
      <c r="AV253">
        <v>1</v>
      </c>
      <c r="AW253">
        <v>2</v>
      </c>
      <c r="AX253">
        <v>43096257</v>
      </c>
      <c r="AY253">
        <v>1</v>
      </c>
      <c r="AZ253">
        <v>0</v>
      </c>
      <c r="BA253">
        <v>237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0</v>
      </c>
      <c r="BI253">
        <v>0</v>
      </c>
      <c r="BJ253">
        <v>0</v>
      </c>
      <c r="BK253">
        <v>0</v>
      </c>
      <c r="BL253">
        <v>0</v>
      </c>
      <c r="BM253">
        <v>0</v>
      </c>
      <c r="BN253">
        <v>0</v>
      </c>
      <c r="BO253">
        <v>0</v>
      </c>
      <c r="BP253">
        <v>0</v>
      </c>
      <c r="BQ253">
        <v>0</v>
      </c>
      <c r="BR253">
        <v>0</v>
      </c>
      <c r="BS253">
        <v>0</v>
      </c>
      <c r="BT253">
        <v>0</v>
      </c>
      <c r="BU253">
        <v>0</v>
      </c>
      <c r="BV253">
        <v>0</v>
      </c>
      <c r="BW253">
        <v>0</v>
      </c>
      <c r="CX253">
        <f>Y253*Source!I142</f>
        <v>0</v>
      </c>
      <c r="CY253">
        <f>AD253</f>
        <v>0</v>
      </c>
      <c r="CZ253">
        <f>AH253</f>
        <v>0</v>
      </c>
      <c r="DA253">
        <f>AL253</f>
        <v>1</v>
      </c>
      <c r="DB253">
        <f t="shared" ref="DB253:DB269" si="66">ROUND(ROUND(AT253*CZ253,2),6)</f>
        <v>0</v>
      </c>
      <c r="DC253">
        <f t="shared" ref="DC253:DC269" si="67">ROUND(ROUND(AT253*AG253,2),6)</f>
        <v>0</v>
      </c>
    </row>
    <row r="254" spans="1:107" x14ac:dyDescent="0.2">
      <c r="A254">
        <f>ROW(Source!A142)</f>
        <v>142</v>
      </c>
      <c r="B254">
        <v>43095088</v>
      </c>
      <c r="C254">
        <v>43096228</v>
      </c>
      <c r="D254">
        <v>42303204</v>
      </c>
      <c r="E254">
        <v>1</v>
      </c>
      <c r="F254">
        <v>1</v>
      </c>
      <c r="G254">
        <v>29</v>
      </c>
      <c r="H254">
        <v>2</v>
      </c>
      <c r="I254" t="s">
        <v>636</v>
      </c>
      <c r="J254" t="s">
        <v>637</v>
      </c>
      <c r="K254" t="s">
        <v>638</v>
      </c>
      <c r="L254">
        <v>1368</v>
      </c>
      <c r="N254">
        <v>1011</v>
      </c>
      <c r="O254" t="s">
        <v>480</v>
      </c>
      <c r="P254" t="s">
        <v>480</v>
      </c>
      <c r="Q254">
        <v>1</v>
      </c>
      <c r="W254">
        <v>0</v>
      </c>
      <c r="X254">
        <v>-1879814166</v>
      </c>
      <c r="Y254">
        <v>10.06</v>
      </c>
      <c r="AA254">
        <v>0</v>
      </c>
      <c r="AB254">
        <v>7.81</v>
      </c>
      <c r="AC254">
        <v>1.03</v>
      </c>
      <c r="AD254">
        <v>0</v>
      </c>
      <c r="AE254">
        <v>0</v>
      </c>
      <c r="AF254">
        <v>7.81</v>
      </c>
      <c r="AG254">
        <v>1.03</v>
      </c>
      <c r="AH254">
        <v>0</v>
      </c>
      <c r="AI254">
        <v>1</v>
      </c>
      <c r="AJ254">
        <v>1</v>
      </c>
      <c r="AK254">
        <v>1</v>
      </c>
      <c r="AL254">
        <v>1</v>
      </c>
      <c r="AN254">
        <v>0</v>
      </c>
      <c r="AO254">
        <v>1</v>
      </c>
      <c r="AP254">
        <v>0</v>
      </c>
      <c r="AQ254">
        <v>0</v>
      </c>
      <c r="AR254">
        <v>0</v>
      </c>
      <c r="AS254" t="s">
        <v>3</v>
      </c>
      <c r="AT254">
        <v>10.06</v>
      </c>
      <c r="AU254" t="s">
        <v>3</v>
      </c>
      <c r="AV254">
        <v>0</v>
      </c>
      <c r="AW254">
        <v>2</v>
      </c>
      <c r="AX254">
        <v>43096258</v>
      </c>
      <c r="AY254">
        <v>1</v>
      </c>
      <c r="AZ254">
        <v>0</v>
      </c>
      <c r="BA254">
        <v>238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0</v>
      </c>
      <c r="BI254">
        <v>0</v>
      </c>
      <c r="BJ254">
        <v>0</v>
      </c>
      <c r="BK254">
        <v>0</v>
      </c>
      <c r="BL254">
        <v>0</v>
      </c>
      <c r="BM254">
        <v>0</v>
      </c>
      <c r="BN254">
        <v>0</v>
      </c>
      <c r="BO254">
        <v>0</v>
      </c>
      <c r="BP254">
        <v>0</v>
      </c>
      <c r="BQ254">
        <v>0</v>
      </c>
      <c r="BR254">
        <v>0</v>
      </c>
      <c r="BS254">
        <v>0</v>
      </c>
      <c r="BT254">
        <v>0</v>
      </c>
      <c r="BU254">
        <v>0</v>
      </c>
      <c r="BV254">
        <v>0</v>
      </c>
      <c r="BW254">
        <v>0</v>
      </c>
      <c r="CX254">
        <f>Y254*Source!I142</f>
        <v>0</v>
      </c>
      <c r="CY254">
        <f>AB254</f>
        <v>7.81</v>
      </c>
      <c r="CZ254">
        <f>AF254</f>
        <v>7.81</v>
      </c>
      <c r="DA254">
        <f>AJ254</f>
        <v>1</v>
      </c>
      <c r="DB254">
        <f t="shared" si="66"/>
        <v>78.569999999999993</v>
      </c>
      <c r="DC254">
        <f t="shared" si="67"/>
        <v>10.36</v>
      </c>
    </row>
    <row r="255" spans="1:107" x14ac:dyDescent="0.2">
      <c r="A255">
        <f>ROW(Source!A142)</f>
        <v>142</v>
      </c>
      <c r="B255">
        <v>43095088</v>
      </c>
      <c r="C255">
        <v>43096228</v>
      </c>
      <c r="D255">
        <v>42303166</v>
      </c>
      <c r="E255">
        <v>1</v>
      </c>
      <c r="F255">
        <v>1</v>
      </c>
      <c r="G255">
        <v>29</v>
      </c>
      <c r="H255">
        <v>2</v>
      </c>
      <c r="I255" t="s">
        <v>561</v>
      </c>
      <c r="J255" t="s">
        <v>562</v>
      </c>
      <c r="K255" t="s">
        <v>563</v>
      </c>
      <c r="L255">
        <v>1368</v>
      </c>
      <c r="N255">
        <v>1011</v>
      </c>
      <c r="O255" t="s">
        <v>480</v>
      </c>
      <c r="P255" t="s">
        <v>480</v>
      </c>
      <c r="Q255">
        <v>1</v>
      </c>
      <c r="W255">
        <v>0</v>
      </c>
      <c r="X255">
        <v>1197532078</v>
      </c>
      <c r="Y255">
        <v>44.36</v>
      </c>
      <c r="AA255">
        <v>0</v>
      </c>
      <c r="AB255">
        <v>5.17</v>
      </c>
      <c r="AC255">
        <v>0.01</v>
      </c>
      <c r="AD255">
        <v>0</v>
      </c>
      <c r="AE255">
        <v>0</v>
      </c>
      <c r="AF255">
        <v>5.17</v>
      </c>
      <c r="AG255">
        <v>0.01</v>
      </c>
      <c r="AH255">
        <v>0</v>
      </c>
      <c r="AI255">
        <v>1</v>
      </c>
      <c r="AJ255">
        <v>1</v>
      </c>
      <c r="AK255">
        <v>1</v>
      </c>
      <c r="AL255">
        <v>1</v>
      </c>
      <c r="AN255">
        <v>0</v>
      </c>
      <c r="AO255">
        <v>1</v>
      </c>
      <c r="AP255">
        <v>0</v>
      </c>
      <c r="AQ255">
        <v>0</v>
      </c>
      <c r="AR255">
        <v>0</v>
      </c>
      <c r="AS255" t="s">
        <v>3</v>
      </c>
      <c r="AT255">
        <v>44.36</v>
      </c>
      <c r="AU255" t="s">
        <v>3</v>
      </c>
      <c r="AV255">
        <v>0</v>
      </c>
      <c r="AW255">
        <v>2</v>
      </c>
      <c r="AX255">
        <v>43096259</v>
      </c>
      <c r="AY255">
        <v>1</v>
      </c>
      <c r="AZ255">
        <v>0</v>
      </c>
      <c r="BA255">
        <v>239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0</v>
      </c>
      <c r="BI255">
        <v>0</v>
      </c>
      <c r="BJ255">
        <v>0</v>
      </c>
      <c r="BK255">
        <v>0</v>
      </c>
      <c r="BL255">
        <v>0</v>
      </c>
      <c r="BM255">
        <v>0</v>
      </c>
      <c r="BN255">
        <v>0</v>
      </c>
      <c r="BO255">
        <v>0</v>
      </c>
      <c r="BP255">
        <v>0</v>
      </c>
      <c r="BQ255">
        <v>0</v>
      </c>
      <c r="BR255">
        <v>0</v>
      </c>
      <c r="BS255">
        <v>0</v>
      </c>
      <c r="BT255">
        <v>0</v>
      </c>
      <c r="BU255">
        <v>0</v>
      </c>
      <c r="BV255">
        <v>0</v>
      </c>
      <c r="BW255">
        <v>0</v>
      </c>
      <c r="CX255">
        <f>Y255*Source!I142</f>
        <v>0</v>
      </c>
      <c r="CY255">
        <f>AB255</f>
        <v>5.17</v>
      </c>
      <c r="CZ255">
        <f>AF255</f>
        <v>5.17</v>
      </c>
      <c r="DA255">
        <f>AJ255</f>
        <v>1</v>
      </c>
      <c r="DB255">
        <f t="shared" si="66"/>
        <v>229.34</v>
      </c>
      <c r="DC255">
        <f t="shared" si="67"/>
        <v>0.44</v>
      </c>
    </row>
    <row r="256" spans="1:107" x14ac:dyDescent="0.2">
      <c r="A256">
        <f>ROW(Source!A142)</f>
        <v>142</v>
      </c>
      <c r="B256">
        <v>43095088</v>
      </c>
      <c r="C256">
        <v>43096228</v>
      </c>
      <c r="D256">
        <v>42303184</v>
      </c>
      <c r="E256">
        <v>1</v>
      </c>
      <c r="F256">
        <v>1</v>
      </c>
      <c r="G256">
        <v>29</v>
      </c>
      <c r="H256">
        <v>2</v>
      </c>
      <c r="I256" t="s">
        <v>777</v>
      </c>
      <c r="J256" t="s">
        <v>778</v>
      </c>
      <c r="K256" t="s">
        <v>779</v>
      </c>
      <c r="L256">
        <v>1368</v>
      </c>
      <c r="N256">
        <v>1011</v>
      </c>
      <c r="O256" t="s">
        <v>480</v>
      </c>
      <c r="P256" t="s">
        <v>480</v>
      </c>
      <c r="Q256">
        <v>1</v>
      </c>
      <c r="W256">
        <v>0</v>
      </c>
      <c r="X256">
        <v>753711009</v>
      </c>
      <c r="Y256">
        <v>4.9800000000000004</v>
      </c>
      <c r="AA256">
        <v>0</v>
      </c>
      <c r="AB256">
        <v>16.350000000000001</v>
      </c>
      <c r="AC256">
        <v>1.18</v>
      </c>
      <c r="AD256">
        <v>0</v>
      </c>
      <c r="AE256">
        <v>0</v>
      </c>
      <c r="AF256">
        <v>16.350000000000001</v>
      </c>
      <c r="AG256">
        <v>1.18</v>
      </c>
      <c r="AH256">
        <v>0</v>
      </c>
      <c r="AI256">
        <v>1</v>
      </c>
      <c r="AJ256">
        <v>1</v>
      </c>
      <c r="AK256">
        <v>1</v>
      </c>
      <c r="AL256">
        <v>1</v>
      </c>
      <c r="AN256">
        <v>0</v>
      </c>
      <c r="AO256">
        <v>1</v>
      </c>
      <c r="AP256">
        <v>0</v>
      </c>
      <c r="AQ256">
        <v>0</v>
      </c>
      <c r="AR256">
        <v>0</v>
      </c>
      <c r="AS256" t="s">
        <v>3</v>
      </c>
      <c r="AT256">
        <v>4.9800000000000004</v>
      </c>
      <c r="AU256" t="s">
        <v>3</v>
      </c>
      <c r="AV256">
        <v>0</v>
      </c>
      <c r="AW256">
        <v>2</v>
      </c>
      <c r="AX256">
        <v>43096260</v>
      </c>
      <c r="AY256">
        <v>1</v>
      </c>
      <c r="AZ256">
        <v>0</v>
      </c>
      <c r="BA256">
        <v>240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0</v>
      </c>
      <c r="BI256">
        <v>0</v>
      </c>
      <c r="BJ256">
        <v>0</v>
      </c>
      <c r="BK256">
        <v>0</v>
      </c>
      <c r="BL256">
        <v>0</v>
      </c>
      <c r="BM256">
        <v>0</v>
      </c>
      <c r="BN256">
        <v>0</v>
      </c>
      <c r="BO256">
        <v>0</v>
      </c>
      <c r="BP256">
        <v>0</v>
      </c>
      <c r="BQ256">
        <v>0</v>
      </c>
      <c r="BR256">
        <v>0</v>
      </c>
      <c r="BS256">
        <v>0</v>
      </c>
      <c r="BT256">
        <v>0</v>
      </c>
      <c r="BU256">
        <v>0</v>
      </c>
      <c r="BV256">
        <v>0</v>
      </c>
      <c r="BW256">
        <v>0</v>
      </c>
      <c r="CX256">
        <f>Y256*Source!I142</f>
        <v>0</v>
      </c>
      <c r="CY256">
        <f>AB256</f>
        <v>16.350000000000001</v>
      </c>
      <c r="CZ256">
        <f>AF256</f>
        <v>16.350000000000001</v>
      </c>
      <c r="DA256">
        <f>AJ256</f>
        <v>1</v>
      </c>
      <c r="DB256">
        <f t="shared" si="66"/>
        <v>81.42</v>
      </c>
      <c r="DC256">
        <f t="shared" si="67"/>
        <v>5.88</v>
      </c>
    </row>
    <row r="257" spans="1:107" x14ac:dyDescent="0.2">
      <c r="A257">
        <f>ROW(Source!A142)</f>
        <v>142</v>
      </c>
      <c r="B257">
        <v>43095088</v>
      </c>
      <c r="C257">
        <v>43096228</v>
      </c>
      <c r="D257">
        <v>42304362</v>
      </c>
      <c r="E257">
        <v>1</v>
      </c>
      <c r="F257">
        <v>1</v>
      </c>
      <c r="G257">
        <v>29</v>
      </c>
      <c r="H257">
        <v>3</v>
      </c>
      <c r="I257" t="s">
        <v>446</v>
      </c>
      <c r="J257" t="s">
        <v>448</v>
      </c>
      <c r="K257" t="s">
        <v>447</v>
      </c>
      <c r="L257">
        <v>1355</v>
      </c>
      <c r="N257">
        <v>1010</v>
      </c>
      <c r="O257" t="s">
        <v>342</v>
      </c>
      <c r="P257" t="s">
        <v>342</v>
      </c>
      <c r="Q257">
        <v>100</v>
      </c>
      <c r="W257">
        <v>1</v>
      </c>
      <c r="X257">
        <v>-177941802</v>
      </c>
      <c r="Y257">
        <v>-29</v>
      </c>
      <c r="AA257">
        <v>24.56</v>
      </c>
      <c r="AB257">
        <v>0</v>
      </c>
      <c r="AC257">
        <v>0</v>
      </c>
      <c r="AD257">
        <v>0</v>
      </c>
      <c r="AE257">
        <v>24.56</v>
      </c>
      <c r="AF257">
        <v>0</v>
      </c>
      <c r="AG257">
        <v>0</v>
      </c>
      <c r="AH257">
        <v>0</v>
      </c>
      <c r="AI257">
        <v>1</v>
      </c>
      <c r="AJ257">
        <v>1</v>
      </c>
      <c r="AK257">
        <v>1</v>
      </c>
      <c r="AL257">
        <v>1</v>
      </c>
      <c r="AN257">
        <v>0</v>
      </c>
      <c r="AO257">
        <v>1</v>
      </c>
      <c r="AP257">
        <v>0</v>
      </c>
      <c r="AQ257">
        <v>0</v>
      </c>
      <c r="AR257">
        <v>0</v>
      </c>
      <c r="AS257" t="s">
        <v>3</v>
      </c>
      <c r="AT257">
        <v>-29</v>
      </c>
      <c r="AU257" t="s">
        <v>3</v>
      </c>
      <c r="AV257">
        <v>0</v>
      </c>
      <c r="AW257">
        <v>2</v>
      </c>
      <c r="AX257">
        <v>43096261</v>
      </c>
      <c r="AY257">
        <v>1</v>
      </c>
      <c r="AZ257">
        <v>6144</v>
      </c>
      <c r="BA257">
        <v>241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0</v>
      </c>
      <c r="BI257">
        <v>0</v>
      </c>
      <c r="BJ257">
        <v>0</v>
      </c>
      <c r="BK257">
        <v>0</v>
      </c>
      <c r="BL257">
        <v>0</v>
      </c>
      <c r="BM257">
        <v>0</v>
      </c>
      <c r="BN257">
        <v>0</v>
      </c>
      <c r="BO257">
        <v>0</v>
      </c>
      <c r="BP257">
        <v>0</v>
      </c>
      <c r="BQ257">
        <v>0</v>
      </c>
      <c r="BR257">
        <v>0</v>
      </c>
      <c r="BS257">
        <v>0</v>
      </c>
      <c r="BT257">
        <v>0</v>
      </c>
      <c r="BU257">
        <v>0</v>
      </c>
      <c r="BV257">
        <v>0</v>
      </c>
      <c r="BW257">
        <v>0</v>
      </c>
      <c r="CX257">
        <f>Y257*Source!I142</f>
        <v>0</v>
      </c>
      <c r="CY257">
        <f t="shared" ref="CY257:CY264" si="68">AA257</f>
        <v>24.56</v>
      </c>
      <c r="CZ257">
        <f t="shared" ref="CZ257:CZ264" si="69">AE257</f>
        <v>24.56</v>
      </c>
      <c r="DA257">
        <f t="shared" ref="DA257:DA264" si="70">AI257</f>
        <v>1</v>
      </c>
      <c r="DB257">
        <f t="shared" si="66"/>
        <v>-712.24</v>
      </c>
      <c r="DC257">
        <f t="shared" si="67"/>
        <v>0</v>
      </c>
    </row>
    <row r="258" spans="1:107" x14ac:dyDescent="0.2">
      <c r="A258">
        <f>ROW(Source!A142)</f>
        <v>142</v>
      </c>
      <c r="B258">
        <v>43095088</v>
      </c>
      <c r="C258">
        <v>43096228</v>
      </c>
      <c r="D258">
        <v>42304301</v>
      </c>
      <c r="E258">
        <v>1</v>
      </c>
      <c r="F258">
        <v>1</v>
      </c>
      <c r="G258">
        <v>29</v>
      </c>
      <c r="H258">
        <v>3</v>
      </c>
      <c r="I258" t="s">
        <v>450</v>
      </c>
      <c r="J258" t="s">
        <v>452</v>
      </c>
      <c r="K258" t="s">
        <v>451</v>
      </c>
      <c r="L258">
        <v>1355</v>
      </c>
      <c r="N258">
        <v>1010</v>
      </c>
      <c r="O258" t="s">
        <v>342</v>
      </c>
      <c r="P258" t="s">
        <v>342</v>
      </c>
      <c r="Q258">
        <v>100</v>
      </c>
      <c r="W258">
        <v>1</v>
      </c>
      <c r="X258">
        <v>-1006674015</v>
      </c>
      <c r="Y258">
        <v>-7</v>
      </c>
      <c r="AA258">
        <v>303.5</v>
      </c>
      <c r="AB258">
        <v>0</v>
      </c>
      <c r="AC258">
        <v>0</v>
      </c>
      <c r="AD258">
        <v>0</v>
      </c>
      <c r="AE258">
        <v>303.5</v>
      </c>
      <c r="AF258">
        <v>0</v>
      </c>
      <c r="AG258">
        <v>0</v>
      </c>
      <c r="AH258">
        <v>0</v>
      </c>
      <c r="AI258">
        <v>1</v>
      </c>
      <c r="AJ258">
        <v>1</v>
      </c>
      <c r="AK258">
        <v>1</v>
      </c>
      <c r="AL258">
        <v>1</v>
      </c>
      <c r="AN258">
        <v>0</v>
      </c>
      <c r="AO258">
        <v>1</v>
      </c>
      <c r="AP258">
        <v>0</v>
      </c>
      <c r="AQ258">
        <v>0</v>
      </c>
      <c r="AR258">
        <v>0</v>
      </c>
      <c r="AS258" t="s">
        <v>3</v>
      </c>
      <c r="AT258">
        <v>-7</v>
      </c>
      <c r="AU258" t="s">
        <v>3</v>
      </c>
      <c r="AV258">
        <v>0</v>
      </c>
      <c r="AW258">
        <v>2</v>
      </c>
      <c r="AX258">
        <v>43096262</v>
      </c>
      <c r="AY258">
        <v>1</v>
      </c>
      <c r="AZ258">
        <v>6144</v>
      </c>
      <c r="BA258">
        <v>242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0</v>
      </c>
      <c r="BI258">
        <v>0</v>
      </c>
      <c r="BJ258">
        <v>0</v>
      </c>
      <c r="BK258">
        <v>0</v>
      </c>
      <c r="BL258">
        <v>0</v>
      </c>
      <c r="BM258">
        <v>0</v>
      </c>
      <c r="BN258">
        <v>0</v>
      </c>
      <c r="BO258">
        <v>0</v>
      </c>
      <c r="BP258">
        <v>0</v>
      </c>
      <c r="BQ258">
        <v>0</v>
      </c>
      <c r="BR258">
        <v>0</v>
      </c>
      <c r="BS258">
        <v>0</v>
      </c>
      <c r="BT258">
        <v>0</v>
      </c>
      <c r="BU258">
        <v>0</v>
      </c>
      <c r="BV258">
        <v>0</v>
      </c>
      <c r="BW258">
        <v>0</v>
      </c>
      <c r="CX258">
        <f>Y258*Source!I142</f>
        <v>0</v>
      </c>
      <c r="CY258">
        <f t="shared" si="68"/>
        <v>303.5</v>
      </c>
      <c r="CZ258">
        <f t="shared" si="69"/>
        <v>303.5</v>
      </c>
      <c r="DA258">
        <f t="shared" si="70"/>
        <v>1</v>
      </c>
      <c r="DB258">
        <f t="shared" si="66"/>
        <v>-2124.5</v>
      </c>
      <c r="DC258">
        <f t="shared" si="67"/>
        <v>0</v>
      </c>
    </row>
    <row r="259" spans="1:107" x14ac:dyDescent="0.2">
      <c r="A259">
        <f>ROW(Source!A142)</f>
        <v>142</v>
      </c>
      <c r="B259">
        <v>43095088</v>
      </c>
      <c r="C259">
        <v>43096228</v>
      </c>
      <c r="D259">
        <v>42307353</v>
      </c>
      <c r="E259">
        <v>1</v>
      </c>
      <c r="F259">
        <v>1</v>
      </c>
      <c r="G259">
        <v>29</v>
      </c>
      <c r="H259">
        <v>3</v>
      </c>
      <c r="I259" t="s">
        <v>454</v>
      </c>
      <c r="J259" t="s">
        <v>456</v>
      </c>
      <c r="K259" t="s">
        <v>455</v>
      </c>
      <c r="L259">
        <v>1354</v>
      </c>
      <c r="N259">
        <v>1010</v>
      </c>
      <c r="O259" t="s">
        <v>20</v>
      </c>
      <c r="P259" t="s">
        <v>20</v>
      </c>
      <c r="Q259">
        <v>1</v>
      </c>
      <c r="W259">
        <v>1</v>
      </c>
      <c r="X259">
        <v>511488652</v>
      </c>
      <c r="Y259">
        <v>-350</v>
      </c>
      <c r="AA259">
        <v>34.01</v>
      </c>
      <c r="AB259">
        <v>0</v>
      </c>
      <c r="AC259">
        <v>0</v>
      </c>
      <c r="AD259">
        <v>0</v>
      </c>
      <c r="AE259">
        <v>34.01</v>
      </c>
      <c r="AF259">
        <v>0</v>
      </c>
      <c r="AG259">
        <v>0</v>
      </c>
      <c r="AH259">
        <v>0</v>
      </c>
      <c r="AI259">
        <v>1</v>
      </c>
      <c r="AJ259">
        <v>1</v>
      </c>
      <c r="AK259">
        <v>1</v>
      </c>
      <c r="AL259">
        <v>1</v>
      </c>
      <c r="AN259">
        <v>0</v>
      </c>
      <c r="AO259">
        <v>1</v>
      </c>
      <c r="AP259">
        <v>0</v>
      </c>
      <c r="AQ259">
        <v>0</v>
      </c>
      <c r="AR259">
        <v>0</v>
      </c>
      <c r="AS259" t="s">
        <v>3</v>
      </c>
      <c r="AT259">
        <v>-350</v>
      </c>
      <c r="AU259" t="s">
        <v>3</v>
      </c>
      <c r="AV259">
        <v>0</v>
      </c>
      <c r="AW259">
        <v>2</v>
      </c>
      <c r="AX259">
        <v>43096263</v>
      </c>
      <c r="AY259">
        <v>1</v>
      </c>
      <c r="AZ259">
        <v>6144</v>
      </c>
      <c r="BA259">
        <v>243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0</v>
      </c>
      <c r="BI259">
        <v>0</v>
      </c>
      <c r="BJ259">
        <v>0</v>
      </c>
      <c r="BK259">
        <v>0</v>
      </c>
      <c r="BL259">
        <v>0</v>
      </c>
      <c r="BM259">
        <v>0</v>
      </c>
      <c r="BN259">
        <v>0</v>
      </c>
      <c r="BO259">
        <v>0</v>
      </c>
      <c r="BP259">
        <v>0</v>
      </c>
      <c r="BQ259">
        <v>0</v>
      </c>
      <c r="BR259">
        <v>0</v>
      </c>
      <c r="BS259">
        <v>0</v>
      </c>
      <c r="BT259">
        <v>0</v>
      </c>
      <c r="BU259">
        <v>0</v>
      </c>
      <c r="BV259">
        <v>0</v>
      </c>
      <c r="BW259">
        <v>0</v>
      </c>
      <c r="CX259">
        <f>Y259*Source!I142</f>
        <v>0</v>
      </c>
      <c r="CY259">
        <f t="shared" si="68"/>
        <v>34.01</v>
      </c>
      <c r="CZ259">
        <f t="shared" si="69"/>
        <v>34.01</v>
      </c>
      <c r="DA259">
        <f t="shared" si="70"/>
        <v>1</v>
      </c>
      <c r="DB259">
        <f t="shared" si="66"/>
        <v>-11903.5</v>
      </c>
      <c r="DC259">
        <f t="shared" si="67"/>
        <v>0</v>
      </c>
    </row>
    <row r="260" spans="1:107" x14ac:dyDescent="0.2">
      <c r="A260">
        <f>ROW(Source!A142)</f>
        <v>142</v>
      </c>
      <c r="B260">
        <v>43095088</v>
      </c>
      <c r="C260">
        <v>43096228</v>
      </c>
      <c r="D260">
        <v>42307363</v>
      </c>
      <c r="E260">
        <v>1</v>
      </c>
      <c r="F260">
        <v>1</v>
      </c>
      <c r="G260">
        <v>29</v>
      </c>
      <c r="H260">
        <v>3</v>
      </c>
      <c r="I260" t="s">
        <v>458</v>
      </c>
      <c r="J260" t="s">
        <v>460</v>
      </c>
      <c r="K260" t="s">
        <v>459</v>
      </c>
      <c r="L260">
        <v>1301</v>
      </c>
      <c r="N260">
        <v>1003</v>
      </c>
      <c r="O260" t="s">
        <v>64</v>
      </c>
      <c r="P260" t="s">
        <v>64</v>
      </c>
      <c r="Q260">
        <v>1</v>
      </c>
      <c r="W260">
        <v>1</v>
      </c>
      <c r="X260">
        <v>-2003117653</v>
      </c>
      <c r="Y260">
        <v>-42</v>
      </c>
      <c r="AA260">
        <v>86.49</v>
      </c>
      <c r="AB260">
        <v>0</v>
      </c>
      <c r="AC260">
        <v>0</v>
      </c>
      <c r="AD260">
        <v>0</v>
      </c>
      <c r="AE260">
        <v>86.49</v>
      </c>
      <c r="AF260">
        <v>0</v>
      </c>
      <c r="AG260">
        <v>0</v>
      </c>
      <c r="AH260">
        <v>0</v>
      </c>
      <c r="AI260">
        <v>1</v>
      </c>
      <c r="AJ260">
        <v>1</v>
      </c>
      <c r="AK260">
        <v>1</v>
      </c>
      <c r="AL260">
        <v>1</v>
      </c>
      <c r="AN260">
        <v>0</v>
      </c>
      <c r="AO260">
        <v>1</v>
      </c>
      <c r="AP260">
        <v>0</v>
      </c>
      <c r="AQ260">
        <v>0</v>
      </c>
      <c r="AR260">
        <v>0</v>
      </c>
      <c r="AS260" t="s">
        <v>3</v>
      </c>
      <c r="AT260">
        <v>-42</v>
      </c>
      <c r="AU260" t="s">
        <v>3</v>
      </c>
      <c r="AV260">
        <v>0</v>
      </c>
      <c r="AW260">
        <v>2</v>
      </c>
      <c r="AX260">
        <v>43096264</v>
      </c>
      <c r="AY260">
        <v>1</v>
      </c>
      <c r="AZ260">
        <v>6144</v>
      </c>
      <c r="BA260">
        <v>244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0</v>
      </c>
      <c r="BI260">
        <v>0</v>
      </c>
      <c r="BJ260">
        <v>0</v>
      </c>
      <c r="BK260">
        <v>0</v>
      </c>
      <c r="BL260">
        <v>0</v>
      </c>
      <c r="BM260">
        <v>0</v>
      </c>
      <c r="BN260">
        <v>0</v>
      </c>
      <c r="BO260">
        <v>0</v>
      </c>
      <c r="BP260">
        <v>0</v>
      </c>
      <c r="BQ260">
        <v>0</v>
      </c>
      <c r="BR260">
        <v>0</v>
      </c>
      <c r="BS260">
        <v>0</v>
      </c>
      <c r="BT260">
        <v>0</v>
      </c>
      <c r="BU260">
        <v>0</v>
      </c>
      <c r="BV260">
        <v>0</v>
      </c>
      <c r="BW260">
        <v>0</v>
      </c>
      <c r="CX260">
        <f>Y260*Source!I142</f>
        <v>0</v>
      </c>
      <c r="CY260">
        <f t="shared" si="68"/>
        <v>86.49</v>
      </c>
      <c r="CZ260">
        <f t="shared" si="69"/>
        <v>86.49</v>
      </c>
      <c r="DA260">
        <f t="shared" si="70"/>
        <v>1</v>
      </c>
      <c r="DB260">
        <f t="shared" si="66"/>
        <v>-3632.58</v>
      </c>
      <c r="DC260">
        <f t="shared" si="67"/>
        <v>0</v>
      </c>
    </row>
    <row r="261" spans="1:107" x14ac:dyDescent="0.2">
      <c r="A261">
        <f>ROW(Source!A142)</f>
        <v>142</v>
      </c>
      <c r="B261">
        <v>43095088</v>
      </c>
      <c r="C261">
        <v>43096228</v>
      </c>
      <c r="D261">
        <v>42307364</v>
      </c>
      <c r="E261">
        <v>1</v>
      </c>
      <c r="F261">
        <v>1</v>
      </c>
      <c r="G261">
        <v>29</v>
      </c>
      <c r="H261">
        <v>3</v>
      </c>
      <c r="I261" t="s">
        <v>462</v>
      </c>
      <c r="J261" t="s">
        <v>464</v>
      </c>
      <c r="K261" t="s">
        <v>463</v>
      </c>
      <c r="L261">
        <v>1301</v>
      </c>
      <c r="N261">
        <v>1003</v>
      </c>
      <c r="O261" t="s">
        <v>64</v>
      </c>
      <c r="P261" t="s">
        <v>64</v>
      </c>
      <c r="Q261">
        <v>1</v>
      </c>
      <c r="W261">
        <v>1</v>
      </c>
      <c r="X261">
        <v>-1377275622</v>
      </c>
      <c r="Y261">
        <v>-12</v>
      </c>
      <c r="AA261">
        <v>281.07</v>
      </c>
      <c r="AB261">
        <v>0</v>
      </c>
      <c r="AC261">
        <v>0</v>
      </c>
      <c r="AD261">
        <v>0</v>
      </c>
      <c r="AE261">
        <v>281.07</v>
      </c>
      <c r="AF261">
        <v>0</v>
      </c>
      <c r="AG261">
        <v>0</v>
      </c>
      <c r="AH261">
        <v>0</v>
      </c>
      <c r="AI261">
        <v>1</v>
      </c>
      <c r="AJ261">
        <v>1</v>
      </c>
      <c r="AK261">
        <v>1</v>
      </c>
      <c r="AL261">
        <v>1</v>
      </c>
      <c r="AN261">
        <v>0</v>
      </c>
      <c r="AO261">
        <v>1</v>
      </c>
      <c r="AP261">
        <v>0</v>
      </c>
      <c r="AQ261">
        <v>0</v>
      </c>
      <c r="AR261">
        <v>0</v>
      </c>
      <c r="AS261" t="s">
        <v>3</v>
      </c>
      <c r="AT261">
        <v>-12</v>
      </c>
      <c r="AU261" t="s">
        <v>3</v>
      </c>
      <c r="AV261">
        <v>0</v>
      </c>
      <c r="AW261">
        <v>2</v>
      </c>
      <c r="AX261">
        <v>43096265</v>
      </c>
      <c r="AY261">
        <v>1</v>
      </c>
      <c r="AZ261">
        <v>6144</v>
      </c>
      <c r="BA261">
        <v>245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0</v>
      </c>
      <c r="BI261">
        <v>0</v>
      </c>
      <c r="BJ261">
        <v>0</v>
      </c>
      <c r="BK261">
        <v>0</v>
      </c>
      <c r="BL261">
        <v>0</v>
      </c>
      <c r="BM261">
        <v>0</v>
      </c>
      <c r="BN261">
        <v>0</v>
      </c>
      <c r="BO261">
        <v>0</v>
      </c>
      <c r="BP261">
        <v>0</v>
      </c>
      <c r="BQ261">
        <v>0</v>
      </c>
      <c r="BR261">
        <v>0</v>
      </c>
      <c r="BS261">
        <v>0</v>
      </c>
      <c r="BT261">
        <v>0</v>
      </c>
      <c r="BU261">
        <v>0</v>
      </c>
      <c r="BV261">
        <v>0</v>
      </c>
      <c r="BW261">
        <v>0</v>
      </c>
      <c r="CX261">
        <f>Y261*Source!I142</f>
        <v>0</v>
      </c>
      <c r="CY261">
        <f t="shared" si="68"/>
        <v>281.07</v>
      </c>
      <c r="CZ261">
        <f t="shared" si="69"/>
        <v>281.07</v>
      </c>
      <c r="DA261">
        <f t="shared" si="70"/>
        <v>1</v>
      </c>
      <c r="DB261">
        <f t="shared" si="66"/>
        <v>-3372.84</v>
      </c>
      <c r="DC261">
        <f t="shared" si="67"/>
        <v>0</v>
      </c>
    </row>
    <row r="262" spans="1:107" x14ac:dyDescent="0.2">
      <c r="A262">
        <f>ROW(Source!A142)</f>
        <v>142</v>
      </c>
      <c r="B262">
        <v>43095088</v>
      </c>
      <c r="C262">
        <v>43096228</v>
      </c>
      <c r="D262">
        <v>42307365</v>
      </c>
      <c r="E262">
        <v>1</v>
      </c>
      <c r="F262">
        <v>1</v>
      </c>
      <c r="G262">
        <v>29</v>
      </c>
      <c r="H262">
        <v>3</v>
      </c>
      <c r="I262" t="s">
        <v>466</v>
      </c>
      <c r="J262" t="s">
        <v>468</v>
      </c>
      <c r="K262" t="s">
        <v>467</v>
      </c>
      <c r="L262">
        <v>1301</v>
      </c>
      <c r="N262">
        <v>1003</v>
      </c>
      <c r="O262" t="s">
        <v>64</v>
      </c>
      <c r="P262" t="s">
        <v>64</v>
      </c>
      <c r="Q262">
        <v>1</v>
      </c>
      <c r="W262">
        <v>1</v>
      </c>
      <c r="X262">
        <v>-2058990990</v>
      </c>
      <c r="Y262">
        <v>-55</v>
      </c>
      <c r="AA262">
        <v>152.68</v>
      </c>
      <c r="AB262">
        <v>0</v>
      </c>
      <c r="AC262">
        <v>0</v>
      </c>
      <c r="AD262">
        <v>0</v>
      </c>
      <c r="AE262">
        <v>152.68</v>
      </c>
      <c r="AF262">
        <v>0</v>
      </c>
      <c r="AG262">
        <v>0</v>
      </c>
      <c r="AH262">
        <v>0</v>
      </c>
      <c r="AI262">
        <v>1</v>
      </c>
      <c r="AJ262">
        <v>1</v>
      </c>
      <c r="AK262">
        <v>1</v>
      </c>
      <c r="AL262">
        <v>1</v>
      </c>
      <c r="AN262">
        <v>0</v>
      </c>
      <c r="AO262">
        <v>1</v>
      </c>
      <c r="AP262">
        <v>0</v>
      </c>
      <c r="AQ262">
        <v>0</v>
      </c>
      <c r="AR262">
        <v>0</v>
      </c>
      <c r="AS262" t="s">
        <v>3</v>
      </c>
      <c r="AT262">
        <v>-55</v>
      </c>
      <c r="AU262" t="s">
        <v>3</v>
      </c>
      <c r="AV262">
        <v>0</v>
      </c>
      <c r="AW262">
        <v>2</v>
      </c>
      <c r="AX262">
        <v>43096266</v>
      </c>
      <c r="AY262">
        <v>1</v>
      </c>
      <c r="AZ262">
        <v>6144</v>
      </c>
      <c r="BA262">
        <v>246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0</v>
      </c>
      <c r="BI262">
        <v>0</v>
      </c>
      <c r="BJ262">
        <v>0</v>
      </c>
      <c r="BK262">
        <v>0</v>
      </c>
      <c r="BL262">
        <v>0</v>
      </c>
      <c r="BM262">
        <v>0</v>
      </c>
      <c r="BN262">
        <v>0</v>
      </c>
      <c r="BO262">
        <v>0</v>
      </c>
      <c r="BP262">
        <v>0</v>
      </c>
      <c r="BQ262">
        <v>0</v>
      </c>
      <c r="BR262">
        <v>0</v>
      </c>
      <c r="BS262">
        <v>0</v>
      </c>
      <c r="BT262">
        <v>0</v>
      </c>
      <c r="BU262">
        <v>0</v>
      </c>
      <c r="BV262">
        <v>0</v>
      </c>
      <c r="BW262">
        <v>0</v>
      </c>
      <c r="CX262">
        <f>Y262*Source!I142</f>
        <v>0</v>
      </c>
      <c r="CY262">
        <f t="shared" si="68"/>
        <v>152.68</v>
      </c>
      <c r="CZ262">
        <f t="shared" si="69"/>
        <v>152.68</v>
      </c>
      <c r="DA262">
        <f t="shared" si="70"/>
        <v>1</v>
      </c>
      <c r="DB262">
        <f t="shared" si="66"/>
        <v>-8397.4</v>
      </c>
      <c r="DC262">
        <f t="shared" si="67"/>
        <v>0</v>
      </c>
    </row>
    <row r="263" spans="1:107" x14ac:dyDescent="0.2">
      <c r="A263">
        <f>ROW(Source!A142)</f>
        <v>142</v>
      </c>
      <c r="B263">
        <v>43095088</v>
      </c>
      <c r="C263">
        <v>43096228</v>
      </c>
      <c r="D263">
        <v>42307399</v>
      </c>
      <c r="E263">
        <v>1</v>
      </c>
      <c r="F263">
        <v>1</v>
      </c>
      <c r="G263">
        <v>29</v>
      </c>
      <c r="H263">
        <v>3</v>
      </c>
      <c r="I263" t="s">
        <v>470</v>
      </c>
      <c r="J263" t="s">
        <v>472</v>
      </c>
      <c r="K263" t="s">
        <v>471</v>
      </c>
      <c r="L263">
        <v>1327</v>
      </c>
      <c r="N263">
        <v>1005</v>
      </c>
      <c r="O263" t="s">
        <v>94</v>
      </c>
      <c r="P263" t="s">
        <v>94</v>
      </c>
      <c r="Q263">
        <v>1</v>
      </c>
      <c r="W263">
        <v>1</v>
      </c>
      <c r="X263">
        <v>-111100368</v>
      </c>
      <c r="Y263">
        <v>-116.6</v>
      </c>
      <c r="AA263">
        <v>779</v>
      </c>
      <c r="AB263">
        <v>0</v>
      </c>
      <c r="AC263">
        <v>0</v>
      </c>
      <c r="AD263">
        <v>0</v>
      </c>
      <c r="AE263">
        <v>779</v>
      </c>
      <c r="AF263">
        <v>0</v>
      </c>
      <c r="AG263">
        <v>0</v>
      </c>
      <c r="AH263">
        <v>0</v>
      </c>
      <c r="AI263">
        <v>1</v>
      </c>
      <c r="AJ263">
        <v>1</v>
      </c>
      <c r="AK263">
        <v>1</v>
      </c>
      <c r="AL263">
        <v>1</v>
      </c>
      <c r="AN263">
        <v>0</v>
      </c>
      <c r="AO263">
        <v>1</v>
      </c>
      <c r="AP263">
        <v>0</v>
      </c>
      <c r="AQ263">
        <v>0</v>
      </c>
      <c r="AR263">
        <v>0</v>
      </c>
      <c r="AS263" t="s">
        <v>3</v>
      </c>
      <c r="AT263">
        <v>-116.6</v>
      </c>
      <c r="AU263" t="s">
        <v>3</v>
      </c>
      <c r="AV263">
        <v>0</v>
      </c>
      <c r="AW263">
        <v>2</v>
      </c>
      <c r="AX263">
        <v>43096267</v>
      </c>
      <c r="AY263">
        <v>1</v>
      </c>
      <c r="AZ263">
        <v>6144</v>
      </c>
      <c r="BA263">
        <v>247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0</v>
      </c>
      <c r="BI263">
        <v>0</v>
      </c>
      <c r="BJ263">
        <v>0</v>
      </c>
      <c r="BK263">
        <v>0</v>
      </c>
      <c r="BL263">
        <v>0</v>
      </c>
      <c r="BM263">
        <v>0</v>
      </c>
      <c r="BN263">
        <v>0</v>
      </c>
      <c r="BO263">
        <v>0</v>
      </c>
      <c r="BP263">
        <v>0</v>
      </c>
      <c r="BQ263">
        <v>0</v>
      </c>
      <c r="BR263">
        <v>0</v>
      </c>
      <c r="BS263">
        <v>0</v>
      </c>
      <c r="BT263">
        <v>0</v>
      </c>
      <c r="BU263">
        <v>0</v>
      </c>
      <c r="BV263">
        <v>0</v>
      </c>
      <c r="BW263">
        <v>0</v>
      </c>
      <c r="CX263">
        <f>Y263*Source!I142</f>
        <v>0</v>
      </c>
      <c r="CY263">
        <f t="shared" si="68"/>
        <v>779</v>
      </c>
      <c r="CZ263">
        <f t="shared" si="69"/>
        <v>779</v>
      </c>
      <c r="DA263">
        <f t="shared" si="70"/>
        <v>1</v>
      </c>
      <c r="DB263">
        <f t="shared" si="66"/>
        <v>-90831.4</v>
      </c>
      <c r="DC263">
        <f t="shared" si="67"/>
        <v>0</v>
      </c>
    </row>
    <row r="264" spans="1:107" x14ac:dyDescent="0.2">
      <c r="A264">
        <f>ROW(Source!A142)</f>
        <v>142</v>
      </c>
      <c r="B264">
        <v>43095088</v>
      </c>
      <c r="C264">
        <v>43096228</v>
      </c>
      <c r="D264">
        <v>42307569</v>
      </c>
      <c r="E264">
        <v>1</v>
      </c>
      <c r="F264">
        <v>1</v>
      </c>
      <c r="G264">
        <v>29</v>
      </c>
      <c r="H264">
        <v>3</v>
      </c>
      <c r="I264" t="s">
        <v>474</v>
      </c>
      <c r="J264" t="s">
        <v>476</v>
      </c>
      <c r="K264" t="s">
        <v>475</v>
      </c>
      <c r="L264">
        <v>1348</v>
      </c>
      <c r="N264">
        <v>1009</v>
      </c>
      <c r="O264" t="s">
        <v>402</v>
      </c>
      <c r="P264" t="s">
        <v>402</v>
      </c>
      <c r="Q264">
        <v>1000</v>
      </c>
      <c r="W264">
        <v>1</v>
      </c>
      <c r="X264">
        <v>1159034141</v>
      </c>
      <c r="Y264">
        <v>-0.14399999999999999</v>
      </c>
      <c r="AA264">
        <v>217076.76</v>
      </c>
      <c r="AB264">
        <v>0</v>
      </c>
      <c r="AC264">
        <v>0</v>
      </c>
      <c r="AD264">
        <v>0</v>
      </c>
      <c r="AE264">
        <v>217076.76</v>
      </c>
      <c r="AF264">
        <v>0</v>
      </c>
      <c r="AG264">
        <v>0</v>
      </c>
      <c r="AH264">
        <v>0</v>
      </c>
      <c r="AI264">
        <v>1</v>
      </c>
      <c r="AJ264">
        <v>1</v>
      </c>
      <c r="AK264">
        <v>1</v>
      </c>
      <c r="AL264">
        <v>1</v>
      </c>
      <c r="AN264">
        <v>0</v>
      </c>
      <c r="AO264">
        <v>1</v>
      </c>
      <c r="AP264">
        <v>0</v>
      </c>
      <c r="AQ264">
        <v>0</v>
      </c>
      <c r="AR264">
        <v>0</v>
      </c>
      <c r="AS264" t="s">
        <v>3</v>
      </c>
      <c r="AT264">
        <v>-0.14399999999999999</v>
      </c>
      <c r="AU264" t="s">
        <v>3</v>
      </c>
      <c r="AV264">
        <v>0</v>
      </c>
      <c r="AW264">
        <v>2</v>
      </c>
      <c r="AX264">
        <v>43096268</v>
      </c>
      <c r="AY264">
        <v>1</v>
      </c>
      <c r="AZ264">
        <v>6144</v>
      </c>
      <c r="BA264">
        <v>248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0</v>
      </c>
      <c r="BI264">
        <v>0</v>
      </c>
      <c r="BJ264">
        <v>0</v>
      </c>
      <c r="BK264">
        <v>0</v>
      </c>
      <c r="BL264">
        <v>0</v>
      </c>
      <c r="BM264">
        <v>0</v>
      </c>
      <c r="BN264">
        <v>0</v>
      </c>
      <c r="BO264">
        <v>0</v>
      </c>
      <c r="BP264">
        <v>0</v>
      </c>
      <c r="BQ264">
        <v>0</v>
      </c>
      <c r="BR264">
        <v>0</v>
      </c>
      <c r="BS264">
        <v>0</v>
      </c>
      <c r="BT264">
        <v>0</v>
      </c>
      <c r="BU264">
        <v>0</v>
      </c>
      <c r="BV264">
        <v>0</v>
      </c>
      <c r="BW264">
        <v>0</v>
      </c>
      <c r="CX264">
        <f>Y264*Source!I142</f>
        <v>0</v>
      </c>
      <c r="CY264">
        <f t="shared" si="68"/>
        <v>217076.76</v>
      </c>
      <c r="CZ264">
        <f t="shared" si="69"/>
        <v>217076.76</v>
      </c>
      <c r="DA264">
        <f t="shared" si="70"/>
        <v>1</v>
      </c>
      <c r="DB264">
        <f t="shared" si="66"/>
        <v>-31259.05</v>
      </c>
      <c r="DC264">
        <f t="shared" si="67"/>
        <v>0</v>
      </c>
    </row>
    <row r="265" spans="1:107" x14ac:dyDescent="0.2">
      <c r="A265">
        <f>ROW(Source!A152)</f>
        <v>152</v>
      </c>
      <c r="B265">
        <v>43095088</v>
      </c>
      <c r="C265">
        <v>43096278</v>
      </c>
      <c r="D265">
        <v>42302278</v>
      </c>
      <c r="E265">
        <v>1</v>
      </c>
      <c r="F265">
        <v>1</v>
      </c>
      <c r="G265">
        <v>29</v>
      </c>
      <c r="H265">
        <v>2</v>
      </c>
      <c r="I265" t="s">
        <v>780</v>
      </c>
      <c r="J265" t="s">
        <v>781</v>
      </c>
      <c r="K265" t="s">
        <v>782</v>
      </c>
      <c r="L265">
        <v>1368</v>
      </c>
      <c r="N265">
        <v>1011</v>
      </c>
      <c r="O265" t="s">
        <v>480</v>
      </c>
      <c r="P265" t="s">
        <v>480</v>
      </c>
      <c r="Q265">
        <v>1</v>
      </c>
      <c r="W265">
        <v>0</v>
      </c>
      <c r="X265">
        <v>-1243224382</v>
      </c>
      <c r="Y265">
        <v>5.3699999999999998E-2</v>
      </c>
      <c r="AA265">
        <v>0</v>
      </c>
      <c r="AB265">
        <v>1568.39</v>
      </c>
      <c r="AC265">
        <v>505.27</v>
      </c>
      <c r="AD265">
        <v>0</v>
      </c>
      <c r="AE265">
        <v>0</v>
      </c>
      <c r="AF265">
        <v>1568.39</v>
      </c>
      <c r="AG265">
        <v>505.27</v>
      </c>
      <c r="AH265">
        <v>0</v>
      </c>
      <c r="AI265">
        <v>1</v>
      </c>
      <c r="AJ265">
        <v>1</v>
      </c>
      <c r="AK265">
        <v>1</v>
      </c>
      <c r="AL265">
        <v>1</v>
      </c>
      <c r="AN265">
        <v>0</v>
      </c>
      <c r="AO265">
        <v>1</v>
      </c>
      <c r="AP265">
        <v>0</v>
      </c>
      <c r="AQ265">
        <v>0</v>
      </c>
      <c r="AR265">
        <v>0</v>
      </c>
      <c r="AS265" t="s">
        <v>3</v>
      </c>
      <c r="AT265">
        <v>5.3699999999999998E-2</v>
      </c>
      <c r="AU265" t="s">
        <v>3</v>
      </c>
      <c r="AV265">
        <v>0</v>
      </c>
      <c r="AW265">
        <v>2</v>
      </c>
      <c r="AX265">
        <v>43096282</v>
      </c>
      <c r="AY265">
        <v>1</v>
      </c>
      <c r="AZ265">
        <v>0</v>
      </c>
      <c r="BA265">
        <v>249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0</v>
      </c>
      <c r="BI265">
        <v>0</v>
      </c>
      <c r="BJ265">
        <v>0</v>
      </c>
      <c r="BK265">
        <v>0</v>
      </c>
      <c r="BL265">
        <v>0</v>
      </c>
      <c r="BM265">
        <v>0</v>
      </c>
      <c r="BN265">
        <v>0</v>
      </c>
      <c r="BO265">
        <v>0</v>
      </c>
      <c r="BP265">
        <v>0</v>
      </c>
      <c r="BQ265">
        <v>0</v>
      </c>
      <c r="BR265">
        <v>0</v>
      </c>
      <c r="BS265">
        <v>0</v>
      </c>
      <c r="BT265">
        <v>0</v>
      </c>
      <c r="BU265">
        <v>0</v>
      </c>
      <c r="BV265">
        <v>0</v>
      </c>
      <c r="BW265">
        <v>0</v>
      </c>
      <c r="CX265">
        <f>Y265*Source!I152</f>
        <v>0</v>
      </c>
      <c r="CY265">
        <f>AB265</f>
        <v>1568.39</v>
      </c>
      <c r="CZ265">
        <f>AF265</f>
        <v>1568.39</v>
      </c>
      <c r="DA265">
        <f>AJ265</f>
        <v>1</v>
      </c>
      <c r="DB265">
        <f t="shared" si="66"/>
        <v>84.22</v>
      </c>
      <c r="DC265">
        <f t="shared" si="67"/>
        <v>27.13</v>
      </c>
    </row>
    <row r="266" spans="1:107" x14ac:dyDescent="0.2">
      <c r="A266">
        <f>ROW(Source!A153)</f>
        <v>153</v>
      </c>
      <c r="B266">
        <v>43095088</v>
      </c>
      <c r="C266">
        <v>43096283</v>
      </c>
      <c r="D266">
        <v>42303090</v>
      </c>
      <c r="E266">
        <v>1</v>
      </c>
      <c r="F266">
        <v>1</v>
      </c>
      <c r="G266">
        <v>29</v>
      </c>
      <c r="H266">
        <v>2</v>
      </c>
      <c r="I266" t="s">
        <v>783</v>
      </c>
      <c r="J266" t="s">
        <v>784</v>
      </c>
      <c r="K266" t="s">
        <v>785</v>
      </c>
      <c r="L266">
        <v>1368</v>
      </c>
      <c r="N266">
        <v>1011</v>
      </c>
      <c r="O266" t="s">
        <v>480</v>
      </c>
      <c r="P266" t="s">
        <v>480</v>
      </c>
      <c r="Q266">
        <v>1</v>
      </c>
      <c r="W266">
        <v>0</v>
      </c>
      <c r="X266">
        <v>1225737780</v>
      </c>
      <c r="Y266">
        <v>0.02</v>
      </c>
      <c r="AA266">
        <v>0</v>
      </c>
      <c r="AB266">
        <v>1070.1199999999999</v>
      </c>
      <c r="AC266">
        <v>332.66</v>
      </c>
      <c r="AD266">
        <v>0</v>
      </c>
      <c r="AE266">
        <v>0</v>
      </c>
      <c r="AF266">
        <v>1070.1199999999999</v>
      </c>
      <c r="AG266">
        <v>332.66</v>
      </c>
      <c r="AH266">
        <v>0</v>
      </c>
      <c r="AI266">
        <v>1</v>
      </c>
      <c r="AJ266">
        <v>1</v>
      </c>
      <c r="AK266">
        <v>1</v>
      </c>
      <c r="AL266">
        <v>1</v>
      </c>
      <c r="AN266">
        <v>0</v>
      </c>
      <c r="AO266">
        <v>1</v>
      </c>
      <c r="AP266">
        <v>0</v>
      </c>
      <c r="AQ266">
        <v>0</v>
      </c>
      <c r="AR266">
        <v>0</v>
      </c>
      <c r="AS266" t="s">
        <v>3</v>
      </c>
      <c r="AT266">
        <v>0.02</v>
      </c>
      <c r="AU266" t="s">
        <v>3</v>
      </c>
      <c r="AV266">
        <v>0</v>
      </c>
      <c r="AW266">
        <v>2</v>
      </c>
      <c r="AX266">
        <v>43096290</v>
      </c>
      <c r="AY266">
        <v>1</v>
      </c>
      <c r="AZ266">
        <v>0</v>
      </c>
      <c r="BA266">
        <v>250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0</v>
      </c>
      <c r="BI266">
        <v>0</v>
      </c>
      <c r="BJ266">
        <v>0</v>
      </c>
      <c r="BK266">
        <v>0</v>
      </c>
      <c r="BL266">
        <v>0</v>
      </c>
      <c r="BM266">
        <v>0</v>
      </c>
      <c r="BN266">
        <v>0</v>
      </c>
      <c r="BO266">
        <v>0</v>
      </c>
      <c r="BP266">
        <v>0</v>
      </c>
      <c r="BQ266">
        <v>0</v>
      </c>
      <c r="BR266">
        <v>0</v>
      </c>
      <c r="BS266">
        <v>0</v>
      </c>
      <c r="BT266">
        <v>0</v>
      </c>
      <c r="BU266">
        <v>0</v>
      </c>
      <c r="BV266">
        <v>0</v>
      </c>
      <c r="BW266">
        <v>0</v>
      </c>
      <c r="CX266">
        <f>Y266*Source!I153</f>
        <v>0</v>
      </c>
      <c r="CY266">
        <f>AB266</f>
        <v>1070.1199999999999</v>
      </c>
      <c r="CZ266">
        <f>AF266</f>
        <v>1070.1199999999999</v>
      </c>
      <c r="DA266">
        <f>AJ266</f>
        <v>1</v>
      </c>
      <c r="DB266">
        <f t="shared" si="66"/>
        <v>21.4</v>
      </c>
      <c r="DC266">
        <f t="shared" si="67"/>
        <v>6.65</v>
      </c>
    </row>
    <row r="267" spans="1:107" x14ac:dyDescent="0.2">
      <c r="A267">
        <f>ROW(Source!A153)</f>
        <v>153</v>
      </c>
      <c r="B267">
        <v>43095088</v>
      </c>
      <c r="C267">
        <v>43096283</v>
      </c>
      <c r="D267">
        <v>42303091</v>
      </c>
      <c r="E267">
        <v>1</v>
      </c>
      <c r="F267">
        <v>1</v>
      </c>
      <c r="G267">
        <v>29</v>
      </c>
      <c r="H267">
        <v>2</v>
      </c>
      <c r="I267" t="s">
        <v>786</v>
      </c>
      <c r="J267" t="s">
        <v>787</v>
      </c>
      <c r="K267" t="s">
        <v>788</v>
      </c>
      <c r="L267">
        <v>1368</v>
      </c>
      <c r="N267">
        <v>1011</v>
      </c>
      <c r="O267" t="s">
        <v>480</v>
      </c>
      <c r="P267" t="s">
        <v>480</v>
      </c>
      <c r="Q267">
        <v>1</v>
      </c>
      <c r="W267">
        <v>0</v>
      </c>
      <c r="X267">
        <v>-248053604</v>
      </c>
      <c r="Y267">
        <v>1.7999999999999999E-2</v>
      </c>
      <c r="AA267">
        <v>0</v>
      </c>
      <c r="AB267">
        <v>1080.76</v>
      </c>
      <c r="AC267">
        <v>332.99</v>
      </c>
      <c r="AD267">
        <v>0</v>
      </c>
      <c r="AE267">
        <v>0</v>
      </c>
      <c r="AF267">
        <v>1080.76</v>
      </c>
      <c r="AG267">
        <v>332.99</v>
      </c>
      <c r="AH267">
        <v>0</v>
      </c>
      <c r="AI267">
        <v>1</v>
      </c>
      <c r="AJ267">
        <v>1</v>
      </c>
      <c r="AK267">
        <v>1</v>
      </c>
      <c r="AL267">
        <v>1</v>
      </c>
      <c r="AN267">
        <v>0</v>
      </c>
      <c r="AO267">
        <v>1</v>
      </c>
      <c r="AP267">
        <v>0</v>
      </c>
      <c r="AQ267">
        <v>0</v>
      </c>
      <c r="AR267">
        <v>0</v>
      </c>
      <c r="AS267" t="s">
        <v>3</v>
      </c>
      <c r="AT267">
        <v>1.7999999999999999E-2</v>
      </c>
      <c r="AU267" t="s">
        <v>3</v>
      </c>
      <c r="AV267">
        <v>0</v>
      </c>
      <c r="AW267">
        <v>2</v>
      </c>
      <c r="AX267">
        <v>43096291</v>
      </c>
      <c r="AY267">
        <v>1</v>
      </c>
      <c r="AZ267">
        <v>0</v>
      </c>
      <c r="BA267">
        <v>251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0</v>
      </c>
      <c r="BI267">
        <v>0</v>
      </c>
      <c r="BJ267">
        <v>0</v>
      </c>
      <c r="BK267">
        <v>0</v>
      </c>
      <c r="BL267">
        <v>0</v>
      </c>
      <c r="BM267">
        <v>0</v>
      </c>
      <c r="BN267">
        <v>0</v>
      </c>
      <c r="BO267">
        <v>0</v>
      </c>
      <c r="BP267">
        <v>0</v>
      </c>
      <c r="BQ267">
        <v>0</v>
      </c>
      <c r="BR267">
        <v>0</v>
      </c>
      <c r="BS267">
        <v>0</v>
      </c>
      <c r="BT267">
        <v>0</v>
      </c>
      <c r="BU267">
        <v>0</v>
      </c>
      <c r="BV267">
        <v>0</v>
      </c>
      <c r="BW267">
        <v>0</v>
      </c>
      <c r="CX267">
        <f>Y267*Source!I153</f>
        <v>0</v>
      </c>
      <c r="CY267">
        <f>AB267</f>
        <v>1080.76</v>
      </c>
      <c r="CZ267">
        <f>AF267</f>
        <v>1080.76</v>
      </c>
      <c r="DA267">
        <f>AJ267</f>
        <v>1</v>
      </c>
      <c r="DB267">
        <f t="shared" si="66"/>
        <v>19.45</v>
      </c>
      <c r="DC267">
        <f t="shared" si="67"/>
        <v>5.99</v>
      </c>
    </row>
    <row r="268" spans="1:107" x14ac:dyDescent="0.2">
      <c r="A268">
        <f>ROW(Source!A154)</f>
        <v>154</v>
      </c>
      <c r="B268">
        <v>43095088</v>
      </c>
      <c r="C268">
        <v>43096292</v>
      </c>
      <c r="D268">
        <v>42303090</v>
      </c>
      <c r="E268">
        <v>1</v>
      </c>
      <c r="F268">
        <v>1</v>
      </c>
      <c r="G268">
        <v>29</v>
      </c>
      <c r="H268">
        <v>2</v>
      </c>
      <c r="I268" t="s">
        <v>783</v>
      </c>
      <c r="J268" t="s">
        <v>784</v>
      </c>
      <c r="K268" t="s">
        <v>785</v>
      </c>
      <c r="L268">
        <v>1368</v>
      </c>
      <c r="N268">
        <v>1011</v>
      </c>
      <c r="O268" t="s">
        <v>480</v>
      </c>
      <c r="P268" t="s">
        <v>480</v>
      </c>
      <c r="Q268">
        <v>1</v>
      </c>
      <c r="W268">
        <v>0</v>
      </c>
      <c r="X268">
        <v>1225737780</v>
      </c>
      <c r="Y268">
        <v>0.01</v>
      </c>
      <c r="AA268">
        <v>0</v>
      </c>
      <c r="AB268">
        <v>1070.1199999999999</v>
      </c>
      <c r="AC268">
        <v>332.66</v>
      </c>
      <c r="AD268">
        <v>0</v>
      </c>
      <c r="AE268">
        <v>0</v>
      </c>
      <c r="AF268">
        <v>1070.1199999999999</v>
      </c>
      <c r="AG268">
        <v>332.66</v>
      </c>
      <c r="AH268">
        <v>0</v>
      </c>
      <c r="AI268">
        <v>1</v>
      </c>
      <c r="AJ268">
        <v>1</v>
      </c>
      <c r="AK268">
        <v>1</v>
      </c>
      <c r="AL268">
        <v>1</v>
      </c>
      <c r="AN268">
        <v>0</v>
      </c>
      <c r="AO268">
        <v>1</v>
      </c>
      <c r="AP268">
        <v>0</v>
      </c>
      <c r="AQ268">
        <v>0</v>
      </c>
      <c r="AR268">
        <v>0</v>
      </c>
      <c r="AS268" t="s">
        <v>3</v>
      </c>
      <c r="AT268">
        <v>0.01</v>
      </c>
      <c r="AU268" t="s">
        <v>3</v>
      </c>
      <c r="AV268">
        <v>0</v>
      </c>
      <c r="AW268">
        <v>2</v>
      </c>
      <c r="AX268">
        <v>43096299</v>
      </c>
      <c r="AY268">
        <v>1</v>
      </c>
      <c r="AZ268">
        <v>0</v>
      </c>
      <c r="BA268">
        <v>252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0</v>
      </c>
      <c r="BI268">
        <v>0</v>
      </c>
      <c r="BJ268">
        <v>0</v>
      </c>
      <c r="BK268">
        <v>0</v>
      </c>
      <c r="BL268">
        <v>0</v>
      </c>
      <c r="BM268">
        <v>0</v>
      </c>
      <c r="BN268">
        <v>0</v>
      </c>
      <c r="BO268">
        <v>0</v>
      </c>
      <c r="BP268">
        <v>0</v>
      </c>
      <c r="BQ268">
        <v>0</v>
      </c>
      <c r="BR268">
        <v>0</v>
      </c>
      <c r="BS268">
        <v>0</v>
      </c>
      <c r="BT268">
        <v>0</v>
      </c>
      <c r="BU268">
        <v>0</v>
      </c>
      <c r="BV268">
        <v>0</v>
      </c>
      <c r="BW268">
        <v>0</v>
      </c>
      <c r="CX268">
        <f>Y268*Source!I154</f>
        <v>0</v>
      </c>
      <c r="CY268">
        <f>AB268</f>
        <v>1070.1199999999999</v>
      </c>
      <c r="CZ268">
        <f>AF268</f>
        <v>1070.1199999999999</v>
      </c>
      <c r="DA268">
        <f>AJ268</f>
        <v>1</v>
      </c>
      <c r="DB268">
        <f t="shared" si="66"/>
        <v>10.7</v>
      </c>
      <c r="DC268">
        <f t="shared" si="67"/>
        <v>3.33</v>
      </c>
    </row>
    <row r="269" spans="1:107" x14ac:dyDescent="0.2">
      <c r="A269">
        <f>ROW(Source!A154)</f>
        <v>154</v>
      </c>
      <c r="B269">
        <v>43095088</v>
      </c>
      <c r="C269">
        <v>43096292</v>
      </c>
      <c r="D269">
        <v>42303091</v>
      </c>
      <c r="E269">
        <v>1</v>
      </c>
      <c r="F269">
        <v>1</v>
      </c>
      <c r="G269">
        <v>29</v>
      </c>
      <c r="H269">
        <v>2</v>
      </c>
      <c r="I269" t="s">
        <v>786</v>
      </c>
      <c r="J269" t="s">
        <v>787</v>
      </c>
      <c r="K269" t="s">
        <v>788</v>
      </c>
      <c r="L269">
        <v>1368</v>
      </c>
      <c r="N269">
        <v>1011</v>
      </c>
      <c r="O269" t="s">
        <v>480</v>
      </c>
      <c r="P269" t="s">
        <v>480</v>
      </c>
      <c r="Q269">
        <v>1</v>
      </c>
      <c r="W269">
        <v>0</v>
      </c>
      <c r="X269">
        <v>-248053604</v>
      </c>
      <c r="Y269">
        <v>8.0000000000000002E-3</v>
      </c>
      <c r="AA269">
        <v>0</v>
      </c>
      <c r="AB269">
        <v>1080.76</v>
      </c>
      <c r="AC269">
        <v>332.99</v>
      </c>
      <c r="AD269">
        <v>0</v>
      </c>
      <c r="AE269">
        <v>0</v>
      </c>
      <c r="AF269">
        <v>1080.76</v>
      </c>
      <c r="AG269">
        <v>332.99</v>
      </c>
      <c r="AH269">
        <v>0</v>
      </c>
      <c r="AI269">
        <v>1</v>
      </c>
      <c r="AJ269">
        <v>1</v>
      </c>
      <c r="AK269">
        <v>1</v>
      </c>
      <c r="AL269">
        <v>1</v>
      </c>
      <c r="AN269">
        <v>0</v>
      </c>
      <c r="AO269">
        <v>1</v>
      </c>
      <c r="AP269">
        <v>0</v>
      </c>
      <c r="AQ269">
        <v>0</v>
      </c>
      <c r="AR269">
        <v>0</v>
      </c>
      <c r="AS269" t="s">
        <v>3</v>
      </c>
      <c r="AT269">
        <v>8.0000000000000002E-3</v>
      </c>
      <c r="AU269" t="s">
        <v>3</v>
      </c>
      <c r="AV269">
        <v>0</v>
      </c>
      <c r="AW269">
        <v>2</v>
      </c>
      <c r="AX269">
        <v>43096300</v>
      </c>
      <c r="AY269">
        <v>1</v>
      </c>
      <c r="AZ269">
        <v>0</v>
      </c>
      <c r="BA269">
        <v>253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0</v>
      </c>
      <c r="BI269">
        <v>0</v>
      </c>
      <c r="BJ269">
        <v>0</v>
      </c>
      <c r="BK269">
        <v>0</v>
      </c>
      <c r="BL269">
        <v>0</v>
      </c>
      <c r="BM269">
        <v>0</v>
      </c>
      <c r="BN269">
        <v>0</v>
      </c>
      <c r="BO269">
        <v>0</v>
      </c>
      <c r="BP269">
        <v>0</v>
      </c>
      <c r="BQ269">
        <v>0</v>
      </c>
      <c r="BR269">
        <v>0</v>
      </c>
      <c r="BS269">
        <v>0</v>
      </c>
      <c r="BT269">
        <v>0</v>
      </c>
      <c r="BU269">
        <v>0</v>
      </c>
      <c r="BV269">
        <v>0</v>
      </c>
      <c r="BW269">
        <v>0</v>
      </c>
      <c r="CX269">
        <f>Y269*Source!I154</f>
        <v>0</v>
      </c>
      <c r="CY269">
        <f>AB269</f>
        <v>1080.76</v>
      </c>
      <c r="CZ269">
        <f>AF269</f>
        <v>1080.76</v>
      </c>
      <c r="DA269">
        <f>AJ269</f>
        <v>1</v>
      </c>
      <c r="DB269">
        <f t="shared" si="66"/>
        <v>8.65</v>
      </c>
      <c r="DC269">
        <f t="shared" si="67"/>
        <v>2.66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53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44" x14ac:dyDescent="0.2">
      <c r="A1">
        <f>ROW(Source!A24)</f>
        <v>24</v>
      </c>
      <c r="B1">
        <v>43095181</v>
      </c>
      <c r="C1">
        <v>43095165</v>
      </c>
      <c r="D1">
        <v>42301367</v>
      </c>
      <c r="E1">
        <v>29</v>
      </c>
      <c r="F1">
        <v>1</v>
      </c>
      <c r="G1">
        <v>29</v>
      </c>
      <c r="H1">
        <v>1</v>
      </c>
      <c r="I1" t="s">
        <v>555</v>
      </c>
      <c r="J1" t="s">
        <v>3</v>
      </c>
      <c r="K1" t="s">
        <v>556</v>
      </c>
      <c r="L1">
        <v>1191</v>
      </c>
      <c r="N1">
        <v>1013</v>
      </c>
      <c r="O1" t="s">
        <v>557</v>
      </c>
      <c r="P1" t="s">
        <v>557</v>
      </c>
      <c r="Q1">
        <v>1</v>
      </c>
      <c r="X1">
        <v>10.42</v>
      </c>
      <c r="Y1">
        <v>0</v>
      </c>
      <c r="Z1">
        <v>0</v>
      </c>
      <c r="AA1">
        <v>0</v>
      </c>
      <c r="AB1">
        <v>0</v>
      </c>
      <c r="AC1">
        <v>0</v>
      </c>
      <c r="AD1">
        <v>1</v>
      </c>
      <c r="AE1">
        <v>1</v>
      </c>
      <c r="AF1" t="s">
        <v>3</v>
      </c>
      <c r="AG1">
        <v>10.42</v>
      </c>
      <c r="AH1">
        <v>2</v>
      </c>
      <c r="AI1">
        <v>43095171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 x14ac:dyDescent="0.2">
      <c r="A2">
        <f>ROW(Source!A24)</f>
        <v>24</v>
      </c>
      <c r="B2">
        <v>43095182</v>
      </c>
      <c r="C2">
        <v>43095165</v>
      </c>
      <c r="D2">
        <v>42303205</v>
      </c>
      <c r="E2">
        <v>1</v>
      </c>
      <c r="F2">
        <v>1</v>
      </c>
      <c r="G2">
        <v>29</v>
      </c>
      <c r="H2">
        <v>2</v>
      </c>
      <c r="I2" t="s">
        <v>558</v>
      </c>
      <c r="J2" t="s">
        <v>559</v>
      </c>
      <c r="K2" t="s">
        <v>560</v>
      </c>
      <c r="L2">
        <v>1368</v>
      </c>
      <c r="N2">
        <v>1011</v>
      </c>
      <c r="O2" t="s">
        <v>480</v>
      </c>
      <c r="P2" t="s">
        <v>480</v>
      </c>
      <c r="Q2">
        <v>1</v>
      </c>
      <c r="X2">
        <v>0.25</v>
      </c>
      <c r="Y2">
        <v>0</v>
      </c>
      <c r="Z2">
        <v>8.1</v>
      </c>
      <c r="AA2">
        <v>1.03</v>
      </c>
      <c r="AB2">
        <v>0</v>
      </c>
      <c r="AC2">
        <v>0</v>
      </c>
      <c r="AD2">
        <v>1</v>
      </c>
      <c r="AE2">
        <v>0</v>
      </c>
      <c r="AF2" t="s">
        <v>3</v>
      </c>
      <c r="AG2">
        <v>0.25</v>
      </c>
      <c r="AH2">
        <v>2</v>
      </c>
      <c r="AI2">
        <v>43095172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 x14ac:dyDescent="0.2">
      <c r="A3">
        <f>ROW(Source!A24)</f>
        <v>24</v>
      </c>
      <c r="B3">
        <v>43095183</v>
      </c>
      <c r="C3">
        <v>43095165</v>
      </c>
      <c r="D3">
        <v>42303166</v>
      </c>
      <c r="E3">
        <v>1</v>
      </c>
      <c r="F3">
        <v>1</v>
      </c>
      <c r="G3">
        <v>29</v>
      </c>
      <c r="H3">
        <v>2</v>
      </c>
      <c r="I3" t="s">
        <v>561</v>
      </c>
      <c r="J3" t="s">
        <v>562</v>
      </c>
      <c r="K3" t="s">
        <v>563</v>
      </c>
      <c r="L3">
        <v>1368</v>
      </c>
      <c r="N3">
        <v>1011</v>
      </c>
      <c r="O3" t="s">
        <v>480</v>
      </c>
      <c r="P3" t="s">
        <v>480</v>
      </c>
      <c r="Q3">
        <v>1</v>
      </c>
      <c r="X3">
        <v>0.14000000000000001</v>
      </c>
      <c r="Y3">
        <v>0</v>
      </c>
      <c r="Z3">
        <v>5.17</v>
      </c>
      <c r="AA3">
        <v>0.01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0.14000000000000001</v>
      </c>
      <c r="AH3">
        <v>2</v>
      </c>
      <c r="AI3">
        <v>43095173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 x14ac:dyDescent="0.2">
      <c r="A4">
        <f>ROW(Source!A24)</f>
        <v>24</v>
      </c>
      <c r="B4">
        <v>43095184</v>
      </c>
      <c r="C4">
        <v>43095165</v>
      </c>
      <c r="D4">
        <v>42304431</v>
      </c>
      <c r="E4">
        <v>1</v>
      </c>
      <c r="F4">
        <v>1</v>
      </c>
      <c r="G4">
        <v>29</v>
      </c>
      <c r="H4">
        <v>3</v>
      </c>
      <c r="I4" t="s">
        <v>564</v>
      </c>
      <c r="J4" t="s">
        <v>565</v>
      </c>
      <c r="K4" t="s">
        <v>566</v>
      </c>
      <c r="L4">
        <v>1354</v>
      </c>
      <c r="N4">
        <v>1010</v>
      </c>
      <c r="O4" t="s">
        <v>20</v>
      </c>
      <c r="P4" t="s">
        <v>20</v>
      </c>
      <c r="Q4">
        <v>1</v>
      </c>
      <c r="X4">
        <v>4</v>
      </c>
      <c r="Y4">
        <v>1.43</v>
      </c>
      <c r="Z4">
        <v>0</v>
      </c>
      <c r="AA4">
        <v>0</v>
      </c>
      <c r="AB4">
        <v>0</v>
      </c>
      <c r="AC4">
        <v>0</v>
      </c>
      <c r="AD4">
        <v>1</v>
      </c>
      <c r="AE4">
        <v>0</v>
      </c>
      <c r="AF4" t="s">
        <v>3</v>
      </c>
      <c r="AG4">
        <v>4</v>
      </c>
      <c r="AH4">
        <v>2</v>
      </c>
      <c r="AI4">
        <v>43095174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 x14ac:dyDescent="0.2">
      <c r="A5">
        <f>ROW(Source!A24)</f>
        <v>24</v>
      </c>
      <c r="B5">
        <v>43095185</v>
      </c>
      <c r="C5">
        <v>43095165</v>
      </c>
      <c r="D5">
        <v>42305330</v>
      </c>
      <c r="E5">
        <v>1</v>
      </c>
      <c r="F5">
        <v>1</v>
      </c>
      <c r="G5">
        <v>29</v>
      </c>
      <c r="H5">
        <v>3</v>
      </c>
      <c r="I5" t="s">
        <v>567</v>
      </c>
      <c r="J5" t="s">
        <v>568</v>
      </c>
      <c r="K5" t="s">
        <v>569</v>
      </c>
      <c r="L5">
        <v>1354</v>
      </c>
      <c r="N5">
        <v>1010</v>
      </c>
      <c r="O5" t="s">
        <v>20</v>
      </c>
      <c r="P5" t="s">
        <v>20</v>
      </c>
      <c r="Q5">
        <v>1</v>
      </c>
      <c r="X5">
        <v>1</v>
      </c>
      <c r="Y5">
        <v>24.65</v>
      </c>
      <c r="Z5">
        <v>0</v>
      </c>
      <c r="AA5">
        <v>0</v>
      </c>
      <c r="AB5">
        <v>0</v>
      </c>
      <c r="AC5">
        <v>0</v>
      </c>
      <c r="AD5">
        <v>1</v>
      </c>
      <c r="AE5">
        <v>0</v>
      </c>
      <c r="AF5" t="s">
        <v>3</v>
      </c>
      <c r="AG5">
        <v>1</v>
      </c>
      <c r="AH5">
        <v>2</v>
      </c>
      <c r="AI5">
        <v>43095175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 x14ac:dyDescent="0.2">
      <c r="A6">
        <f>ROW(Source!A25)</f>
        <v>25</v>
      </c>
      <c r="B6">
        <v>43095202</v>
      </c>
      <c r="C6">
        <v>43095186</v>
      </c>
      <c r="D6">
        <v>42301367</v>
      </c>
      <c r="E6">
        <v>29</v>
      </c>
      <c r="F6">
        <v>1</v>
      </c>
      <c r="G6">
        <v>29</v>
      </c>
      <c r="H6">
        <v>1</v>
      </c>
      <c r="I6" t="s">
        <v>555</v>
      </c>
      <c r="J6" t="s">
        <v>3</v>
      </c>
      <c r="K6" t="s">
        <v>556</v>
      </c>
      <c r="L6">
        <v>1191</v>
      </c>
      <c r="N6">
        <v>1013</v>
      </c>
      <c r="O6" t="s">
        <v>557</v>
      </c>
      <c r="P6" t="s">
        <v>557</v>
      </c>
      <c r="Q6">
        <v>1</v>
      </c>
      <c r="X6">
        <v>14.22</v>
      </c>
      <c r="Y6">
        <v>0</v>
      </c>
      <c r="Z6">
        <v>0</v>
      </c>
      <c r="AA6">
        <v>0</v>
      </c>
      <c r="AB6">
        <v>0</v>
      </c>
      <c r="AC6">
        <v>0</v>
      </c>
      <c r="AD6">
        <v>1</v>
      </c>
      <c r="AE6">
        <v>1</v>
      </c>
      <c r="AF6" t="s">
        <v>3</v>
      </c>
      <c r="AG6">
        <v>14.22</v>
      </c>
      <c r="AH6">
        <v>2</v>
      </c>
      <c r="AI6">
        <v>43095192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 x14ac:dyDescent="0.2">
      <c r="A7">
        <f>ROW(Source!A25)</f>
        <v>25</v>
      </c>
      <c r="B7">
        <v>43095203</v>
      </c>
      <c r="C7">
        <v>43095186</v>
      </c>
      <c r="D7">
        <v>42303205</v>
      </c>
      <c r="E7">
        <v>1</v>
      </c>
      <c r="F7">
        <v>1</v>
      </c>
      <c r="G7">
        <v>29</v>
      </c>
      <c r="H7">
        <v>2</v>
      </c>
      <c r="I7" t="s">
        <v>558</v>
      </c>
      <c r="J7" t="s">
        <v>559</v>
      </c>
      <c r="K7" t="s">
        <v>560</v>
      </c>
      <c r="L7">
        <v>1368</v>
      </c>
      <c r="N7">
        <v>1011</v>
      </c>
      <c r="O7" t="s">
        <v>480</v>
      </c>
      <c r="P7" t="s">
        <v>480</v>
      </c>
      <c r="Q7">
        <v>1</v>
      </c>
      <c r="X7">
        <v>0.25</v>
      </c>
      <c r="Y7">
        <v>0</v>
      </c>
      <c r="Z7">
        <v>8.1</v>
      </c>
      <c r="AA7">
        <v>1.03</v>
      </c>
      <c r="AB7">
        <v>0</v>
      </c>
      <c r="AC7">
        <v>0</v>
      </c>
      <c r="AD7">
        <v>1</v>
      </c>
      <c r="AE7">
        <v>0</v>
      </c>
      <c r="AF7" t="s">
        <v>3</v>
      </c>
      <c r="AG7">
        <v>0.25</v>
      </c>
      <c r="AH7">
        <v>2</v>
      </c>
      <c r="AI7">
        <v>43095193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 x14ac:dyDescent="0.2">
      <c r="A8">
        <f>ROW(Source!A25)</f>
        <v>25</v>
      </c>
      <c r="B8">
        <v>43095204</v>
      </c>
      <c r="C8">
        <v>43095186</v>
      </c>
      <c r="D8">
        <v>42303166</v>
      </c>
      <c r="E8">
        <v>1</v>
      </c>
      <c r="F8">
        <v>1</v>
      </c>
      <c r="G8">
        <v>29</v>
      </c>
      <c r="H8">
        <v>2</v>
      </c>
      <c r="I8" t="s">
        <v>561</v>
      </c>
      <c r="J8" t="s">
        <v>562</v>
      </c>
      <c r="K8" t="s">
        <v>563</v>
      </c>
      <c r="L8">
        <v>1368</v>
      </c>
      <c r="N8">
        <v>1011</v>
      </c>
      <c r="O8" t="s">
        <v>480</v>
      </c>
      <c r="P8" t="s">
        <v>480</v>
      </c>
      <c r="Q8">
        <v>1</v>
      </c>
      <c r="X8">
        <v>0.14000000000000001</v>
      </c>
      <c r="Y8">
        <v>0</v>
      </c>
      <c r="Z8">
        <v>5.17</v>
      </c>
      <c r="AA8">
        <v>0.01</v>
      </c>
      <c r="AB8">
        <v>0</v>
      </c>
      <c r="AC8">
        <v>0</v>
      </c>
      <c r="AD8">
        <v>1</v>
      </c>
      <c r="AE8">
        <v>0</v>
      </c>
      <c r="AF8" t="s">
        <v>3</v>
      </c>
      <c r="AG8">
        <v>0.14000000000000001</v>
      </c>
      <c r="AH8">
        <v>2</v>
      </c>
      <c r="AI8">
        <v>43095194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 x14ac:dyDescent="0.2">
      <c r="A9">
        <f>ROW(Source!A25)</f>
        <v>25</v>
      </c>
      <c r="B9">
        <v>43095205</v>
      </c>
      <c r="C9">
        <v>43095186</v>
      </c>
      <c r="D9">
        <v>42304431</v>
      </c>
      <c r="E9">
        <v>1</v>
      </c>
      <c r="F9">
        <v>1</v>
      </c>
      <c r="G9">
        <v>29</v>
      </c>
      <c r="H9">
        <v>3</v>
      </c>
      <c r="I9" t="s">
        <v>564</v>
      </c>
      <c r="J9" t="s">
        <v>565</v>
      </c>
      <c r="K9" t="s">
        <v>566</v>
      </c>
      <c r="L9">
        <v>1354</v>
      </c>
      <c r="N9">
        <v>1010</v>
      </c>
      <c r="O9" t="s">
        <v>20</v>
      </c>
      <c r="P9" t="s">
        <v>20</v>
      </c>
      <c r="Q9">
        <v>1</v>
      </c>
      <c r="X9">
        <v>4</v>
      </c>
      <c r="Y9">
        <v>1.43</v>
      </c>
      <c r="Z9">
        <v>0</v>
      </c>
      <c r="AA9">
        <v>0</v>
      </c>
      <c r="AB9">
        <v>0</v>
      </c>
      <c r="AC9">
        <v>0</v>
      </c>
      <c r="AD9">
        <v>1</v>
      </c>
      <c r="AE9">
        <v>0</v>
      </c>
      <c r="AF9" t="s">
        <v>3</v>
      </c>
      <c r="AG9">
        <v>4</v>
      </c>
      <c r="AH9">
        <v>2</v>
      </c>
      <c r="AI9">
        <v>43095195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 x14ac:dyDescent="0.2">
      <c r="A10">
        <f>ROW(Source!A25)</f>
        <v>25</v>
      </c>
      <c r="B10">
        <v>43095206</v>
      </c>
      <c r="C10">
        <v>43095186</v>
      </c>
      <c r="D10">
        <v>42305330</v>
      </c>
      <c r="E10">
        <v>1</v>
      </c>
      <c r="F10">
        <v>1</v>
      </c>
      <c r="G10">
        <v>29</v>
      </c>
      <c r="H10">
        <v>3</v>
      </c>
      <c r="I10" t="s">
        <v>567</v>
      </c>
      <c r="J10" t="s">
        <v>568</v>
      </c>
      <c r="K10" t="s">
        <v>569</v>
      </c>
      <c r="L10">
        <v>1354</v>
      </c>
      <c r="N10">
        <v>1010</v>
      </c>
      <c r="O10" t="s">
        <v>20</v>
      </c>
      <c r="P10" t="s">
        <v>20</v>
      </c>
      <c r="Q10">
        <v>1</v>
      </c>
      <c r="X10">
        <v>1</v>
      </c>
      <c r="Y10">
        <v>24.65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3</v>
      </c>
      <c r="AG10">
        <v>1</v>
      </c>
      <c r="AH10">
        <v>2</v>
      </c>
      <c r="AI10">
        <v>43095196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 x14ac:dyDescent="0.2">
      <c r="A11">
        <f>ROW(Source!A26)</f>
        <v>26</v>
      </c>
      <c r="B11">
        <v>43095240</v>
      </c>
      <c r="C11">
        <v>43095207</v>
      </c>
      <c r="D11">
        <v>42301367</v>
      </c>
      <c r="E11">
        <v>29</v>
      </c>
      <c r="F11">
        <v>1</v>
      </c>
      <c r="G11">
        <v>29</v>
      </c>
      <c r="H11">
        <v>1</v>
      </c>
      <c r="I11" t="s">
        <v>555</v>
      </c>
      <c r="J11" t="s">
        <v>3</v>
      </c>
      <c r="K11" t="s">
        <v>556</v>
      </c>
      <c r="L11">
        <v>1191</v>
      </c>
      <c r="N11">
        <v>1013</v>
      </c>
      <c r="O11" t="s">
        <v>557</v>
      </c>
      <c r="P11" t="s">
        <v>557</v>
      </c>
      <c r="Q11">
        <v>1</v>
      </c>
      <c r="X11">
        <v>15.78</v>
      </c>
      <c r="Y11">
        <v>0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1</v>
      </c>
      <c r="AF11" t="s">
        <v>3</v>
      </c>
      <c r="AG11">
        <v>15.78</v>
      </c>
      <c r="AH11">
        <v>2</v>
      </c>
      <c r="AI11">
        <v>43095220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 x14ac:dyDescent="0.2">
      <c r="A12">
        <f>ROW(Source!A26)</f>
        <v>26</v>
      </c>
      <c r="B12">
        <v>43095241</v>
      </c>
      <c r="C12">
        <v>43095207</v>
      </c>
      <c r="D12">
        <v>42303205</v>
      </c>
      <c r="E12">
        <v>1</v>
      </c>
      <c r="F12">
        <v>1</v>
      </c>
      <c r="G12">
        <v>29</v>
      </c>
      <c r="H12">
        <v>2</v>
      </c>
      <c r="I12" t="s">
        <v>558</v>
      </c>
      <c r="J12" t="s">
        <v>559</v>
      </c>
      <c r="K12" t="s">
        <v>560</v>
      </c>
      <c r="L12">
        <v>1368</v>
      </c>
      <c r="N12">
        <v>1011</v>
      </c>
      <c r="O12" t="s">
        <v>480</v>
      </c>
      <c r="P12" t="s">
        <v>480</v>
      </c>
      <c r="Q12">
        <v>1</v>
      </c>
      <c r="X12">
        <v>0.38</v>
      </c>
      <c r="Y12">
        <v>0</v>
      </c>
      <c r="Z12">
        <v>8.1</v>
      </c>
      <c r="AA12">
        <v>1.03</v>
      </c>
      <c r="AB12">
        <v>0</v>
      </c>
      <c r="AC12">
        <v>0</v>
      </c>
      <c r="AD12">
        <v>1</v>
      </c>
      <c r="AE12">
        <v>0</v>
      </c>
      <c r="AF12" t="s">
        <v>3</v>
      </c>
      <c r="AG12">
        <v>0.38</v>
      </c>
      <c r="AH12">
        <v>2</v>
      </c>
      <c r="AI12">
        <v>43095221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 x14ac:dyDescent="0.2">
      <c r="A13">
        <f>ROW(Source!A26)</f>
        <v>26</v>
      </c>
      <c r="B13">
        <v>43095242</v>
      </c>
      <c r="C13">
        <v>43095207</v>
      </c>
      <c r="D13">
        <v>42303166</v>
      </c>
      <c r="E13">
        <v>1</v>
      </c>
      <c r="F13">
        <v>1</v>
      </c>
      <c r="G13">
        <v>29</v>
      </c>
      <c r="H13">
        <v>2</v>
      </c>
      <c r="I13" t="s">
        <v>561</v>
      </c>
      <c r="J13" t="s">
        <v>562</v>
      </c>
      <c r="K13" t="s">
        <v>563</v>
      </c>
      <c r="L13">
        <v>1368</v>
      </c>
      <c r="N13">
        <v>1011</v>
      </c>
      <c r="O13" t="s">
        <v>480</v>
      </c>
      <c r="P13" t="s">
        <v>480</v>
      </c>
      <c r="Q13">
        <v>1</v>
      </c>
      <c r="X13">
        <v>0.19</v>
      </c>
      <c r="Y13">
        <v>0</v>
      </c>
      <c r="Z13">
        <v>5.17</v>
      </c>
      <c r="AA13">
        <v>0.01</v>
      </c>
      <c r="AB13">
        <v>0</v>
      </c>
      <c r="AC13">
        <v>0</v>
      </c>
      <c r="AD13">
        <v>1</v>
      </c>
      <c r="AE13">
        <v>0</v>
      </c>
      <c r="AF13" t="s">
        <v>3</v>
      </c>
      <c r="AG13">
        <v>0.19</v>
      </c>
      <c r="AH13">
        <v>2</v>
      </c>
      <c r="AI13">
        <v>43095222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 x14ac:dyDescent="0.2">
      <c r="A14">
        <f>ROW(Source!A26)</f>
        <v>26</v>
      </c>
      <c r="B14">
        <v>43095243</v>
      </c>
      <c r="C14">
        <v>43095207</v>
      </c>
      <c r="D14">
        <v>42302405</v>
      </c>
      <c r="E14">
        <v>1</v>
      </c>
      <c r="F14">
        <v>1</v>
      </c>
      <c r="G14">
        <v>29</v>
      </c>
      <c r="H14">
        <v>2</v>
      </c>
      <c r="I14" t="s">
        <v>570</v>
      </c>
      <c r="J14" t="s">
        <v>571</v>
      </c>
      <c r="K14" t="s">
        <v>572</v>
      </c>
      <c r="L14">
        <v>1368</v>
      </c>
      <c r="N14">
        <v>1011</v>
      </c>
      <c r="O14" t="s">
        <v>480</v>
      </c>
      <c r="P14" t="s">
        <v>480</v>
      </c>
      <c r="Q14">
        <v>1</v>
      </c>
      <c r="X14">
        <v>0.21</v>
      </c>
      <c r="Y14">
        <v>0</v>
      </c>
      <c r="Z14">
        <v>2.85</v>
      </c>
      <c r="AA14">
        <v>1.32</v>
      </c>
      <c r="AB14">
        <v>0</v>
      </c>
      <c r="AC14">
        <v>0</v>
      </c>
      <c r="AD14">
        <v>1</v>
      </c>
      <c r="AE14">
        <v>0</v>
      </c>
      <c r="AF14" t="s">
        <v>3</v>
      </c>
      <c r="AG14">
        <v>0.21</v>
      </c>
      <c r="AH14">
        <v>2</v>
      </c>
      <c r="AI14">
        <v>43095223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 x14ac:dyDescent="0.2">
      <c r="A15">
        <f>ROW(Source!A26)</f>
        <v>26</v>
      </c>
      <c r="B15">
        <v>43095244</v>
      </c>
      <c r="C15">
        <v>43095207</v>
      </c>
      <c r="D15">
        <v>42301719</v>
      </c>
      <c r="E15">
        <v>29</v>
      </c>
      <c r="F15">
        <v>1</v>
      </c>
      <c r="G15">
        <v>29</v>
      </c>
      <c r="H15">
        <v>3</v>
      </c>
      <c r="I15" t="s">
        <v>573</v>
      </c>
      <c r="J15" t="s">
        <v>3</v>
      </c>
      <c r="K15" t="s">
        <v>574</v>
      </c>
      <c r="L15">
        <v>1346</v>
      </c>
      <c r="N15">
        <v>1009</v>
      </c>
      <c r="O15" t="s">
        <v>46</v>
      </c>
      <c r="P15" t="s">
        <v>46</v>
      </c>
      <c r="Q15">
        <v>1</v>
      </c>
      <c r="X15">
        <v>0.8</v>
      </c>
      <c r="Y15">
        <v>169.23478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0</v>
      </c>
      <c r="AF15" t="s">
        <v>3</v>
      </c>
      <c r="AG15">
        <v>0.8</v>
      </c>
      <c r="AH15">
        <v>2</v>
      </c>
      <c r="AI15">
        <v>43095224</v>
      </c>
      <c r="AJ15">
        <v>15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 x14ac:dyDescent="0.2">
      <c r="A16">
        <f>ROW(Source!A26)</f>
        <v>26</v>
      </c>
      <c r="B16">
        <v>43095245</v>
      </c>
      <c r="C16">
        <v>43095207</v>
      </c>
      <c r="D16">
        <v>42304431</v>
      </c>
      <c r="E16">
        <v>1</v>
      </c>
      <c r="F16">
        <v>1</v>
      </c>
      <c r="G16">
        <v>29</v>
      </c>
      <c r="H16">
        <v>3</v>
      </c>
      <c r="I16" t="s">
        <v>564</v>
      </c>
      <c r="J16" t="s">
        <v>565</v>
      </c>
      <c r="K16" t="s">
        <v>566</v>
      </c>
      <c r="L16">
        <v>1354</v>
      </c>
      <c r="N16">
        <v>1010</v>
      </c>
      <c r="O16" t="s">
        <v>20</v>
      </c>
      <c r="P16" t="s">
        <v>20</v>
      </c>
      <c r="Q16">
        <v>1</v>
      </c>
      <c r="X16">
        <v>4</v>
      </c>
      <c r="Y16">
        <v>1.43</v>
      </c>
      <c r="Z16">
        <v>0</v>
      </c>
      <c r="AA16">
        <v>0</v>
      </c>
      <c r="AB16">
        <v>0</v>
      </c>
      <c r="AC16">
        <v>0</v>
      </c>
      <c r="AD16">
        <v>1</v>
      </c>
      <c r="AE16">
        <v>0</v>
      </c>
      <c r="AF16" t="s">
        <v>3</v>
      </c>
      <c r="AG16">
        <v>4</v>
      </c>
      <c r="AH16">
        <v>2</v>
      </c>
      <c r="AI16">
        <v>43095225</v>
      </c>
      <c r="AJ16">
        <v>16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 x14ac:dyDescent="0.2">
      <c r="A17">
        <f>ROW(Source!A26)</f>
        <v>26</v>
      </c>
      <c r="B17">
        <v>43095246</v>
      </c>
      <c r="C17">
        <v>43095207</v>
      </c>
      <c r="D17">
        <v>42305330</v>
      </c>
      <c r="E17">
        <v>1</v>
      </c>
      <c r="F17">
        <v>1</v>
      </c>
      <c r="G17">
        <v>29</v>
      </c>
      <c r="H17">
        <v>3</v>
      </c>
      <c r="I17" t="s">
        <v>567</v>
      </c>
      <c r="J17" t="s">
        <v>568</v>
      </c>
      <c r="K17" t="s">
        <v>569</v>
      </c>
      <c r="L17">
        <v>1354</v>
      </c>
      <c r="N17">
        <v>1010</v>
      </c>
      <c r="O17" t="s">
        <v>20</v>
      </c>
      <c r="P17" t="s">
        <v>20</v>
      </c>
      <c r="Q17">
        <v>1</v>
      </c>
      <c r="X17">
        <v>1</v>
      </c>
      <c r="Y17">
        <v>24.65</v>
      </c>
      <c r="Z17">
        <v>0</v>
      </c>
      <c r="AA17">
        <v>0</v>
      </c>
      <c r="AB17">
        <v>0</v>
      </c>
      <c r="AC17">
        <v>0</v>
      </c>
      <c r="AD17">
        <v>1</v>
      </c>
      <c r="AE17">
        <v>0</v>
      </c>
      <c r="AF17" t="s">
        <v>3</v>
      </c>
      <c r="AG17">
        <v>1</v>
      </c>
      <c r="AH17">
        <v>2</v>
      </c>
      <c r="AI17">
        <v>43095226</v>
      </c>
      <c r="AJ17">
        <v>17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 x14ac:dyDescent="0.2">
      <c r="A18">
        <f>ROW(Source!A26)</f>
        <v>26</v>
      </c>
      <c r="B18">
        <v>43095247</v>
      </c>
      <c r="C18">
        <v>43095207</v>
      </c>
      <c r="D18">
        <v>42305411</v>
      </c>
      <c r="E18">
        <v>1</v>
      </c>
      <c r="F18">
        <v>1</v>
      </c>
      <c r="G18">
        <v>29</v>
      </c>
      <c r="H18">
        <v>3</v>
      </c>
      <c r="I18" t="s">
        <v>575</v>
      </c>
      <c r="J18" t="s">
        <v>576</v>
      </c>
      <c r="K18" t="s">
        <v>577</v>
      </c>
      <c r="L18">
        <v>1296</v>
      </c>
      <c r="N18">
        <v>1002</v>
      </c>
      <c r="O18" t="s">
        <v>114</v>
      </c>
      <c r="P18" t="s">
        <v>114</v>
      </c>
      <c r="Q18">
        <v>1</v>
      </c>
      <c r="X18">
        <v>0.75</v>
      </c>
      <c r="Y18">
        <v>265.52999999999997</v>
      </c>
      <c r="Z18">
        <v>0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3</v>
      </c>
      <c r="AG18">
        <v>0.75</v>
      </c>
      <c r="AH18">
        <v>2</v>
      </c>
      <c r="AI18">
        <v>43095227</v>
      </c>
      <c r="AJ18">
        <v>18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 x14ac:dyDescent="0.2">
      <c r="A19">
        <f>ROW(Source!A26)</f>
        <v>26</v>
      </c>
      <c r="B19">
        <v>43095248</v>
      </c>
      <c r="C19">
        <v>43095207</v>
      </c>
      <c r="D19">
        <v>42305493</v>
      </c>
      <c r="E19">
        <v>1</v>
      </c>
      <c r="F19">
        <v>1</v>
      </c>
      <c r="G19">
        <v>29</v>
      </c>
      <c r="H19">
        <v>3</v>
      </c>
      <c r="I19" t="s">
        <v>578</v>
      </c>
      <c r="J19" t="s">
        <v>579</v>
      </c>
      <c r="K19" t="s">
        <v>580</v>
      </c>
      <c r="L19">
        <v>1346</v>
      </c>
      <c r="N19">
        <v>1009</v>
      </c>
      <c r="O19" t="s">
        <v>46</v>
      </c>
      <c r="P19" t="s">
        <v>46</v>
      </c>
      <c r="Q19">
        <v>1</v>
      </c>
      <c r="X19">
        <v>0.8</v>
      </c>
      <c r="Y19">
        <v>332.92</v>
      </c>
      <c r="Z19">
        <v>0</v>
      </c>
      <c r="AA19">
        <v>0</v>
      </c>
      <c r="AB19">
        <v>0</v>
      </c>
      <c r="AC19">
        <v>0</v>
      </c>
      <c r="AD19">
        <v>1</v>
      </c>
      <c r="AE19">
        <v>0</v>
      </c>
      <c r="AF19" t="s">
        <v>3</v>
      </c>
      <c r="AG19">
        <v>0.8</v>
      </c>
      <c r="AH19">
        <v>2</v>
      </c>
      <c r="AI19">
        <v>43095228</v>
      </c>
      <c r="AJ19">
        <v>19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 x14ac:dyDescent="0.2">
      <c r="A20">
        <f>ROW(Source!A26)</f>
        <v>26</v>
      </c>
      <c r="B20">
        <v>43095249</v>
      </c>
      <c r="C20">
        <v>43095207</v>
      </c>
      <c r="D20">
        <v>42301678</v>
      </c>
      <c r="E20">
        <v>29</v>
      </c>
      <c r="F20">
        <v>1</v>
      </c>
      <c r="G20">
        <v>29</v>
      </c>
      <c r="H20">
        <v>3</v>
      </c>
      <c r="I20" t="s">
        <v>789</v>
      </c>
      <c r="J20" t="s">
        <v>3</v>
      </c>
      <c r="K20" t="s">
        <v>790</v>
      </c>
      <c r="L20">
        <v>1346</v>
      </c>
      <c r="N20">
        <v>1009</v>
      </c>
      <c r="O20" t="s">
        <v>46</v>
      </c>
      <c r="P20" t="s">
        <v>46</v>
      </c>
      <c r="Q20">
        <v>1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 t="s">
        <v>3</v>
      </c>
      <c r="AG20">
        <v>0</v>
      </c>
      <c r="AH20">
        <v>3</v>
      </c>
      <c r="AI20">
        <v>-1</v>
      </c>
      <c r="AJ20" t="s">
        <v>3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 x14ac:dyDescent="0.2">
      <c r="A21">
        <f>ROW(Source!A31)</f>
        <v>31</v>
      </c>
      <c r="B21">
        <v>43095285</v>
      </c>
      <c r="C21">
        <v>43095254</v>
      </c>
      <c r="D21">
        <v>42301367</v>
      </c>
      <c r="E21">
        <v>29</v>
      </c>
      <c r="F21">
        <v>1</v>
      </c>
      <c r="G21">
        <v>29</v>
      </c>
      <c r="H21">
        <v>1</v>
      </c>
      <c r="I21" t="s">
        <v>555</v>
      </c>
      <c r="J21" t="s">
        <v>3</v>
      </c>
      <c r="K21" t="s">
        <v>556</v>
      </c>
      <c r="L21">
        <v>1191</v>
      </c>
      <c r="N21">
        <v>1013</v>
      </c>
      <c r="O21" t="s">
        <v>557</v>
      </c>
      <c r="P21" t="s">
        <v>557</v>
      </c>
      <c r="Q21">
        <v>1</v>
      </c>
      <c r="X21">
        <v>22.01</v>
      </c>
      <c r="Y21">
        <v>0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1</v>
      </c>
      <c r="AF21" t="s">
        <v>3</v>
      </c>
      <c r="AG21">
        <v>22.01</v>
      </c>
      <c r="AH21">
        <v>2</v>
      </c>
      <c r="AI21">
        <v>43095265</v>
      </c>
      <c r="AJ21">
        <v>21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 x14ac:dyDescent="0.2">
      <c r="A22">
        <f>ROW(Source!A31)</f>
        <v>31</v>
      </c>
      <c r="B22">
        <v>43095286</v>
      </c>
      <c r="C22">
        <v>43095254</v>
      </c>
      <c r="D22">
        <v>42303205</v>
      </c>
      <c r="E22">
        <v>1</v>
      </c>
      <c r="F22">
        <v>1</v>
      </c>
      <c r="G22">
        <v>29</v>
      </c>
      <c r="H22">
        <v>2</v>
      </c>
      <c r="I22" t="s">
        <v>558</v>
      </c>
      <c r="J22" t="s">
        <v>559</v>
      </c>
      <c r="K22" t="s">
        <v>560</v>
      </c>
      <c r="L22">
        <v>1368</v>
      </c>
      <c r="N22">
        <v>1011</v>
      </c>
      <c r="O22" t="s">
        <v>480</v>
      </c>
      <c r="P22" t="s">
        <v>480</v>
      </c>
      <c r="Q22">
        <v>1</v>
      </c>
      <c r="X22">
        <v>0.38</v>
      </c>
      <c r="Y22">
        <v>0</v>
      </c>
      <c r="Z22">
        <v>8.1</v>
      </c>
      <c r="AA22">
        <v>1.03</v>
      </c>
      <c r="AB22">
        <v>0</v>
      </c>
      <c r="AC22">
        <v>0</v>
      </c>
      <c r="AD22">
        <v>1</v>
      </c>
      <c r="AE22">
        <v>0</v>
      </c>
      <c r="AF22" t="s">
        <v>3</v>
      </c>
      <c r="AG22">
        <v>0.38</v>
      </c>
      <c r="AH22">
        <v>2</v>
      </c>
      <c r="AI22">
        <v>43095266</v>
      </c>
      <c r="AJ22">
        <v>22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 x14ac:dyDescent="0.2">
      <c r="A23">
        <f>ROW(Source!A31)</f>
        <v>31</v>
      </c>
      <c r="B23">
        <v>43095287</v>
      </c>
      <c r="C23">
        <v>43095254</v>
      </c>
      <c r="D23">
        <v>42303166</v>
      </c>
      <c r="E23">
        <v>1</v>
      </c>
      <c r="F23">
        <v>1</v>
      </c>
      <c r="G23">
        <v>29</v>
      </c>
      <c r="H23">
        <v>2</v>
      </c>
      <c r="I23" t="s">
        <v>561</v>
      </c>
      <c r="J23" t="s">
        <v>562</v>
      </c>
      <c r="K23" t="s">
        <v>563</v>
      </c>
      <c r="L23">
        <v>1368</v>
      </c>
      <c r="N23">
        <v>1011</v>
      </c>
      <c r="O23" t="s">
        <v>480</v>
      </c>
      <c r="P23" t="s">
        <v>480</v>
      </c>
      <c r="Q23">
        <v>1</v>
      </c>
      <c r="X23">
        <v>0.19</v>
      </c>
      <c r="Y23">
        <v>0</v>
      </c>
      <c r="Z23">
        <v>5.17</v>
      </c>
      <c r="AA23">
        <v>0.01</v>
      </c>
      <c r="AB23">
        <v>0</v>
      </c>
      <c r="AC23">
        <v>0</v>
      </c>
      <c r="AD23">
        <v>1</v>
      </c>
      <c r="AE23">
        <v>0</v>
      </c>
      <c r="AF23" t="s">
        <v>3</v>
      </c>
      <c r="AG23">
        <v>0.19</v>
      </c>
      <c r="AH23">
        <v>2</v>
      </c>
      <c r="AI23">
        <v>43095267</v>
      </c>
      <c r="AJ23">
        <v>23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 x14ac:dyDescent="0.2">
      <c r="A24">
        <f>ROW(Source!A31)</f>
        <v>31</v>
      </c>
      <c r="B24">
        <v>43095288</v>
      </c>
      <c r="C24">
        <v>43095254</v>
      </c>
      <c r="D24">
        <v>42302405</v>
      </c>
      <c r="E24">
        <v>1</v>
      </c>
      <c r="F24">
        <v>1</v>
      </c>
      <c r="G24">
        <v>29</v>
      </c>
      <c r="H24">
        <v>2</v>
      </c>
      <c r="I24" t="s">
        <v>570</v>
      </c>
      <c r="J24" t="s">
        <v>571</v>
      </c>
      <c r="K24" t="s">
        <v>572</v>
      </c>
      <c r="L24">
        <v>1368</v>
      </c>
      <c r="N24">
        <v>1011</v>
      </c>
      <c r="O24" t="s">
        <v>480</v>
      </c>
      <c r="P24" t="s">
        <v>480</v>
      </c>
      <c r="Q24">
        <v>1</v>
      </c>
      <c r="X24">
        <v>0.21</v>
      </c>
      <c r="Y24">
        <v>0</v>
      </c>
      <c r="Z24">
        <v>2.85</v>
      </c>
      <c r="AA24">
        <v>1.32</v>
      </c>
      <c r="AB24">
        <v>0</v>
      </c>
      <c r="AC24">
        <v>0</v>
      </c>
      <c r="AD24">
        <v>1</v>
      </c>
      <c r="AE24">
        <v>0</v>
      </c>
      <c r="AF24" t="s">
        <v>3</v>
      </c>
      <c r="AG24">
        <v>0.21</v>
      </c>
      <c r="AH24">
        <v>2</v>
      </c>
      <c r="AI24">
        <v>43095268</v>
      </c>
      <c r="AJ24">
        <v>24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 x14ac:dyDescent="0.2">
      <c r="A25">
        <f>ROW(Source!A31)</f>
        <v>31</v>
      </c>
      <c r="B25">
        <v>43095289</v>
      </c>
      <c r="C25">
        <v>43095254</v>
      </c>
      <c r="D25">
        <v>42301719</v>
      </c>
      <c r="E25">
        <v>29</v>
      </c>
      <c r="F25">
        <v>1</v>
      </c>
      <c r="G25">
        <v>29</v>
      </c>
      <c r="H25">
        <v>3</v>
      </c>
      <c r="I25" t="s">
        <v>573</v>
      </c>
      <c r="J25" t="s">
        <v>3</v>
      </c>
      <c r="K25" t="s">
        <v>574</v>
      </c>
      <c r="L25">
        <v>1346</v>
      </c>
      <c r="N25">
        <v>1009</v>
      </c>
      <c r="O25" t="s">
        <v>46</v>
      </c>
      <c r="P25" t="s">
        <v>46</v>
      </c>
      <c r="Q25">
        <v>1</v>
      </c>
      <c r="X25">
        <v>0.8</v>
      </c>
      <c r="Y25">
        <v>169.23478</v>
      </c>
      <c r="Z25">
        <v>0</v>
      </c>
      <c r="AA25">
        <v>0</v>
      </c>
      <c r="AB25">
        <v>0</v>
      </c>
      <c r="AC25">
        <v>0</v>
      </c>
      <c r="AD25">
        <v>1</v>
      </c>
      <c r="AE25">
        <v>0</v>
      </c>
      <c r="AF25" t="s">
        <v>3</v>
      </c>
      <c r="AG25">
        <v>0.8</v>
      </c>
      <c r="AH25">
        <v>2</v>
      </c>
      <c r="AI25">
        <v>43095269</v>
      </c>
      <c r="AJ25">
        <v>25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 x14ac:dyDescent="0.2">
      <c r="A26">
        <f>ROW(Source!A31)</f>
        <v>31</v>
      </c>
      <c r="B26">
        <v>43095290</v>
      </c>
      <c r="C26">
        <v>43095254</v>
      </c>
      <c r="D26">
        <v>42304431</v>
      </c>
      <c r="E26">
        <v>1</v>
      </c>
      <c r="F26">
        <v>1</v>
      </c>
      <c r="G26">
        <v>29</v>
      </c>
      <c r="H26">
        <v>3</v>
      </c>
      <c r="I26" t="s">
        <v>564</v>
      </c>
      <c r="J26" t="s">
        <v>565</v>
      </c>
      <c r="K26" t="s">
        <v>566</v>
      </c>
      <c r="L26">
        <v>1354</v>
      </c>
      <c r="N26">
        <v>1010</v>
      </c>
      <c r="O26" t="s">
        <v>20</v>
      </c>
      <c r="P26" t="s">
        <v>20</v>
      </c>
      <c r="Q26">
        <v>1</v>
      </c>
      <c r="X26">
        <v>4</v>
      </c>
      <c r="Y26">
        <v>1.43</v>
      </c>
      <c r="Z26">
        <v>0</v>
      </c>
      <c r="AA26">
        <v>0</v>
      </c>
      <c r="AB26">
        <v>0</v>
      </c>
      <c r="AC26">
        <v>0</v>
      </c>
      <c r="AD26">
        <v>1</v>
      </c>
      <c r="AE26">
        <v>0</v>
      </c>
      <c r="AF26" t="s">
        <v>3</v>
      </c>
      <c r="AG26">
        <v>4</v>
      </c>
      <c r="AH26">
        <v>2</v>
      </c>
      <c r="AI26">
        <v>43095270</v>
      </c>
      <c r="AJ26">
        <v>26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 x14ac:dyDescent="0.2">
      <c r="A27">
        <f>ROW(Source!A31)</f>
        <v>31</v>
      </c>
      <c r="B27">
        <v>43095291</v>
      </c>
      <c r="C27">
        <v>43095254</v>
      </c>
      <c r="D27">
        <v>42305330</v>
      </c>
      <c r="E27">
        <v>1</v>
      </c>
      <c r="F27">
        <v>1</v>
      </c>
      <c r="G27">
        <v>29</v>
      </c>
      <c r="H27">
        <v>3</v>
      </c>
      <c r="I27" t="s">
        <v>567</v>
      </c>
      <c r="J27" t="s">
        <v>568</v>
      </c>
      <c r="K27" t="s">
        <v>569</v>
      </c>
      <c r="L27">
        <v>1354</v>
      </c>
      <c r="N27">
        <v>1010</v>
      </c>
      <c r="O27" t="s">
        <v>20</v>
      </c>
      <c r="P27" t="s">
        <v>20</v>
      </c>
      <c r="Q27">
        <v>1</v>
      </c>
      <c r="X27">
        <v>1</v>
      </c>
      <c r="Y27">
        <v>24.65</v>
      </c>
      <c r="Z27">
        <v>0</v>
      </c>
      <c r="AA27">
        <v>0</v>
      </c>
      <c r="AB27">
        <v>0</v>
      </c>
      <c r="AC27">
        <v>0</v>
      </c>
      <c r="AD27">
        <v>1</v>
      </c>
      <c r="AE27">
        <v>0</v>
      </c>
      <c r="AF27" t="s">
        <v>3</v>
      </c>
      <c r="AG27">
        <v>1</v>
      </c>
      <c r="AH27">
        <v>2</v>
      </c>
      <c r="AI27">
        <v>43095271</v>
      </c>
      <c r="AJ27">
        <v>27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 x14ac:dyDescent="0.2">
      <c r="A28">
        <f>ROW(Source!A31)</f>
        <v>31</v>
      </c>
      <c r="B28">
        <v>43095292</v>
      </c>
      <c r="C28">
        <v>43095254</v>
      </c>
      <c r="D28">
        <v>42305411</v>
      </c>
      <c r="E28">
        <v>1</v>
      </c>
      <c r="F28">
        <v>1</v>
      </c>
      <c r="G28">
        <v>29</v>
      </c>
      <c r="H28">
        <v>3</v>
      </c>
      <c r="I28" t="s">
        <v>575</v>
      </c>
      <c r="J28" t="s">
        <v>576</v>
      </c>
      <c r="K28" t="s">
        <v>577</v>
      </c>
      <c r="L28">
        <v>1296</v>
      </c>
      <c r="N28">
        <v>1002</v>
      </c>
      <c r="O28" t="s">
        <v>114</v>
      </c>
      <c r="P28" t="s">
        <v>114</v>
      </c>
      <c r="Q28">
        <v>1</v>
      </c>
      <c r="X28">
        <v>0.75</v>
      </c>
      <c r="Y28">
        <v>265.52999999999997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0</v>
      </c>
      <c r="AF28" t="s">
        <v>3</v>
      </c>
      <c r="AG28">
        <v>0.75</v>
      </c>
      <c r="AH28">
        <v>2</v>
      </c>
      <c r="AI28">
        <v>43095272</v>
      </c>
      <c r="AJ28">
        <v>28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 x14ac:dyDescent="0.2">
      <c r="A29">
        <f>ROW(Source!A31)</f>
        <v>31</v>
      </c>
      <c r="B29">
        <v>43095293</v>
      </c>
      <c r="C29">
        <v>43095254</v>
      </c>
      <c r="D29">
        <v>42305493</v>
      </c>
      <c r="E29">
        <v>1</v>
      </c>
      <c r="F29">
        <v>1</v>
      </c>
      <c r="G29">
        <v>29</v>
      </c>
      <c r="H29">
        <v>3</v>
      </c>
      <c r="I29" t="s">
        <v>578</v>
      </c>
      <c r="J29" t="s">
        <v>579</v>
      </c>
      <c r="K29" t="s">
        <v>580</v>
      </c>
      <c r="L29">
        <v>1346</v>
      </c>
      <c r="N29">
        <v>1009</v>
      </c>
      <c r="O29" t="s">
        <v>46</v>
      </c>
      <c r="P29" t="s">
        <v>46</v>
      </c>
      <c r="Q29">
        <v>1</v>
      </c>
      <c r="X29">
        <v>0.8</v>
      </c>
      <c r="Y29">
        <v>332.92</v>
      </c>
      <c r="Z29">
        <v>0</v>
      </c>
      <c r="AA29">
        <v>0</v>
      </c>
      <c r="AB29">
        <v>0</v>
      </c>
      <c r="AC29">
        <v>0</v>
      </c>
      <c r="AD29">
        <v>1</v>
      </c>
      <c r="AE29">
        <v>0</v>
      </c>
      <c r="AF29" t="s">
        <v>3</v>
      </c>
      <c r="AG29">
        <v>0.8</v>
      </c>
      <c r="AH29">
        <v>2</v>
      </c>
      <c r="AI29">
        <v>43095273</v>
      </c>
      <c r="AJ29">
        <v>29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 x14ac:dyDescent="0.2">
      <c r="A30">
        <f>ROW(Source!A31)</f>
        <v>31</v>
      </c>
      <c r="B30">
        <v>43095294</v>
      </c>
      <c r="C30">
        <v>43095254</v>
      </c>
      <c r="D30">
        <v>42301678</v>
      </c>
      <c r="E30">
        <v>29</v>
      </c>
      <c r="F30">
        <v>1</v>
      </c>
      <c r="G30">
        <v>29</v>
      </c>
      <c r="H30">
        <v>3</v>
      </c>
      <c r="I30" t="s">
        <v>789</v>
      </c>
      <c r="J30" t="s">
        <v>3</v>
      </c>
      <c r="K30" t="s">
        <v>790</v>
      </c>
      <c r="L30">
        <v>1346</v>
      </c>
      <c r="N30">
        <v>1009</v>
      </c>
      <c r="O30" t="s">
        <v>46</v>
      </c>
      <c r="P30" t="s">
        <v>46</v>
      </c>
      <c r="Q30">
        <v>1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 t="s">
        <v>3</v>
      </c>
      <c r="AG30">
        <v>0</v>
      </c>
      <c r="AH30">
        <v>3</v>
      </c>
      <c r="AI30">
        <v>-1</v>
      </c>
      <c r="AJ30" t="s">
        <v>3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 x14ac:dyDescent="0.2">
      <c r="A31">
        <f>ROW(Source!A34)</f>
        <v>34</v>
      </c>
      <c r="B31">
        <v>43095333</v>
      </c>
      <c r="C31">
        <v>43095297</v>
      </c>
      <c r="D31">
        <v>42301367</v>
      </c>
      <c r="E31">
        <v>29</v>
      </c>
      <c r="F31">
        <v>1</v>
      </c>
      <c r="G31">
        <v>29</v>
      </c>
      <c r="H31">
        <v>1</v>
      </c>
      <c r="I31" t="s">
        <v>555</v>
      </c>
      <c r="J31" t="s">
        <v>3</v>
      </c>
      <c r="K31" t="s">
        <v>556</v>
      </c>
      <c r="L31">
        <v>1191</v>
      </c>
      <c r="N31">
        <v>1013</v>
      </c>
      <c r="O31" t="s">
        <v>557</v>
      </c>
      <c r="P31" t="s">
        <v>557</v>
      </c>
      <c r="Q31">
        <v>1</v>
      </c>
      <c r="X31">
        <v>9.1999999999999993</v>
      </c>
      <c r="Y31">
        <v>0</v>
      </c>
      <c r="Z31">
        <v>0</v>
      </c>
      <c r="AA31">
        <v>0</v>
      </c>
      <c r="AB31">
        <v>0</v>
      </c>
      <c r="AC31">
        <v>0</v>
      </c>
      <c r="AD31">
        <v>1</v>
      </c>
      <c r="AE31">
        <v>1</v>
      </c>
      <c r="AF31" t="s">
        <v>3</v>
      </c>
      <c r="AG31">
        <v>9.1999999999999993</v>
      </c>
      <c r="AH31">
        <v>2</v>
      </c>
      <c r="AI31">
        <v>43095308</v>
      </c>
      <c r="AJ31">
        <v>31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 x14ac:dyDescent="0.2">
      <c r="A32">
        <f>ROW(Source!A34)</f>
        <v>34</v>
      </c>
      <c r="B32">
        <v>43095334</v>
      </c>
      <c r="C32">
        <v>43095297</v>
      </c>
      <c r="D32">
        <v>42302869</v>
      </c>
      <c r="E32">
        <v>1</v>
      </c>
      <c r="F32">
        <v>1</v>
      </c>
      <c r="G32">
        <v>29</v>
      </c>
      <c r="H32">
        <v>2</v>
      </c>
      <c r="I32" t="s">
        <v>581</v>
      </c>
      <c r="J32" t="s">
        <v>582</v>
      </c>
      <c r="K32" t="s">
        <v>583</v>
      </c>
      <c r="L32">
        <v>1368</v>
      </c>
      <c r="N32">
        <v>1011</v>
      </c>
      <c r="O32" t="s">
        <v>480</v>
      </c>
      <c r="P32" t="s">
        <v>480</v>
      </c>
      <c r="Q32">
        <v>1</v>
      </c>
      <c r="X32">
        <v>0.06</v>
      </c>
      <c r="Y32">
        <v>0</v>
      </c>
      <c r="Z32">
        <v>6.37</v>
      </c>
      <c r="AA32">
        <v>3.12</v>
      </c>
      <c r="AB32">
        <v>0</v>
      </c>
      <c r="AC32">
        <v>0</v>
      </c>
      <c r="AD32">
        <v>1</v>
      </c>
      <c r="AE32">
        <v>0</v>
      </c>
      <c r="AF32" t="s">
        <v>3</v>
      </c>
      <c r="AG32">
        <v>0.06</v>
      </c>
      <c r="AH32">
        <v>2</v>
      </c>
      <c r="AI32">
        <v>43095309</v>
      </c>
      <c r="AJ32">
        <v>32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 x14ac:dyDescent="0.2">
      <c r="A33">
        <f>ROW(Source!A34)</f>
        <v>34</v>
      </c>
      <c r="B33">
        <v>43095335</v>
      </c>
      <c r="C33">
        <v>43095297</v>
      </c>
      <c r="D33">
        <v>42303085</v>
      </c>
      <c r="E33">
        <v>1</v>
      </c>
      <c r="F33">
        <v>1</v>
      </c>
      <c r="G33">
        <v>29</v>
      </c>
      <c r="H33">
        <v>2</v>
      </c>
      <c r="I33" t="s">
        <v>584</v>
      </c>
      <c r="J33" t="s">
        <v>585</v>
      </c>
      <c r="K33" t="s">
        <v>586</v>
      </c>
      <c r="L33">
        <v>1368</v>
      </c>
      <c r="N33">
        <v>1011</v>
      </c>
      <c r="O33" t="s">
        <v>480</v>
      </c>
      <c r="P33" t="s">
        <v>480</v>
      </c>
      <c r="Q33">
        <v>1</v>
      </c>
      <c r="X33">
        <v>0.11</v>
      </c>
      <c r="Y33">
        <v>0</v>
      </c>
      <c r="Z33">
        <v>1187.6300000000001</v>
      </c>
      <c r="AA33">
        <v>328.19</v>
      </c>
      <c r="AB33">
        <v>0</v>
      </c>
      <c r="AC33">
        <v>0</v>
      </c>
      <c r="AD33">
        <v>1</v>
      </c>
      <c r="AE33">
        <v>0</v>
      </c>
      <c r="AF33" t="s">
        <v>3</v>
      </c>
      <c r="AG33">
        <v>0.11</v>
      </c>
      <c r="AH33">
        <v>2</v>
      </c>
      <c r="AI33">
        <v>43095310</v>
      </c>
      <c r="AJ33">
        <v>33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 x14ac:dyDescent="0.2">
      <c r="A34">
        <f>ROW(Source!A34)</f>
        <v>34</v>
      </c>
      <c r="B34">
        <v>43095336</v>
      </c>
      <c r="C34">
        <v>43095297</v>
      </c>
      <c r="D34">
        <v>42303153</v>
      </c>
      <c r="E34">
        <v>1</v>
      </c>
      <c r="F34">
        <v>1</v>
      </c>
      <c r="G34">
        <v>29</v>
      </c>
      <c r="H34">
        <v>2</v>
      </c>
      <c r="I34" t="s">
        <v>587</v>
      </c>
      <c r="J34" t="s">
        <v>588</v>
      </c>
      <c r="K34" t="s">
        <v>589</v>
      </c>
      <c r="L34">
        <v>1368</v>
      </c>
      <c r="N34">
        <v>1011</v>
      </c>
      <c r="O34" t="s">
        <v>480</v>
      </c>
      <c r="P34" t="s">
        <v>480</v>
      </c>
      <c r="Q34">
        <v>1</v>
      </c>
      <c r="X34">
        <v>0.05</v>
      </c>
      <c r="Y34">
        <v>0</v>
      </c>
      <c r="Z34">
        <v>530.82000000000005</v>
      </c>
      <c r="AA34">
        <v>445.52</v>
      </c>
      <c r="AB34">
        <v>0</v>
      </c>
      <c r="AC34">
        <v>0</v>
      </c>
      <c r="AD34">
        <v>1</v>
      </c>
      <c r="AE34">
        <v>0</v>
      </c>
      <c r="AF34" t="s">
        <v>3</v>
      </c>
      <c r="AG34">
        <v>0.05</v>
      </c>
      <c r="AH34">
        <v>2</v>
      </c>
      <c r="AI34">
        <v>43095311</v>
      </c>
      <c r="AJ34">
        <v>34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 x14ac:dyDescent="0.2">
      <c r="A35">
        <f>ROW(Source!A34)</f>
        <v>34</v>
      </c>
      <c r="B35">
        <v>43095337</v>
      </c>
      <c r="C35">
        <v>43095297</v>
      </c>
      <c r="D35">
        <v>42302409</v>
      </c>
      <c r="E35">
        <v>1</v>
      </c>
      <c r="F35">
        <v>1</v>
      </c>
      <c r="G35">
        <v>29</v>
      </c>
      <c r="H35">
        <v>2</v>
      </c>
      <c r="I35" t="s">
        <v>590</v>
      </c>
      <c r="J35" t="s">
        <v>591</v>
      </c>
      <c r="K35" t="s">
        <v>592</v>
      </c>
      <c r="L35">
        <v>1368</v>
      </c>
      <c r="N35">
        <v>1011</v>
      </c>
      <c r="O35" t="s">
        <v>480</v>
      </c>
      <c r="P35" t="s">
        <v>480</v>
      </c>
      <c r="Q35">
        <v>1</v>
      </c>
      <c r="X35">
        <v>0.45</v>
      </c>
      <c r="Y35">
        <v>0</v>
      </c>
      <c r="Z35">
        <v>17.3</v>
      </c>
      <c r="AA35">
        <v>0.09</v>
      </c>
      <c r="AB35">
        <v>0</v>
      </c>
      <c r="AC35">
        <v>0</v>
      </c>
      <c r="AD35">
        <v>1</v>
      </c>
      <c r="AE35">
        <v>0</v>
      </c>
      <c r="AF35" t="s">
        <v>3</v>
      </c>
      <c r="AG35">
        <v>0.45</v>
      </c>
      <c r="AH35">
        <v>2</v>
      </c>
      <c r="AI35">
        <v>43095312</v>
      </c>
      <c r="AJ35">
        <v>35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 x14ac:dyDescent="0.2">
      <c r="A36">
        <f>ROW(Source!A34)</f>
        <v>34</v>
      </c>
      <c r="B36">
        <v>43095338</v>
      </c>
      <c r="C36">
        <v>43095297</v>
      </c>
      <c r="D36">
        <v>42301754</v>
      </c>
      <c r="E36">
        <v>29</v>
      </c>
      <c r="F36">
        <v>1</v>
      </c>
      <c r="G36">
        <v>29</v>
      </c>
      <c r="H36">
        <v>3</v>
      </c>
      <c r="I36" t="s">
        <v>593</v>
      </c>
      <c r="J36" t="s">
        <v>3</v>
      </c>
      <c r="K36" t="s">
        <v>594</v>
      </c>
      <c r="L36">
        <v>1346</v>
      </c>
      <c r="N36">
        <v>1009</v>
      </c>
      <c r="O36" t="s">
        <v>46</v>
      </c>
      <c r="P36" t="s">
        <v>46</v>
      </c>
      <c r="Q36">
        <v>1</v>
      </c>
      <c r="X36">
        <v>2.1000000000000001E-2</v>
      </c>
      <c r="Y36">
        <v>844.32962999999995</v>
      </c>
      <c r="Z36">
        <v>0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2.1000000000000001E-2</v>
      </c>
      <c r="AH36">
        <v>2</v>
      </c>
      <c r="AI36">
        <v>43095313</v>
      </c>
      <c r="AJ36">
        <v>36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 x14ac:dyDescent="0.2">
      <c r="A37">
        <f>ROW(Source!A34)</f>
        <v>34</v>
      </c>
      <c r="B37">
        <v>43095339</v>
      </c>
      <c r="C37">
        <v>43095297</v>
      </c>
      <c r="D37">
        <v>42304890</v>
      </c>
      <c r="E37">
        <v>1</v>
      </c>
      <c r="F37">
        <v>1</v>
      </c>
      <c r="G37">
        <v>29</v>
      </c>
      <c r="H37">
        <v>3</v>
      </c>
      <c r="I37" t="s">
        <v>595</v>
      </c>
      <c r="J37" t="s">
        <v>596</v>
      </c>
      <c r="K37" t="s">
        <v>597</v>
      </c>
      <c r="L37">
        <v>1346</v>
      </c>
      <c r="N37">
        <v>1009</v>
      </c>
      <c r="O37" t="s">
        <v>46</v>
      </c>
      <c r="P37" t="s">
        <v>46</v>
      </c>
      <c r="Q37">
        <v>1</v>
      </c>
      <c r="X37">
        <v>2.0999999999999999E-3</v>
      </c>
      <c r="Y37">
        <v>232.27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3</v>
      </c>
      <c r="AG37">
        <v>2.0999999999999999E-3</v>
      </c>
      <c r="AH37">
        <v>2</v>
      </c>
      <c r="AI37">
        <v>43095314</v>
      </c>
      <c r="AJ37">
        <v>37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 x14ac:dyDescent="0.2">
      <c r="A38">
        <f>ROW(Source!A34)</f>
        <v>34</v>
      </c>
      <c r="B38">
        <v>43095340</v>
      </c>
      <c r="C38">
        <v>43095297</v>
      </c>
      <c r="D38">
        <v>42305225</v>
      </c>
      <c r="E38">
        <v>1</v>
      </c>
      <c r="F38">
        <v>1</v>
      </c>
      <c r="G38">
        <v>29</v>
      </c>
      <c r="H38">
        <v>3</v>
      </c>
      <c r="I38" t="s">
        <v>79</v>
      </c>
      <c r="J38" t="s">
        <v>82</v>
      </c>
      <c r="K38" t="s">
        <v>80</v>
      </c>
      <c r="L38">
        <v>1339</v>
      </c>
      <c r="N38">
        <v>1007</v>
      </c>
      <c r="O38" t="s">
        <v>81</v>
      </c>
      <c r="P38" t="s">
        <v>81</v>
      </c>
      <c r="Q38">
        <v>1</v>
      </c>
      <c r="X38">
        <v>8.1000000000000003E-2</v>
      </c>
      <c r="Y38">
        <v>36.31</v>
      </c>
      <c r="Z38">
        <v>0</v>
      </c>
      <c r="AA38">
        <v>0</v>
      </c>
      <c r="AB38">
        <v>0</v>
      </c>
      <c r="AC38">
        <v>0</v>
      </c>
      <c r="AD38">
        <v>1</v>
      </c>
      <c r="AE38">
        <v>0</v>
      </c>
      <c r="AF38" t="s">
        <v>3</v>
      </c>
      <c r="AG38">
        <v>8.1000000000000003E-2</v>
      </c>
      <c r="AH38">
        <v>2</v>
      </c>
      <c r="AI38">
        <v>43095315</v>
      </c>
      <c r="AJ38">
        <v>38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 x14ac:dyDescent="0.2">
      <c r="A39">
        <f>ROW(Source!A34)</f>
        <v>34</v>
      </c>
      <c r="B39">
        <v>43095341</v>
      </c>
      <c r="C39">
        <v>43095297</v>
      </c>
      <c r="D39">
        <v>42303485</v>
      </c>
      <c r="E39">
        <v>1</v>
      </c>
      <c r="F39">
        <v>1</v>
      </c>
      <c r="G39">
        <v>29</v>
      </c>
      <c r="H39">
        <v>3</v>
      </c>
      <c r="I39" t="s">
        <v>598</v>
      </c>
      <c r="J39" t="s">
        <v>599</v>
      </c>
      <c r="K39" t="s">
        <v>600</v>
      </c>
      <c r="L39">
        <v>1339</v>
      </c>
      <c r="N39">
        <v>1007</v>
      </c>
      <c r="O39" t="s">
        <v>81</v>
      </c>
      <c r="P39" t="s">
        <v>81</v>
      </c>
      <c r="Q39">
        <v>1</v>
      </c>
      <c r="X39">
        <v>5.3999999999999999E-2</v>
      </c>
      <c r="Y39">
        <v>53.64</v>
      </c>
      <c r="Z39">
        <v>0</v>
      </c>
      <c r="AA39">
        <v>0</v>
      </c>
      <c r="AB39">
        <v>0</v>
      </c>
      <c r="AC39">
        <v>0</v>
      </c>
      <c r="AD39">
        <v>1</v>
      </c>
      <c r="AE39">
        <v>0</v>
      </c>
      <c r="AF39" t="s">
        <v>3</v>
      </c>
      <c r="AG39">
        <v>5.3999999999999999E-2</v>
      </c>
      <c r="AH39">
        <v>2</v>
      </c>
      <c r="AI39">
        <v>43095316</v>
      </c>
      <c r="AJ39">
        <v>43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 x14ac:dyDescent="0.2">
      <c r="A40">
        <f>ROW(Source!A34)</f>
        <v>34</v>
      </c>
      <c r="B40">
        <v>43095342</v>
      </c>
      <c r="C40">
        <v>43095297</v>
      </c>
      <c r="D40">
        <v>42303477</v>
      </c>
      <c r="E40">
        <v>1</v>
      </c>
      <c r="F40">
        <v>1</v>
      </c>
      <c r="G40">
        <v>29</v>
      </c>
      <c r="H40">
        <v>3</v>
      </c>
      <c r="I40" t="s">
        <v>601</v>
      </c>
      <c r="J40" t="s">
        <v>602</v>
      </c>
      <c r="K40" t="s">
        <v>603</v>
      </c>
      <c r="L40">
        <v>1339</v>
      </c>
      <c r="N40">
        <v>1007</v>
      </c>
      <c r="O40" t="s">
        <v>81</v>
      </c>
      <c r="P40" t="s">
        <v>81</v>
      </c>
      <c r="Q40">
        <v>1</v>
      </c>
      <c r="X40">
        <v>4.7E-2</v>
      </c>
      <c r="Y40">
        <v>630.86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0</v>
      </c>
      <c r="AF40" t="s">
        <v>3</v>
      </c>
      <c r="AG40">
        <v>4.7E-2</v>
      </c>
      <c r="AH40">
        <v>2</v>
      </c>
      <c r="AI40">
        <v>43095317</v>
      </c>
      <c r="AJ40">
        <v>44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 x14ac:dyDescent="0.2">
      <c r="A41">
        <f>ROW(Source!A34)</f>
        <v>34</v>
      </c>
      <c r="B41">
        <v>43095343</v>
      </c>
      <c r="C41">
        <v>43095297</v>
      </c>
      <c r="D41">
        <v>42301800</v>
      </c>
      <c r="E41">
        <v>29</v>
      </c>
      <c r="F41">
        <v>1</v>
      </c>
      <c r="G41">
        <v>29</v>
      </c>
      <c r="H41">
        <v>3</v>
      </c>
      <c r="I41" t="s">
        <v>791</v>
      </c>
      <c r="J41" t="s">
        <v>3</v>
      </c>
      <c r="K41" t="s">
        <v>792</v>
      </c>
      <c r="L41">
        <v>1301</v>
      </c>
      <c r="N41">
        <v>1003</v>
      </c>
      <c r="O41" t="s">
        <v>64</v>
      </c>
      <c r="P41" t="s">
        <v>64</v>
      </c>
      <c r="Q41">
        <v>1</v>
      </c>
      <c r="X41">
        <v>10.3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 t="s">
        <v>3</v>
      </c>
      <c r="AG41">
        <v>10.3</v>
      </c>
      <c r="AH41">
        <v>3</v>
      </c>
      <c r="AI41">
        <v>-1</v>
      </c>
      <c r="AJ41" t="s">
        <v>3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 x14ac:dyDescent="0.2">
      <c r="A42">
        <f>ROW(Source!A40)</f>
        <v>40</v>
      </c>
      <c r="B42">
        <v>43095367</v>
      </c>
      <c r="C42">
        <v>43095349</v>
      </c>
      <c r="D42">
        <v>42301367</v>
      </c>
      <c r="E42">
        <v>29</v>
      </c>
      <c r="F42">
        <v>1</v>
      </c>
      <c r="G42">
        <v>29</v>
      </c>
      <c r="H42">
        <v>1</v>
      </c>
      <c r="I42" t="s">
        <v>555</v>
      </c>
      <c r="J42" t="s">
        <v>3</v>
      </c>
      <c r="K42" t="s">
        <v>556</v>
      </c>
      <c r="L42">
        <v>1191</v>
      </c>
      <c r="N42">
        <v>1013</v>
      </c>
      <c r="O42" t="s">
        <v>557</v>
      </c>
      <c r="P42" t="s">
        <v>557</v>
      </c>
      <c r="Q42">
        <v>1</v>
      </c>
      <c r="X42">
        <v>2.15</v>
      </c>
      <c r="Y42">
        <v>0</v>
      </c>
      <c r="Z42">
        <v>0</v>
      </c>
      <c r="AA42">
        <v>0</v>
      </c>
      <c r="AB42">
        <v>0</v>
      </c>
      <c r="AC42">
        <v>0</v>
      </c>
      <c r="AD42">
        <v>1</v>
      </c>
      <c r="AE42">
        <v>1</v>
      </c>
      <c r="AF42" t="s">
        <v>3</v>
      </c>
      <c r="AG42">
        <v>2.15</v>
      </c>
      <c r="AH42">
        <v>2</v>
      </c>
      <c r="AI42">
        <v>43095352</v>
      </c>
      <c r="AJ42">
        <v>45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 x14ac:dyDescent="0.2">
      <c r="A43">
        <f>ROW(Source!A40)</f>
        <v>40</v>
      </c>
      <c r="B43">
        <v>43095368</v>
      </c>
      <c r="C43">
        <v>43095349</v>
      </c>
      <c r="D43">
        <v>42304367</v>
      </c>
      <c r="E43">
        <v>1</v>
      </c>
      <c r="F43">
        <v>1</v>
      </c>
      <c r="G43">
        <v>29</v>
      </c>
      <c r="H43">
        <v>3</v>
      </c>
      <c r="I43" t="s">
        <v>604</v>
      </c>
      <c r="J43" t="s">
        <v>605</v>
      </c>
      <c r="K43" t="s">
        <v>606</v>
      </c>
      <c r="L43">
        <v>1354</v>
      </c>
      <c r="N43">
        <v>1010</v>
      </c>
      <c r="O43" t="s">
        <v>20</v>
      </c>
      <c r="P43" t="s">
        <v>20</v>
      </c>
      <c r="Q43">
        <v>1</v>
      </c>
      <c r="X43">
        <v>3</v>
      </c>
      <c r="Y43">
        <v>2.25</v>
      </c>
      <c r="Z43">
        <v>0</v>
      </c>
      <c r="AA43">
        <v>0</v>
      </c>
      <c r="AB43">
        <v>0</v>
      </c>
      <c r="AC43">
        <v>0</v>
      </c>
      <c r="AD43">
        <v>1</v>
      </c>
      <c r="AE43">
        <v>0</v>
      </c>
      <c r="AF43" t="s">
        <v>3</v>
      </c>
      <c r="AG43">
        <v>3</v>
      </c>
      <c r="AH43">
        <v>2</v>
      </c>
      <c r="AI43">
        <v>43095353</v>
      </c>
      <c r="AJ43">
        <v>46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 x14ac:dyDescent="0.2">
      <c r="A44">
        <f>ROW(Source!A40)</f>
        <v>40</v>
      </c>
      <c r="B44">
        <v>43095369</v>
      </c>
      <c r="C44">
        <v>43095349</v>
      </c>
      <c r="D44">
        <v>42301607</v>
      </c>
      <c r="E44">
        <v>29</v>
      </c>
      <c r="F44">
        <v>1</v>
      </c>
      <c r="G44">
        <v>29</v>
      </c>
      <c r="H44">
        <v>3</v>
      </c>
      <c r="I44" t="s">
        <v>793</v>
      </c>
      <c r="J44" t="s">
        <v>3</v>
      </c>
      <c r="K44" t="s">
        <v>794</v>
      </c>
      <c r="L44">
        <v>1301</v>
      </c>
      <c r="N44">
        <v>1003</v>
      </c>
      <c r="O44" t="s">
        <v>64</v>
      </c>
      <c r="P44" t="s">
        <v>64</v>
      </c>
      <c r="Q44">
        <v>1</v>
      </c>
      <c r="X44">
        <v>10.5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 t="s">
        <v>3</v>
      </c>
      <c r="AG44">
        <v>10.5</v>
      </c>
      <c r="AH44">
        <v>3</v>
      </c>
      <c r="AI44">
        <v>-1</v>
      </c>
      <c r="AJ44" t="s">
        <v>3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 x14ac:dyDescent="0.2">
      <c r="A45">
        <f>ROW(Source!A40)</f>
        <v>40</v>
      </c>
      <c r="B45">
        <v>43095370</v>
      </c>
      <c r="C45">
        <v>43095349</v>
      </c>
      <c r="D45">
        <v>42301666</v>
      </c>
      <c r="E45">
        <v>29</v>
      </c>
      <c r="F45">
        <v>1</v>
      </c>
      <c r="G45">
        <v>29</v>
      </c>
      <c r="H45">
        <v>3</v>
      </c>
      <c r="I45" t="s">
        <v>92</v>
      </c>
      <c r="J45" t="s">
        <v>3</v>
      </c>
      <c r="K45" t="s">
        <v>93</v>
      </c>
      <c r="L45">
        <v>1327</v>
      </c>
      <c r="N45">
        <v>1005</v>
      </c>
      <c r="O45" t="s">
        <v>94</v>
      </c>
      <c r="P45" t="s">
        <v>94</v>
      </c>
      <c r="Q45">
        <v>1</v>
      </c>
      <c r="X45">
        <v>0.25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 t="s">
        <v>3</v>
      </c>
      <c r="AG45">
        <v>0.25</v>
      </c>
      <c r="AH45">
        <v>2</v>
      </c>
      <c r="AI45">
        <v>43095354</v>
      </c>
      <c r="AJ45">
        <v>52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 x14ac:dyDescent="0.2">
      <c r="A46">
        <f>ROW(Source!A40)</f>
        <v>40</v>
      </c>
      <c r="B46">
        <v>43095371</v>
      </c>
      <c r="C46">
        <v>43095349</v>
      </c>
      <c r="D46">
        <v>42301665</v>
      </c>
      <c r="E46">
        <v>29</v>
      </c>
      <c r="F46">
        <v>1</v>
      </c>
      <c r="G46">
        <v>29</v>
      </c>
      <c r="H46">
        <v>3</v>
      </c>
      <c r="I46" t="s">
        <v>795</v>
      </c>
      <c r="J46" t="s">
        <v>3</v>
      </c>
      <c r="K46" t="s">
        <v>796</v>
      </c>
      <c r="L46">
        <v>1301</v>
      </c>
      <c r="N46">
        <v>1003</v>
      </c>
      <c r="O46" t="s">
        <v>64</v>
      </c>
      <c r="P46" t="s">
        <v>64</v>
      </c>
      <c r="Q46">
        <v>1</v>
      </c>
      <c r="X46">
        <v>10.5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 t="s">
        <v>3</v>
      </c>
      <c r="AG46">
        <v>10.5</v>
      </c>
      <c r="AH46">
        <v>3</v>
      </c>
      <c r="AI46">
        <v>-1</v>
      </c>
      <c r="AJ46" t="s">
        <v>3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 x14ac:dyDescent="0.2">
      <c r="A47">
        <f>ROW(Source!A40)</f>
        <v>40</v>
      </c>
      <c r="B47">
        <v>43095372</v>
      </c>
      <c r="C47">
        <v>43095349</v>
      </c>
      <c r="D47">
        <v>42301667</v>
      </c>
      <c r="E47">
        <v>29</v>
      </c>
      <c r="F47">
        <v>1</v>
      </c>
      <c r="G47">
        <v>29</v>
      </c>
      <c r="H47">
        <v>3</v>
      </c>
      <c r="I47" t="s">
        <v>112</v>
      </c>
      <c r="J47" t="s">
        <v>3</v>
      </c>
      <c r="K47" t="s">
        <v>113</v>
      </c>
      <c r="L47">
        <v>1296</v>
      </c>
      <c r="N47">
        <v>1002</v>
      </c>
      <c r="O47" t="s">
        <v>114</v>
      </c>
      <c r="P47" t="s">
        <v>114</v>
      </c>
      <c r="Q47">
        <v>1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 t="s">
        <v>3</v>
      </c>
      <c r="AG47">
        <v>0</v>
      </c>
      <c r="AH47">
        <v>2</v>
      </c>
      <c r="AI47">
        <v>43095356</v>
      </c>
      <c r="AJ47">
        <v>53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 x14ac:dyDescent="0.2">
      <c r="A48">
        <f>ROW(Source!A48)</f>
        <v>48</v>
      </c>
      <c r="B48">
        <v>43095389</v>
      </c>
      <c r="C48">
        <v>43095380</v>
      </c>
      <c r="D48">
        <v>42301367</v>
      </c>
      <c r="E48">
        <v>29</v>
      </c>
      <c r="F48">
        <v>1</v>
      </c>
      <c r="G48">
        <v>29</v>
      </c>
      <c r="H48">
        <v>1</v>
      </c>
      <c r="I48" t="s">
        <v>555</v>
      </c>
      <c r="J48" t="s">
        <v>3</v>
      </c>
      <c r="K48" t="s">
        <v>556</v>
      </c>
      <c r="L48">
        <v>1191</v>
      </c>
      <c r="N48">
        <v>1013</v>
      </c>
      <c r="O48" t="s">
        <v>557</v>
      </c>
      <c r="P48" t="s">
        <v>557</v>
      </c>
      <c r="Q48">
        <v>1</v>
      </c>
      <c r="X48">
        <v>13</v>
      </c>
      <c r="Y48">
        <v>0</v>
      </c>
      <c r="Z48">
        <v>0</v>
      </c>
      <c r="AA48">
        <v>0</v>
      </c>
      <c r="AB48">
        <v>0</v>
      </c>
      <c r="AC48">
        <v>0</v>
      </c>
      <c r="AD48">
        <v>1</v>
      </c>
      <c r="AE48">
        <v>1</v>
      </c>
      <c r="AF48" t="s">
        <v>3</v>
      </c>
      <c r="AG48">
        <v>13</v>
      </c>
      <c r="AH48">
        <v>2</v>
      </c>
      <c r="AI48">
        <v>43095385</v>
      </c>
      <c r="AJ48">
        <v>54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 x14ac:dyDescent="0.2">
      <c r="A49">
        <f>ROW(Source!A48)</f>
        <v>48</v>
      </c>
      <c r="B49">
        <v>43095390</v>
      </c>
      <c r="C49">
        <v>43095380</v>
      </c>
      <c r="D49">
        <v>42302395</v>
      </c>
      <c r="E49">
        <v>1</v>
      </c>
      <c r="F49">
        <v>1</v>
      </c>
      <c r="G49">
        <v>29</v>
      </c>
      <c r="H49">
        <v>2</v>
      </c>
      <c r="I49" t="s">
        <v>607</v>
      </c>
      <c r="J49" t="s">
        <v>608</v>
      </c>
      <c r="K49" t="s">
        <v>609</v>
      </c>
      <c r="L49">
        <v>1368</v>
      </c>
      <c r="N49">
        <v>1011</v>
      </c>
      <c r="O49" t="s">
        <v>480</v>
      </c>
      <c r="P49" t="s">
        <v>480</v>
      </c>
      <c r="Q49">
        <v>1</v>
      </c>
      <c r="X49">
        <v>0.56000000000000005</v>
      </c>
      <c r="Y49">
        <v>0</v>
      </c>
      <c r="Z49">
        <v>721.99</v>
      </c>
      <c r="AA49">
        <v>389.83</v>
      </c>
      <c r="AB49">
        <v>0</v>
      </c>
      <c r="AC49">
        <v>0</v>
      </c>
      <c r="AD49">
        <v>1</v>
      </c>
      <c r="AE49">
        <v>0</v>
      </c>
      <c r="AF49" t="s">
        <v>3</v>
      </c>
      <c r="AG49">
        <v>0.56000000000000005</v>
      </c>
      <c r="AH49">
        <v>2</v>
      </c>
      <c r="AI49">
        <v>43095386</v>
      </c>
      <c r="AJ49">
        <v>55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 x14ac:dyDescent="0.2">
      <c r="A50">
        <f>ROW(Source!A51)</f>
        <v>51</v>
      </c>
      <c r="B50">
        <v>43095402</v>
      </c>
      <c r="C50">
        <v>43095393</v>
      </c>
      <c r="D50">
        <v>42301367</v>
      </c>
      <c r="E50">
        <v>29</v>
      </c>
      <c r="F50">
        <v>1</v>
      </c>
      <c r="G50">
        <v>29</v>
      </c>
      <c r="H50">
        <v>1</v>
      </c>
      <c r="I50" t="s">
        <v>555</v>
      </c>
      <c r="J50" t="s">
        <v>3</v>
      </c>
      <c r="K50" t="s">
        <v>556</v>
      </c>
      <c r="L50">
        <v>1191</v>
      </c>
      <c r="N50">
        <v>1013</v>
      </c>
      <c r="O50" t="s">
        <v>557</v>
      </c>
      <c r="P50" t="s">
        <v>557</v>
      </c>
      <c r="Q50">
        <v>1</v>
      </c>
      <c r="X50">
        <v>16.559999999999999</v>
      </c>
      <c r="Y50">
        <v>0</v>
      </c>
      <c r="Z50">
        <v>0</v>
      </c>
      <c r="AA50">
        <v>0</v>
      </c>
      <c r="AB50">
        <v>0</v>
      </c>
      <c r="AC50">
        <v>0</v>
      </c>
      <c r="AD50">
        <v>1</v>
      </c>
      <c r="AE50">
        <v>1</v>
      </c>
      <c r="AF50" t="s">
        <v>3</v>
      </c>
      <c r="AG50">
        <v>16.559999999999999</v>
      </c>
      <c r="AH50">
        <v>2</v>
      </c>
      <c r="AI50">
        <v>43095398</v>
      </c>
      <c r="AJ50">
        <v>56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 x14ac:dyDescent="0.2">
      <c r="A51">
        <f>ROW(Source!A51)</f>
        <v>51</v>
      </c>
      <c r="B51">
        <v>43095403</v>
      </c>
      <c r="C51">
        <v>43095393</v>
      </c>
      <c r="D51">
        <v>42302395</v>
      </c>
      <c r="E51">
        <v>1</v>
      </c>
      <c r="F51">
        <v>1</v>
      </c>
      <c r="G51">
        <v>29</v>
      </c>
      <c r="H51">
        <v>2</v>
      </c>
      <c r="I51" t="s">
        <v>607</v>
      </c>
      <c r="J51" t="s">
        <v>608</v>
      </c>
      <c r="K51" t="s">
        <v>609</v>
      </c>
      <c r="L51">
        <v>1368</v>
      </c>
      <c r="N51">
        <v>1011</v>
      </c>
      <c r="O51" t="s">
        <v>480</v>
      </c>
      <c r="P51" t="s">
        <v>480</v>
      </c>
      <c r="Q51">
        <v>1</v>
      </c>
      <c r="X51">
        <v>0.72</v>
      </c>
      <c r="Y51">
        <v>0</v>
      </c>
      <c r="Z51">
        <v>721.99</v>
      </c>
      <c r="AA51">
        <v>389.83</v>
      </c>
      <c r="AB51">
        <v>0</v>
      </c>
      <c r="AC51">
        <v>0</v>
      </c>
      <c r="AD51">
        <v>1</v>
      </c>
      <c r="AE51">
        <v>0</v>
      </c>
      <c r="AF51" t="s">
        <v>3</v>
      </c>
      <c r="AG51">
        <v>0.72</v>
      </c>
      <c r="AH51">
        <v>2</v>
      </c>
      <c r="AI51">
        <v>43095399</v>
      </c>
      <c r="AJ51">
        <v>57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 x14ac:dyDescent="0.2">
      <c r="A52">
        <f>ROW(Source!A55)</f>
        <v>55</v>
      </c>
      <c r="B52">
        <v>43095424</v>
      </c>
      <c r="C52">
        <v>43095406</v>
      </c>
      <c r="D52">
        <v>42301367</v>
      </c>
      <c r="E52">
        <v>29</v>
      </c>
      <c r="F52">
        <v>1</v>
      </c>
      <c r="G52">
        <v>29</v>
      </c>
      <c r="H52">
        <v>1</v>
      </c>
      <c r="I52" t="s">
        <v>555</v>
      </c>
      <c r="J52" t="s">
        <v>3</v>
      </c>
      <c r="K52" t="s">
        <v>556</v>
      </c>
      <c r="L52">
        <v>1191</v>
      </c>
      <c r="N52">
        <v>1013</v>
      </c>
      <c r="O52" t="s">
        <v>557</v>
      </c>
      <c r="P52" t="s">
        <v>557</v>
      </c>
      <c r="Q52">
        <v>1</v>
      </c>
      <c r="X52">
        <v>1.18</v>
      </c>
      <c r="Y52">
        <v>0</v>
      </c>
      <c r="Z52">
        <v>0</v>
      </c>
      <c r="AA52">
        <v>0</v>
      </c>
      <c r="AB52">
        <v>0</v>
      </c>
      <c r="AC52">
        <v>0</v>
      </c>
      <c r="AD52">
        <v>1</v>
      </c>
      <c r="AE52">
        <v>1</v>
      </c>
      <c r="AF52" t="s">
        <v>3</v>
      </c>
      <c r="AG52">
        <v>1.18</v>
      </c>
      <c r="AH52">
        <v>2</v>
      </c>
      <c r="AI52">
        <v>43095414</v>
      </c>
      <c r="AJ52">
        <v>59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 x14ac:dyDescent="0.2">
      <c r="A53">
        <f>ROW(Source!A55)</f>
        <v>55</v>
      </c>
      <c r="B53">
        <v>43095425</v>
      </c>
      <c r="C53">
        <v>43095406</v>
      </c>
      <c r="D53">
        <v>42302636</v>
      </c>
      <c r="E53">
        <v>1</v>
      </c>
      <c r="F53">
        <v>1</v>
      </c>
      <c r="G53">
        <v>29</v>
      </c>
      <c r="H53">
        <v>2</v>
      </c>
      <c r="I53" t="s">
        <v>610</v>
      </c>
      <c r="J53" t="s">
        <v>611</v>
      </c>
      <c r="K53" t="s">
        <v>612</v>
      </c>
      <c r="L53">
        <v>1368</v>
      </c>
      <c r="N53">
        <v>1011</v>
      </c>
      <c r="O53" t="s">
        <v>480</v>
      </c>
      <c r="P53" t="s">
        <v>480</v>
      </c>
      <c r="Q53">
        <v>1</v>
      </c>
      <c r="X53">
        <v>0.88</v>
      </c>
      <c r="Y53">
        <v>0</v>
      </c>
      <c r="Z53">
        <v>782.34</v>
      </c>
      <c r="AA53">
        <v>444.33</v>
      </c>
      <c r="AB53">
        <v>0</v>
      </c>
      <c r="AC53">
        <v>0</v>
      </c>
      <c r="AD53">
        <v>1</v>
      </c>
      <c r="AE53">
        <v>0</v>
      </c>
      <c r="AF53" t="s">
        <v>3</v>
      </c>
      <c r="AG53">
        <v>0.88</v>
      </c>
      <c r="AH53">
        <v>2</v>
      </c>
      <c r="AI53">
        <v>43095415</v>
      </c>
      <c r="AJ53">
        <v>60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 x14ac:dyDescent="0.2">
      <c r="A54">
        <f>ROW(Source!A55)</f>
        <v>55</v>
      </c>
      <c r="B54">
        <v>43095426</v>
      </c>
      <c r="C54">
        <v>43095406</v>
      </c>
      <c r="D54">
        <v>42302735</v>
      </c>
      <c r="E54">
        <v>1</v>
      </c>
      <c r="F54">
        <v>1</v>
      </c>
      <c r="G54">
        <v>29</v>
      </c>
      <c r="H54">
        <v>2</v>
      </c>
      <c r="I54" t="s">
        <v>613</v>
      </c>
      <c r="J54" t="s">
        <v>614</v>
      </c>
      <c r="K54" t="s">
        <v>615</v>
      </c>
      <c r="L54">
        <v>1368</v>
      </c>
      <c r="N54">
        <v>1011</v>
      </c>
      <c r="O54" t="s">
        <v>480</v>
      </c>
      <c r="P54" t="s">
        <v>480</v>
      </c>
      <c r="Q54">
        <v>1</v>
      </c>
      <c r="X54">
        <v>0.28999999999999998</v>
      </c>
      <c r="Y54">
        <v>0</v>
      </c>
      <c r="Z54">
        <v>28.33</v>
      </c>
      <c r="AA54">
        <v>0.14000000000000001</v>
      </c>
      <c r="AB54">
        <v>0</v>
      </c>
      <c r="AC54">
        <v>0</v>
      </c>
      <c r="AD54">
        <v>1</v>
      </c>
      <c r="AE54">
        <v>0</v>
      </c>
      <c r="AF54" t="s">
        <v>3</v>
      </c>
      <c r="AG54">
        <v>0.28999999999999998</v>
      </c>
      <c r="AH54">
        <v>2</v>
      </c>
      <c r="AI54">
        <v>43095416</v>
      </c>
      <c r="AJ54">
        <v>61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 x14ac:dyDescent="0.2">
      <c r="A55">
        <f>ROW(Source!A55)</f>
        <v>55</v>
      </c>
      <c r="B55">
        <v>43095427</v>
      </c>
      <c r="C55">
        <v>43095406</v>
      </c>
      <c r="D55">
        <v>42303175</v>
      </c>
      <c r="E55">
        <v>1</v>
      </c>
      <c r="F55">
        <v>1</v>
      </c>
      <c r="G55">
        <v>29</v>
      </c>
      <c r="H55">
        <v>2</v>
      </c>
      <c r="I55" t="s">
        <v>616</v>
      </c>
      <c r="J55" t="s">
        <v>617</v>
      </c>
      <c r="K55" t="s">
        <v>618</v>
      </c>
      <c r="L55">
        <v>1368</v>
      </c>
      <c r="N55">
        <v>1011</v>
      </c>
      <c r="O55" t="s">
        <v>480</v>
      </c>
      <c r="P55" t="s">
        <v>480</v>
      </c>
      <c r="Q55">
        <v>1</v>
      </c>
      <c r="X55">
        <v>3.62</v>
      </c>
      <c r="Y55">
        <v>0</v>
      </c>
      <c r="Z55">
        <v>6.78</v>
      </c>
      <c r="AA55">
        <v>0.09</v>
      </c>
      <c r="AB55">
        <v>0</v>
      </c>
      <c r="AC55">
        <v>0</v>
      </c>
      <c r="AD55">
        <v>1</v>
      </c>
      <c r="AE55">
        <v>0</v>
      </c>
      <c r="AF55" t="s">
        <v>3</v>
      </c>
      <c r="AG55">
        <v>3.62</v>
      </c>
      <c r="AH55">
        <v>2</v>
      </c>
      <c r="AI55">
        <v>43095417</v>
      </c>
      <c r="AJ55">
        <v>62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 x14ac:dyDescent="0.2">
      <c r="A56">
        <f>ROW(Source!A55)</f>
        <v>55</v>
      </c>
      <c r="B56">
        <v>43095428</v>
      </c>
      <c r="C56">
        <v>43095406</v>
      </c>
      <c r="D56">
        <v>42301761</v>
      </c>
      <c r="E56">
        <v>29</v>
      </c>
      <c r="F56">
        <v>1</v>
      </c>
      <c r="G56">
        <v>29</v>
      </c>
      <c r="H56">
        <v>3</v>
      </c>
      <c r="I56" t="s">
        <v>619</v>
      </c>
      <c r="J56" t="s">
        <v>3</v>
      </c>
      <c r="K56" t="s">
        <v>620</v>
      </c>
      <c r="L56">
        <v>1348</v>
      </c>
      <c r="N56">
        <v>1009</v>
      </c>
      <c r="O56" t="s">
        <v>402</v>
      </c>
      <c r="P56" t="s">
        <v>402</v>
      </c>
      <c r="Q56">
        <v>1000</v>
      </c>
      <c r="X56">
        <v>0.01</v>
      </c>
      <c r="Y56">
        <v>0</v>
      </c>
      <c r="Z56">
        <v>0</v>
      </c>
      <c r="AA56">
        <v>0</v>
      </c>
      <c r="AB56">
        <v>0</v>
      </c>
      <c r="AC56">
        <v>0</v>
      </c>
      <c r="AD56">
        <v>1</v>
      </c>
      <c r="AE56">
        <v>0</v>
      </c>
      <c r="AF56" t="s">
        <v>3</v>
      </c>
      <c r="AG56">
        <v>0.01</v>
      </c>
      <c r="AH56">
        <v>2</v>
      </c>
      <c r="AI56">
        <v>43095418</v>
      </c>
      <c r="AJ56">
        <v>63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 x14ac:dyDescent="0.2">
      <c r="A57">
        <f>ROW(Source!A58)</f>
        <v>58</v>
      </c>
      <c r="B57">
        <v>43095436</v>
      </c>
      <c r="C57">
        <v>43095431</v>
      </c>
      <c r="D57">
        <v>42301367</v>
      </c>
      <c r="E57">
        <v>29</v>
      </c>
      <c r="F57">
        <v>1</v>
      </c>
      <c r="G57">
        <v>29</v>
      </c>
      <c r="H57">
        <v>1</v>
      </c>
      <c r="I57" t="s">
        <v>555</v>
      </c>
      <c r="J57" t="s">
        <v>3</v>
      </c>
      <c r="K57" t="s">
        <v>556</v>
      </c>
      <c r="L57">
        <v>1191</v>
      </c>
      <c r="N57">
        <v>1013</v>
      </c>
      <c r="O57" t="s">
        <v>557</v>
      </c>
      <c r="P57" t="s">
        <v>557</v>
      </c>
      <c r="Q57">
        <v>1</v>
      </c>
      <c r="X57">
        <v>0.6</v>
      </c>
      <c r="Y57">
        <v>0</v>
      </c>
      <c r="Z57">
        <v>0</v>
      </c>
      <c r="AA57">
        <v>0</v>
      </c>
      <c r="AB57">
        <v>0</v>
      </c>
      <c r="AC57">
        <v>0</v>
      </c>
      <c r="AD57">
        <v>1</v>
      </c>
      <c r="AE57">
        <v>1</v>
      </c>
      <c r="AF57" t="s">
        <v>3</v>
      </c>
      <c r="AG57">
        <v>0.6</v>
      </c>
      <c r="AH57">
        <v>2</v>
      </c>
      <c r="AI57">
        <v>43095434</v>
      </c>
      <c r="AJ57">
        <v>64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 x14ac:dyDescent="0.2">
      <c r="A58">
        <f>ROW(Source!A60)</f>
        <v>60</v>
      </c>
      <c r="B58">
        <v>43095465</v>
      </c>
      <c r="C58">
        <v>43095438</v>
      </c>
      <c r="D58">
        <v>42301367</v>
      </c>
      <c r="E58">
        <v>29</v>
      </c>
      <c r="F58">
        <v>1</v>
      </c>
      <c r="G58">
        <v>29</v>
      </c>
      <c r="H58">
        <v>1</v>
      </c>
      <c r="I58" t="s">
        <v>555</v>
      </c>
      <c r="J58" t="s">
        <v>3</v>
      </c>
      <c r="K58" t="s">
        <v>556</v>
      </c>
      <c r="L58">
        <v>1191</v>
      </c>
      <c r="N58">
        <v>1013</v>
      </c>
      <c r="O58" t="s">
        <v>557</v>
      </c>
      <c r="P58" t="s">
        <v>557</v>
      </c>
      <c r="Q58">
        <v>1</v>
      </c>
      <c r="X58">
        <v>17.260000000000002</v>
      </c>
      <c r="Y58">
        <v>0</v>
      </c>
      <c r="Z58">
        <v>0</v>
      </c>
      <c r="AA58">
        <v>0</v>
      </c>
      <c r="AB58">
        <v>0</v>
      </c>
      <c r="AC58">
        <v>0</v>
      </c>
      <c r="AD58">
        <v>1</v>
      </c>
      <c r="AE58">
        <v>1</v>
      </c>
      <c r="AF58" t="s">
        <v>3</v>
      </c>
      <c r="AG58">
        <v>17.260000000000002</v>
      </c>
      <c r="AH58">
        <v>2</v>
      </c>
      <c r="AI58">
        <v>43095447</v>
      </c>
      <c r="AJ58">
        <v>65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 x14ac:dyDescent="0.2">
      <c r="A59">
        <f>ROW(Source!A60)</f>
        <v>60</v>
      </c>
      <c r="B59">
        <v>43095466</v>
      </c>
      <c r="C59">
        <v>43095438</v>
      </c>
      <c r="D59">
        <v>42303205</v>
      </c>
      <c r="E59">
        <v>1</v>
      </c>
      <c r="F59">
        <v>1</v>
      </c>
      <c r="G59">
        <v>29</v>
      </c>
      <c r="H59">
        <v>2</v>
      </c>
      <c r="I59" t="s">
        <v>558</v>
      </c>
      <c r="J59" t="s">
        <v>559</v>
      </c>
      <c r="K59" t="s">
        <v>560</v>
      </c>
      <c r="L59">
        <v>1368</v>
      </c>
      <c r="N59">
        <v>1011</v>
      </c>
      <c r="O59" t="s">
        <v>480</v>
      </c>
      <c r="P59" t="s">
        <v>480</v>
      </c>
      <c r="Q59">
        <v>1</v>
      </c>
      <c r="X59">
        <v>4.8499999999999996</v>
      </c>
      <c r="Y59">
        <v>0</v>
      </c>
      <c r="Z59">
        <v>8.1</v>
      </c>
      <c r="AA59">
        <v>1.03</v>
      </c>
      <c r="AB59">
        <v>0</v>
      </c>
      <c r="AC59">
        <v>0</v>
      </c>
      <c r="AD59">
        <v>1</v>
      </c>
      <c r="AE59">
        <v>0</v>
      </c>
      <c r="AF59" t="s">
        <v>3</v>
      </c>
      <c r="AG59">
        <v>4.8499999999999996</v>
      </c>
      <c r="AH59">
        <v>2</v>
      </c>
      <c r="AI59">
        <v>43095448</v>
      </c>
      <c r="AJ59">
        <v>66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 x14ac:dyDescent="0.2">
      <c r="A60">
        <f>ROW(Source!A60)</f>
        <v>60</v>
      </c>
      <c r="B60">
        <v>43095467</v>
      </c>
      <c r="C60">
        <v>43095438</v>
      </c>
      <c r="D60">
        <v>42303166</v>
      </c>
      <c r="E60">
        <v>1</v>
      </c>
      <c r="F60">
        <v>1</v>
      </c>
      <c r="G60">
        <v>29</v>
      </c>
      <c r="H60">
        <v>2</v>
      </c>
      <c r="I60" t="s">
        <v>561</v>
      </c>
      <c r="J60" t="s">
        <v>562</v>
      </c>
      <c r="K60" t="s">
        <v>563</v>
      </c>
      <c r="L60">
        <v>1368</v>
      </c>
      <c r="N60">
        <v>1011</v>
      </c>
      <c r="O60" t="s">
        <v>480</v>
      </c>
      <c r="P60" t="s">
        <v>480</v>
      </c>
      <c r="Q60">
        <v>1</v>
      </c>
      <c r="X60">
        <v>0.48</v>
      </c>
      <c r="Y60">
        <v>0</v>
      </c>
      <c r="Z60">
        <v>5.17</v>
      </c>
      <c r="AA60">
        <v>0.01</v>
      </c>
      <c r="AB60">
        <v>0</v>
      </c>
      <c r="AC60">
        <v>0</v>
      </c>
      <c r="AD60">
        <v>1</v>
      </c>
      <c r="AE60">
        <v>0</v>
      </c>
      <c r="AF60" t="s">
        <v>3</v>
      </c>
      <c r="AG60">
        <v>0.48</v>
      </c>
      <c r="AH60">
        <v>2</v>
      </c>
      <c r="AI60">
        <v>43095449</v>
      </c>
      <c r="AJ60">
        <v>67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 x14ac:dyDescent="0.2">
      <c r="A61">
        <f>ROW(Source!A60)</f>
        <v>60</v>
      </c>
      <c r="B61">
        <v>43095468</v>
      </c>
      <c r="C61">
        <v>43095438</v>
      </c>
      <c r="D61">
        <v>42304341</v>
      </c>
      <c r="E61">
        <v>1</v>
      </c>
      <c r="F61">
        <v>1</v>
      </c>
      <c r="G61">
        <v>29</v>
      </c>
      <c r="H61">
        <v>3</v>
      </c>
      <c r="I61" t="s">
        <v>621</v>
      </c>
      <c r="J61" t="s">
        <v>622</v>
      </c>
      <c r="K61" t="s">
        <v>623</v>
      </c>
      <c r="L61">
        <v>1348</v>
      </c>
      <c r="N61">
        <v>1009</v>
      </c>
      <c r="O61" t="s">
        <v>402</v>
      </c>
      <c r="P61" t="s">
        <v>402</v>
      </c>
      <c r="Q61">
        <v>1000</v>
      </c>
      <c r="X61">
        <v>2.2200000000000002E-3</v>
      </c>
      <c r="Y61">
        <v>327543.38</v>
      </c>
      <c r="Z61">
        <v>0</v>
      </c>
      <c r="AA61">
        <v>0</v>
      </c>
      <c r="AB61">
        <v>0</v>
      </c>
      <c r="AC61">
        <v>0</v>
      </c>
      <c r="AD61">
        <v>1</v>
      </c>
      <c r="AE61">
        <v>0</v>
      </c>
      <c r="AF61" t="s">
        <v>3</v>
      </c>
      <c r="AG61">
        <v>2.2200000000000002E-3</v>
      </c>
      <c r="AH61">
        <v>2</v>
      </c>
      <c r="AI61">
        <v>43095450</v>
      </c>
      <c r="AJ61">
        <v>68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 x14ac:dyDescent="0.2">
      <c r="A62">
        <f>ROW(Source!A60)</f>
        <v>60</v>
      </c>
      <c r="B62">
        <v>43095469</v>
      </c>
      <c r="C62">
        <v>43095438</v>
      </c>
      <c r="D62">
        <v>42304431</v>
      </c>
      <c r="E62">
        <v>1</v>
      </c>
      <c r="F62">
        <v>1</v>
      </c>
      <c r="G62">
        <v>29</v>
      </c>
      <c r="H62">
        <v>3</v>
      </c>
      <c r="I62" t="s">
        <v>564</v>
      </c>
      <c r="J62" t="s">
        <v>565</v>
      </c>
      <c r="K62" t="s">
        <v>566</v>
      </c>
      <c r="L62">
        <v>1354</v>
      </c>
      <c r="N62">
        <v>1010</v>
      </c>
      <c r="O62" t="s">
        <v>20</v>
      </c>
      <c r="P62" t="s">
        <v>20</v>
      </c>
      <c r="Q62">
        <v>1</v>
      </c>
      <c r="X62">
        <v>120</v>
      </c>
      <c r="Y62">
        <v>1.43</v>
      </c>
      <c r="Z62">
        <v>0</v>
      </c>
      <c r="AA62">
        <v>0</v>
      </c>
      <c r="AB62">
        <v>0</v>
      </c>
      <c r="AC62">
        <v>0</v>
      </c>
      <c r="AD62">
        <v>1</v>
      </c>
      <c r="AE62">
        <v>0</v>
      </c>
      <c r="AF62" t="s">
        <v>3</v>
      </c>
      <c r="AG62">
        <v>120</v>
      </c>
      <c r="AH62">
        <v>2</v>
      </c>
      <c r="AI62">
        <v>43095451</v>
      </c>
      <c r="AJ62">
        <v>69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 x14ac:dyDescent="0.2">
      <c r="A63">
        <f>ROW(Source!A60)</f>
        <v>60</v>
      </c>
      <c r="B63">
        <v>43095470</v>
      </c>
      <c r="C63">
        <v>43095438</v>
      </c>
      <c r="D63">
        <v>42309183</v>
      </c>
      <c r="E63">
        <v>1</v>
      </c>
      <c r="F63">
        <v>1</v>
      </c>
      <c r="G63">
        <v>29</v>
      </c>
      <c r="H63">
        <v>3</v>
      </c>
      <c r="I63" t="s">
        <v>624</v>
      </c>
      <c r="J63" t="s">
        <v>625</v>
      </c>
      <c r="K63" t="s">
        <v>626</v>
      </c>
      <c r="L63">
        <v>1301</v>
      </c>
      <c r="N63">
        <v>1003</v>
      </c>
      <c r="O63" t="s">
        <v>64</v>
      </c>
      <c r="P63" t="s">
        <v>64</v>
      </c>
      <c r="Q63">
        <v>1</v>
      </c>
      <c r="X63">
        <v>102</v>
      </c>
      <c r="Y63">
        <v>12.1</v>
      </c>
      <c r="Z63">
        <v>0</v>
      </c>
      <c r="AA63">
        <v>0</v>
      </c>
      <c r="AB63">
        <v>0</v>
      </c>
      <c r="AC63">
        <v>0</v>
      </c>
      <c r="AD63">
        <v>1</v>
      </c>
      <c r="AE63">
        <v>0</v>
      </c>
      <c r="AF63" t="s">
        <v>3</v>
      </c>
      <c r="AG63">
        <v>102</v>
      </c>
      <c r="AH63">
        <v>2</v>
      </c>
      <c r="AI63">
        <v>43095452</v>
      </c>
      <c r="AJ63">
        <v>70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 x14ac:dyDescent="0.2">
      <c r="A64">
        <f>ROW(Source!A60)</f>
        <v>60</v>
      </c>
      <c r="B64">
        <v>43095471</v>
      </c>
      <c r="C64">
        <v>43095438</v>
      </c>
      <c r="D64">
        <v>42312389</v>
      </c>
      <c r="E64">
        <v>1</v>
      </c>
      <c r="F64">
        <v>1</v>
      </c>
      <c r="G64">
        <v>29</v>
      </c>
      <c r="H64">
        <v>3</v>
      </c>
      <c r="I64" t="s">
        <v>627</v>
      </c>
      <c r="J64" t="s">
        <v>628</v>
      </c>
      <c r="K64" t="s">
        <v>629</v>
      </c>
      <c r="L64">
        <v>1355</v>
      </c>
      <c r="N64">
        <v>1010</v>
      </c>
      <c r="O64" t="s">
        <v>342</v>
      </c>
      <c r="P64" t="s">
        <v>342</v>
      </c>
      <c r="Q64">
        <v>100</v>
      </c>
      <c r="X64">
        <v>1</v>
      </c>
      <c r="Y64">
        <v>261.24</v>
      </c>
      <c r="Z64">
        <v>0</v>
      </c>
      <c r="AA64">
        <v>0</v>
      </c>
      <c r="AB64">
        <v>0</v>
      </c>
      <c r="AC64">
        <v>0</v>
      </c>
      <c r="AD64">
        <v>1</v>
      </c>
      <c r="AE64">
        <v>0</v>
      </c>
      <c r="AF64" t="s">
        <v>3</v>
      </c>
      <c r="AG64">
        <v>1</v>
      </c>
      <c r="AH64">
        <v>2</v>
      </c>
      <c r="AI64">
        <v>43095453</v>
      </c>
      <c r="AJ64">
        <v>71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 x14ac:dyDescent="0.2">
      <c r="A65">
        <f>ROW(Source!A60)</f>
        <v>60</v>
      </c>
      <c r="B65">
        <v>43095472</v>
      </c>
      <c r="C65">
        <v>43095438</v>
      </c>
      <c r="D65">
        <v>42312111</v>
      </c>
      <c r="E65">
        <v>1</v>
      </c>
      <c r="F65">
        <v>1</v>
      </c>
      <c r="G65">
        <v>29</v>
      </c>
      <c r="H65">
        <v>3</v>
      </c>
      <c r="I65" t="s">
        <v>152</v>
      </c>
      <c r="J65" t="s">
        <v>154</v>
      </c>
      <c r="K65" t="s">
        <v>153</v>
      </c>
      <c r="L65">
        <v>1354</v>
      </c>
      <c r="N65">
        <v>1010</v>
      </c>
      <c r="O65" t="s">
        <v>20</v>
      </c>
      <c r="P65" t="s">
        <v>20</v>
      </c>
      <c r="Q65">
        <v>1</v>
      </c>
      <c r="X65">
        <v>5</v>
      </c>
      <c r="Y65">
        <v>30.24</v>
      </c>
      <c r="Z65">
        <v>0</v>
      </c>
      <c r="AA65">
        <v>0</v>
      </c>
      <c r="AB65">
        <v>0</v>
      </c>
      <c r="AC65">
        <v>0</v>
      </c>
      <c r="AD65">
        <v>1</v>
      </c>
      <c r="AE65">
        <v>0</v>
      </c>
      <c r="AF65" t="s">
        <v>3</v>
      </c>
      <c r="AG65">
        <v>5</v>
      </c>
      <c r="AH65">
        <v>2</v>
      </c>
      <c r="AI65">
        <v>43095454</v>
      </c>
      <c r="AJ65">
        <v>72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 x14ac:dyDescent="0.2">
      <c r="A66">
        <f>ROW(Source!A60)</f>
        <v>60</v>
      </c>
      <c r="B66">
        <v>43095473</v>
      </c>
      <c r="C66">
        <v>43095438</v>
      </c>
      <c r="D66">
        <v>42307470</v>
      </c>
      <c r="E66">
        <v>1</v>
      </c>
      <c r="F66">
        <v>1</v>
      </c>
      <c r="G66">
        <v>29</v>
      </c>
      <c r="H66">
        <v>3</v>
      </c>
      <c r="I66" t="s">
        <v>630</v>
      </c>
      <c r="J66" t="s">
        <v>631</v>
      </c>
      <c r="K66" t="s">
        <v>632</v>
      </c>
      <c r="L66">
        <v>1354</v>
      </c>
      <c r="N66">
        <v>1010</v>
      </c>
      <c r="O66" t="s">
        <v>20</v>
      </c>
      <c r="P66" t="s">
        <v>20</v>
      </c>
      <c r="Q66">
        <v>1</v>
      </c>
      <c r="X66">
        <v>1.5</v>
      </c>
      <c r="Y66">
        <v>246.94</v>
      </c>
      <c r="Z66">
        <v>0</v>
      </c>
      <c r="AA66">
        <v>0</v>
      </c>
      <c r="AB66">
        <v>0</v>
      </c>
      <c r="AC66">
        <v>0</v>
      </c>
      <c r="AD66">
        <v>1</v>
      </c>
      <c r="AE66">
        <v>0</v>
      </c>
      <c r="AF66" t="s">
        <v>3</v>
      </c>
      <c r="AG66">
        <v>1.5</v>
      </c>
      <c r="AH66">
        <v>2</v>
      </c>
      <c r="AI66">
        <v>43095455</v>
      </c>
      <c r="AJ66">
        <v>73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 x14ac:dyDescent="0.2">
      <c r="A67">
        <f>ROW(Source!A62)</f>
        <v>62</v>
      </c>
      <c r="B67">
        <v>43095481</v>
      </c>
      <c r="C67">
        <v>43095475</v>
      </c>
      <c r="D67">
        <v>42301367</v>
      </c>
      <c r="E67">
        <v>29</v>
      </c>
      <c r="F67">
        <v>1</v>
      </c>
      <c r="G67">
        <v>29</v>
      </c>
      <c r="H67">
        <v>1</v>
      </c>
      <c r="I67" t="s">
        <v>555</v>
      </c>
      <c r="J67" t="s">
        <v>3</v>
      </c>
      <c r="K67" t="s">
        <v>556</v>
      </c>
      <c r="L67">
        <v>1191</v>
      </c>
      <c r="N67">
        <v>1013</v>
      </c>
      <c r="O67" t="s">
        <v>557</v>
      </c>
      <c r="P67" t="s">
        <v>557</v>
      </c>
      <c r="Q67">
        <v>1</v>
      </c>
      <c r="X67">
        <v>8.2899999999999991</v>
      </c>
      <c r="Y67">
        <v>0</v>
      </c>
      <c r="Z67">
        <v>0</v>
      </c>
      <c r="AA67">
        <v>0</v>
      </c>
      <c r="AB67">
        <v>0</v>
      </c>
      <c r="AC67">
        <v>0</v>
      </c>
      <c r="AD67">
        <v>1</v>
      </c>
      <c r="AE67">
        <v>1</v>
      </c>
      <c r="AF67" t="s">
        <v>3</v>
      </c>
      <c r="AG67">
        <v>8.2899999999999991</v>
      </c>
      <c r="AH67">
        <v>2</v>
      </c>
      <c r="AI67">
        <v>43095479</v>
      </c>
      <c r="AJ67">
        <v>74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 x14ac:dyDescent="0.2">
      <c r="A68">
        <f>ROW(Source!A65)</f>
        <v>65</v>
      </c>
      <c r="B68">
        <v>43095522</v>
      </c>
      <c r="C68">
        <v>43095484</v>
      </c>
      <c r="D68">
        <v>42301367</v>
      </c>
      <c r="E68">
        <v>29</v>
      </c>
      <c r="F68">
        <v>1</v>
      </c>
      <c r="G68">
        <v>29</v>
      </c>
      <c r="H68">
        <v>1</v>
      </c>
      <c r="I68" t="s">
        <v>555</v>
      </c>
      <c r="J68" t="s">
        <v>3</v>
      </c>
      <c r="K68" t="s">
        <v>556</v>
      </c>
      <c r="L68">
        <v>1191</v>
      </c>
      <c r="N68">
        <v>1013</v>
      </c>
      <c r="O68" t="s">
        <v>557</v>
      </c>
      <c r="P68" t="s">
        <v>557</v>
      </c>
      <c r="Q68">
        <v>1</v>
      </c>
      <c r="X68">
        <v>46.78</v>
      </c>
      <c r="Y68">
        <v>0</v>
      </c>
      <c r="Z68">
        <v>0</v>
      </c>
      <c r="AA68">
        <v>0</v>
      </c>
      <c r="AB68">
        <v>0</v>
      </c>
      <c r="AC68">
        <v>0</v>
      </c>
      <c r="AD68">
        <v>1</v>
      </c>
      <c r="AE68">
        <v>1</v>
      </c>
      <c r="AF68" t="s">
        <v>3</v>
      </c>
      <c r="AG68">
        <v>46.78</v>
      </c>
      <c r="AH68">
        <v>2</v>
      </c>
      <c r="AI68">
        <v>43095492</v>
      </c>
      <c r="AJ68">
        <v>75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  <row r="69" spans="1:44" x14ac:dyDescent="0.2">
      <c r="A69">
        <f>ROW(Source!A65)</f>
        <v>65</v>
      </c>
      <c r="B69">
        <v>43095523</v>
      </c>
      <c r="C69">
        <v>43095484</v>
      </c>
      <c r="D69">
        <v>42303124</v>
      </c>
      <c r="E69">
        <v>1</v>
      </c>
      <c r="F69">
        <v>1</v>
      </c>
      <c r="G69">
        <v>29</v>
      </c>
      <c r="H69">
        <v>2</v>
      </c>
      <c r="I69" t="s">
        <v>633</v>
      </c>
      <c r="J69" t="s">
        <v>634</v>
      </c>
      <c r="K69" t="s">
        <v>635</v>
      </c>
      <c r="L69">
        <v>1368</v>
      </c>
      <c r="N69">
        <v>1011</v>
      </c>
      <c r="O69" t="s">
        <v>480</v>
      </c>
      <c r="P69" t="s">
        <v>480</v>
      </c>
      <c r="Q69">
        <v>1</v>
      </c>
      <c r="X69">
        <v>13</v>
      </c>
      <c r="Y69">
        <v>0</v>
      </c>
      <c r="Z69">
        <v>3.14</v>
      </c>
      <c r="AA69">
        <v>0.01</v>
      </c>
      <c r="AB69">
        <v>0</v>
      </c>
      <c r="AC69">
        <v>0</v>
      </c>
      <c r="AD69">
        <v>1</v>
      </c>
      <c r="AE69">
        <v>0</v>
      </c>
      <c r="AF69" t="s">
        <v>3</v>
      </c>
      <c r="AG69">
        <v>13</v>
      </c>
      <c r="AH69">
        <v>2</v>
      </c>
      <c r="AI69">
        <v>43095493</v>
      </c>
      <c r="AJ69">
        <v>76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</row>
    <row r="70" spans="1:44" x14ac:dyDescent="0.2">
      <c r="A70">
        <f>ROW(Source!A65)</f>
        <v>65</v>
      </c>
      <c r="B70">
        <v>43095524</v>
      </c>
      <c r="C70">
        <v>43095484</v>
      </c>
      <c r="D70">
        <v>42303204</v>
      </c>
      <c r="E70">
        <v>1</v>
      </c>
      <c r="F70">
        <v>1</v>
      </c>
      <c r="G70">
        <v>29</v>
      </c>
      <c r="H70">
        <v>2</v>
      </c>
      <c r="I70" t="s">
        <v>636</v>
      </c>
      <c r="J70" t="s">
        <v>637</v>
      </c>
      <c r="K70" t="s">
        <v>638</v>
      </c>
      <c r="L70">
        <v>1368</v>
      </c>
      <c r="N70">
        <v>1011</v>
      </c>
      <c r="O70" t="s">
        <v>480</v>
      </c>
      <c r="P70" t="s">
        <v>480</v>
      </c>
      <c r="Q70">
        <v>1</v>
      </c>
      <c r="X70">
        <v>0.15</v>
      </c>
      <c r="Y70">
        <v>0</v>
      </c>
      <c r="Z70">
        <v>7.81</v>
      </c>
      <c r="AA70">
        <v>1.03</v>
      </c>
      <c r="AB70">
        <v>0</v>
      </c>
      <c r="AC70">
        <v>0</v>
      </c>
      <c r="AD70">
        <v>1</v>
      </c>
      <c r="AE70">
        <v>0</v>
      </c>
      <c r="AF70" t="s">
        <v>3</v>
      </c>
      <c r="AG70">
        <v>0.15</v>
      </c>
      <c r="AH70">
        <v>2</v>
      </c>
      <c r="AI70">
        <v>43095494</v>
      </c>
      <c r="AJ70">
        <v>77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</row>
    <row r="71" spans="1:44" x14ac:dyDescent="0.2">
      <c r="A71">
        <f>ROW(Source!A65)</f>
        <v>65</v>
      </c>
      <c r="B71">
        <v>43095525</v>
      </c>
      <c r="C71">
        <v>43095484</v>
      </c>
      <c r="D71">
        <v>42304341</v>
      </c>
      <c r="E71">
        <v>1</v>
      </c>
      <c r="F71">
        <v>1</v>
      </c>
      <c r="G71">
        <v>29</v>
      </c>
      <c r="H71">
        <v>3</v>
      </c>
      <c r="I71" t="s">
        <v>621</v>
      </c>
      <c r="J71" t="s">
        <v>622</v>
      </c>
      <c r="K71" t="s">
        <v>623</v>
      </c>
      <c r="L71">
        <v>1348</v>
      </c>
      <c r="N71">
        <v>1009</v>
      </c>
      <c r="O71" t="s">
        <v>402</v>
      </c>
      <c r="P71" t="s">
        <v>402</v>
      </c>
      <c r="Q71">
        <v>1000</v>
      </c>
      <c r="X71">
        <v>7.3999999999999999E-4</v>
      </c>
      <c r="Y71">
        <v>327543.38</v>
      </c>
      <c r="Z71">
        <v>0</v>
      </c>
      <c r="AA71">
        <v>0</v>
      </c>
      <c r="AB71">
        <v>0</v>
      </c>
      <c r="AC71">
        <v>0</v>
      </c>
      <c r="AD71">
        <v>1</v>
      </c>
      <c r="AE71">
        <v>0</v>
      </c>
      <c r="AF71" t="s">
        <v>3</v>
      </c>
      <c r="AG71">
        <v>7.3999999999999999E-4</v>
      </c>
      <c r="AH71">
        <v>2</v>
      </c>
      <c r="AI71">
        <v>43095495</v>
      </c>
      <c r="AJ71">
        <v>78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</row>
    <row r="72" spans="1:44" x14ac:dyDescent="0.2">
      <c r="A72">
        <f>ROW(Source!A65)</f>
        <v>65</v>
      </c>
      <c r="B72">
        <v>43095526</v>
      </c>
      <c r="C72">
        <v>43095484</v>
      </c>
      <c r="D72">
        <v>42304314</v>
      </c>
      <c r="E72">
        <v>1</v>
      </c>
      <c r="F72">
        <v>1</v>
      </c>
      <c r="G72">
        <v>29</v>
      </c>
      <c r="H72">
        <v>3</v>
      </c>
      <c r="I72" t="s">
        <v>639</v>
      </c>
      <c r="J72" t="s">
        <v>640</v>
      </c>
      <c r="K72" t="s">
        <v>641</v>
      </c>
      <c r="L72">
        <v>1355</v>
      </c>
      <c r="N72">
        <v>1010</v>
      </c>
      <c r="O72" t="s">
        <v>342</v>
      </c>
      <c r="P72" t="s">
        <v>342</v>
      </c>
      <c r="Q72">
        <v>100</v>
      </c>
      <c r="X72">
        <v>4</v>
      </c>
      <c r="Y72">
        <v>1126.26</v>
      </c>
      <c r="Z72">
        <v>0</v>
      </c>
      <c r="AA72">
        <v>0</v>
      </c>
      <c r="AB72">
        <v>0</v>
      </c>
      <c r="AC72">
        <v>0</v>
      </c>
      <c r="AD72">
        <v>1</v>
      </c>
      <c r="AE72">
        <v>0</v>
      </c>
      <c r="AF72" t="s">
        <v>3</v>
      </c>
      <c r="AG72">
        <v>4</v>
      </c>
      <c r="AH72">
        <v>2</v>
      </c>
      <c r="AI72">
        <v>43095496</v>
      </c>
      <c r="AJ72">
        <v>79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</row>
    <row r="73" spans="1:44" x14ac:dyDescent="0.2">
      <c r="A73">
        <f>ROW(Source!A65)</f>
        <v>65</v>
      </c>
      <c r="B73">
        <v>43095527</v>
      </c>
      <c r="C73">
        <v>43095484</v>
      </c>
      <c r="D73">
        <v>42305996</v>
      </c>
      <c r="E73">
        <v>1</v>
      </c>
      <c r="F73">
        <v>1</v>
      </c>
      <c r="G73">
        <v>29</v>
      </c>
      <c r="H73">
        <v>3</v>
      </c>
      <c r="I73" t="s">
        <v>184</v>
      </c>
      <c r="J73" t="s">
        <v>186</v>
      </c>
      <c r="K73" t="s">
        <v>185</v>
      </c>
      <c r="L73">
        <v>1301</v>
      </c>
      <c r="N73">
        <v>1003</v>
      </c>
      <c r="O73" t="s">
        <v>64</v>
      </c>
      <c r="P73" t="s">
        <v>64</v>
      </c>
      <c r="Q73">
        <v>1</v>
      </c>
      <c r="X73">
        <v>100</v>
      </c>
      <c r="Y73">
        <v>165.94</v>
      </c>
      <c r="Z73">
        <v>0</v>
      </c>
      <c r="AA73">
        <v>0</v>
      </c>
      <c r="AB73">
        <v>0</v>
      </c>
      <c r="AC73">
        <v>0</v>
      </c>
      <c r="AD73">
        <v>1</v>
      </c>
      <c r="AE73">
        <v>0</v>
      </c>
      <c r="AF73" t="s">
        <v>3</v>
      </c>
      <c r="AG73">
        <v>100</v>
      </c>
      <c r="AH73">
        <v>2</v>
      </c>
      <c r="AI73">
        <v>43095497</v>
      </c>
      <c r="AJ73">
        <v>80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</row>
    <row r="74" spans="1:44" x14ac:dyDescent="0.2">
      <c r="A74">
        <f>ROW(Source!A65)</f>
        <v>65</v>
      </c>
      <c r="B74">
        <v>43095528</v>
      </c>
      <c r="C74">
        <v>43095484</v>
      </c>
      <c r="D74">
        <v>42305997</v>
      </c>
      <c r="E74">
        <v>1</v>
      </c>
      <c r="F74">
        <v>1</v>
      </c>
      <c r="G74">
        <v>29</v>
      </c>
      <c r="H74">
        <v>3</v>
      </c>
      <c r="I74" t="s">
        <v>188</v>
      </c>
      <c r="J74" t="s">
        <v>190</v>
      </c>
      <c r="K74" t="s">
        <v>189</v>
      </c>
      <c r="L74">
        <v>1354</v>
      </c>
      <c r="N74">
        <v>1010</v>
      </c>
      <c r="O74" t="s">
        <v>20</v>
      </c>
      <c r="P74" t="s">
        <v>20</v>
      </c>
      <c r="Q74">
        <v>1</v>
      </c>
      <c r="X74">
        <v>15</v>
      </c>
      <c r="Y74">
        <v>86.79</v>
      </c>
      <c r="Z74">
        <v>0</v>
      </c>
      <c r="AA74">
        <v>0</v>
      </c>
      <c r="AB74">
        <v>0</v>
      </c>
      <c r="AC74">
        <v>0</v>
      </c>
      <c r="AD74">
        <v>1</v>
      </c>
      <c r="AE74">
        <v>0</v>
      </c>
      <c r="AF74" t="s">
        <v>3</v>
      </c>
      <c r="AG74">
        <v>15</v>
      </c>
      <c r="AH74">
        <v>2</v>
      </c>
      <c r="AI74">
        <v>43095498</v>
      </c>
      <c r="AJ74">
        <v>81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</row>
    <row r="75" spans="1:44" x14ac:dyDescent="0.2">
      <c r="A75">
        <f>ROW(Source!A65)</f>
        <v>65</v>
      </c>
      <c r="B75">
        <v>43095529</v>
      </c>
      <c r="C75">
        <v>43095484</v>
      </c>
      <c r="D75">
        <v>42305998</v>
      </c>
      <c r="E75">
        <v>1</v>
      </c>
      <c r="F75">
        <v>1</v>
      </c>
      <c r="G75">
        <v>29</v>
      </c>
      <c r="H75">
        <v>3</v>
      </c>
      <c r="I75" t="s">
        <v>192</v>
      </c>
      <c r="J75" t="s">
        <v>194</v>
      </c>
      <c r="K75" t="s">
        <v>193</v>
      </c>
      <c r="L75">
        <v>1354</v>
      </c>
      <c r="N75">
        <v>1010</v>
      </c>
      <c r="O75" t="s">
        <v>20</v>
      </c>
      <c r="P75" t="s">
        <v>20</v>
      </c>
      <c r="Q75">
        <v>1</v>
      </c>
      <c r="X75">
        <v>4</v>
      </c>
      <c r="Y75">
        <v>74.03</v>
      </c>
      <c r="Z75">
        <v>0</v>
      </c>
      <c r="AA75">
        <v>0</v>
      </c>
      <c r="AB75">
        <v>0</v>
      </c>
      <c r="AC75">
        <v>0</v>
      </c>
      <c r="AD75">
        <v>1</v>
      </c>
      <c r="AE75">
        <v>0</v>
      </c>
      <c r="AF75" t="s">
        <v>3</v>
      </c>
      <c r="AG75">
        <v>4</v>
      </c>
      <c r="AH75">
        <v>2</v>
      </c>
      <c r="AI75">
        <v>43095499</v>
      </c>
      <c r="AJ75">
        <v>82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</row>
    <row r="76" spans="1:44" x14ac:dyDescent="0.2">
      <c r="A76">
        <f>ROW(Source!A65)</f>
        <v>65</v>
      </c>
      <c r="B76">
        <v>43095530</v>
      </c>
      <c r="C76">
        <v>43095484</v>
      </c>
      <c r="D76">
        <v>42306000</v>
      </c>
      <c r="E76">
        <v>1</v>
      </c>
      <c r="F76">
        <v>1</v>
      </c>
      <c r="G76">
        <v>29</v>
      </c>
      <c r="H76">
        <v>3</v>
      </c>
      <c r="I76" t="s">
        <v>196</v>
      </c>
      <c r="J76" t="s">
        <v>198</v>
      </c>
      <c r="K76" t="s">
        <v>197</v>
      </c>
      <c r="L76">
        <v>1354</v>
      </c>
      <c r="N76">
        <v>1010</v>
      </c>
      <c r="O76" t="s">
        <v>20</v>
      </c>
      <c r="P76" t="s">
        <v>20</v>
      </c>
      <c r="Q76">
        <v>1</v>
      </c>
      <c r="X76">
        <v>2</v>
      </c>
      <c r="Y76">
        <v>178.03</v>
      </c>
      <c r="Z76">
        <v>0</v>
      </c>
      <c r="AA76">
        <v>0</v>
      </c>
      <c r="AB76">
        <v>0</v>
      </c>
      <c r="AC76">
        <v>0</v>
      </c>
      <c r="AD76">
        <v>1</v>
      </c>
      <c r="AE76">
        <v>0</v>
      </c>
      <c r="AF76" t="s">
        <v>3</v>
      </c>
      <c r="AG76">
        <v>2</v>
      </c>
      <c r="AH76">
        <v>2</v>
      </c>
      <c r="AI76">
        <v>43095500</v>
      </c>
      <c r="AJ76">
        <v>83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</row>
    <row r="77" spans="1:44" x14ac:dyDescent="0.2">
      <c r="A77">
        <f>ROW(Source!A65)</f>
        <v>65</v>
      </c>
      <c r="B77">
        <v>43095531</v>
      </c>
      <c r="C77">
        <v>43095484</v>
      </c>
      <c r="D77">
        <v>42306001</v>
      </c>
      <c r="E77">
        <v>1</v>
      </c>
      <c r="F77">
        <v>1</v>
      </c>
      <c r="G77">
        <v>29</v>
      </c>
      <c r="H77">
        <v>3</v>
      </c>
      <c r="I77" t="s">
        <v>200</v>
      </c>
      <c r="J77" t="s">
        <v>202</v>
      </c>
      <c r="K77" t="s">
        <v>201</v>
      </c>
      <c r="L77">
        <v>1354</v>
      </c>
      <c r="N77">
        <v>1010</v>
      </c>
      <c r="O77" t="s">
        <v>20</v>
      </c>
      <c r="P77" t="s">
        <v>20</v>
      </c>
      <c r="Q77">
        <v>1</v>
      </c>
      <c r="X77">
        <v>2</v>
      </c>
      <c r="Y77">
        <v>136.5</v>
      </c>
      <c r="Z77">
        <v>0</v>
      </c>
      <c r="AA77">
        <v>0</v>
      </c>
      <c r="AB77">
        <v>0</v>
      </c>
      <c r="AC77">
        <v>0</v>
      </c>
      <c r="AD77">
        <v>1</v>
      </c>
      <c r="AE77">
        <v>0</v>
      </c>
      <c r="AF77" t="s">
        <v>3</v>
      </c>
      <c r="AG77">
        <v>2</v>
      </c>
      <c r="AH77">
        <v>2</v>
      </c>
      <c r="AI77">
        <v>43095501</v>
      </c>
      <c r="AJ77">
        <v>84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</row>
    <row r="78" spans="1:44" x14ac:dyDescent="0.2">
      <c r="A78">
        <f>ROW(Source!A65)</f>
        <v>65</v>
      </c>
      <c r="B78">
        <v>43095532</v>
      </c>
      <c r="C78">
        <v>43095484</v>
      </c>
      <c r="D78">
        <v>42306002</v>
      </c>
      <c r="E78">
        <v>1</v>
      </c>
      <c r="F78">
        <v>1</v>
      </c>
      <c r="G78">
        <v>29</v>
      </c>
      <c r="H78">
        <v>3</v>
      </c>
      <c r="I78" t="s">
        <v>204</v>
      </c>
      <c r="J78" t="s">
        <v>206</v>
      </c>
      <c r="K78" t="s">
        <v>205</v>
      </c>
      <c r="L78">
        <v>1354</v>
      </c>
      <c r="N78">
        <v>1010</v>
      </c>
      <c r="O78" t="s">
        <v>20</v>
      </c>
      <c r="P78" t="s">
        <v>20</v>
      </c>
      <c r="Q78">
        <v>1</v>
      </c>
      <c r="X78">
        <v>15</v>
      </c>
      <c r="Y78">
        <v>141.79</v>
      </c>
      <c r="Z78">
        <v>0</v>
      </c>
      <c r="AA78">
        <v>0</v>
      </c>
      <c r="AB78">
        <v>0</v>
      </c>
      <c r="AC78">
        <v>0</v>
      </c>
      <c r="AD78">
        <v>1</v>
      </c>
      <c r="AE78">
        <v>0</v>
      </c>
      <c r="AF78" t="s">
        <v>3</v>
      </c>
      <c r="AG78">
        <v>15</v>
      </c>
      <c r="AH78">
        <v>2</v>
      </c>
      <c r="AI78">
        <v>43095502</v>
      </c>
      <c r="AJ78">
        <v>85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</row>
    <row r="79" spans="1:44" x14ac:dyDescent="0.2">
      <c r="A79">
        <f>ROW(Source!A65)</f>
        <v>65</v>
      </c>
      <c r="B79">
        <v>43095533</v>
      </c>
      <c r="C79">
        <v>43095484</v>
      </c>
      <c r="D79">
        <v>42306003</v>
      </c>
      <c r="E79">
        <v>1</v>
      </c>
      <c r="F79">
        <v>1</v>
      </c>
      <c r="G79">
        <v>29</v>
      </c>
      <c r="H79">
        <v>3</v>
      </c>
      <c r="I79" t="s">
        <v>208</v>
      </c>
      <c r="J79" t="s">
        <v>210</v>
      </c>
      <c r="K79" t="s">
        <v>209</v>
      </c>
      <c r="L79">
        <v>1354</v>
      </c>
      <c r="N79">
        <v>1010</v>
      </c>
      <c r="O79" t="s">
        <v>20</v>
      </c>
      <c r="P79" t="s">
        <v>20</v>
      </c>
      <c r="Q79">
        <v>1</v>
      </c>
      <c r="X79">
        <v>2</v>
      </c>
      <c r="Y79">
        <v>192.42</v>
      </c>
      <c r="Z79">
        <v>0</v>
      </c>
      <c r="AA79">
        <v>0</v>
      </c>
      <c r="AB79">
        <v>0</v>
      </c>
      <c r="AC79">
        <v>0</v>
      </c>
      <c r="AD79">
        <v>1</v>
      </c>
      <c r="AE79">
        <v>0</v>
      </c>
      <c r="AF79" t="s">
        <v>3</v>
      </c>
      <c r="AG79">
        <v>2</v>
      </c>
      <c r="AH79">
        <v>2</v>
      </c>
      <c r="AI79">
        <v>43095503</v>
      </c>
      <c r="AJ79">
        <v>86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</row>
    <row r="80" spans="1:44" x14ac:dyDescent="0.2">
      <c r="A80">
        <f>ROW(Source!A65)</f>
        <v>65</v>
      </c>
      <c r="B80">
        <v>43095534</v>
      </c>
      <c r="C80">
        <v>43095484</v>
      </c>
      <c r="D80">
        <v>42307522</v>
      </c>
      <c r="E80">
        <v>1</v>
      </c>
      <c r="F80">
        <v>1</v>
      </c>
      <c r="G80">
        <v>29</v>
      </c>
      <c r="H80">
        <v>3</v>
      </c>
      <c r="I80" t="s">
        <v>642</v>
      </c>
      <c r="J80" t="s">
        <v>643</v>
      </c>
      <c r="K80" t="s">
        <v>644</v>
      </c>
      <c r="L80">
        <v>1354</v>
      </c>
      <c r="N80">
        <v>1010</v>
      </c>
      <c r="O80" t="s">
        <v>20</v>
      </c>
      <c r="P80" t="s">
        <v>20</v>
      </c>
      <c r="Q80">
        <v>1</v>
      </c>
      <c r="X80">
        <v>4</v>
      </c>
      <c r="Y80">
        <v>1561.93</v>
      </c>
      <c r="Z80">
        <v>0</v>
      </c>
      <c r="AA80">
        <v>0</v>
      </c>
      <c r="AB80">
        <v>0</v>
      </c>
      <c r="AC80">
        <v>0</v>
      </c>
      <c r="AD80">
        <v>1</v>
      </c>
      <c r="AE80">
        <v>0</v>
      </c>
      <c r="AF80" t="s">
        <v>3</v>
      </c>
      <c r="AG80">
        <v>4</v>
      </c>
      <c r="AH80">
        <v>2</v>
      </c>
      <c r="AI80">
        <v>43095504</v>
      </c>
      <c r="AJ80">
        <v>87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</row>
    <row r="81" spans="1:44" x14ac:dyDescent="0.2">
      <c r="A81">
        <f>ROW(Source!A78)</f>
        <v>78</v>
      </c>
      <c r="B81">
        <v>43095572</v>
      </c>
      <c r="C81">
        <v>43095547</v>
      </c>
      <c r="D81">
        <v>42301367</v>
      </c>
      <c r="E81">
        <v>29</v>
      </c>
      <c r="F81">
        <v>1</v>
      </c>
      <c r="G81">
        <v>29</v>
      </c>
      <c r="H81">
        <v>1</v>
      </c>
      <c r="I81" t="s">
        <v>555</v>
      </c>
      <c r="J81" t="s">
        <v>3</v>
      </c>
      <c r="K81" t="s">
        <v>556</v>
      </c>
      <c r="L81">
        <v>1191</v>
      </c>
      <c r="N81">
        <v>1013</v>
      </c>
      <c r="O81" t="s">
        <v>557</v>
      </c>
      <c r="P81" t="s">
        <v>557</v>
      </c>
      <c r="Q81">
        <v>1</v>
      </c>
      <c r="X81">
        <v>4.74</v>
      </c>
      <c r="Y81">
        <v>0</v>
      </c>
      <c r="Z81">
        <v>0</v>
      </c>
      <c r="AA81">
        <v>0</v>
      </c>
      <c r="AB81">
        <v>0</v>
      </c>
      <c r="AC81">
        <v>0</v>
      </c>
      <c r="AD81">
        <v>1</v>
      </c>
      <c r="AE81">
        <v>1</v>
      </c>
      <c r="AF81" t="s">
        <v>3</v>
      </c>
      <c r="AG81">
        <v>4.74</v>
      </c>
      <c r="AH81">
        <v>2</v>
      </c>
      <c r="AI81">
        <v>43095556</v>
      </c>
      <c r="AJ81">
        <v>92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</row>
    <row r="82" spans="1:44" x14ac:dyDescent="0.2">
      <c r="A82">
        <f>ROW(Source!A78)</f>
        <v>78</v>
      </c>
      <c r="B82">
        <v>43095573</v>
      </c>
      <c r="C82">
        <v>43095547</v>
      </c>
      <c r="D82">
        <v>42305028</v>
      </c>
      <c r="E82">
        <v>1</v>
      </c>
      <c r="F82">
        <v>1</v>
      </c>
      <c r="G82">
        <v>29</v>
      </c>
      <c r="H82">
        <v>3</v>
      </c>
      <c r="I82" t="s">
        <v>645</v>
      </c>
      <c r="J82" t="s">
        <v>646</v>
      </c>
      <c r="K82" t="s">
        <v>647</v>
      </c>
      <c r="L82">
        <v>1346</v>
      </c>
      <c r="N82">
        <v>1009</v>
      </c>
      <c r="O82" t="s">
        <v>46</v>
      </c>
      <c r="P82" t="s">
        <v>46</v>
      </c>
      <c r="Q82">
        <v>1</v>
      </c>
      <c r="X82">
        <v>0.16</v>
      </c>
      <c r="Y82">
        <v>151.68</v>
      </c>
      <c r="Z82">
        <v>0</v>
      </c>
      <c r="AA82">
        <v>0</v>
      </c>
      <c r="AB82">
        <v>0</v>
      </c>
      <c r="AC82">
        <v>0</v>
      </c>
      <c r="AD82">
        <v>1</v>
      </c>
      <c r="AE82">
        <v>0</v>
      </c>
      <c r="AF82" t="s">
        <v>3</v>
      </c>
      <c r="AG82">
        <v>0.16</v>
      </c>
      <c r="AH82">
        <v>2</v>
      </c>
      <c r="AI82">
        <v>43095557</v>
      </c>
      <c r="AJ82">
        <v>93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</row>
    <row r="83" spans="1:44" x14ac:dyDescent="0.2">
      <c r="A83">
        <f>ROW(Source!A78)</f>
        <v>78</v>
      </c>
      <c r="B83">
        <v>43095574</v>
      </c>
      <c r="C83">
        <v>43095547</v>
      </c>
      <c r="D83">
        <v>42312161</v>
      </c>
      <c r="E83">
        <v>1</v>
      </c>
      <c r="F83">
        <v>1</v>
      </c>
      <c r="G83">
        <v>29</v>
      </c>
      <c r="H83">
        <v>3</v>
      </c>
      <c r="I83" t="s">
        <v>648</v>
      </c>
      <c r="J83" t="s">
        <v>649</v>
      </c>
      <c r="K83" t="s">
        <v>650</v>
      </c>
      <c r="L83">
        <v>1301</v>
      </c>
      <c r="N83">
        <v>1003</v>
      </c>
      <c r="O83" t="s">
        <v>64</v>
      </c>
      <c r="P83" t="s">
        <v>64</v>
      </c>
      <c r="Q83">
        <v>1</v>
      </c>
      <c r="X83">
        <v>5.5</v>
      </c>
      <c r="Y83">
        <v>3.77</v>
      </c>
      <c r="Z83">
        <v>0</v>
      </c>
      <c r="AA83">
        <v>0</v>
      </c>
      <c r="AB83">
        <v>0</v>
      </c>
      <c r="AC83">
        <v>0</v>
      </c>
      <c r="AD83">
        <v>1</v>
      </c>
      <c r="AE83">
        <v>0</v>
      </c>
      <c r="AF83" t="s">
        <v>3</v>
      </c>
      <c r="AG83">
        <v>5.5</v>
      </c>
      <c r="AH83">
        <v>2</v>
      </c>
      <c r="AI83">
        <v>43095558</v>
      </c>
      <c r="AJ83">
        <v>94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</row>
    <row r="84" spans="1:44" x14ac:dyDescent="0.2">
      <c r="A84">
        <f>ROW(Source!A78)</f>
        <v>78</v>
      </c>
      <c r="B84">
        <v>43095575</v>
      </c>
      <c r="C84">
        <v>43095547</v>
      </c>
      <c r="D84">
        <v>42312058</v>
      </c>
      <c r="E84">
        <v>1</v>
      </c>
      <c r="F84">
        <v>1</v>
      </c>
      <c r="G84">
        <v>29</v>
      </c>
      <c r="H84">
        <v>3</v>
      </c>
      <c r="I84" t="s">
        <v>651</v>
      </c>
      <c r="J84" t="s">
        <v>652</v>
      </c>
      <c r="K84" t="s">
        <v>653</v>
      </c>
      <c r="L84">
        <v>1356</v>
      </c>
      <c r="N84">
        <v>1010</v>
      </c>
      <c r="O84" t="s">
        <v>285</v>
      </c>
      <c r="P84" t="s">
        <v>285</v>
      </c>
      <c r="Q84">
        <v>1000</v>
      </c>
      <c r="X84">
        <v>5.0000000000000001E-3</v>
      </c>
      <c r="Y84">
        <v>495.85</v>
      </c>
      <c r="Z84">
        <v>0</v>
      </c>
      <c r="AA84">
        <v>0</v>
      </c>
      <c r="AB84">
        <v>0</v>
      </c>
      <c r="AC84">
        <v>0</v>
      </c>
      <c r="AD84">
        <v>1</v>
      </c>
      <c r="AE84">
        <v>0</v>
      </c>
      <c r="AF84" t="s">
        <v>3</v>
      </c>
      <c r="AG84">
        <v>5.0000000000000001E-3</v>
      </c>
      <c r="AH84">
        <v>2</v>
      </c>
      <c r="AI84">
        <v>43095559</v>
      </c>
      <c r="AJ84">
        <v>95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</row>
    <row r="85" spans="1:44" x14ac:dyDescent="0.2">
      <c r="A85">
        <f>ROW(Source!A78)</f>
        <v>78</v>
      </c>
      <c r="B85">
        <v>43095576</v>
      </c>
      <c r="C85">
        <v>43095547</v>
      </c>
      <c r="D85">
        <v>42312342</v>
      </c>
      <c r="E85">
        <v>1</v>
      </c>
      <c r="F85">
        <v>1</v>
      </c>
      <c r="G85">
        <v>29</v>
      </c>
      <c r="H85">
        <v>3</v>
      </c>
      <c r="I85" t="s">
        <v>654</v>
      </c>
      <c r="J85" t="s">
        <v>655</v>
      </c>
      <c r="K85" t="s">
        <v>656</v>
      </c>
      <c r="L85">
        <v>1354</v>
      </c>
      <c r="N85">
        <v>1010</v>
      </c>
      <c r="O85" t="s">
        <v>20</v>
      </c>
      <c r="P85" t="s">
        <v>20</v>
      </c>
      <c r="Q85">
        <v>1</v>
      </c>
      <c r="X85">
        <v>10</v>
      </c>
      <c r="Y85">
        <v>21.08</v>
      </c>
      <c r="Z85">
        <v>0</v>
      </c>
      <c r="AA85">
        <v>0</v>
      </c>
      <c r="AB85">
        <v>0</v>
      </c>
      <c r="AC85">
        <v>0</v>
      </c>
      <c r="AD85">
        <v>1</v>
      </c>
      <c r="AE85">
        <v>0</v>
      </c>
      <c r="AF85" t="s">
        <v>3</v>
      </c>
      <c r="AG85">
        <v>10</v>
      </c>
      <c r="AH85">
        <v>2</v>
      </c>
      <c r="AI85">
        <v>43095560</v>
      </c>
      <c r="AJ85">
        <v>96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</row>
    <row r="86" spans="1:44" x14ac:dyDescent="0.2">
      <c r="A86">
        <f>ROW(Source!A78)</f>
        <v>78</v>
      </c>
      <c r="B86">
        <v>43095577</v>
      </c>
      <c r="C86">
        <v>43095547</v>
      </c>
      <c r="D86">
        <v>42312373</v>
      </c>
      <c r="E86">
        <v>1</v>
      </c>
      <c r="F86">
        <v>1</v>
      </c>
      <c r="G86">
        <v>29</v>
      </c>
      <c r="H86">
        <v>3</v>
      </c>
      <c r="I86" t="s">
        <v>657</v>
      </c>
      <c r="J86" t="s">
        <v>658</v>
      </c>
      <c r="K86" t="s">
        <v>659</v>
      </c>
      <c r="L86">
        <v>1355</v>
      </c>
      <c r="N86">
        <v>1010</v>
      </c>
      <c r="O86" t="s">
        <v>342</v>
      </c>
      <c r="P86" t="s">
        <v>342</v>
      </c>
      <c r="Q86">
        <v>100</v>
      </c>
      <c r="X86">
        <v>0.3</v>
      </c>
      <c r="Y86">
        <v>118.38</v>
      </c>
      <c r="Z86">
        <v>0</v>
      </c>
      <c r="AA86">
        <v>0</v>
      </c>
      <c r="AB86">
        <v>0</v>
      </c>
      <c r="AC86">
        <v>0</v>
      </c>
      <c r="AD86">
        <v>1</v>
      </c>
      <c r="AE86">
        <v>0</v>
      </c>
      <c r="AF86" t="s">
        <v>3</v>
      </c>
      <c r="AG86">
        <v>0.3</v>
      </c>
      <c r="AH86">
        <v>2</v>
      </c>
      <c r="AI86">
        <v>43095561</v>
      </c>
      <c r="AJ86">
        <v>97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</row>
    <row r="87" spans="1:44" x14ac:dyDescent="0.2">
      <c r="A87">
        <f>ROW(Source!A78)</f>
        <v>78</v>
      </c>
      <c r="B87">
        <v>43095578</v>
      </c>
      <c r="C87">
        <v>43095547</v>
      </c>
      <c r="D87">
        <v>42312095</v>
      </c>
      <c r="E87">
        <v>1</v>
      </c>
      <c r="F87">
        <v>1</v>
      </c>
      <c r="G87">
        <v>29</v>
      </c>
      <c r="H87">
        <v>3</v>
      </c>
      <c r="I87" t="s">
        <v>660</v>
      </c>
      <c r="J87" t="s">
        <v>661</v>
      </c>
      <c r="K87" t="s">
        <v>662</v>
      </c>
      <c r="L87">
        <v>1356</v>
      </c>
      <c r="N87">
        <v>1010</v>
      </c>
      <c r="O87" t="s">
        <v>285</v>
      </c>
      <c r="P87" t="s">
        <v>285</v>
      </c>
      <c r="Q87">
        <v>1000</v>
      </c>
      <c r="X87">
        <v>0.02</v>
      </c>
      <c r="Y87">
        <v>187.09</v>
      </c>
      <c r="Z87">
        <v>0</v>
      </c>
      <c r="AA87">
        <v>0</v>
      </c>
      <c r="AB87">
        <v>0</v>
      </c>
      <c r="AC87">
        <v>0</v>
      </c>
      <c r="AD87">
        <v>1</v>
      </c>
      <c r="AE87">
        <v>0</v>
      </c>
      <c r="AF87" t="s">
        <v>3</v>
      </c>
      <c r="AG87">
        <v>0.02</v>
      </c>
      <c r="AH87">
        <v>2</v>
      </c>
      <c r="AI87">
        <v>43095562</v>
      </c>
      <c r="AJ87">
        <v>98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</row>
    <row r="88" spans="1:44" x14ac:dyDescent="0.2">
      <c r="A88">
        <f>ROW(Source!A78)</f>
        <v>78</v>
      </c>
      <c r="B88">
        <v>43095579</v>
      </c>
      <c r="C88">
        <v>43095547</v>
      </c>
      <c r="D88">
        <v>42313392</v>
      </c>
      <c r="E88">
        <v>1</v>
      </c>
      <c r="F88">
        <v>1</v>
      </c>
      <c r="G88">
        <v>29</v>
      </c>
      <c r="H88">
        <v>3</v>
      </c>
      <c r="I88" t="s">
        <v>217</v>
      </c>
      <c r="J88" t="s">
        <v>220</v>
      </c>
      <c r="K88" t="s">
        <v>218</v>
      </c>
      <c r="L88">
        <v>1303</v>
      </c>
      <c r="N88">
        <v>1003</v>
      </c>
      <c r="O88" t="s">
        <v>219</v>
      </c>
      <c r="P88" t="s">
        <v>219</v>
      </c>
      <c r="Q88">
        <v>1000</v>
      </c>
      <c r="X88">
        <v>0.10299999999999999</v>
      </c>
      <c r="Y88">
        <v>160962.20000000001</v>
      </c>
      <c r="Z88">
        <v>0</v>
      </c>
      <c r="AA88">
        <v>0</v>
      </c>
      <c r="AB88">
        <v>0</v>
      </c>
      <c r="AC88">
        <v>0</v>
      </c>
      <c r="AD88">
        <v>1</v>
      </c>
      <c r="AE88">
        <v>0</v>
      </c>
      <c r="AF88" t="s">
        <v>3</v>
      </c>
      <c r="AG88">
        <v>0.10299999999999999</v>
      </c>
      <c r="AH88">
        <v>2</v>
      </c>
      <c r="AI88">
        <v>43095563</v>
      </c>
      <c r="AJ88">
        <v>99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</row>
    <row r="89" spans="1:44" x14ac:dyDescent="0.2">
      <c r="A89">
        <f>ROW(Source!A81)</f>
        <v>81</v>
      </c>
      <c r="B89">
        <v>43095601</v>
      </c>
      <c r="C89">
        <v>43095582</v>
      </c>
      <c r="D89">
        <v>42301367</v>
      </c>
      <c r="E89">
        <v>29</v>
      </c>
      <c r="F89">
        <v>1</v>
      </c>
      <c r="G89">
        <v>29</v>
      </c>
      <c r="H89">
        <v>1</v>
      </c>
      <c r="I89" t="s">
        <v>555</v>
      </c>
      <c r="J89" t="s">
        <v>3</v>
      </c>
      <c r="K89" t="s">
        <v>556</v>
      </c>
      <c r="L89">
        <v>1191</v>
      </c>
      <c r="N89">
        <v>1013</v>
      </c>
      <c r="O89" t="s">
        <v>557</v>
      </c>
      <c r="P89" t="s">
        <v>557</v>
      </c>
      <c r="Q89">
        <v>1</v>
      </c>
      <c r="X89">
        <v>67.16</v>
      </c>
      <c r="Y89">
        <v>0</v>
      </c>
      <c r="Z89">
        <v>0</v>
      </c>
      <c r="AA89">
        <v>0</v>
      </c>
      <c r="AB89">
        <v>0</v>
      </c>
      <c r="AC89">
        <v>0</v>
      </c>
      <c r="AD89">
        <v>1</v>
      </c>
      <c r="AE89">
        <v>1</v>
      </c>
      <c r="AF89" t="s">
        <v>3</v>
      </c>
      <c r="AG89">
        <v>67.16</v>
      </c>
      <c r="AH89">
        <v>2</v>
      </c>
      <c r="AI89">
        <v>43095586</v>
      </c>
      <c r="AJ89">
        <v>100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</row>
    <row r="90" spans="1:44" x14ac:dyDescent="0.2">
      <c r="A90">
        <f>ROW(Source!A81)</f>
        <v>81</v>
      </c>
      <c r="B90">
        <v>43095602</v>
      </c>
      <c r="C90">
        <v>43095582</v>
      </c>
      <c r="D90">
        <v>42304254</v>
      </c>
      <c r="E90">
        <v>1</v>
      </c>
      <c r="F90">
        <v>1</v>
      </c>
      <c r="G90">
        <v>29</v>
      </c>
      <c r="H90">
        <v>3</v>
      </c>
      <c r="I90" t="s">
        <v>663</v>
      </c>
      <c r="J90" t="s">
        <v>664</v>
      </c>
      <c r="K90" t="s">
        <v>665</v>
      </c>
      <c r="L90">
        <v>1348</v>
      </c>
      <c r="N90">
        <v>1009</v>
      </c>
      <c r="O90" t="s">
        <v>402</v>
      </c>
      <c r="P90" t="s">
        <v>402</v>
      </c>
      <c r="Q90">
        <v>1000</v>
      </c>
      <c r="X90">
        <v>1.1999999999999999E-3</v>
      </c>
      <c r="Y90">
        <v>146451.23000000001</v>
      </c>
      <c r="Z90">
        <v>0</v>
      </c>
      <c r="AA90">
        <v>0</v>
      </c>
      <c r="AB90">
        <v>0</v>
      </c>
      <c r="AC90">
        <v>0</v>
      </c>
      <c r="AD90">
        <v>1</v>
      </c>
      <c r="AE90">
        <v>0</v>
      </c>
      <c r="AF90" t="s">
        <v>3</v>
      </c>
      <c r="AG90">
        <v>1.1999999999999999E-3</v>
      </c>
      <c r="AH90">
        <v>2</v>
      </c>
      <c r="AI90">
        <v>43095587</v>
      </c>
      <c r="AJ90">
        <v>101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</row>
    <row r="91" spans="1:44" x14ac:dyDescent="0.2">
      <c r="A91">
        <f>ROW(Source!A81)</f>
        <v>81</v>
      </c>
      <c r="B91">
        <v>43095604</v>
      </c>
      <c r="C91">
        <v>43095582</v>
      </c>
      <c r="D91">
        <v>42308976</v>
      </c>
      <c r="E91">
        <v>1</v>
      </c>
      <c r="F91">
        <v>1</v>
      </c>
      <c r="G91">
        <v>29</v>
      </c>
      <c r="H91">
        <v>3</v>
      </c>
      <c r="I91" t="s">
        <v>240</v>
      </c>
      <c r="J91" t="s">
        <v>242</v>
      </c>
      <c r="K91" t="s">
        <v>241</v>
      </c>
      <c r="L91">
        <v>1301</v>
      </c>
      <c r="N91">
        <v>1003</v>
      </c>
      <c r="O91" t="s">
        <v>64</v>
      </c>
      <c r="P91" t="s">
        <v>64</v>
      </c>
      <c r="Q91">
        <v>1</v>
      </c>
      <c r="X91">
        <v>99.8</v>
      </c>
      <c r="Y91">
        <v>224.03</v>
      </c>
      <c r="Z91">
        <v>0</v>
      </c>
      <c r="AA91">
        <v>0</v>
      </c>
      <c r="AB91">
        <v>0</v>
      </c>
      <c r="AC91">
        <v>0</v>
      </c>
      <c r="AD91">
        <v>1</v>
      </c>
      <c r="AE91">
        <v>0</v>
      </c>
      <c r="AF91" t="s">
        <v>3</v>
      </c>
      <c r="AG91">
        <v>99.8</v>
      </c>
      <c r="AH91">
        <v>2</v>
      </c>
      <c r="AI91">
        <v>43095589</v>
      </c>
      <c r="AJ91">
        <v>102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</row>
    <row r="92" spans="1:44" x14ac:dyDescent="0.2">
      <c r="A92">
        <f>ROW(Source!A81)</f>
        <v>81</v>
      </c>
      <c r="B92">
        <v>43095603</v>
      </c>
      <c r="C92">
        <v>43095582</v>
      </c>
      <c r="D92">
        <v>42305225</v>
      </c>
      <c r="E92">
        <v>1</v>
      </c>
      <c r="F92">
        <v>1</v>
      </c>
      <c r="G92">
        <v>29</v>
      </c>
      <c r="H92">
        <v>3</v>
      </c>
      <c r="I92" t="s">
        <v>79</v>
      </c>
      <c r="J92" t="s">
        <v>82</v>
      </c>
      <c r="K92" t="s">
        <v>80</v>
      </c>
      <c r="L92">
        <v>1339</v>
      </c>
      <c r="N92">
        <v>1007</v>
      </c>
      <c r="O92" t="s">
        <v>81</v>
      </c>
      <c r="P92" t="s">
        <v>81</v>
      </c>
      <c r="Q92">
        <v>1</v>
      </c>
      <c r="X92">
        <v>0.19700000000000001</v>
      </c>
      <c r="Y92">
        <v>36.31</v>
      </c>
      <c r="Z92">
        <v>0</v>
      </c>
      <c r="AA92">
        <v>0</v>
      </c>
      <c r="AB92">
        <v>0</v>
      </c>
      <c r="AC92">
        <v>0</v>
      </c>
      <c r="AD92">
        <v>1</v>
      </c>
      <c r="AE92">
        <v>0</v>
      </c>
      <c r="AF92" t="s">
        <v>3</v>
      </c>
      <c r="AG92">
        <v>0.19700000000000001</v>
      </c>
      <c r="AH92">
        <v>2</v>
      </c>
      <c r="AI92">
        <v>43095588</v>
      </c>
      <c r="AJ92">
        <v>103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</row>
    <row r="93" spans="1:44" x14ac:dyDescent="0.2">
      <c r="A93">
        <f>ROW(Source!A81)</f>
        <v>81</v>
      </c>
      <c r="B93">
        <v>43095605</v>
      </c>
      <c r="C93">
        <v>43095582</v>
      </c>
      <c r="D93">
        <v>42309334</v>
      </c>
      <c r="E93">
        <v>1</v>
      </c>
      <c r="F93">
        <v>1</v>
      </c>
      <c r="G93">
        <v>29</v>
      </c>
      <c r="H93">
        <v>3</v>
      </c>
      <c r="I93" t="s">
        <v>244</v>
      </c>
      <c r="J93" t="s">
        <v>246</v>
      </c>
      <c r="K93" t="s">
        <v>245</v>
      </c>
      <c r="L93">
        <v>1354</v>
      </c>
      <c r="N93">
        <v>1010</v>
      </c>
      <c r="O93" t="s">
        <v>20</v>
      </c>
      <c r="P93" t="s">
        <v>20</v>
      </c>
      <c r="Q93">
        <v>1</v>
      </c>
      <c r="X93">
        <v>12</v>
      </c>
      <c r="Y93">
        <v>7.26</v>
      </c>
      <c r="Z93">
        <v>0</v>
      </c>
      <c r="AA93">
        <v>0</v>
      </c>
      <c r="AB93">
        <v>0</v>
      </c>
      <c r="AC93">
        <v>0</v>
      </c>
      <c r="AD93">
        <v>1</v>
      </c>
      <c r="AE93">
        <v>0</v>
      </c>
      <c r="AF93" t="s">
        <v>3</v>
      </c>
      <c r="AG93">
        <v>12</v>
      </c>
      <c r="AH93">
        <v>2</v>
      </c>
      <c r="AI93">
        <v>43095590</v>
      </c>
      <c r="AJ93">
        <v>105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</row>
    <row r="94" spans="1:44" x14ac:dyDescent="0.2">
      <c r="A94">
        <f>ROW(Source!A81)</f>
        <v>81</v>
      </c>
      <c r="B94">
        <v>43095606</v>
      </c>
      <c r="C94">
        <v>43095582</v>
      </c>
      <c r="D94">
        <v>42301612</v>
      </c>
      <c r="E94">
        <v>29</v>
      </c>
      <c r="F94">
        <v>1</v>
      </c>
      <c r="G94">
        <v>29</v>
      </c>
      <c r="H94">
        <v>3</v>
      </c>
      <c r="I94" t="s">
        <v>233</v>
      </c>
      <c r="J94" t="s">
        <v>3</v>
      </c>
      <c r="K94" t="s">
        <v>234</v>
      </c>
      <c r="L94">
        <v>1354</v>
      </c>
      <c r="N94">
        <v>1010</v>
      </c>
      <c r="O94" t="s">
        <v>20</v>
      </c>
      <c r="P94" t="s">
        <v>20</v>
      </c>
      <c r="Q94">
        <v>1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 t="s">
        <v>3</v>
      </c>
      <c r="AG94">
        <v>0</v>
      </c>
      <c r="AH94">
        <v>2</v>
      </c>
      <c r="AI94">
        <v>43095591</v>
      </c>
      <c r="AJ94">
        <v>106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</row>
    <row r="95" spans="1:44" x14ac:dyDescent="0.2">
      <c r="A95">
        <f>ROW(Source!A81)</f>
        <v>81</v>
      </c>
      <c r="B95">
        <v>43095607</v>
      </c>
      <c r="C95">
        <v>43095582</v>
      </c>
      <c r="D95">
        <v>42301619</v>
      </c>
      <c r="E95">
        <v>29</v>
      </c>
      <c r="F95">
        <v>1</v>
      </c>
      <c r="G95">
        <v>29</v>
      </c>
      <c r="H95">
        <v>3</v>
      </c>
      <c r="I95" t="s">
        <v>236</v>
      </c>
      <c r="J95" t="s">
        <v>3</v>
      </c>
      <c r="K95" t="s">
        <v>237</v>
      </c>
      <c r="L95">
        <v>1346</v>
      </c>
      <c r="N95">
        <v>1009</v>
      </c>
      <c r="O95" t="s">
        <v>46</v>
      </c>
      <c r="P95" t="s">
        <v>46</v>
      </c>
      <c r="Q95">
        <v>1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 t="s">
        <v>3</v>
      </c>
      <c r="AG95">
        <v>0</v>
      </c>
      <c r="AH95">
        <v>2</v>
      </c>
      <c r="AI95">
        <v>43095592</v>
      </c>
      <c r="AJ95">
        <v>107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</row>
    <row r="96" spans="1:44" x14ac:dyDescent="0.2">
      <c r="A96">
        <f>ROW(Source!A89)</f>
        <v>89</v>
      </c>
      <c r="B96">
        <v>43095649</v>
      </c>
      <c r="C96">
        <v>43095615</v>
      </c>
      <c r="D96">
        <v>42301367</v>
      </c>
      <c r="E96">
        <v>29</v>
      </c>
      <c r="F96">
        <v>1</v>
      </c>
      <c r="G96">
        <v>29</v>
      </c>
      <c r="H96">
        <v>1</v>
      </c>
      <c r="I96" t="s">
        <v>555</v>
      </c>
      <c r="J96" t="s">
        <v>3</v>
      </c>
      <c r="K96" t="s">
        <v>556</v>
      </c>
      <c r="L96">
        <v>1191</v>
      </c>
      <c r="N96">
        <v>1013</v>
      </c>
      <c r="O96" t="s">
        <v>557</v>
      </c>
      <c r="P96" t="s">
        <v>557</v>
      </c>
      <c r="Q96">
        <v>1</v>
      </c>
      <c r="X96">
        <v>46.78</v>
      </c>
      <c r="Y96">
        <v>0</v>
      </c>
      <c r="Z96">
        <v>0</v>
      </c>
      <c r="AA96">
        <v>0</v>
      </c>
      <c r="AB96">
        <v>0</v>
      </c>
      <c r="AC96">
        <v>0</v>
      </c>
      <c r="AD96">
        <v>1</v>
      </c>
      <c r="AE96">
        <v>1</v>
      </c>
      <c r="AF96" t="s">
        <v>3</v>
      </c>
      <c r="AG96">
        <v>46.78</v>
      </c>
      <c r="AH96">
        <v>2</v>
      </c>
      <c r="AI96">
        <v>43095623</v>
      </c>
      <c r="AJ96">
        <v>108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</row>
    <row r="97" spans="1:44" x14ac:dyDescent="0.2">
      <c r="A97">
        <f>ROW(Source!A89)</f>
        <v>89</v>
      </c>
      <c r="B97">
        <v>43095650</v>
      </c>
      <c r="C97">
        <v>43095615</v>
      </c>
      <c r="D97">
        <v>42303124</v>
      </c>
      <c r="E97">
        <v>1</v>
      </c>
      <c r="F97">
        <v>1</v>
      </c>
      <c r="G97">
        <v>29</v>
      </c>
      <c r="H97">
        <v>2</v>
      </c>
      <c r="I97" t="s">
        <v>633</v>
      </c>
      <c r="J97" t="s">
        <v>634</v>
      </c>
      <c r="K97" t="s">
        <v>635</v>
      </c>
      <c r="L97">
        <v>1368</v>
      </c>
      <c r="N97">
        <v>1011</v>
      </c>
      <c r="O97" t="s">
        <v>480</v>
      </c>
      <c r="P97" t="s">
        <v>480</v>
      </c>
      <c r="Q97">
        <v>1</v>
      </c>
      <c r="X97">
        <v>13</v>
      </c>
      <c r="Y97">
        <v>0</v>
      </c>
      <c r="Z97">
        <v>3.14</v>
      </c>
      <c r="AA97">
        <v>0.01</v>
      </c>
      <c r="AB97">
        <v>0</v>
      </c>
      <c r="AC97">
        <v>0</v>
      </c>
      <c r="AD97">
        <v>1</v>
      </c>
      <c r="AE97">
        <v>0</v>
      </c>
      <c r="AF97" t="s">
        <v>3</v>
      </c>
      <c r="AG97">
        <v>13</v>
      </c>
      <c r="AH97">
        <v>2</v>
      </c>
      <c r="AI97">
        <v>43095624</v>
      </c>
      <c r="AJ97">
        <v>109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</row>
    <row r="98" spans="1:44" x14ac:dyDescent="0.2">
      <c r="A98">
        <f>ROW(Source!A89)</f>
        <v>89</v>
      </c>
      <c r="B98">
        <v>43095651</v>
      </c>
      <c r="C98">
        <v>43095615</v>
      </c>
      <c r="D98">
        <v>42303204</v>
      </c>
      <c r="E98">
        <v>1</v>
      </c>
      <c r="F98">
        <v>1</v>
      </c>
      <c r="G98">
        <v>29</v>
      </c>
      <c r="H98">
        <v>2</v>
      </c>
      <c r="I98" t="s">
        <v>636</v>
      </c>
      <c r="J98" t="s">
        <v>637</v>
      </c>
      <c r="K98" t="s">
        <v>638</v>
      </c>
      <c r="L98">
        <v>1368</v>
      </c>
      <c r="N98">
        <v>1011</v>
      </c>
      <c r="O98" t="s">
        <v>480</v>
      </c>
      <c r="P98" t="s">
        <v>480</v>
      </c>
      <c r="Q98">
        <v>1</v>
      </c>
      <c r="X98">
        <v>0.15</v>
      </c>
      <c r="Y98">
        <v>0</v>
      </c>
      <c r="Z98">
        <v>7.81</v>
      </c>
      <c r="AA98">
        <v>1.03</v>
      </c>
      <c r="AB98">
        <v>0</v>
      </c>
      <c r="AC98">
        <v>0</v>
      </c>
      <c r="AD98">
        <v>1</v>
      </c>
      <c r="AE98">
        <v>0</v>
      </c>
      <c r="AF98" t="s">
        <v>3</v>
      </c>
      <c r="AG98">
        <v>0.15</v>
      </c>
      <c r="AH98">
        <v>2</v>
      </c>
      <c r="AI98">
        <v>43095625</v>
      </c>
      <c r="AJ98">
        <v>110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</row>
    <row r="99" spans="1:44" x14ac:dyDescent="0.2">
      <c r="A99">
        <f>ROW(Source!A89)</f>
        <v>89</v>
      </c>
      <c r="B99">
        <v>43095652</v>
      </c>
      <c r="C99">
        <v>43095615</v>
      </c>
      <c r="D99">
        <v>42304341</v>
      </c>
      <c r="E99">
        <v>1</v>
      </c>
      <c r="F99">
        <v>1</v>
      </c>
      <c r="G99">
        <v>29</v>
      </c>
      <c r="H99">
        <v>3</v>
      </c>
      <c r="I99" t="s">
        <v>621</v>
      </c>
      <c r="J99" t="s">
        <v>622</v>
      </c>
      <c r="K99" t="s">
        <v>623</v>
      </c>
      <c r="L99">
        <v>1348</v>
      </c>
      <c r="N99">
        <v>1009</v>
      </c>
      <c r="O99" t="s">
        <v>402</v>
      </c>
      <c r="P99" t="s">
        <v>402</v>
      </c>
      <c r="Q99">
        <v>1000</v>
      </c>
      <c r="X99">
        <v>7.3999999999999999E-4</v>
      </c>
      <c r="Y99">
        <v>327543.38</v>
      </c>
      <c r="Z99">
        <v>0</v>
      </c>
      <c r="AA99">
        <v>0</v>
      </c>
      <c r="AB99">
        <v>0</v>
      </c>
      <c r="AC99">
        <v>0</v>
      </c>
      <c r="AD99">
        <v>1</v>
      </c>
      <c r="AE99">
        <v>0</v>
      </c>
      <c r="AF99" t="s">
        <v>3</v>
      </c>
      <c r="AG99">
        <v>7.3999999999999999E-4</v>
      </c>
      <c r="AH99">
        <v>2</v>
      </c>
      <c r="AI99">
        <v>43095626</v>
      </c>
      <c r="AJ99">
        <v>111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</row>
    <row r="100" spans="1:44" x14ac:dyDescent="0.2">
      <c r="A100">
        <f>ROW(Source!A89)</f>
        <v>89</v>
      </c>
      <c r="B100">
        <v>43095653</v>
      </c>
      <c r="C100">
        <v>43095615</v>
      </c>
      <c r="D100">
        <v>42304314</v>
      </c>
      <c r="E100">
        <v>1</v>
      </c>
      <c r="F100">
        <v>1</v>
      </c>
      <c r="G100">
        <v>29</v>
      </c>
      <c r="H100">
        <v>3</v>
      </c>
      <c r="I100" t="s">
        <v>639</v>
      </c>
      <c r="J100" t="s">
        <v>640</v>
      </c>
      <c r="K100" t="s">
        <v>641</v>
      </c>
      <c r="L100">
        <v>1355</v>
      </c>
      <c r="N100">
        <v>1010</v>
      </c>
      <c r="O100" t="s">
        <v>342</v>
      </c>
      <c r="P100" t="s">
        <v>342</v>
      </c>
      <c r="Q100">
        <v>100</v>
      </c>
      <c r="X100">
        <v>4</v>
      </c>
      <c r="Y100">
        <v>1126.26</v>
      </c>
      <c r="Z100">
        <v>0</v>
      </c>
      <c r="AA100">
        <v>0</v>
      </c>
      <c r="AB100">
        <v>0</v>
      </c>
      <c r="AC100">
        <v>0</v>
      </c>
      <c r="AD100">
        <v>1</v>
      </c>
      <c r="AE100">
        <v>0</v>
      </c>
      <c r="AF100" t="s">
        <v>3</v>
      </c>
      <c r="AG100">
        <v>4</v>
      </c>
      <c r="AH100">
        <v>2</v>
      </c>
      <c r="AI100">
        <v>43095627</v>
      </c>
      <c r="AJ100">
        <v>112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</row>
    <row r="101" spans="1:44" x14ac:dyDescent="0.2">
      <c r="A101">
        <f>ROW(Source!A89)</f>
        <v>89</v>
      </c>
      <c r="B101">
        <v>43095654</v>
      </c>
      <c r="C101">
        <v>43095615</v>
      </c>
      <c r="D101">
        <v>42306004</v>
      </c>
      <c r="E101">
        <v>1</v>
      </c>
      <c r="F101">
        <v>1</v>
      </c>
      <c r="G101">
        <v>29</v>
      </c>
      <c r="H101">
        <v>3</v>
      </c>
      <c r="I101" t="s">
        <v>666</v>
      </c>
      <c r="J101" t="s">
        <v>667</v>
      </c>
      <c r="K101" t="s">
        <v>668</v>
      </c>
      <c r="L101">
        <v>1301</v>
      </c>
      <c r="N101">
        <v>1003</v>
      </c>
      <c r="O101" t="s">
        <v>64</v>
      </c>
      <c r="P101" t="s">
        <v>64</v>
      </c>
      <c r="Q101">
        <v>1</v>
      </c>
      <c r="X101">
        <v>100</v>
      </c>
      <c r="Y101">
        <v>604.19000000000005</v>
      </c>
      <c r="Z101">
        <v>0</v>
      </c>
      <c r="AA101">
        <v>0</v>
      </c>
      <c r="AB101">
        <v>0</v>
      </c>
      <c r="AC101">
        <v>0</v>
      </c>
      <c r="AD101">
        <v>1</v>
      </c>
      <c r="AE101">
        <v>0</v>
      </c>
      <c r="AF101" t="s">
        <v>3</v>
      </c>
      <c r="AG101">
        <v>100</v>
      </c>
      <c r="AH101">
        <v>2</v>
      </c>
      <c r="AI101">
        <v>43095628</v>
      </c>
      <c r="AJ101">
        <v>113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</row>
    <row r="102" spans="1:44" x14ac:dyDescent="0.2">
      <c r="A102">
        <f>ROW(Source!A89)</f>
        <v>89</v>
      </c>
      <c r="B102">
        <v>43095655</v>
      </c>
      <c r="C102">
        <v>43095615</v>
      </c>
      <c r="D102">
        <v>42306005</v>
      </c>
      <c r="E102">
        <v>1</v>
      </c>
      <c r="F102">
        <v>1</v>
      </c>
      <c r="G102">
        <v>29</v>
      </c>
      <c r="H102">
        <v>3</v>
      </c>
      <c r="I102" t="s">
        <v>669</v>
      </c>
      <c r="J102" t="s">
        <v>670</v>
      </c>
      <c r="K102" t="s">
        <v>671</v>
      </c>
      <c r="L102">
        <v>1354</v>
      </c>
      <c r="N102">
        <v>1010</v>
      </c>
      <c r="O102" t="s">
        <v>20</v>
      </c>
      <c r="P102" t="s">
        <v>20</v>
      </c>
      <c r="Q102">
        <v>1</v>
      </c>
      <c r="X102">
        <v>15</v>
      </c>
      <c r="Y102">
        <v>105.52</v>
      </c>
      <c r="Z102">
        <v>0</v>
      </c>
      <c r="AA102">
        <v>0</v>
      </c>
      <c r="AB102">
        <v>0</v>
      </c>
      <c r="AC102">
        <v>0</v>
      </c>
      <c r="AD102">
        <v>1</v>
      </c>
      <c r="AE102">
        <v>0</v>
      </c>
      <c r="AF102" t="s">
        <v>3</v>
      </c>
      <c r="AG102">
        <v>15</v>
      </c>
      <c r="AH102">
        <v>2</v>
      </c>
      <c r="AI102">
        <v>43095629</v>
      </c>
      <c r="AJ102">
        <v>114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</row>
    <row r="103" spans="1:44" x14ac:dyDescent="0.2">
      <c r="A103">
        <f>ROW(Source!A89)</f>
        <v>89</v>
      </c>
      <c r="B103">
        <v>43095656</v>
      </c>
      <c r="C103">
        <v>43095615</v>
      </c>
      <c r="D103">
        <v>42306006</v>
      </c>
      <c r="E103">
        <v>1</v>
      </c>
      <c r="F103">
        <v>1</v>
      </c>
      <c r="G103">
        <v>29</v>
      </c>
      <c r="H103">
        <v>3</v>
      </c>
      <c r="I103" t="s">
        <v>672</v>
      </c>
      <c r="J103" t="s">
        <v>673</v>
      </c>
      <c r="K103" t="s">
        <v>674</v>
      </c>
      <c r="L103">
        <v>1354</v>
      </c>
      <c r="N103">
        <v>1010</v>
      </c>
      <c r="O103" t="s">
        <v>20</v>
      </c>
      <c r="P103" t="s">
        <v>20</v>
      </c>
      <c r="Q103">
        <v>1</v>
      </c>
      <c r="X103">
        <v>4</v>
      </c>
      <c r="Y103">
        <v>104.2</v>
      </c>
      <c r="Z103">
        <v>0</v>
      </c>
      <c r="AA103">
        <v>0</v>
      </c>
      <c r="AB103">
        <v>0</v>
      </c>
      <c r="AC103">
        <v>0</v>
      </c>
      <c r="AD103">
        <v>1</v>
      </c>
      <c r="AE103">
        <v>0</v>
      </c>
      <c r="AF103" t="s">
        <v>3</v>
      </c>
      <c r="AG103">
        <v>4</v>
      </c>
      <c r="AH103">
        <v>2</v>
      </c>
      <c r="AI103">
        <v>43095630</v>
      </c>
      <c r="AJ103">
        <v>115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</row>
    <row r="104" spans="1:44" x14ac:dyDescent="0.2">
      <c r="A104">
        <f>ROW(Source!A89)</f>
        <v>89</v>
      </c>
      <c r="B104">
        <v>43095657</v>
      </c>
      <c r="C104">
        <v>43095615</v>
      </c>
      <c r="D104">
        <v>42306007</v>
      </c>
      <c r="E104">
        <v>1</v>
      </c>
      <c r="F104">
        <v>1</v>
      </c>
      <c r="G104">
        <v>29</v>
      </c>
      <c r="H104">
        <v>3</v>
      </c>
      <c r="I104" t="s">
        <v>675</v>
      </c>
      <c r="J104" t="s">
        <v>676</v>
      </c>
      <c r="K104" t="s">
        <v>677</v>
      </c>
      <c r="L104">
        <v>1354</v>
      </c>
      <c r="N104">
        <v>1010</v>
      </c>
      <c r="O104" t="s">
        <v>20</v>
      </c>
      <c r="P104" t="s">
        <v>20</v>
      </c>
      <c r="Q104">
        <v>1</v>
      </c>
      <c r="X104">
        <v>4</v>
      </c>
      <c r="Y104">
        <v>29.13</v>
      </c>
      <c r="Z104">
        <v>0</v>
      </c>
      <c r="AA104">
        <v>0</v>
      </c>
      <c r="AB104">
        <v>0</v>
      </c>
      <c r="AC104">
        <v>0</v>
      </c>
      <c r="AD104">
        <v>1</v>
      </c>
      <c r="AE104">
        <v>0</v>
      </c>
      <c r="AF104" t="s">
        <v>3</v>
      </c>
      <c r="AG104">
        <v>4</v>
      </c>
      <c r="AH104">
        <v>2</v>
      </c>
      <c r="AI104">
        <v>43095631</v>
      </c>
      <c r="AJ104">
        <v>116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</row>
    <row r="105" spans="1:44" x14ac:dyDescent="0.2">
      <c r="A105">
        <f>ROW(Source!A89)</f>
        <v>89</v>
      </c>
      <c r="B105">
        <v>43095658</v>
      </c>
      <c r="C105">
        <v>43095615</v>
      </c>
      <c r="D105">
        <v>42306009</v>
      </c>
      <c r="E105">
        <v>1</v>
      </c>
      <c r="F105">
        <v>1</v>
      </c>
      <c r="G105">
        <v>29</v>
      </c>
      <c r="H105">
        <v>3</v>
      </c>
      <c r="I105" t="s">
        <v>678</v>
      </c>
      <c r="J105" t="s">
        <v>679</v>
      </c>
      <c r="K105" t="s">
        <v>680</v>
      </c>
      <c r="L105">
        <v>1354</v>
      </c>
      <c r="N105">
        <v>1010</v>
      </c>
      <c r="O105" t="s">
        <v>20</v>
      </c>
      <c r="P105" t="s">
        <v>20</v>
      </c>
      <c r="Q105">
        <v>1</v>
      </c>
      <c r="X105">
        <v>2</v>
      </c>
      <c r="Y105">
        <v>476.22</v>
      </c>
      <c r="Z105">
        <v>0</v>
      </c>
      <c r="AA105">
        <v>0</v>
      </c>
      <c r="AB105">
        <v>0</v>
      </c>
      <c r="AC105">
        <v>0</v>
      </c>
      <c r="AD105">
        <v>1</v>
      </c>
      <c r="AE105">
        <v>0</v>
      </c>
      <c r="AF105" t="s">
        <v>3</v>
      </c>
      <c r="AG105">
        <v>2</v>
      </c>
      <c r="AH105">
        <v>2</v>
      </c>
      <c r="AI105">
        <v>43095632</v>
      </c>
      <c r="AJ105">
        <v>117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</row>
    <row r="106" spans="1:44" x14ac:dyDescent="0.2">
      <c r="A106">
        <f>ROW(Source!A89)</f>
        <v>89</v>
      </c>
      <c r="B106">
        <v>43095659</v>
      </c>
      <c r="C106">
        <v>43095615</v>
      </c>
      <c r="D106">
        <v>42306010</v>
      </c>
      <c r="E106">
        <v>1</v>
      </c>
      <c r="F106">
        <v>1</v>
      </c>
      <c r="G106">
        <v>29</v>
      </c>
      <c r="H106">
        <v>3</v>
      </c>
      <c r="I106" t="s">
        <v>681</v>
      </c>
      <c r="J106" t="s">
        <v>682</v>
      </c>
      <c r="K106" t="s">
        <v>683</v>
      </c>
      <c r="L106">
        <v>1354</v>
      </c>
      <c r="N106">
        <v>1010</v>
      </c>
      <c r="O106" t="s">
        <v>20</v>
      </c>
      <c r="P106" t="s">
        <v>20</v>
      </c>
      <c r="Q106">
        <v>1</v>
      </c>
      <c r="X106">
        <v>15</v>
      </c>
      <c r="Y106">
        <v>530</v>
      </c>
      <c r="Z106">
        <v>0</v>
      </c>
      <c r="AA106">
        <v>0</v>
      </c>
      <c r="AB106">
        <v>0</v>
      </c>
      <c r="AC106">
        <v>0</v>
      </c>
      <c r="AD106">
        <v>1</v>
      </c>
      <c r="AE106">
        <v>0</v>
      </c>
      <c r="AF106" t="s">
        <v>3</v>
      </c>
      <c r="AG106">
        <v>15</v>
      </c>
      <c r="AH106">
        <v>2</v>
      </c>
      <c r="AI106">
        <v>43095633</v>
      </c>
      <c r="AJ106">
        <v>118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</row>
    <row r="107" spans="1:44" x14ac:dyDescent="0.2">
      <c r="A107">
        <f>ROW(Source!A89)</f>
        <v>89</v>
      </c>
      <c r="B107">
        <v>43095660</v>
      </c>
      <c r="C107">
        <v>43095615</v>
      </c>
      <c r="D107">
        <v>42306011</v>
      </c>
      <c r="E107">
        <v>1</v>
      </c>
      <c r="F107">
        <v>1</v>
      </c>
      <c r="G107">
        <v>29</v>
      </c>
      <c r="H107">
        <v>3</v>
      </c>
      <c r="I107" t="s">
        <v>684</v>
      </c>
      <c r="J107" t="s">
        <v>685</v>
      </c>
      <c r="K107" t="s">
        <v>686</v>
      </c>
      <c r="L107">
        <v>1354</v>
      </c>
      <c r="N107">
        <v>1010</v>
      </c>
      <c r="O107" t="s">
        <v>20</v>
      </c>
      <c r="P107" t="s">
        <v>20</v>
      </c>
      <c r="Q107">
        <v>1</v>
      </c>
      <c r="X107">
        <v>2</v>
      </c>
      <c r="Y107">
        <v>718.87</v>
      </c>
      <c r="Z107">
        <v>0</v>
      </c>
      <c r="AA107">
        <v>0</v>
      </c>
      <c r="AB107">
        <v>0</v>
      </c>
      <c r="AC107">
        <v>0</v>
      </c>
      <c r="AD107">
        <v>1</v>
      </c>
      <c r="AE107">
        <v>0</v>
      </c>
      <c r="AF107" t="s">
        <v>3</v>
      </c>
      <c r="AG107">
        <v>2</v>
      </c>
      <c r="AH107">
        <v>2</v>
      </c>
      <c r="AI107">
        <v>43095634</v>
      </c>
      <c r="AJ107">
        <v>119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</row>
    <row r="108" spans="1:44" x14ac:dyDescent="0.2">
      <c r="A108">
        <f>ROW(Source!A89)</f>
        <v>89</v>
      </c>
      <c r="B108">
        <v>43095661</v>
      </c>
      <c r="C108">
        <v>43095615</v>
      </c>
      <c r="D108">
        <v>42307522</v>
      </c>
      <c r="E108">
        <v>1</v>
      </c>
      <c r="F108">
        <v>1</v>
      </c>
      <c r="G108">
        <v>29</v>
      </c>
      <c r="H108">
        <v>3</v>
      </c>
      <c r="I108" t="s">
        <v>642</v>
      </c>
      <c r="J108" t="s">
        <v>643</v>
      </c>
      <c r="K108" t="s">
        <v>644</v>
      </c>
      <c r="L108">
        <v>1354</v>
      </c>
      <c r="N108">
        <v>1010</v>
      </c>
      <c r="O108" t="s">
        <v>20</v>
      </c>
      <c r="P108" t="s">
        <v>20</v>
      </c>
      <c r="Q108">
        <v>1</v>
      </c>
      <c r="X108">
        <v>4</v>
      </c>
      <c r="Y108">
        <v>1561.93</v>
      </c>
      <c r="Z108">
        <v>0</v>
      </c>
      <c r="AA108">
        <v>0</v>
      </c>
      <c r="AB108">
        <v>0</v>
      </c>
      <c r="AC108">
        <v>0</v>
      </c>
      <c r="AD108">
        <v>1</v>
      </c>
      <c r="AE108">
        <v>0</v>
      </c>
      <c r="AF108" t="s">
        <v>3</v>
      </c>
      <c r="AG108">
        <v>4</v>
      </c>
      <c r="AH108">
        <v>2</v>
      </c>
      <c r="AI108">
        <v>43095635</v>
      </c>
      <c r="AJ108">
        <v>120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</row>
    <row r="109" spans="1:44" x14ac:dyDescent="0.2">
      <c r="A109">
        <f>ROW(Source!A90)</f>
        <v>90</v>
      </c>
      <c r="B109">
        <v>43095670</v>
      </c>
      <c r="C109">
        <v>43095662</v>
      </c>
      <c r="D109">
        <v>42301367</v>
      </c>
      <c r="E109">
        <v>29</v>
      </c>
      <c r="F109">
        <v>1</v>
      </c>
      <c r="G109">
        <v>29</v>
      </c>
      <c r="H109">
        <v>1</v>
      </c>
      <c r="I109" t="s">
        <v>555</v>
      </c>
      <c r="J109" t="s">
        <v>3</v>
      </c>
      <c r="K109" t="s">
        <v>556</v>
      </c>
      <c r="L109">
        <v>1191</v>
      </c>
      <c r="N109">
        <v>1013</v>
      </c>
      <c r="O109" t="s">
        <v>557</v>
      </c>
      <c r="P109" t="s">
        <v>557</v>
      </c>
      <c r="Q109">
        <v>1</v>
      </c>
      <c r="X109">
        <v>3.34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1</v>
      </c>
      <c r="AE109">
        <v>1</v>
      </c>
      <c r="AF109" t="s">
        <v>3</v>
      </c>
      <c r="AG109">
        <v>3.34</v>
      </c>
      <c r="AH109">
        <v>2</v>
      </c>
      <c r="AI109">
        <v>43095666</v>
      </c>
      <c r="AJ109">
        <v>121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</row>
    <row r="110" spans="1:44" x14ac:dyDescent="0.2">
      <c r="A110">
        <f>ROW(Source!A90)</f>
        <v>90</v>
      </c>
      <c r="B110">
        <v>43095671</v>
      </c>
      <c r="C110">
        <v>43095662</v>
      </c>
      <c r="D110">
        <v>42303124</v>
      </c>
      <c r="E110">
        <v>1</v>
      </c>
      <c r="F110">
        <v>1</v>
      </c>
      <c r="G110">
        <v>29</v>
      </c>
      <c r="H110">
        <v>2</v>
      </c>
      <c r="I110" t="s">
        <v>633</v>
      </c>
      <c r="J110" t="s">
        <v>634</v>
      </c>
      <c r="K110" t="s">
        <v>635</v>
      </c>
      <c r="L110">
        <v>1368</v>
      </c>
      <c r="N110">
        <v>1011</v>
      </c>
      <c r="O110" t="s">
        <v>480</v>
      </c>
      <c r="P110" t="s">
        <v>480</v>
      </c>
      <c r="Q110">
        <v>1</v>
      </c>
      <c r="X110">
        <v>0.55000000000000004</v>
      </c>
      <c r="Y110">
        <v>0</v>
      </c>
      <c r="Z110">
        <v>3.14</v>
      </c>
      <c r="AA110">
        <v>0.01</v>
      </c>
      <c r="AB110">
        <v>0</v>
      </c>
      <c r="AC110">
        <v>0</v>
      </c>
      <c r="AD110">
        <v>1</v>
      </c>
      <c r="AE110">
        <v>0</v>
      </c>
      <c r="AF110" t="s">
        <v>3</v>
      </c>
      <c r="AG110">
        <v>0.55000000000000004</v>
      </c>
      <c r="AH110">
        <v>2</v>
      </c>
      <c r="AI110">
        <v>43095667</v>
      </c>
      <c r="AJ110">
        <v>122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</row>
    <row r="111" spans="1:44" x14ac:dyDescent="0.2">
      <c r="A111">
        <f>ROW(Source!A92)</f>
        <v>92</v>
      </c>
      <c r="B111">
        <v>43095690</v>
      </c>
      <c r="C111">
        <v>43095673</v>
      </c>
      <c r="D111">
        <v>42301367</v>
      </c>
      <c r="E111">
        <v>29</v>
      </c>
      <c r="F111">
        <v>1</v>
      </c>
      <c r="G111">
        <v>29</v>
      </c>
      <c r="H111">
        <v>1</v>
      </c>
      <c r="I111" t="s">
        <v>555</v>
      </c>
      <c r="J111" t="s">
        <v>3</v>
      </c>
      <c r="K111" t="s">
        <v>556</v>
      </c>
      <c r="L111">
        <v>1191</v>
      </c>
      <c r="N111">
        <v>1013</v>
      </c>
      <c r="O111" t="s">
        <v>557</v>
      </c>
      <c r="P111" t="s">
        <v>557</v>
      </c>
      <c r="Q111">
        <v>1</v>
      </c>
      <c r="X111">
        <v>31.59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1</v>
      </c>
      <c r="AE111">
        <v>1</v>
      </c>
      <c r="AF111" t="s">
        <v>3</v>
      </c>
      <c r="AG111">
        <v>31.59</v>
      </c>
      <c r="AH111">
        <v>2</v>
      </c>
      <c r="AI111">
        <v>43095680</v>
      </c>
      <c r="AJ111">
        <v>123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</row>
    <row r="112" spans="1:44" x14ac:dyDescent="0.2">
      <c r="A112">
        <f>ROW(Source!A92)</f>
        <v>92</v>
      </c>
      <c r="B112">
        <v>43095691</v>
      </c>
      <c r="C112">
        <v>43095673</v>
      </c>
      <c r="D112">
        <v>42303204</v>
      </c>
      <c r="E112">
        <v>1</v>
      </c>
      <c r="F112">
        <v>1</v>
      </c>
      <c r="G112">
        <v>29</v>
      </c>
      <c r="H112">
        <v>2</v>
      </c>
      <c r="I112" t="s">
        <v>636</v>
      </c>
      <c r="J112" t="s">
        <v>637</v>
      </c>
      <c r="K112" t="s">
        <v>638</v>
      </c>
      <c r="L112">
        <v>1368</v>
      </c>
      <c r="N112">
        <v>1011</v>
      </c>
      <c r="O112" t="s">
        <v>480</v>
      </c>
      <c r="P112" t="s">
        <v>480</v>
      </c>
      <c r="Q112">
        <v>1</v>
      </c>
      <c r="X112">
        <v>3.75</v>
      </c>
      <c r="Y112">
        <v>0</v>
      </c>
      <c r="Z112">
        <v>7.81</v>
      </c>
      <c r="AA112">
        <v>1.03</v>
      </c>
      <c r="AB112">
        <v>0</v>
      </c>
      <c r="AC112">
        <v>0</v>
      </c>
      <c r="AD112">
        <v>1</v>
      </c>
      <c r="AE112">
        <v>0</v>
      </c>
      <c r="AF112" t="s">
        <v>3</v>
      </c>
      <c r="AG112">
        <v>3.75</v>
      </c>
      <c r="AH112">
        <v>2</v>
      </c>
      <c r="AI112">
        <v>43095681</v>
      </c>
      <c r="AJ112">
        <v>124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</row>
    <row r="113" spans="1:44" x14ac:dyDescent="0.2">
      <c r="A113">
        <f>ROW(Source!A92)</f>
        <v>92</v>
      </c>
      <c r="B113">
        <v>43095692</v>
      </c>
      <c r="C113">
        <v>43095673</v>
      </c>
      <c r="D113">
        <v>42303166</v>
      </c>
      <c r="E113">
        <v>1</v>
      </c>
      <c r="F113">
        <v>1</v>
      </c>
      <c r="G113">
        <v>29</v>
      </c>
      <c r="H113">
        <v>2</v>
      </c>
      <c r="I113" t="s">
        <v>561</v>
      </c>
      <c r="J113" t="s">
        <v>562</v>
      </c>
      <c r="K113" t="s">
        <v>563</v>
      </c>
      <c r="L113">
        <v>1368</v>
      </c>
      <c r="N113">
        <v>1011</v>
      </c>
      <c r="O113" t="s">
        <v>480</v>
      </c>
      <c r="P113" t="s">
        <v>480</v>
      </c>
      <c r="Q113">
        <v>1</v>
      </c>
      <c r="X113">
        <v>1.5</v>
      </c>
      <c r="Y113">
        <v>0</v>
      </c>
      <c r="Z113">
        <v>5.17</v>
      </c>
      <c r="AA113">
        <v>0.01</v>
      </c>
      <c r="AB113">
        <v>0</v>
      </c>
      <c r="AC113">
        <v>0</v>
      </c>
      <c r="AD113">
        <v>1</v>
      </c>
      <c r="AE113">
        <v>0</v>
      </c>
      <c r="AF113" t="s">
        <v>3</v>
      </c>
      <c r="AG113">
        <v>1.5</v>
      </c>
      <c r="AH113">
        <v>2</v>
      </c>
      <c r="AI113">
        <v>43095682</v>
      </c>
      <c r="AJ113">
        <v>125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</row>
    <row r="114" spans="1:44" x14ac:dyDescent="0.2">
      <c r="A114">
        <f>ROW(Source!A92)</f>
        <v>92</v>
      </c>
      <c r="B114">
        <v>43095693</v>
      </c>
      <c r="C114">
        <v>43095673</v>
      </c>
      <c r="D114">
        <v>42303172</v>
      </c>
      <c r="E114">
        <v>1</v>
      </c>
      <c r="F114">
        <v>1</v>
      </c>
      <c r="G114">
        <v>29</v>
      </c>
      <c r="H114">
        <v>2</v>
      </c>
      <c r="I114" t="s">
        <v>687</v>
      </c>
      <c r="J114" t="s">
        <v>688</v>
      </c>
      <c r="K114" t="s">
        <v>689</v>
      </c>
      <c r="L114">
        <v>1368</v>
      </c>
      <c r="N114">
        <v>1011</v>
      </c>
      <c r="O114" t="s">
        <v>480</v>
      </c>
      <c r="P114" t="s">
        <v>480</v>
      </c>
      <c r="Q114">
        <v>1</v>
      </c>
      <c r="X114">
        <v>0.62</v>
      </c>
      <c r="Y114">
        <v>0</v>
      </c>
      <c r="Z114">
        <v>664.14</v>
      </c>
      <c r="AA114">
        <v>287.25</v>
      </c>
      <c r="AB114">
        <v>0</v>
      </c>
      <c r="AC114">
        <v>0</v>
      </c>
      <c r="AD114">
        <v>1</v>
      </c>
      <c r="AE114">
        <v>0</v>
      </c>
      <c r="AF114" t="s">
        <v>3</v>
      </c>
      <c r="AG114">
        <v>0.62</v>
      </c>
      <c r="AH114">
        <v>2</v>
      </c>
      <c r="AI114">
        <v>43095683</v>
      </c>
      <c r="AJ114">
        <v>126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</row>
    <row r="115" spans="1:44" x14ac:dyDescent="0.2">
      <c r="A115">
        <f>ROW(Source!A92)</f>
        <v>92</v>
      </c>
      <c r="B115">
        <v>43095694</v>
      </c>
      <c r="C115">
        <v>43095673</v>
      </c>
      <c r="D115">
        <v>42301624</v>
      </c>
      <c r="E115">
        <v>29</v>
      </c>
      <c r="F115">
        <v>1</v>
      </c>
      <c r="G115">
        <v>29</v>
      </c>
      <c r="H115">
        <v>3</v>
      </c>
      <c r="I115" t="s">
        <v>621</v>
      </c>
      <c r="J115" t="s">
        <v>3</v>
      </c>
      <c r="K115" t="s">
        <v>623</v>
      </c>
      <c r="L115">
        <v>1346</v>
      </c>
      <c r="N115">
        <v>1009</v>
      </c>
      <c r="O115" t="s">
        <v>46</v>
      </c>
      <c r="P115" t="s">
        <v>46</v>
      </c>
      <c r="Q115">
        <v>1</v>
      </c>
      <c r="X115">
        <v>0.61609999999999998</v>
      </c>
      <c r="Y115">
        <v>327.54338000000001</v>
      </c>
      <c r="Z115">
        <v>0</v>
      </c>
      <c r="AA115">
        <v>0</v>
      </c>
      <c r="AB115">
        <v>0</v>
      </c>
      <c r="AC115">
        <v>0</v>
      </c>
      <c r="AD115">
        <v>1</v>
      </c>
      <c r="AE115">
        <v>0</v>
      </c>
      <c r="AF115" t="s">
        <v>3</v>
      </c>
      <c r="AG115">
        <v>0.61609999999999998</v>
      </c>
      <c r="AH115">
        <v>2</v>
      </c>
      <c r="AI115">
        <v>43095684</v>
      </c>
      <c r="AJ115">
        <v>127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</row>
    <row r="116" spans="1:44" x14ac:dyDescent="0.2">
      <c r="A116">
        <f>ROW(Source!A94)</f>
        <v>94</v>
      </c>
      <c r="B116">
        <v>43095709</v>
      </c>
      <c r="C116">
        <v>43095696</v>
      </c>
      <c r="D116">
        <v>42301367</v>
      </c>
      <c r="E116">
        <v>29</v>
      </c>
      <c r="F116">
        <v>1</v>
      </c>
      <c r="G116">
        <v>29</v>
      </c>
      <c r="H116">
        <v>1</v>
      </c>
      <c r="I116" t="s">
        <v>555</v>
      </c>
      <c r="J116" t="s">
        <v>3</v>
      </c>
      <c r="K116" t="s">
        <v>556</v>
      </c>
      <c r="L116">
        <v>1191</v>
      </c>
      <c r="N116">
        <v>1013</v>
      </c>
      <c r="O116" t="s">
        <v>557</v>
      </c>
      <c r="P116" t="s">
        <v>557</v>
      </c>
      <c r="Q116">
        <v>1</v>
      </c>
      <c r="X116">
        <v>1.54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1</v>
      </c>
      <c r="AE116">
        <v>1</v>
      </c>
      <c r="AF116" t="s">
        <v>270</v>
      </c>
      <c r="AG116">
        <v>1.2320000000000002</v>
      </c>
      <c r="AH116">
        <v>2</v>
      </c>
      <c r="AI116">
        <v>43095701</v>
      </c>
      <c r="AJ116">
        <v>128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</row>
    <row r="117" spans="1:44" x14ac:dyDescent="0.2">
      <c r="A117">
        <f>ROW(Source!A94)</f>
        <v>94</v>
      </c>
      <c r="B117">
        <v>43095710</v>
      </c>
      <c r="C117">
        <v>43095696</v>
      </c>
      <c r="D117">
        <v>42302736</v>
      </c>
      <c r="E117">
        <v>1</v>
      </c>
      <c r="F117">
        <v>1</v>
      </c>
      <c r="G117">
        <v>29</v>
      </c>
      <c r="H117">
        <v>2</v>
      </c>
      <c r="I117" t="s">
        <v>690</v>
      </c>
      <c r="J117" t="s">
        <v>691</v>
      </c>
      <c r="K117" t="s">
        <v>692</v>
      </c>
      <c r="L117">
        <v>1368</v>
      </c>
      <c r="N117">
        <v>1011</v>
      </c>
      <c r="O117" t="s">
        <v>480</v>
      </c>
      <c r="P117" t="s">
        <v>480</v>
      </c>
      <c r="Q117">
        <v>1</v>
      </c>
      <c r="X117">
        <v>0.14000000000000001</v>
      </c>
      <c r="Y117">
        <v>0</v>
      </c>
      <c r="Z117">
        <v>366.19</v>
      </c>
      <c r="AA117">
        <v>7.37</v>
      </c>
      <c r="AB117">
        <v>0</v>
      </c>
      <c r="AC117">
        <v>0</v>
      </c>
      <c r="AD117">
        <v>1</v>
      </c>
      <c r="AE117">
        <v>0</v>
      </c>
      <c r="AF117" t="s">
        <v>270</v>
      </c>
      <c r="AG117">
        <v>0.11200000000000002</v>
      </c>
      <c r="AH117">
        <v>2</v>
      </c>
      <c r="AI117">
        <v>43095702</v>
      </c>
      <c r="AJ117">
        <v>129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</row>
    <row r="118" spans="1:44" x14ac:dyDescent="0.2">
      <c r="A118">
        <f>ROW(Source!A94)</f>
        <v>94</v>
      </c>
      <c r="B118">
        <v>43095711</v>
      </c>
      <c r="C118">
        <v>43095696</v>
      </c>
      <c r="D118">
        <v>42303204</v>
      </c>
      <c r="E118">
        <v>1</v>
      </c>
      <c r="F118">
        <v>1</v>
      </c>
      <c r="G118">
        <v>29</v>
      </c>
      <c r="H118">
        <v>2</v>
      </c>
      <c r="I118" t="s">
        <v>636</v>
      </c>
      <c r="J118" t="s">
        <v>637</v>
      </c>
      <c r="K118" t="s">
        <v>638</v>
      </c>
      <c r="L118">
        <v>1368</v>
      </c>
      <c r="N118">
        <v>1011</v>
      </c>
      <c r="O118" t="s">
        <v>480</v>
      </c>
      <c r="P118" t="s">
        <v>480</v>
      </c>
      <c r="Q118">
        <v>1</v>
      </c>
      <c r="X118">
        <v>0.04</v>
      </c>
      <c r="Y118">
        <v>0</v>
      </c>
      <c r="Z118">
        <v>7.81</v>
      </c>
      <c r="AA118">
        <v>1.03</v>
      </c>
      <c r="AB118">
        <v>0</v>
      </c>
      <c r="AC118">
        <v>0</v>
      </c>
      <c r="AD118">
        <v>1</v>
      </c>
      <c r="AE118">
        <v>0</v>
      </c>
      <c r="AF118" t="s">
        <v>270</v>
      </c>
      <c r="AG118">
        <v>3.2000000000000001E-2</v>
      </c>
      <c r="AH118">
        <v>2</v>
      </c>
      <c r="AI118">
        <v>43095703</v>
      </c>
      <c r="AJ118">
        <v>130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</row>
    <row r="119" spans="1:44" x14ac:dyDescent="0.2">
      <c r="A119">
        <f>ROW(Source!A94)</f>
        <v>94</v>
      </c>
      <c r="B119">
        <v>43095712</v>
      </c>
      <c r="C119">
        <v>43095696</v>
      </c>
      <c r="D119">
        <v>42312068</v>
      </c>
      <c r="E119">
        <v>1</v>
      </c>
      <c r="F119">
        <v>1</v>
      </c>
      <c r="G119">
        <v>29</v>
      </c>
      <c r="H119">
        <v>3</v>
      </c>
      <c r="I119" t="s">
        <v>693</v>
      </c>
      <c r="J119" t="s">
        <v>694</v>
      </c>
      <c r="K119" t="s">
        <v>695</v>
      </c>
      <c r="L119">
        <v>1354</v>
      </c>
      <c r="N119">
        <v>1010</v>
      </c>
      <c r="O119" t="s">
        <v>20</v>
      </c>
      <c r="P119" t="s">
        <v>20</v>
      </c>
      <c r="Q119">
        <v>1</v>
      </c>
      <c r="X119">
        <v>1</v>
      </c>
      <c r="Y119">
        <v>281.12</v>
      </c>
      <c r="Z119">
        <v>0</v>
      </c>
      <c r="AA119">
        <v>0</v>
      </c>
      <c r="AB119">
        <v>0</v>
      </c>
      <c r="AC119">
        <v>0</v>
      </c>
      <c r="AD119">
        <v>1</v>
      </c>
      <c r="AE119">
        <v>0</v>
      </c>
      <c r="AF119" t="s">
        <v>3</v>
      </c>
      <c r="AG119">
        <v>1</v>
      </c>
      <c r="AH119">
        <v>2</v>
      </c>
      <c r="AI119">
        <v>43095704</v>
      </c>
      <c r="AJ119">
        <v>131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</row>
    <row r="120" spans="1:44" x14ac:dyDescent="0.2">
      <c r="A120">
        <f>ROW(Source!A95)</f>
        <v>95</v>
      </c>
      <c r="B120">
        <v>43095740</v>
      </c>
      <c r="C120">
        <v>43095713</v>
      </c>
      <c r="D120">
        <v>42301367</v>
      </c>
      <c r="E120">
        <v>29</v>
      </c>
      <c r="F120">
        <v>1</v>
      </c>
      <c r="G120">
        <v>29</v>
      </c>
      <c r="H120">
        <v>1</v>
      </c>
      <c r="I120" t="s">
        <v>555</v>
      </c>
      <c r="J120" t="s">
        <v>3</v>
      </c>
      <c r="K120" t="s">
        <v>556</v>
      </c>
      <c r="L120">
        <v>1191</v>
      </c>
      <c r="N120">
        <v>1013</v>
      </c>
      <c r="O120" t="s">
        <v>557</v>
      </c>
      <c r="P120" t="s">
        <v>557</v>
      </c>
      <c r="Q120">
        <v>1</v>
      </c>
      <c r="X120">
        <v>17.260000000000002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1</v>
      </c>
      <c r="AE120">
        <v>1</v>
      </c>
      <c r="AF120" t="s">
        <v>3</v>
      </c>
      <c r="AG120">
        <v>17.260000000000002</v>
      </c>
      <c r="AH120">
        <v>2</v>
      </c>
      <c r="AI120">
        <v>43095722</v>
      </c>
      <c r="AJ120">
        <v>132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</row>
    <row r="121" spans="1:44" x14ac:dyDescent="0.2">
      <c r="A121">
        <f>ROW(Source!A95)</f>
        <v>95</v>
      </c>
      <c r="B121">
        <v>43095741</v>
      </c>
      <c r="C121">
        <v>43095713</v>
      </c>
      <c r="D121">
        <v>42303205</v>
      </c>
      <c r="E121">
        <v>1</v>
      </c>
      <c r="F121">
        <v>1</v>
      </c>
      <c r="G121">
        <v>29</v>
      </c>
      <c r="H121">
        <v>2</v>
      </c>
      <c r="I121" t="s">
        <v>558</v>
      </c>
      <c r="J121" t="s">
        <v>559</v>
      </c>
      <c r="K121" t="s">
        <v>560</v>
      </c>
      <c r="L121">
        <v>1368</v>
      </c>
      <c r="N121">
        <v>1011</v>
      </c>
      <c r="O121" t="s">
        <v>480</v>
      </c>
      <c r="P121" t="s">
        <v>480</v>
      </c>
      <c r="Q121">
        <v>1</v>
      </c>
      <c r="X121">
        <v>4.8499999999999996</v>
      </c>
      <c r="Y121">
        <v>0</v>
      </c>
      <c r="Z121">
        <v>8.1</v>
      </c>
      <c r="AA121">
        <v>1.03</v>
      </c>
      <c r="AB121">
        <v>0</v>
      </c>
      <c r="AC121">
        <v>0</v>
      </c>
      <c r="AD121">
        <v>1</v>
      </c>
      <c r="AE121">
        <v>0</v>
      </c>
      <c r="AF121" t="s">
        <v>3</v>
      </c>
      <c r="AG121">
        <v>4.8499999999999996</v>
      </c>
      <c r="AH121">
        <v>2</v>
      </c>
      <c r="AI121">
        <v>43095723</v>
      </c>
      <c r="AJ121">
        <v>133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</row>
    <row r="122" spans="1:44" x14ac:dyDescent="0.2">
      <c r="A122">
        <f>ROW(Source!A95)</f>
        <v>95</v>
      </c>
      <c r="B122">
        <v>43095742</v>
      </c>
      <c r="C122">
        <v>43095713</v>
      </c>
      <c r="D122">
        <v>42303166</v>
      </c>
      <c r="E122">
        <v>1</v>
      </c>
      <c r="F122">
        <v>1</v>
      </c>
      <c r="G122">
        <v>29</v>
      </c>
      <c r="H122">
        <v>2</v>
      </c>
      <c r="I122" t="s">
        <v>561</v>
      </c>
      <c r="J122" t="s">
        <v>562</v>
      </c>
      <c r="K122" t="s">
        <v>563</v>
      </c>
      <c r="L122">
        <v>1368</v>
      </c>
      <c r="N122">
        <v>1011</v>
      </c>
      <c r="O122" t="s">
        <v>480</v>
      </c>
      <c r="P122" t="s">
        <v>480</v>
      </c>
      <c r="Q122">
        <v>1</v>
      </c>
      <c r="X122">
        <v>0.48</v>
      </c>
      <c r="Y122">
        <v>0</v>
      </c>
      <c r="Z122">
        <v>5.17</v>
      </c>
      <c r="AA122">
        <v>0.01</v>
      </c>
      <c r="AB122">
        <v>0</v>
      </c>
      <c r="AC122">
        <v>0</v>
      </c>
      <c r="AD122">
        <v>1</v>
      </c>
      <c r="AE122">
        <v>0</v>
      </c>
      <c r="AF122" t="s">
        <v>3</v>
      </c>
      <c r="AG122">
        <v>0.48</v>
      </c>
      <c r="AH122">
        <v>2</v>
      </c>
      <c r="AI122">
        <v>43095724</v>
      </c>
      <c r="AJ122">
        <v>134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</row>
    <row r="123" spans="1:44" x14ac:dyDescent="0.2">
      <c r="A123">
        <f>ROW(Source!A95)</f>
        <v>95</v>
      </c>
      <c r="B123">
        <v>43095743</v>
      </c>
      <c r="C123">
        <v>43095713</v>
      </c>
      <c r="D123">
        <v>42304341</v>
      </c>
      <c r="E123">
        <v>1</v>
      </c>
      <c r="F123">
        <v>1</v>
      </c>
      <c r="G123">
        <v>29</v>
      </c>
      <c r="H123">
        <v>3</v>
      </c>
      <c r="I123" t="s">
        <v>621</v>
      </c>
      <c r="J123" t="s">
        <v>622</v>
      </c>
      <c r="K123" t="s">
        <v>623</v>
      </c>
      <c r="L123">
        <v>1348</v>
      </c>
      <c r="N123">
        <v>1009</v>
      </c>
      <c r="O123" t="s">
        <v>402</v>
      </c>
      <c r="P123" t="s">
        <v>402</v>
      </c>
      <c r="Q123">
        <v>1000</v>
      </c>
      <c r="X123">
        <v>2.2200000000000002E-3</v>
      </c>
      <c r="Y123">
        <v>327543.38</v>
      </c>
      <c r="Z123">
        <v>0</v>
      </c>
      <c r="AA123">
        <v>0</v>
      </c>
      <c r="AB123">
        <v>0</v>
      </c>
      <c r="AC123">
        <v>0</v>
      </c>
      <c r="AD123">
        <v>1</v>
      </c>
      <c r="AE123">
        <v>0</v>
      </c>
      <c r="AF123" t="s">
        <v>3</v>
      </c>
      <c r="AG123">
        <v>2.2200000000000002E-3</v>
      </c>
      <c r="AH123">
        <v>2</v>
      </c>
      <c r="AI123">
        <v>43095725</v>
      </c>
      <c r="AJ123">
        <v>135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</row>
    <row r="124" spans="1:44" x14ac:dyDescent="0.2">
      <c r="A124">
        <f>ROW(Source!A95)</f>
        <v>95</v>
      </c>
      <c r="B124">
        <v>43095744</v>
      </c>
      <c r="C124">
        <v>43095713</v>
      </c>
      <c r="D124">
        <v>42304431</v>
      </c>
      <c r="E124">
        <v>1</v>
      </c>
      <c r="F124">
        <v>1</v>
      </c>
      <c r="G124">
        <v>29</v>
      </c>
      <c r="H124">
        <v>3</v>
      </c>
      <c r="I124" t="s">
        <v>564</v>
      </c>
      <c r="J124" t="s">
        <v>565</v>
      </c>
      <c r="K124" t="s">
        <v>566</v>
      </c>
      <c r="L124">
        <v>1354</v>
      </c>
      <c r="N124">
        <v>1010</v>
      </c>
      <c r="O124" t="s">
        <v>20</v>
      </c>
      <c r="P124" t="s">
        <v>20</v>
      </c>
      <c r="Q124">
        <v>1</v>
      </c>
      <c r="X124">
        <v>120</v>
      </c>
      <c r="Y124">
        <v>1.43</v>
      </c>
      <c r="Z124">
        <v>0</v>
      </c>
      <c r="AA124">
        <v>0</v>
      </c>
      <c r="AB124">
        <v>0</v>
      </c>
      <c r="AC124">
        <v>0</v>
      </c>
      <c r="AD124">
        <v>1</v>
      </c>
      <c r="AE124">
        <v>0</v>
      </c>
      <c r="AF124" t="s">
        <v>3</v>
      </c>
      <c r="AG124">
        <v>120</v>
      </c>
      <c r="AH124">
        <v>2</v>
      </c>
      <c r="AI124">
        <v>43095726</v>
      </c>
      <c r="AJ124">
        <v>136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</row>
    <row r="125" spans="1:44" x14ac:dyDescent="0.2">
      <c r="A125">
        <f>ROW(Source!A95)</f>
        <v>95</v>
      </c>
      <c r="B125">
        <v>43095745</v>
      </c>
      <c r="C125">
        <v>43095713</v>
      </c>
      <c r="D125">
        <v>42309183</v>
      </c>
      <c r="E125">
        <v>1</v>
      </c>
      <c r="F125">
        <v>1</v>
      </c>
      <c r="G125">
        <v>29</v>
      </c>
      <c r="H125">
        <v>3</v>
      </c>
      <c r="I125" t="s">
        <v>624</v>
      </c>
      <c r="J125" t="s">
        <v>625</v>
      </c>
      <c r="K125" t="s">
        <v>626</v>
      </c>
      <c r="L125">
        <v>1301</v>
      </c>
      <c r="N125">
        <v>1003</v>
      </c>
      <c r="O125" t="s">
        <v>64</v>
      </c>
      <c r="P125" t="s">
        <v>64</v>
      </c>
      <c r="Q125">
        <v>1</v>
      </c>
      <c r="X125">
        <v>102</v>
      </c>
      <c r="Y125">
        <v>12.1</v>
      </c>
      <c r="Z125">
        <v>0</v>
      </c>
      <c r="AA125">
        <v>0</v>
      </c>
      <c r="AB125">
        <v>0</v>
      </c>
      <c r="AC125">
        <v>0</v>
      </c>
      <c r="AD125">
        <v>1</v>
      </c>
      <c r="AE125">
        <v>0</v>
      </c>
      <c r="AF125" t="s">
        <v>3</v>
      </c>
      <c r="AG125">
        <v>102</v>
      </c>
      <c r="AH125">
        <v>2</v>
      </c>
      <c r="AI125">
        <v>43095727</v>
      </c>
      <c r="AJ125">
        <v>137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</row>
    <row r="126" spans="1:44" x14ac:dyDescent="0.2">
      <c r="A126">
        <f>ROW(Source!A95)</f>
        <v>95</v>
      </c>
      <c r="B126">
        <v>43095746</v>
      </c>
      <c r="C126">
        <v>43095713</v>
      </c>
      <c r="D126">
        <v>42312389</v>
      </c>
      <c r="E126">
        <v>1</v>
      </c>
      <c r="F126">
        <v>1</v>
      </c>
      <c r="G126">
        <v>29</v>
      </c>
      <c r="H126">
        <v>3</v>
      </c>
      <c r="I126" t="s">
        <v>627</v>
      </c>
      <c r="J126" t="s">
        <v>628</v>
      </c>
      <c r="K126" t="s">
        <v>629</v>
      </c>
      <c r="L126">
        <v>1355</v>
      </c>
      <c r="N126">
        <v>1010</v>
      </c>
      <c r="O126" t="s">
        <v>342</v>
      </c>
      <c r="P126" t="s">
        <v>342</v>
      </c>
      <c r="Q126">
        <v>100</v>
      </c>
      <c r="X126">
        <v>1</v>
      </c>
      <c r="Y126">
        <v>261.24</v>
      </c>
      <c r="Z126">
        <v>0</v>
      </c>
      <c r="AA126">
        <v>0</v>
      </c>
      <c r="AB126">
        <v>0</v>
      </c>
      <c r="AC126">
        <v>0</v>
      </c>
      <c r="AD126">
        <v>1</v>
      </c>
      <c r="AE126">
        <v>0</v>
      </c>
      <c r="AF126" t="s">
        <v>3</v>
      </c>
      <c r="AG126">
        <v>1</v>
      </c>
      <c r="AH126">
        <v>2</v>
      </c>
      <c r="AI126">
        <v>43095728</v>
      </c>
      <c r="AJ126">
        <v>138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</row>
    <row r="127" spans="1:44" x14ac:dyDescent="0.2">
      <c r="A127">
        <f>ROW(Source!A95)</f>
        <v>95</v>
      </c>
      <c r="B127">
        <v>43095747</v>
      </c>
      <c r="C127">
        <v>43095713</v>
      </c>
      <c r="D127">
        <v>42312111</v>
      </c>
      <c r="E127">
        <v>1</v>
      </c>
      <c r="F127">
        <v>1</v>
      </c>
      <c r="G127">
        <v>29</v>
      </c>
      <c r="H127">
        <v>3</v>
      </c>
      <c r="I127" t="s">
        <v>152</v>
      </c>
      <c r="J127" t="s">
        <v>154</v>
      </c>
      <c r="K127" t="s">
        <v>153</v>
      </c>
      <c r="L127">
        <v>1354</v>
      </c>
      <c r="N127">
        <v>1010</v>
      </c>
      <c r="O127" t="s">
        <v>20</v>
      </c>
      <c r="P127" t="s">
        <v>20</v>
      </c>
      <c r="Q127">
        <v>1</v>
      </c>
      <c r="X127">
        <v>5</v>
      </c>
      <c r="Y127">
        <v>30.24</v>
      </c>
      <c r="Z127">
        <v>0</v>
      </c>
      <c r="AA127">
        <v>0</v>
      </c>
      <c r="AB127">
        <v>0</v>
      </c>
      <c r="AC127">
        <v>0</v>
      </c>
      <c r="AD127">
        <v>1</v>
      </c>
      <c r="AE127">
        <v>0</v>
      </c>
      <c r="AF127" t="s">
        <v>3</v>
      </c>
      <c r="AG127">
        <v>5</v>
      </c>
      <c r="AH127">
        <v>2</v>
      </c>
      <c r="AI127">
        <v>43095729</v>
      </c>
      <c r="AJ127">
        <v>139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</row>
    <row r="128" spans="1:44" x14ac:dyDescent="0.2">
      <c r="A128">
        <f>ROW(Source!A95)</f>
        <v>95</v>
      </c>
      <c r="B128">
        <v>43095748</v>
      </c>
      <c r="C128">
        <v>43095713</v>
      </c>
      <c r="D128">
        <v>42307470</v>
      </c>
      <c r="E128">
        <v>1</v>
      </c>
      <c r="F128">
        <v>1</v>
      </c>
      <c r="G128">
        <v>29</v>
      </c>
      <c r="H128">
        <v>3</v>
      </c>
      <c r="I128" t="s">
        <v>630</v>
      </c>
      <c r="J128" t="s">
        <v>631</v>
      </c>
      <c r="K128" t="s">
        <v>632</v>
      </c>
      <c r="L128">
        <v>1354</v>
      </c>
      <c r="N128">
        <v>1010</v>
      </c>
      <c r="O128" t="s">
        <v>20</v>
      </c>
      <c r="P128" t="s">
        <v>20</v>
      </c>
      <c r="Q128">
        <v>1</v>
      </c>
      <c r="X128">
        <v>1.5</v>
      </c>
      <c r="Y128">
        <v>246.94</v>
      </c>
      <c r="Z128">
        <v>0</v>
      </c>
      <c r="AA128">
        <v>0</v>
      </c>
      <c r="AB128">
        <v>0</v>
      </c>
      <c r="AC128">
        <v>0</v>
      </c>
      <c r="AD128">
        <v>1</v>
      </c>
      <c r="AE128">
        <v>0</v>
      </c>
      <c r="AF128" t="s">
        <v>3</v>
      </c>
      <c r="AG128">
        <v>1.5</v>
      </c>
      <c r="AH128">
        <v>2</v>
      </c>
      <c r="AI128">
        <v>43095730</v>
      </c>
      <c r="AJ128">
        <v>140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</row>
    <row r="129" spans="1:44" x14ac:dyDescent="0.2">
      <c r="A129">
        <f>ROW(Source!A97)</f>
        <v>97</v>
      </c>
      <c r="B129">
        <v>43095790</v>
      </c>
      <c r="C129">
        <v>43095750</v>
      </c>
      <c r="D129">
        <v>42301367</v>
      </c>
      <c r="E129">
        <v>29</v>
      </c>
      <c r="F129">
        <v>1</v>
      </c>
      <c r="G129">
        <v>29</v>
      </c>
      <c r="H129">
        <v>1</v>
      </c>
      <c r="I129" t="s">
        <v>555</v>
      </c>
      <c r="J129" t="s">
        <v>3</v>
      </c>
      <c r="K129" t="s">
        <v>556</v>
      </c>
      <c r="L129">
        <v>1191</v>
      </c>
      <c r="N129">
        <v>1013</v>
      </c>
      <c r="O129" t="s">
        <v>557</v>
      </c>
      <c r="P129" t="s">
        <v>557</v>
      </c>
      <c r="Q129">
        <v>1</v>
      </c>
      <c r="X129">
        <v>46.78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1</v>
      </c>
      <c r="AE129">
        <v>1</v>
      </c>
      <c r="AF129" t="s">
        <v>3</v>
      </c>
      <c r="AG129">
        <v>46.78</v>
      </c>
      <c r="AH129">
        <v>2</v>
      </c>
      <c r="AI129">
        <v>43095764</v>
      </c>
      <c r="AJ129">
        <v>141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</row>
    <row r="130" spans="1:44" x14ac:dyDescent="0.2">
      <c r="A130">
        <f>ROW(Source!A97)</f>
        <v>97</v>
      </c>
      <c r="B130">
        <v>43095791</v>
      </c>
      <c r="C130">
        <v>43095750</v>
      </c>
      <c r="D130">
        <v>42303124</v>
      </c>
      <c r="E130">
        <v>1</v>
      </c>
      <c r="F130">
        <v>1</v>
      </c>
      <c r="G130">
        <v>29</v>
      </c>
      <c r="H130">
        <v>2</v>
      </c>
      <c r="I130" t="s">
        <v>633</v>
      </c>
      <c r="J130" t="s">
        <v>634</v>
      </c>
      <c r="K130" t="s">
        <v>635</v>
      </c>
      <c r="L130">
        <v>1368</v>
      </c>
      <c r="N130">
        <v>1011</v>
      </c>
      <c r="O130" t="s">
        <v>480</v>
      </c>
      <c r="P130" t="s">
        <v>480</v>
      </c>
      <c r="Q130">
        <v>1</v>
      </c>
      <c r="X130">
        <v>13</v>
      </c>
      <c r="Y130">
        <v>0</v>
      </c>
      <c r="Z130">
        <v>3.14</v>
      </c>
      <c r="AA130">
        <v>0.01</v>
      </c>
      <c r="AB130">
        <v>0</v>
      </c>
      <c r="AC130">
        <v>0</v>
      </c>
      <c r="AD130">
        <v>1</v>
      </c>
      <c r="AE130">
        <v>0</v>
      </c>
      <c r="AF130" t="s">
        <v>3</v>
      </c>
      <c r="AG130">
        <v>13</v>
      </c>
      <c r="AH130">
        <v>2</v>
      </c>
      <c r="AI130">
        <v>43095765</v>
      </c>
      <c r="AJ130">
        <v>142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</row>
    <row r="131" spans="1:44" x14ac:dyDescent="0.2">
      <c r="A131">
        <f>ROW(Source!A97)</f>
        <v>97</v>
      </c>
      <c r="B131">
        <v>43095792</v>
      </c>
      <c r="C131">
        <v>43095750</v>
      </c>
      <c r="D131">
        <v>42303204</v>
      </c>
      <c r="E131">
        <v>1</v>
      </c>
      <c r="F131">
        <v>1</v>
      </c>
      <c r="G131">
        <v>29</v>
      </c>
      <c r="H131">
        <v>2</v>
      </c>
      <c r="I131" t="s">
        <v>636</v>
      </c>
      <c r="J131" t="s">
        <v>637</v>
      </c>
      <c r="K131" t="s">
        <v>638</v>
      </c>
      <c r="L131">
        <v>1368</v>
      </c>
      <c r="N131">
        <v>1011</v>
      </c>
      <c r="O131" t="s">
        <v>480</v>
      </c>
      <c r="P131" t="s">
        <v>480</v>
      </c>
      <c r="Q131">
        <v>1</v>
      </c>
      <c r="X131">
        <v>0.15</v>
      </c>
      <c r="Y131">
        <v>0</v>
      </c>
      <c r="Z131">
        <v>7.81</v>
      </c>
      <c r="AA131">
        <v>1.03</v>
      </c>
      <c r="AB131">
        <v>0</v>
      </c>
      <c r="AC131">
        <v>0</v>
      </c>
      <c r="AD131">
        <v>1</v>
      </c>
      <c r="AE131">
        <v>0</v>
      </c>
      <c r="AF131" t="s">
        <v>3</v>
      </c>
      <c r="AG131">
        <v>0.15</v>
      </c>
      <c r="AH131">
        <v>2</v>
      </c>
      <c r="AI131">
        <v>43095766</v>
      </c>
      <c r="AJ131">
        <v>143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</row>
    <row r="132" spans="1:44" x14ac:dyDescent="0.2">
      <c r="A132">
        <f>ROW(Source!A97)</f>
        <v>97</v>
      </c>
      <c r="B132">
        <v>43095793</v>
      </c>
      <c r="C132">
        <v>43095750</v>
      </c>
      <c r="D132">
        <v>42304341</v>
      </c>
      <c r="E132">
        <v>1</v>
      </c>
      <c r="F132">
        <v>1</v>
      </c>
      <c r="G132">
        <v>29</v>
      </c>
      <c r="H132">
        <v>3</v>
      </c>
      <c r="I132" t="s">
        <v>621</v>
      </c>
      <c r="J132" t="s">
        <v>622</v>
      </c>
      <c r="K132" t="s">
        <v>623</v>
      </c>
      <c r="L132">
        <v>1348</v>
      </c>
      <c r="N132">
        <v>1009</v>
      </c>
      <c r="O132" t="s">
        <v>402</v>
      </c>
      <c r="P132" t="s">
        <v>402</v>
      </c>
      <c r="Q132">
        <v>1000</v>
      </c>
      <c r="X132">
        <v>7.3999999999999999E-4</v>
      </c>
      <c r="Y132">
        <v>327543.38</v>
      </c>
      <c r="Z132">
        <v>0</v>
      </c>
      <c r="AA132">
        <v>0</v>
      </c>
      <c r="AB132">
        <v>0</v>
      </c>
      <c r="AC132">
        <v>0</v>
      </c>
      <c r="AD132">
        <v>1</v>
      </c>
      <c r="AE132">
        <v>0</v>
      </c>
      <c r="AF132" t="s">
        <v>3</v>
      </c>
      <c r="AG132">
        <v>7.3999999999999999E-4</v>
      </c>
      <c r="AH132">
        <v>2</v>
      </c>
      <c r="AI132">
        <v>43095767</v>
      </c>
      <c r="AJ132">
        <v>144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</row>
    <row r="133" spans="1:44" x14ac:dyDescent="0.2">
      <c r="A133">
        <f>ROW(Source!A97)</f>
        <v>97</v>
      </c>
      <c r="B133">
        <v>43095794</v>
      </c>
      <c r="C133">
        <v>43095750</v>
      </c>
      <c r="D133">
        <v>42304314</v>
      </c>
      <c r="E133">
        <v>1</v>
      </c>
      <c r="F133">
        <v>1</v>
      </c>
      <c r="G133">
        <v>29</v>
      </c>
      <c r="H133">
        <v>3</v>
      </c>
      <c r="I133" t="s">
        <v>639</v>
      </c>
      <c r="J133" t="s">
        <v>640</v>
      </c>
      <c r="K133" t="s">
        <v>641</v>
      </c>
      <c r="L133">
        <v>1355</v>
      </c>
      <c r="N133">
        <v>1010</v>
      </c>
      <c r="O133" t="s">
        <v>342</v>
      </c>
      <c r="P133" t="s">
        <v>342</v>
      </c>
      <c r="Q133">
        <v>100</v>
      </c>
      <c r="X133">
        <v>4</v>
      </c>
      <c r="Y133">
        <v>1126.26</v>
      </c>
      <c r="Z133">
        <v>0</v>
      </c>
      <c r="AA133">
        <v>0</v>
      </c>
      <c r="AB133">
        <v>0</v>
      </c>
      <c r="AC133">
        <v>0</v>
      </c>
      <c r="AD133">
        <v>1</v>
      </c>
      <c r="AE133">
        <v>0</v>
      </c>
      <c r="AF133" t="s">
        <v>3</v>
      </c>
      <c r="AG133">
        <v>4</v>
      </c>
      <c r="AH133">
        <v>2</v>
      </c>
      <c r="AI133">
        <v>43095768</v>
      </c>
      <c r="AJ133">
        <v>145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</row>
    <row r="134" spans="1:44" x14ac:dyDescent="0.2">
      <c r="A134">
        <f>ROW(Source!A97)</f>
        <v>97</v>
      </c>
      <c r="B134">
        <v>43095795</v>
      </c>
      <c r="C134">
        <v>43095750</v>
      </c>
      <c r="D134">
        <v>42305739</v>
      </c>
      <c r="E134">
        <v>1</v>
      </c>
      <c r="F134">
        <v>1</v>
      </c>
      <c r="G134">
        <v>29</v>
      </c>
      <c r="H134">
        <v>3</v>
      </c>
      <c r="I134" t="s">
        <v>279</v>
      </c>
      <c r="J134" t="s">
        <v>281</v>
      </c>
      <c r="K134" t="s">
        <v>280</v>
      </c>
      <c r="L134">
        <v>1301</v>
      </c>
      <c r="N134">
        <v>1003</v>
      </c>
      <c r="O134" t="s">
        <v>64</v>
      </c>
      <c r="P134" t="s">
        <v>64</v>
      </c>
      <c r="Q134">
        <v>1</v>
      </c>
      <c r="X134">
        <v>100</v>
      </c>
      <c r="Y134">
        <v>40.06</v>
      </c>
      <c r="Z134">
        <v>0</v>
      </c>
      <c r="AA134">
        <v>0</v>
      </c>
      <c r="AB134">
        <v>0</v>
      </c>
      <c r="AC134">
        <v>0</v>
      </c>
      <c r="AD134">
        <v>1</v>
      </c>
      <c r="AE134">
        <v>0</v>
      </c>
      <c r="AF134" t="s">
        <v>3</v>
      </c>
      <c r="AG134">
        <v>100</v>
      </c>
      <c r="AH134">
        <v>2</v>
      </c>
      <c r="AI134">
        <v>43095769</v>
      </c>
      <c r="AJ134">
        <v>146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</row>
    <row r="135" spans="1:44" x14ac:dyDescent="0.2">
      <c r="A135">
        <f>ROW(Source!A97)</f>
        <v>97</v>
      </c>
      <c r="B135">
        <v>43095796</v>
      </c>
      <c r="C135">
        <v>43095750</v>
      </c>
      <c r="D135">
        <v>42305740</v>
      </c>
      <c r="E135">
        <v>1</v>
      </c>
      <c r="F135">
        <v>1</v>
      </c>
      <c r="G135">
        <v>29</v>
      </c>
      <c r="H135">
        <v>3</v>
      </c>
      <c r="I135" t="s">
        <v>283</v>
      </c>
      <c r="J135" t="s">
        <v>286</v>
      </c>
      <c r="K135" t="s">
        <v>284</v>
      </c>
      <c r="L135">
        <v>1356</v>
      </c>
      <c r="N135">
        <v>1010</v>
      </c>
      <c r="O135" t="s">
        <v>285</v>
      </c>
      <c r="P135" t="s">
        <v>285</v>
      </c>
      <c r="Q135">
        <v>1000</v>
      </c>
      <c r="X135">
        <v>2E-3</v>
      </c>
      <c r="Y135">
        <v>37743.160000000003</v>
      </c>
      <c r="Z135">
        <v>0</v>
      </c>
      <c r="AA135">
        <v>0</v>
      </c>
      <c r="AB135">
        <v>0</v>
      </c>
      <c r="AC135">
        <v>0</v>
      </c>
      <c r="AD135">
        <v>1</v>
      </c>
      <c r="AE135">
        <v>0</v>
      </c>
      <c r="AF135" t="s">
        <v>3</v>
      </c>
      <c r="AG135">
        <v>2E-3</v>
      </c>
      <c r="AH135">
        <v>2</v>
      </c>
      <c r="AI135">
        <v>43095770</v>
      </c>
      <c r="AJ135">
        <v>147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</row>
    <row r="136" spans="1:44" x14ac:dyDescent="0.2">
      <c r="A136">
        <f>ROW(Source!A97)</f>
        <v>97</v>
      </c>
      <c r="B136">
        <v>43095797</v>
      </c>
      <c r="C136">
        <v>43095750</v>
      </c>
      <c r="D136">
        <v>42305741</v>
      </c>
      <c r="E136">
        <v>1</v>
      </c>
      <c r="F136">
        <v>1</v>
      </c>
      <c r="G136">
        <v>29</v>
      </c>
      <c r="H136">
        <v>3</v>
      </c>
      <c r="I136" t="s">
        <v>288</v>
      </c>
      <c r="J136" t="s">
        <v>290</v>
      </c>
      <c r="K136" t="s">
        <v>289</v>
      </c>
      <c r="L136">
        <v>1356</v>
      </c>
      <c r="N136">
        <v>1010</v>
      </c>
      <c r="O136" t="s">
        <v>285</v>
      </c>
      <c r="P136" t="s">
        <v>285</v>
      </c>
      <c r="Q136">
        <v>1000</v>
      </c>
      <c r="X136">
        <v>1.4999999999999999E-2</v>
      </c>
      <c r="Y136">
        <v>37743.919999999998</v>
      </c>
      <c r="Z136">
        <v>0</v>
      </c>
      <c r="AA136">
        <v>0</v>
      </c>
      <c r="AB136">
        <v>0</v>
      </c>
      <c r="AC136">
        <v>0</v>
      </c>
      <c r="AD136">
        <v>1</v>
      </c>
      <c r="AE136">
        <v>0</v>
      </c>
      <c r="AF136" t="s">
        <v>3</v>
      </c>
      <c r="AG136">
        <v>1.4999999999999999E-2</v>
      </c>
      <c r="AH136">
        <v>2</v>
      </c>
      <c r="AI136">
        <v>43095771</v>
      </c>
      <c r="AJ136">
        <v>148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</row>
    <row r="137" spans="1:44" x14ac:dyDescent="0.2">
      <c r="A137">
        <f>ROW(Source!A97)</f>
        <v>97</v>
      </c>
      <c r="B137">
        <v>43095798</v>
      </c>
      <c r="C137">
        <v>43095750</v>
      </c>
      <c r="D137">
        <v>42305742</v>
      </c>
      <c r="E137">
        <v>1</v>
      </c>
      <c r="F137">
        <v>1</v>
      </c>
      <c r="G137">
        <v>29</v>
      </c>
      <c r="H137">
        <v>3</v>
      </c>
      <c r="I137" t="s">
        <v>292</v>
      </c>
      <c r="J137" t="s">
        <v>294</v>
      </c>
      <c r="K137" t="s">
        <v>293</v>
      </c>
      <c r="L137">
        <v>1356</v>
      </c>
      <c r="N137">
        <v>1010</v>
      </c>
      <c r="O137" t="s">
        <v>285</v>
      </c>
      <c r="P137" t="s">
        <v>285</v>
      </c>
      <c r="Q137">
        <v>1000</v>
      </c>
      <c r="X137">
        <v>2E-3</v>
      </c>
      <c r="Y137">
        <v>42801.53</v>
      </c>
      <c r="Z137">
        <v>0</v>
      </c>
      <c r="AA137">
        <v>0</v>
      </c>
      <c r="AB137">
        <v>0</v>
      </c>
      <c r="AC137">
        <v>0</v>
      </c>
      <c r="AD137">
        <v>1</v>
      </c>
      <c r="AE137">
        <v>0</v>
      </c>
      <c r="AF137" t="s">
        <v>3</v>
      </c>
      <c r="AG137">
        <v>2E-3</v>
      </c>
      <c r="AH137">
        <v>2</v>
      </c>
      <c r="AI137">
        <v>43095772</v>
      </c>
      <c r="AJ137">
        <v>149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</row>
    <row r="138" spans="1:44" x14ac:dyDescent="0.2">
      <c r="A138">
        <f>ROW(Source!A97)</f>
        <v>97</v>
      </c>
      <c r="B138">
        <v>43095799</v>
      </c>
      <c r="C138">
        <v>43095750</v>
      </c>
      <c r="D138">
        <v>42305743</v>
      </c>
      <c r="E138">
        <v>1</v>
      </c>
      <c r="F138">
        <v>1</v>
      </c>
      <c r="G138">
        <v>29</v>
      </c>
      <c r="H138">
        <v>3</v>
      </c>
      <c r="I138" t="s">
        <v>296</v>
      </c>
      <c r="J138" t="s">
        <v>298</v>
      </c>
      <c r="K138" t="s">
        <v>297</v>
      </c>
      <c r="L138">
        <v>1356</v>
      </c>
      <c r="N138">
        <v>1010</v>
      </c>
      <c r="O138" t="s">
        <v>285</v>
      </c>
      <c r="P138" t="s">
        <v>285</v>
      </c>
      <c r="Q138">
        <v>1000</v>
      </c>
      <c r="X138">
        <v>1.4999999999999999E-2</v>
      </c>
      <c r="Y138">
        <v>29666.76</v>
      </c>
      <c r="Z138">
        <v>0</v>
      </c>
      <c r="AA138">
        <v>0</v>
      </c>
      <c r="AB138">
        <v>0</v>
      </c>
      <c r="AC138">
        <v>0</v>
      </c>
      <c r="AD138">
        <v>1</v>
      </c>
      <c r="AE138">
        <v>0</v>
      </c>
      <c r="AF138" t="s">
        <v>3</v>
      </c>
      <c r="AG138">
        <v>1.4999999999999999E-2</v>
      </c>
      <c r="AH138">
        <v>2</v>
      </c>
      <c r="AI138">
        <v>43095773</v>
      </c>
      <c r="AJ138">
        <v>150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</row>
    <row r="139" spans="1:44" x14ac:dyDescent="0.2">
      <c r="A139">
        <f>ROW(Source!A97)</f>
        <v>97</v>
      </c>
      <c r="B139">
        <v>43095800</v>
      </c>
      <c r="C139">
        <v>43095750</v>
      </c>
      <c r="D139">
        <v>42305744</v>
      </c>
      <c r="E139">
        <v>1</v>
      </c>
      <c r="F139">
        <v>1</v>
      </c>
      <c r="G139">
        <v>29</v>
      </c>
      <c r="H139">
        <v>3</v>
      </c>
      <c r="I139" t="s">
        <v>300</v>
      </c>
      <c r="J139" t="s">
        <v>302</v>
      </c>
      <c r="K139" t="s">
        <v>301</v>
      </c>
      <c r="L139">
        <v>1356</v>
      </c>
      <c r="N139">
        <v>1010</v>
      </c>
      <c r="O139" t="s">
        <v>285</v>
      </c>
      <c r="P139" t="s">
        <v>285</v>
      </c>
      <c r="Q139">
        <v>1000</v>
      </c>
      <c r="X139">
        <v>2E-3</v>
      </c>
      <c r="Y139">
        <v>48571.7</v>
      </c>
      <c r="Z139">
        <v>0</v>
      </c>
      <c r="AA139">
        <v>0</v>
      </c>
      <c r="AB139">
        <v>0</v>
      </c>
      <c r="AC139">
        <v>0</v>
      </c>
      <c r="AD139">
        <v>1</v>
      </c>
      <c r="AE139">
        <v>0</v>
      </c>
      <c r="AF139" t="s">
        <v>3</v>
      </c>
      <c r="AG139">
        <v>2E-3</v>
      </c>
      <c r="AH139">
        <v>2</v>
      </c>
      <c r="AI139">
        <v>43095774</v>
      </c>
      <c r="AJ139">
        <v>151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</row>
    <row r="140" spans="1:44" x14ac:dyDescent="0.2">
      <c r="A140">
        <f>ROW(Source!A97)</f>
        <v>97</v>
      </c>
      <c r="B140">
        <v>43095801</v>
      </c>
      <c r="C140">
        <v>43095750</v>
      </c>
      <c r="D140">
        <v>42305745</v>
      </c>
      <c r="E140">
        <v>1</v>
      </c>
      <c r="F140">
        <v>1</v>
      </c>
      <c r="G140">
        <v>29</v>
      </c>
      <c r="H140">
        <v>3</v>
      </c>
      <c r="I140" t="s">
        <v>304</v>
      </c>
      <c r="J140" t="s">
        <v>306</v>
      </c>
      <c r="K140" t="s">
        <v>305</v>
      </c>
      <c r="L140">
        <v>1356</v>
      </c>
      <c r="N140">
        <v>1010</v>
      </c>
      <c r="O140" t="s">
        <v>285</v>
      </c>
      <c r="P140" t="s">
        <v>285</v>
      </c>
      <c r="Q140">
        <v>1000</v>
      </c>
      <c r="X140">
        <v>4.0000000000000001E-3</v>
      </c>
      <c r="Y140">
        <v>21329.599999999999</v>
      </c>
      <c r="Z140">
        <v>0</v>
      </c>
      <c r="AA140">
        <v>0</v>
      </c>
      <c r="AB140">
        <v>0</v>
      </c>
      <c r="AC140">
        <v>0</v>
      </c>
      <c r="AD140">
        <v>1</v>
      </c>
      <c r="AE140">
        <v>0</v>
      </c>
      <c r="AF140" t="s">
        <v>3</v>
      </c>
      <c r="AG140">
        <v>4.0000000000000001E-3</v>
      </c>
      <c r="AH140">
        <v>2</v>
      </c>
      <c r="AI140">
        <v>43095775</v>
      </c>
      <c r="AJ140">
        <v>152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</row>
    <row r="141" spans="1:44" x14ac:dyDescent="0.2">
      <c r="A141">
        <f>ROW(Source!A97)</f>
        <v>97</v>
      </c>
      <c r="B141">
        <v>43095802</v>
      </c>
      <c r="C141">
        <v>43095750</v>
      </c>
      <c r="D141">
        <v>42307522</v>
      </c>
      <c r="E141">
        <v>1</v>
      </c>
      <c r="F141">
        <v>1</v>
      </c>
      <c r="G141">
        <v>29</v>
      </c>
      <c r="H141">
        <v>3</v>
      </c>
      <c r="I141" t="s">
        <v>642</v>
      </c>
      <c r="J141" t="s">
        <v>643</v>
      </c>
      <c r="K141" t="s">
        <v>644</v>
      </c>
      <c r="L141">
        <v>1354</v>
      </c>
      <c r="N141">
        <v>1010</v>
      </c>
      <c r="O141" t="s">
        <v>20</v>
      </c>
      <c r="P141" t="s">
        <v>20</v>
      </c>
      <c r="Q141">
        <v>1</v>
      </c>
      <c r="X141">
        <v>4</v>
      </c>
      <c r="Y141">
        <v>1561.93</v>
      </c>
      <c r="Z141">
        <v>0</v>
      </c>
      <c r="AA141">
        <v>0</v>
      </c>
      <c r="AB141">
        <v>0</v>
      </c>
      <c r="AC141">
        <v>0</v>
      </c>
      <c r="AD141">
        <v>1</v>
      </c>
      <c r="AE141">
        <v>0</v>
      </c>
      <c r="AF141" t="s">
        <v>3</v>
      </c>
      <c r="AG141">
        <v>4</v>
      </c>
      <c r="AH141">
        <v>2</v>
      </c>
      <c r="AI141">
        <v>43095776</v>
      </c>
      <c r="AJ141">
        <v>153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</row>
    <row r="142" spans="1:44" x14ac:dyDescent="0.2">
      <c r="A142">
        <f>ROW(Source!A105)</f>
        <v>105</v>
      </c>
      <c r="B142">
        <v>43095842</v>
      </c>
      <c r="C142">
        <v>43095810</v>
      </c>
      <c r="D142">
        <v>42301367</v>
      </c>
      <c r="E142">
        <v>29</v>
      </c>
      <c r="F142">
        <v>1</v>
      </c>
      <c r="G142">
        <v>29</v>
      </c>
      <c r="H142">
        <v>1</v>
      </c>
      <c r="I142" t="s">
        <v>555</v>
      </c>
      <c r="J142" t="s">
        <v>3</v>
      </c>
      <c r="K142" t="s">
        <v>556</v>
      </c>
      <c r="L142">
        <v>1191</v>
      </c>
      <c r="N142">
        <v>1013</v>
      </c>
      <c r="O142" t="s">
        <v>557</v>
      </c>
      <c r="P142" t="s">
        <v>557</v>
      </c>
      <c r="Q142">
        <v>1</v>
      </c>
      <c r="X142">
        <v>46.78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1</v>
      </c>
      <c r="AE142">
        <v>1</v>
      </c>
      <c r="AF142" t="s">
        <v>3</v>
      </c>
      <c r="AG142">
        <v>46.78</v>
      </c>
      <c r="AH142">
        <v>2</v>
      </c>
      <c r="AI142">
        <v>43095818</v>
      </c>
      <c r="AJ142">
        <v>154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</row>
    <row r="143" spans="1:44" x14ac:dyDescent="0.2">
      <c r="A143">
        <f>ROW(Source!A105)</f>
        <v>105</v>
      </c>
      <c r="B143">
        <v>43095843</v>
      </c>
      <c r="C143">
        <v>43095810</v>
      </c>
      <c r="D143">
        <v>42303124</v>
      </c>
      <c r="E143">
        <v>1</v>
      </c>
      <c r="F143">
        <v>1</v>
      </c>
      <c r="G143">
        <v>29</v>
      </c>
      <c r="H143">
        <v>2</v>
      </c>
      <c r="I143" t="s">
        <v>633</v>
      </c>
      <c r="J143" t="s">
        <v>634</v>
      </c>
      <c r="K143" t="s">
        <v>635</v>
      </c>
      <c r="L143">
        <v>1368</v>
      </c>
      <c r="N143">
        <v>1011</v>
      </c>
      <c r="O143" t="s">
        <v>480</v>
      </c>
      <c r="P143" t="s">
        <v>480</v>
      </c>
      <c r="Q143">
        <v>1</v>
      </c>
      <c r="X143">
        <v>13</v>
      </c>
      <c r="Y143">
        <v>0</v>
      </c>
      <c r="Z143">
        <v>3.14</v>
      </c>
      <c r="AA143">
        <v>0.01</v>
      </c>
      <c r="AB143">
        <v>0</v>
      </c>
      <c r="AC143">
        <v>0</v>
      </c>
      <c r="AD143">
        <v>1</v>
      </c>
      <c r="AE143">
        <v>0</v>
      </c>
      <c r="AF143" t="s">
        <v>3</v>
      </c>
      <c r="AG143">
        <v>13</v>
      </c>
      <c r="AH143">
        <v>2</v>
      </c>
      <c r="AI143">
        <v>43095819</v>
      </c>
      <c r="AJ143">
        <v>155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</row>
    <row r="144" spans="1:44" x14ac:dyDescent="0.2">
      <c r="A144">
        <f>ROW(Source!A105)</f>
        <v>105</v>
      </c>
      <c r="B144">
        <v>43095844</v>
      </c>
      <c r="C144">
        <v>43095810</v>
      </c>
      <c r="D144">
        <v>42303204</v>
      </c>
      <c r="E144">
        <v>1</v>
      </c>
      <c r="F144">
        <v>1</v>
      </c>
      <c r="G144">
        <v>29</v>
      </c>
      <c r="H144">
        <v>2</v>
      </c>
      <c r="I144" t="s">
        <v>636</v>
      </c>
      <c r="J144" t="s">
        <v>637</v>
      </c>
      <c r="K144" t="s">
        <v>638</v>
      </c>
      <c r="L144">
        <v>1368</v>
      </c>
      <c r="N144">
        <v>1011</v>
      </c>
      <c r="O144" t="s">
        <v>480</v>
      </c>
      <c r="P144" t="s">
        <v>480</v>
      </c>
      <c r="Q144">
        <v>1</v>
      </c>
      <c r="X144">
        <v>0.15</v>
      </c>
      <c r="Y144">
        <v>0</v>
      </c>
      <c r="Z144">
        <v>7.81</v>
      </c>
      <c r="AA144">
        <v>1.03</v>
      </c>
      <c r="AB144">
        <v>0</v>
      </c>
      <c r="AC144">
        <v>0</v>
      </c>
      <c r="AD144">
        <v>1</v>
      </c>
      <c r="AE144">
        <v>0</v>
      </c>
      <c r="AF144" t="s">
        <v>3</v>
      </c>
      <c r="AG144">
        <v>0.15</v>
      </c>
      <c r="AH144">
        <v>2</v>
      </c>
      <c r="AI144">
        <v>43095820</v>
      </c>
      <c r="AJ144">
        <v>156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</row>
    <row r="145" spans="1:44" x14ac:dyDescent="0.2">
      <c r="A145">
        <f>ROW(Source!A105)</f>
        <v>105</v>
      </c>
      <c r="B145">
        <v>43095845</v>
      </c>
      <c r="C145">
        <v>43095810</v>
      </c>
      <c r="D145">
        <v>42304341</v>
      </c>
      <c r="E145">
        <v>1</v>
      </c>
      <c r="F145">
        <v>1</v>
      </c>
      <c r="G145">
        <v>29</v>
      </c>
      <c r="H145">
        <v>3</v>
      </c>
      <c r="I145" t="s">
        <v>621</v>
      </c>
      <c r="J145" t="s">
        <v>622</v>
      </c>
      <c r="K145" t="s">
        <v>623</v>
      </c>
      <c r="L145">
        <v>1348</v>
      </c>
      <c r="N145">
        <v>1009</v>
      </c>
      <c r="O145" t="s">
        <v>402</v>
      </c>
      <c r="P145" t="s">
        <v>402</v>
      </c>
      <c r="Q145">
        <v>1000</v>
      </c>
      <c r="X145">
        <v>7.3999999999999999E-4</v>
      </c>
      <c r="Y145">
        <v>327543.38</v>
      </c>
      <c r="Z145">
        <v>0</v>
      </c>
      <c r="AA145">
        <v>0</v>
      </c>
      <c r="AB145">
        <v>0</v>
      </c>
      <c r="AC145">
        <v>0</v>
      </c>
      <c r="AD145">
        <v>1</v>
      </c>
      <c r="AE145">
        <v>0</v>
      </c>
      <c r="AF145" t="s">
        <v>3</v>
      </c>
      <c r="AG145">
        <v>7.3999999999999999E-4</v>
      </c>
      <c r="AH145">
        <v>2</v>
      </c>
      <c r="AI145">
        <v>43095821</v>
      </c>
      <c r="AJ145">
        <v>157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</row>
    <row r="146" spans="1:44" x14ac:dyDescent="0.2">
      <c r="A146">
        <f>ROW(Source!A105)</f>
        <v>105</v>
      </c>
      <c r="B146">
        <v>43095846</v>
      </c>
      <c r="C146">
        <v>43095810</v>
      </c>
      <c r="D146">
        <v>42304314</v>
      </c>
      <c r="E146">
        <v>1</v>
      </c>
      <c r="F146">
        <v>1</v>
      </c>
      <c r="G146">
        <v>29</v>
      </c>
      <c r="H146">
        <v>3</v>
      </c>
      <c r="I146" t="s">
        <v>639</v>
      </c>
      <c r="J146" t="s">
        <v>640</v>
      </c>
      <c r="K146" t="s">
        <v>641</v>
      </c>
      <c r="L146">
        <v>1355</v>
      </c>
      <c r="N146">
        <v>1010</v>
      </c>
      <c r="O146" t="s">
        <v>342</v>
      </c>
      <c r="P146" t="s">
        <v>342</v>
      </c>
      <c r="Q146">
        <v>100</v>
      </c>
      <c r="X146">
        <v>4</v>
      </c>
      <c r="Y146">
        <v>1126.26</v>
      </c>
      <c r="Z146">
        <v>0</v>
      </c>
      <c r="AA146">
        <v>0</v>
      </c>
      <c r="AB146">
        <v>0</v>
      </c>
      <c r="AC146">
        <v>0</v>
      </c>
      <c r="AD146">
        <v>1</v>
      </c>
      <c r="AE146">
        <v>0</v>
      </c>
      <c r="AF146" t="s">
        <v>3</v>
      </c>
      <c r="AG146">
        <v>4</v>
      </c>
      <c r="AH146">
        <v>2</v>
      </c>
      <c r="AI146">
        <v>43095822</v>
      </c>
      <c r="AJ146">
        <v>158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</row>
    <row r="147" spans="1:44" x14ac:dyDescent="0.2">
      <c r="A147">
        <f>ROW(Source!A105)</f>
        <v>105</v>
      </c>
      <c r="B147">
        <v>43095847</v>
      </c>
      <c r="C147">
        <v>43095810</v>
      </c>
      <c r="D147">
        <v>42305990</v>
      </c>
      <c r="E147">
        <v>1</v>
      </c>
      <c r="F147">
        <v>1</v>
      </c>
      <c r="G147">
        <v>29</v>
      </c>
      <c r="H147">
        <v>3</v>
      </c>
      <c r="I147" t="s">
        <v>696</v>
      </c>
      <c r="J147" t="s">
        <v>697</v>
      </c>
      <c r="K147" t="s">
        <v>698</v>
      </c>
      <c r="L147">
        <v>1301</v>
      </c>
      <c r="N147">
        <v>1003</v>
      </c>
      <c r="O147" t="s">
        <v>64</v>
      </c>
      <c r="P147" t="s">
        <v>64</v>
      </c>
      <c r="Q147">
        <v>1</v>
      </c>
      <c r="X147">
        <v>100</v>
      </c>
      <c r="Y147">
        <v>166.42</v>
      </c>
      <c r="Z147">
        <v>0</v>
      </c>
      <c r="AA147">
        <v>0</v>
      </c>
      <c r="AB147">
        <v>0</v>
      </c>
      <c r="AC147">
        <v>0</v>
      </c>
      <c r="AD147">
        <v>1</v>
      </c>
      <c r="AE147">
        <v>0</v>
      </c>
      <c r="AF147" t="s">
        <v>3</v>
      </c>
      <c r="AG147">
        <v>100</v>
      </c>
      <c r="AH147">
        <v>2</v>
      </c>
      <c r="AI147">
        <v>43095823</v>
      </c>
      <c r="AJ147">
        <v>159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</row>
    <row r="148" spans="1:44" x14ac:dyDescent="0.2">
      <c r="A148">
        <f>ROW(Source!A105)</f>
        <v>105</v>
      </c>
      <c r="B148">
        <v>43095848</v>
      </c>
      <c r="C148">
        <v>43095810</v>
      </c>
      <c r="D148">
        <v>42305991</v>
      </c>
      <c r="E148">
        <v>1</v>
      </c>
      <c r="F148">
        <v>1</v>
      </c>
      <c r="G148">
        <v>29</v>
      </c>
      <c r="H148">
        <v>3</v>
      </c>
      <c r="I148" t="s">
        <v>312</v>
      </c>
      <c r="J148" t="s">
        <v>314</v>
      </c>
      <c r="K148" t="s">
        <v>313</v>
      </c>
      <c r="L148">
        <v>1354</v>
      </c>
      <c r="N148">
        <v>1010</v>
      </c>
      <c r="O148" t="s">
        <v>20</v>
      </c>
      <c r="P148" t="s">
        <v>20</v>
      </c>
      <c r="Q148">
        <v>1</v>
      </c>
      <c r="X148">
        <v>15</v>
      </c>
      <c r="Y148">
        <v>67.209999999999994</v>
      </c>
      <c r="Z148">
        <v>0</v>
      </c>
      <c r="AA148">
        <v>0</v>
      </c>
      <c r="AB148">
        <v>0</v>
      </c>
      <c r="AC148">
        <v>0</v>
      </c>
      <c r="AD148">
        <v>1</v>
      </c>
      <c r="AE148">
        <v>0</v>
      </c>
      <c r="AF148" t="s">
        <v>3</v>
      </c>
      <c r="AG148">
        <v>15</v>
      </c>
      <c r="AH148">
        <v>2</v>
      </c>
      <c r="AI148">
        <v>43095824</v>
      </c>
      <c r="AJ148">
        <v>160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</row>
    <row r="149" spans="1:44" x14ac:dyDescent="0.2">
      <c r="A149">
        <f>ROW(Source!A105)</f>
        <v>105</v>
      </c>
      <c r="B149">
        <v>43095849</v>
      </c>
      <c r="C149">
        <v>43095810</v>
      </c>
      <c r="D149">
        <v>42305992</v>
      </c>
      <c r="E149">
        <v>1</v>
      </c>
      <c r="F149">
        <v>1</v>
      </c>
      <c r="G149">
        <v>29</v>
      </c>
      <c r="H149">
        <v>3</v>
      </c>
      <c r="I149" t="s">
        <v>316</v>
      </c>
      <c r="J149" t="s">
        <v>318</v>
      </c>
      <c r="K149" t="s">
        <v>317</v>
      </c>
      <c r="L149">
        <v>1354</v>
      </c>
      <c r="N149">
        <v>1010</v>
      </c>
      <c r="O149" t="s">
        <v>20</v>
      </c>
      <c r="P149" t="s">
        <v>20</v>
      </c>
      <c r="Q149">
        <v>1</v>
      </c>
      <c r="X149">
        <v>4</v>
      </c>
      <c r="Y149">
        <v>41.66</v>
      </c>
      <c r="Z149">
        <v>0</v>
      </c>
      <c r="AA149">
        <v>0</v>
      </c>
      <c r="AB149">
        <v>0</v>
      </c>
      <c r="AC149">
        <v>0</v>
      </c>
      <c r="AD149">
        <v>1</v>
      </c>
      <c r="AE149">
        <v>0</v>
      </c>
      <c r="AF149" t="s">
        <v>3</v>
      </c>
      <c r="AG149">
        <v>4</v>
      </c>
      <c r="AH149">
        <v>2</v>
      </c>
      <c r="AI149">
        <v>43095825</v>
      </c>
      <c r="AJ149">
        <v>161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</row>
    <row r="150" spans="1:44" x14ac:dyDescent="0.2">
      <c r="A150">
        <f>ROW(Source!A105)</f>
        <v>105</v>
      </c>
      <c r="B150">
        <v>43095850</v>
      </c>
      <c r="C150">
        <v>43095810</v>
      </c>
      <c r="D150">
        <v>42305993</v>
      </c>
      <c r="E150">
        <v>1</v>
      </c>
      <c r="F150">
        <v>1</v>
      </c>
      <c r="G150">
        <v>29</v>
      </c>
      <c r="H150">
        <v>3</v>
      </c>
      <c r="I150" t="s">
        <v>320</v>
      </c>
      <c r="J150" t="s">
        <v>322</v>
      </c>
      <c r="K150" t="s">
        <v>321</v>
      </c>
      <c r="L150">
        <v>1354</v>
      </c>
      <c r="N150">
        <v>1010</v>
      </c>
      <c r="O150" t="s">
        <v>20</v>
      </c>
      <c r="P150" t="s">
        <v>20</v>
      </c>
      <c r="Q150">
        <v>1</v>
      </c>
      <c r="X150">
        <v>2</v>
      </c>
      <c r="Y150">
        <v>89.44</v>
      </c>
      <c r="Z150">
        <v>0</v>
      </c>
      <c r="AA150">
        <v>0</v>
      </c>
      <c r="AB150">
        <v>0</v>
      </c>
      <c r="AC150">
        <v>0</v>
      </c>
      <c r="AD150">
        <v>1</v>
      </c>
      <c r="AE150">
        <v>0</v>
      </c>
      <c r="AF150" t="s">
        <v>3</v>
      </c>
      <c r="AG150">
        <v>2</v>
      </c>
      <c r="AH150">
        <v>2</v>
      </c>
      <c r="AI150">
        <v>43095826</v>
      </c>
      <c r="AJ150">
        <v>162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</row>
    <row r="151" spans="1:44" x14ac:dyDescent="0.2">
      <c r="A151">
        <f>ROW(Source!A105)</f>
        <v>105</v>
      </c>
      <c r="B151">
        <v>43095851</v>
      </c>
      <c r="C151">
        <v>43095810</v>
      </c>
      <c r="D151">
        <v>42305994</v>
      </c>
      <c r="E151">
        <v>1</v>
      </c>
      <c r="F151">
        <v>1</v>
      </c>
      <c r="G151">
        <v>29</v>
      </c>
      <c r="H151">
        <v>3</v>
      </c>
      <c r="I151" t="s">
        <v>324</v>
      </c>
      <c r="J151" t="s">
        <v>326</v>
      </c>
      <c r="K151" t="s">
        <v>325</v>
      </c>
      <c r="L151">
        <v>1354</v>
      </c>
      <c r="N151">
        <v>1010</v>
      </c>
      <c r="O151" t="s">
        <v>20</v>
      </c>
      <c r="P151" t="s">
        <v>20</v>
      </c>
      <c r="Q151">
        <v>1</v>
      </c>
      <c r="X151">
        <v>15</v>
      </c>
      <c r="Y151">
        <v>89.44</v>
      </c>
      <c r="Z151">
        <v>0</v>
      </c>
      <c r="AA151">
        <v>0</v>
      </c>
      <c r="AB151">
        <v>0</v>
      </c>
      <c r="AC151">
        <v>0</v>
      </c>
      <c r="AD151">
        <v>1</v>
      </c>
      <c r="AE151">
        <v>0</v>
      </c>
      <c r="AF151" t="s">
        <v>3</v>
      </c>
      <c r="AG151">
        <v>15</v>
      </c>
      <c r="AH151">
        <v>2</v>
      </c>
      <c r="AI151">
        <v>43095827</v>
      </c>
      <c r="AJ151">
        <v>163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</row>
    <row r="152" spans="1:44" x14ac:dyDescent="0.2">
      <c r="A152">
        <f>ROW(Source!A105)</f>
        <v>105</v>
      </c>
      <c r="B152">
        <v>43095852</v>
      </c>
      <c r="C152">
        <v>43095810</v>
      </c>
      <c r="D152">
        <v>42305995</v>
      </c>
      <c r="E152">
        <v>1</v>
      </c>
      <c r="F152">
        <v>1</v>
      </c>
      <c r="G152">
        <v>29</v>
      </c>
      <c r="H152">
        <v>3</v>
      </c>
      <c r="I152" t="s">
        <v>328</v>
      </c>
      <c r="J152" t="s">
        <v>330</v>
      </c>
      <c r="K152" t="s">
        <v>329</v>
      </c>
      <c r="L152">
        <v>1354</v>
      </c>
      <c r="N152">
        <v>1010</v>
      </c>
      <c r="O152" t="s">
        <v>20</v>
      </c>
      <c r="P152" t="s">
        <v>20</v>
      </c>
      <c r="Q152">
        <v>1</v>
      </c>
      <c r="X152">
        <v>2</v>
      </c>
      <c r="Y152">
        <v>101.51</v>
      </c>
      <c r="Z152">
        <v>0</v>
      </c>
      <c r="AA152">
        <v>0</v>
      </c>
      <c r="AB152">
        <v>0</v>
      </c>
      <c r="AC152">
        <v>0</v>
      </c>
      <c r="AD152">
        <v>1</v>
      </c>
      <c r="AE152">
        <v>0</v>
      </c>
      <c r="AF152" t="s">
        <v>3</v>
      </c>
      <c r="AG152">
        <v>2</v>
      </c>
      <c r="AH152">
        <v>2</v>
      </c>
      <c r="AI152">
        <v>43095828</v>
      </c>
      <c r="AJ152">
        <v>164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</row>
    <row r="153" spans="1:44" x14ac:dyDescent="0.2">
      <c r="A153">
        <f>ROW(Source!A105)</f>
        <v>105</v>
      </c>
      <c r="B153">
        <v>43095853</v>
      </c>
      <c r="C153">
        <v>43095810</v>
      </c>
      <c r="D153">
        <v>42307522</v>
      </c>
      <c r="E153">
        <v>1</v>
      </c>
      <c r="F153">
        <v>1</v>
      </c>
      <c r="G153">
        <v>29</v>
      </c>
      <c r="H153">
        <v>3</v>
      </c>
      <c r="I153" t="s">
        <v>642</v>
      </c>
      <c r="J153" t="s">
        <v>643</v>
      </c>
      <c r="K153" t="s">
        <v>644</v>
      </c>
      <c r="L153">
        <v>1354</v>
      </c>
      <c r="N153">
        <v>1010</v>
      </c>
      <c r="O153" t="s">
        <v>20</v>
      </c>
      <c r="P153" t="s">
        <v>20</v>
      </c>
      <c r="Q153">
        <v>1</v>
      </c>
      <c r="X153">
        <v>4</v>
      </c>
      <c r="Y153">
        <v>1561.93</v>
      </c>
      <c r="Z153">
        <v>0</v>
      </c>
      <c r="AA153">
        <v>0</v>
      </c>
      <c r="AB153">
        <v>0</v>
      </c>
      <c r="AC153">
        <v>0</v>
      </c>
      <c r="AD153">
        <v>1</v>
      </c>
      <c r="AE153">
        <v>0</v>
      </c>
      <c r="AF153" t="s">
        <v>3</v>
      </c>
      <c r="AG153">
        <v>4</v>
      </c>
      <c r="AH153">
        <v>2</v>
      </c>
      <c r="AI153">
        <v>43095829</v>
      </c>
      <c r="AJ153">
        <v>165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</row>
    <row r="154" spans="1:44" x14ac:dyDescent="0.2">
      <c r="A154">
        <f>ROW(Source!A111)</f>
        <v>111</v>
      </c>
      <c r="B154">
        <v>43095864</v>
      </c>
      <c r="C154">
        <v>43095859</v>
      </c>
      <c r="D154">
        <v>42301367</v>
      </c>
      <c r="E154">
        <v>29</v>
      </c>
      <c r="F154">
        <v>1</v>
      </c>
      <c r="G154">
        <v>29</v>
      </c>
      <c r="H154">
        <v>1</v>
      </c>
      <c r="I154" t="s">
        <v>555</v>
      </c>
      <c r="J154" t="s">
        <v>3</v>
      </c>
      <c r="K154" t="s">
        <v>556</v>
      </c>
      <c r="L154">
        <v>1191</v>
      </c>
      <c r="N154">
        <v>1013</v>
      </c>
      <c r="O154" t="s">
        <v>557</v>
      </c>
      <c r="P154" t="s">
        <v>557</v>
      </c>
      <c r="Q154">
        <v>1</v>
      </c>
      <c r="X154">
        <v>8.2899999999999991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1</v>
      </c>
      <c r="AE154">
        <v>1</v>
      </c>
      <c r="AF154" t="s">
        <v>3</v>
      </c>
      <c r="AG154">
        <v>8.2899999999999991</v>
      </c>
      <c r="AH154">
        <v>2</v>
      </c>
      <c r="AI154">
        <v>43095861</v>
      </c>
      <c r="AJ154">
        <v>166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</row>
    <row r="155" spans="1:44" x14ac:dyDescent="0.2">
      <c r="A155">
        <f>ROW(Source!A113)</f>
        <v>113</v>
      </c>
      <c r="B155">
        <v>43095891</v>
      </c>
      <c r="C155">
        <v>43095866</v>
      </c>
      <c r="D155">
        <v>42301367</v>
      </c>
      <c r="E155">
        <v>29</v>
      </c>
      <c r="F155">
        <v>1</v>
      </c>
      <c r="G155">
        <v>29</v>
      </c>
      <c r="H155">
        <v>1</v>
      </c>
      <c r="I155" t="s">
        <v>555</v>
      </c>
      <c r="J155" t="s">
        <v>3</v>
      </c>
      <c r="K155" t="s">
        <v>556</v>
      </c>
      <c r="L155">
        <v>1191</v>
      </c>
      <c r="N155">
        <v>1013</v>
      </c>
      <c r="O155" t="s">
        <v>557</v>
      </c>
      <c r="P155" t="s">
        <v>557</v>
      </c>
      <c r="Q155">
        <v>1</v>
      </c>
      <c r="X155">
        <v>4.74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1</v>
      </c>
      <c r="AE155">
        <v>1</v>
      </c>
      <c r="AF155" t="s">
        <v>3</v>
      </c>
      <c r="AG155">
        <v>4.74</v>
      </c>
      <c r="AH155">
        <v>2</v>
      </c>
      <c r="AI155">
        <v>43095874</v>
      </c>
      <c r="AJ155">
        <v>168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</row>
    <row r="156" spans="1:44" x14ac:dyDescent="0.2">
      <c r="A156">
        <f>ROW(Source!A113)</f>
        <v>113</v>
      </c>
      <c r="B156">
        <v>43095892</v>
      </c>
      <c r="C156">
        <v>43095866</v>
      </c>
      <c r="D156">
        <v>42305028</v>
      </c>
      <c r="E156">
        <v>1</v>
      </c>
      <c r="F156">
        <v>1</v>
      </c>
      <c r="G156">
        <v>29</v>
      </c>
      <c r="H156">
        <v>3</v>
      </c>
      <c r="I156" t="s">
        <v>645</v>
      </c>
      <c r="J156" t="s">
        <v>646</v>
      </c>
      <c r="K156" t="s">
        <v>647</v>
      </c>
      <c r="L156">
        <v>1346</v>
      </c>
      <c r="N156">
        <v>1009</v>
      </c>
      <c r="O156" t="s">
        <v>46</v>
      </c>
      <c r="P156" t="s">
        <v>46</v>
      </c>
      <c r="Q156">
        <v>1</v>
      </c>
      <c r="X156">
        <v>0.16</v>
      </c>
      <c r="Y156">
        <v>151.68</v>
      </c>
      <c r="Z156">
        <v>0</v>
      </c>
      <c r="AA156">
        <v>0</v>
      </c>
      <c r="AB156">
        <v>0</v>
      </c>
      <c r="AC156">
        <v>0</v>
      </c>
      <c r="AD156">
        <v>1</v>
      </c>
      <c r="AE156">
        <v>0</v>
      </c>
      <c r="AF156" t="s">
        <v>3</v>
      </c>
      <c r="AG156">
        <v>0.16</v>
      </c>
      <c r="AH156">
        <v>2</v>
      </c>
      <c r="AI156">
        <v>43095875</v>
      </c>
      <c r="AJ156">
        <v>169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</row>
    <row r="157" spans="1:44" x14ac:dyDescent="0.2">
      <c r="A157">
        <f>ROW(Source!A113)</f>
        <v>113</v>
      </c>
      <c r="B157">
        <v>43095893</v>
      </c>
      <c r="C157">
        <v>43095866</v>
      </c>
      <c r="D157">
        <v>42312161</v>
      </c>
      <c r="E157">
        <v>1</v>
      </c>
      <c r="F157">
        <v>1</v>
      </c>
      <c r="G157">
        <v>29</v>
      </c>
      <c r="H157">
        <v>3</v>
      </c>
      <c r="I157" t="s">
        <v>648</v>
      </c>
      <c r="J157" t="s">
        <v>649</v>
      </c>
      <c r="K157" t="s">
        <v>650</v>
      </c>
      <c r="L157">
        <v>1301</v>
      </c>
      <c r="N157">
        <v>1003</v>
      </c>
      <c r="O157" t="s">
        <v>64</v>
      </c>
      <c r="P157" t="s">
        <v>64</v>
      </c>
      <c r="Q157">
        <v>1</v>
      </c>
      <c r="X157">
        <v>5.5</v>
      </c>
      <c r="Y157">
        <v>3.77</v>
      </c>
      <c r="Z157">
        <v>0</v>
      </c>
      <c r="AA157">
        <v>0</v>
      </c>
      <c r="AB157">
        <v>0</v>
      </c>
      <c r="AC157">
        <v>0</v>
      </c>
      <c r="AD157">
        <v>1</v>
      </c>
      <c r="AE157">
        <v>0</v>
      </c>
      <c r="AF157" t="s">
        <v>3</v>
      </c>
      <c r="AG157">
        <v>5.5</v>
      </c>
      <c r="AH157">
        <v>2</v>
      </c>
      <c r="AI157">
        <v>43095876</v>
      </c>
      <c r="AJ157">
        <v>170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</row>
    <row r="158" spans="1:44" x14ac:dyDescent="0.2">
      <c r="A158">
        <f>ROW(Source!A113)</f>
        <v>113</v>
      </c>
      <c r="B158">
        <v>43095894</v>
      </c>
      <c r="C158">
        <v>43095866</v>
      </c>
      <c r="D158">
        <v>42312058</v>
      </c>
      <c r="E158">
        <v>1</v>
      </c>
      <c r="F158">
        <v>1</v>
      </c>
      <c r="G158">
        <v>29</v>
      </c>
      <c r="H158">
        <v>3</v>
      </c>
      <c r="I158" t="s">
        <v>651</v>
      </c>
      <c r="J158" t="s">
        <v>652</v>
      </c>
      <c r="K158" t="s">
        <v>653</v>
      </c>
      <c r="L158">
        <v>1356</v>
      </c>
      <c r="N158">
        <v>1010</v>
      </c>
      <c r="O158" t="s">
        <v>285</v>
      </c>
      <c r="P158" t="s">
        <v>285</v>
      </c>
      <c r="Q158">
        <v>1000</v>
      </c>
      <c r="X158">
        <v>5.0000000000000001E-3</v>
      </c>
      <c r="Y158">
        <v>495.85</v>
      </c>
      <c r="Z158">
        <v>0</v>
      </c>
      <c r="AA158">
        <v>0</v>
      </c>
      <c r="AB158">
        <v>0</v>
      </c>
      <c r="AC158">
        <v>0</v>
      </c>
      <c r="AD158">
        <v>1</v>
      </c>
      <c r="AE158">
        <v>0</v>
      </c>
      <c r="AF158" t="s">
        <v>3</v>
      </c>
      <c r="AG158">
        <v>5.0000000000000001E-3</v>
      </c>
      <c r="AH158">
        <v>2</v>
      </c>
      <c r="AI158">
        <v>43095877</v>
      </c>
      <c r="AJ158">
        <v>171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</row>
    <row r="159" spans="1:44" x14ac:dyDescent="0.2">
      <c r="A159">
        <f>ROW(Source!A113)</f>
        <v>113</v>
      </c>
      <c r="B159">
        <v>43095895</v>
      </c>
      <c r="C159">
        <v>43095866</v>
      </c>
      <c r="D159">
        <v>42312342</v>
      </c>
      <c r="E159">
        <v>1</v>
      </c>
      <c r="F159">
        <v>1</v>
      </c>
      <c r="G159">
        <v>29</v>
      </c>
      <c r="H159">
        <v>3</v>
      </c>
      <c r="I159" t="s">
        <v>654</v>
      </c>
      <c r="J159" t="s">
        <v>655</v>
      </c>
      <c r="K159" t="s">
        <v>656</v>
      </c>
      <c r="L159">
        <v>1354</v>
      </c>
      <c r="N159">
        <v>1010</v>
      </c>
      <c r="O159" t="s">
        <v>20</v>
      </c>
      <c r="P159" t="s">
        <v>20</v>
      </c>
      <c r="Q159">
        <v>1</v>
      </c>
      <c r="X159">
        <v>10</v>
      </c>
      <c r="Y159">
        <v>21.08</v>
      </c>
      <c r="Z159">
        <v>0</v>
      </c>
      <c r="AA159">
        <v>0</v>
      </c>
      <c r="AB159">
        <v>0</v>
      </c>
      <c r="AC159">
        <v>0</v>
      </c>
      <c r="AD159">
        <v>1</v>
      </c>
      <c r="AE159">
        <v>0</v>
      </c>
      <c r="AF159" t="s">
        <v>3</v>
      </c>
      <c r="AG159">
        <v>10</v>
      </c>
      <c r="AH159">
        <v>2</v>
      </c>
      <c r="AI159">
        <v>43095878</v>
      </c>
      <c r="AJ159">
        <v>172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</row>
    <row r="160" spans="1:44" x14ac:dyDescent="0.2">
      <c r="A160">
        <f>ROW(Source!A113)</f>
        <v>113</v>
      </c>
      <c r="B160">
        <v>43095896</v>
      </c>
      <c r="C160">
        <v>43095866</v>
      </c>
      <c r="D160">
        <v>42312373</v>
      </c>
      <c r="E160">
        <v>1</v>
      </c>
      <c r="F160">
        <v>1</v>
      </c>
      <c r="G160">
        <v>29</v>
      </c>
      <c r="H160">
        <v>3</v>
      </c>
      <c r="I160" t="s">
        <v>657</v>
      </c>
      <c r="J160" t="s">
        <v>658</v>
      </c>
      <c r="K160" t="s">
        <v>659</v>
      </c>
      <c r="L160">
        <v>1355</v>
      </c>
      <c r="N160">
        <v>1010</v>
      </c>
      <c r="O160" t="s">
        <v>342</v>
      </c>
      <c r="P160" t="s">
        <v>342</v>
      </c>
      <c r="Q160">
        <v>100</v>
      </c>
      <c r="X160">
        <v>0.3</v>
      </c>
      <c r="Y160">
        <v>118.38</v>
      </c>
      <c r="Z160">
        <v>0</v>
      </c>
      <c r="AA160">
        <v>0</v>
      </c>
      <c r="AB160">
        <v>0</v>
      </c>
      <c r="AC160">
        <v>0</v>
      </c>
      <c r="AD160">
        <v>1</v>
      </c>
      <c r="AE160">
        <v>0</v>
      </c>
      <c r="AF160" t="s">
        <v>3</v>
      </c>
      <c r="AG160">
        <v>0.3</v>
      </c>
      <c r="AH160">
        <v>2</v>
      </c>
      <c r="AI160">
        <v>43095879</v>
      </c>
      <c r="AJ160">
        <v>173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</row>
    <row r="161" spans="1:44" x14ac:dyDescent="0.2">
      <c r="A161">
        <f>ROW(Source!A113)</f>
        <v>113</v>
      </c>
      <c r="B161">
        <v>43095897</v>
      </c>
      <c r="C161">
        <v>43095866</v>
      </c>
      <c r="D161">
        <v>42312095</v>
      </c>
      <c r="E161">
        <v>1</v>
      </c>
      <c r="F161">
        <v>1</v>
      </c>
      <c r="G161">
        <v>29</v>
      </c>
      <c r="H161">
        <v>3</v>
      </c>
      <c r="I161" t="s">
        <v>660</v>
      </c>
      <c r="J161" t="s">
        <v>661</v>
      </c>
      <c r="K161" t="s">
        <v>662</v>
      </c>
      <c r="L161">
        <v>1356</v>
      </c>
      <c r="N161">
        <v>1010</v>
      </c>
      <c r="O161" t="s">
        <v>285</v>
      </c>
      <c r="P161" t="s">
        <v>285</v>
      </c>
      <c r="Q161">
        <v>1000</v>
      </c>
      <c r="X161">
        <v>0.02</v>
      </c>
      <c r="Y161">
        <v>187.09</v>
      </c>
      <c r="Z161">
        <v>0</v>
      </c>
      <c r="AA161">
        <v>0</v>
      </c>
      <c r="AB161">
        <v>0</v>
      </c>
      <c r="AC161">
        <v>0</v>
      </c>
      <c r="AD161">
        <v>1</v>
      </c>
      <c r="AE161">
        <v>0</v>
      </c>
      <c r="AF161" t="s">
        <v>3</v>
      </c>
      <c r="AG161">
        <v>0.02</v>
      </c>
      <c r="AH161">
        <v>2</v>
      </c>
      <c r="AI161">
        <v>43095880</v>
      </c>
      <c r="AJ161">
        <v>174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</row>
    <row r="162" spans="1:44" x14ac:dyDescent="0.2">
      <c r="A162">
        <f>ROW(Source!A113)</f>
        <v>113</v>
      </c>
      <c r="B162">
        <v>43095898</v>
      </c>
      <c r="C162">
        <v>43095866</v>
      </c>
      <c r="D162">
        <v>42313392</v>
      </c>
      <c r="E162">
        <v>1</v>
      </c>
      <c r="F162">
        <v>1</v>
      </c>
      <c r="G162">
        <v>29</v>
      </c>
      <c r="H162">
        <v>3</v>
      </c>
      <c r="I162" t="s">
        <v>217</v>
      </c>
      <c r="J162" t="s">
        <v>220</v>
      </c>
      <c r="K162" t="s">
        <v>218</v>
      </c>
      <c r="L162">
        <v>1303</v>
      </c>
      <c r="N162">
        <v>1003</v>
      </c>
      <c r="O162" t="s">
        <v>219</v>
      </c>
      <c r="P162" t="s">
        <v>219</v>
      </c>
      <c r="Q162">
        <v>1000</v>
      </c>
      <c r="X162">
        <v>0.10299999999999999</v>
      </c>
      <c r="Y162">
        <v>160962.20000000001</v>
      </c>
      <c r="Z162">
        <v>0</v>
      </c>
      <c r="AA162">
        <v>0</v>
      </c>
      <c r="AB162">
        <v>0</v>
      </c>
      <c r="AC162">
        <v>0</v>
      </c>
      <c r="AD162">
        <v>1</v>
      </c>
      <c r="AE162">
        <v>0</v>
      </c>
      <c r="AF162" t="s">
        <v>3</v>
      </c>
      <c r="AG162">
        <v>0.10299999999999999</v>
      </c>
      <c r="AH162">
        <v>2</v>
      </c>
      <c r="AI162">
        <v>43095881</v>
      </c>
      <c r="AJ162">
        <v>175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</row>
    <row r="163" spans="1:44" x14ac:dyDescent="0.2">
      <c r="A163">
        <f>ROW(Source!A116)</f>
        <v>116</v>
      </c>
      <c r="B163">
        <v>43095908</v>
      </c>
      <c r="C163">
        <v>43095901</v>
      </c>
      <c r="D163">
        <v>42301367</v>
      </c>
      <c r="E163">
        <v>29</v>
      </c>
      <c r="F163">
        <v>1</v>
      </c>
      <c r="G163">
        <v>29</v>
      </c>
      <c r="H163">
        <v>1</v>
      </c>
      <c r="I163" t="s">
        <v>555</v>
      </c>
      <c r="J163" t="s">
        <v>3</v>
      </c>
      <c r="K163" t="s">
        <v>556</v>
      </c>
      <c r="L163">
        <v>1191</v>
      </c>
      <c r="N163">
        <v>1013</v>
      </c>
      <c r="O163" t="s">
        <v>557</v>
      </c>
      <c r="P163" t="s">
        <v>557</v>
      </c>
      <c r="Q163">
        <v>1</v>
      </c>
      <c r="X163">
        <v>7.93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1</v>
      </c>
      <c r="AE163">
        <v>1</v>
      </c>
      <c r="AF163" t="s">
        <v>3</v>
      </c>
      <c r="AG163">
        <v>7.93</v>
      </c>
      <c r="AH163">
        <v>2</v>
      </c>
      <c r="AI163">
        <v>43095904</v>
      </c>
      <c r="AJ163">
        <v>177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</row>
    <row r="164" spans="1:44" x14ac:dyDescent="0.2">
      <c r="A164">
        <f>ROW(Source!A116)</f>
        <v>116</v>
      </c>
      <c r="B164">
        <v>43095909</v>
      </c>
      <c r="C164">
        <v>43095901</v>
      </c>
      <c r="D164">
        <v>42303124</v>
      </c>
      <c r="E164">
        <v>1</v>
      </c>
      <c r="F164">
        <v>1</v>
      </c>
      <c r="G164">
        <v>29</v>
      </c>
      <c r="H164">
        <v>2</v>
      </c>
      <c r="I164" t="s">
        <v>633</v>
      </c>
      <c r="J164" t="s">
        <v>634</v>
      </c>
      <c r="K164" t="s">
        <v>635</v>
      </c>
      <c r="L164">
        <v>1368</v>
      </c>
      <c r="N164">
        <v>1011</v>
      </c>
      <c r="O164" t="s">
        <v>480</v>
      </c>
      <c r="P164" t="s">
        <v>480</v>
      </c>
      <c r="Q164">
        <v>1</v>
      </c>
      <c r="X164">
        <v>7.7</v>
      </c>
      <c r="Y164">
        <v>0</v>
      </c>
      <c r="Z164">
        <v>3.14</v>
      </c>
      <c r="AA164">
        <v>0.01</v>
      </c>
      <c r="AB164">
        <v>0</v>
      </c>
      <c r="AC164">
        <v>0</v>
      </c>
      <c r="AD164">
        <v>1</v>
      </c>
      <c r="AE164">
        <v>0</v>
      </c>
      <c r="AF164" t="s">
        <v>3</v>
      </c>
      <c r="AG164">
        <v>7.7</v>
      </c>
      <c r="AH164">
        <v>2</v>
      </c>
      <c r="AI164">
        <v>43095905</v>
      </c>
      <c r="AJ164">
        <v>178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</row>
    <row r="165" spans="1:44" x14ac:dyDescent="0.2">
      <c r="A165">
        <f>ROW(Source!A117)</f>
        <v>117</v>
      </c>
      <c r="B165">
        <v>43095917</v>
      </c>
      <c r="C165">
        <v>43095910</v>
      </c>
      <c r="D165">
        <v>42301367</v>
      </c>
      <c r="E165">
        <v>29</v>
      </c>
      <c r="F165">
        <v>1</v>
      </c>
      <c r="G165">
        <v>29</v>
      </c>
      <c r="H165">
        <v>1</v>
      </c>
      <c r="I165" t="s">
        <v>555</v>
      </c>
      <c r="J165" t="s">
        <v>3</v>
      </c>
      <c r="K165" t="s">
        <v>556</v>
      </c>
      <c r="L165">
        <v>1191</v>
      </c>
      <c r="N165">
        <v>1013</v>
      </c>
      <c r="O165" t="s">
        <v>557</v>
      </c>
      <c r="P165" t="s">
        <v>557</v>
      </c>
      <c r="Q165">
        <v>1</v>
      </c>
      <c r="X165">
        <v>6.8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1</v>
      </c>
      <c r="AE165">
        <v>1</v>
      </c>
      <c r="AF165" t="s">
        <v>3</v>
      </c>
      <c r="AG165">
        <v>6.8</v>
      </c>
      <c r="AH165">
        <v>2</v>
      </c>
      <c r="AI165">
        <v>43095913</v>
      </c>
      <c r="AJ165">
        <v>179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</row>
    <row r="166" spans="1:44" x14ac:dyDescent="0.2">
      <c r="A166">
        <f>ROW(Source!A117)</f>
        <v>117</v>
      </c>
      <c r="B166">
        <v>43095918</v>
      </c>
      <c r="C166">
        <v>43095910</v>
      </c>
      <c r="D166">
        <v>42303124</v>
      </c>
      <c r="E166">
        <v>1</v>
      </c>
      <c r="F166">
        <v>1</v>
      </c>
      <c r="G166">
        <v>29</v>
      </c>
      <c r="H166">
        <v>2</v>
      </c>
      <c r="I166" t="s">
        <v>633</v>
      </c>
      <c r="J166" t="s">
        <v>634</v>
      </c>
      <c r="K166" t="s">
        <v>635</v>
      </c>
      <c r="L166">
        <v>1368</v>
      </c>
      <c r="N166">
        <v>1011</v>
      </c>
      <c r="O166" t="s">
        <v>480</v>
      </c>
      <c r="P166" t="s">
        <v>480</v>
      </c>
      <c r="Q166">
        <v>1</v>
      </c>
      <c r="X166">
        <v>6.6</v>
      </c>
      <c r="Y166">
        <v>0</v>
      </c>
      <c r="Z166">
        <v>3.14</v>
      </c>
      <c r="AA166">
        <v>0.01</v>
      </c>
      <c r="AB166">
        <v>0</v>
      </c>
      <c r="AC166">
        <v>0</v>
      </c>
      <c r="AD166">
        <v>1</v>
      </c>
      <c r="AE166">
        <v>0</v>
      </c>
      <c r="AF166" t="s">
        <v>3</v>
      </c>
      <c r="AG166">
        <v>6.6</v>
      </c>
      <c r="AH166">
        <v>2</v>
      </c>
      <c r="AI166">
        <v>43095914</v>
      </c>
      <c r="AJ166">
        <v>180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</row>
    <row r="167" spans="1:44" x14ac:dyDescent="0.2">
      <c r="A167">
        <f>ROW(Source!A118)</f>
        <v>118</v>
      </c>
      <c r="B167">
        <v>43095926</v>
      </c>
      <c r="C167">
        <v>43095919</v>
      </c>
      <c r="D167">
        <v>42301367</v>
      </c>
      <c r="E167">
        <v>29</v>
      </c>
      <c r="F167">
        <v>1</v>
      </c>
      <c r="G167">
        <v>29</v>
      </c>
      <c r="H167">
        <v>1</v>
      </c>
      <c r="I167" t="s">
        <v>555</v>
      </c>
      <c r="J167" t="s">
        <v>3</v>
      </c>
      <c r="K167" t="s">
        <v>556</v>
      </c>
      <c r="L167">
        <v>1191</v>
      </c>
      <c r="N167">
        <v>1013</v>
      </c>
      <c r="O167" t="s">
        <v>557</v>
      </c>
      <c r="P167" t="s">
        <v>557</v>
      </c>
      <c r="Q167">
        <v>1</v>
      </c>
      <c r="X167">
        <v>20.6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1</v>
      </c>
      <c r="AE167">
        <v>1</v>
      </c>
      <c r="AF167" t="s">
        <v>3</v>
      </c>
      <c r="AG167">
        <v>20.6</v>
      </c>
      <c r="AH167">
        <v>2</v>
      </c>
      <c r="AI167">
        <v>43095922</v>
      </c>
      <c r="AJ167">
        <v>181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</row>
    <row r="168" spans="1:44" x14ac:dyDescent="0.2">
      <c r="A168">
        <f>ROW(Source!A118)</f>
        <v>118</v>
      </c>
      <c r="B168">
        <v>43095927</v>
      </c>
      <c r="C168">
        <v>43095919</v>
      </c>
      <c r="D168">
        <v>42303124</v>
      </c>
      <c r="E168">
        <v>1</v>
      </c>
      <c r="F168">
        <v>1</v>
      </c>
      <c r="G168">
        <v>29</v>
      </c>
      <c r="H168">
        <v>2</v>
      </c>
      <c r="I168" t="s">
        <v>633</v>
      </c>
      <c r="J168" t="s">
        <v>634</v>
      </c>
      <c r="K168" t="s">
        <v>635</v>
      </c>
      <c r="L168">
        <v>1368</v>
      </c>
      <c r="N168">
        <v>1011</v>
      </c>
      <c r="O168" t="s">
        <v>480</v>
      </c>
      <c r="P168" t="s">
        <v>480</v>
      </c>
      <c r="Q168">
        <v>1</v>
      </c>
      <c r="X168">
        <v>20</v>
      </c>
      <c r="Y168">
        <v>0</v>
      </c>
      <c r="Z168">
        <v>3.14</v>
      </c>
      <c r="AA168">
        <v>0.01</v>
      </c>
      <c r="AB168">
        <v>0</v>
      </c>
      <c r="AC168">
        <v>0</v>
      </c>
      <c r="AD168">
        <v>1</v>
      </c>
      <c r="AE168">
        <v>0</v>
      </c>
      <c r="AF168" t="s">
        <v>3</v>
      </c>
      <c r="AG168">
        <v>20</v>
      </c>
      <c r="AH168">
        <v>2</v>
      </c>
      <c r="AI168">
        <v>43095923</v>
      </c>
      <c r="AJ168">
        <v>182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</row>
    <row r="169" spans="1:44" x14ac:dyDescent="0.2">
      <c r="A169">
        <f>ROW(Source!A119)</f>
        <v>119</v>
      </c>
      <c r="B169">
        <v>43095938</v>
      </c>
      <c r="C169">
        <v>43095928</v>
      </c>
      <c r="D169">
        <v>42301367</v>
      </c>
      <c r="E169">
        <v>29</v>
      </c>
      <c r="F169">
        <v>1</v>
      </c>
      <c r="G169">
        <v>29</v>
      </c>
      <c r="H169">
        <v>1</v>
      </c>
      <c r="I169" t="s">
        <v>555</v>
      </c>
      <c r="J169" t="s">
        <v>3</v>
      </c>
      <c r="K169" t="s">
        <v>556</v>
      </c>
      <c r="L169">
        <v>1191</v>
      </c>
      <c r="N169">
        <v>1013</v>
      </c>
      <c r="O169" t="s">
        <v>557</v>
      </c>
      <c r="P169" t="s">
        <v>557</v>
      </c>
      <c r="Q169">
        <v>1</v>
      </c>
      <c r="X169">
        <v>8.5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1</v>
      </c>
      <c r="AE169">
        <v>1</v>
      </c>
      <c r="AF169" t="s">
        <v>3</v>
      </c>
      <c r="AG169">
        <v>8.5</v>
      </c>
      <c r="AH169">
        <v>2</v>
      </c>
      <c r="AI169">
        <v>43095932</v>
      </c>
      <c r="AJ169">
        <v>183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</row>
    <row r="170" spans="1:44" x14ac:dyDescent="0.2">
      <c r="A170">
        <f>ROW(Source!A119)</f>
        <v>119</v>
      </c>
      <c r="B170">
        <v>43095939</v>
      </c>
      <c r="C170">
        <v>43095928</v>
      </c>
      <c r="D170">
        <v>42303124</v>
      </c>
      <c r="E170">
        <v>1</v>
      </c>
      <c r="F170">
        <v>1</v>
      </c>
      <c r="G170">
        <v>29</v>
      </c>
      <c r="H170">
        <v>2</v>
      </c>
      <c r="I170" t="s">
        <v>633</v>
      </c>
      <c r="J170" t="s">
        <v>634</v>
      </c>
      <c r="K170" t="s">
        <v>635</v>
      </c>
      <c r="L170">
        <v>1368</v>
      </c>
      <c r="N170">
        <v>1011</v>
      </c>
      <c r="O170" t="s">
        <v>480</v>
      </c>
      <c r="P170" t="s">
        <v>480</v>
      </c>
      <c r="Q170">
        <v>1</v>
      </c>
      <c r="X170">
        <v>8.5</v>
      </c>
      <c r="Y170">
        <v>0</v>
      </c>
      <c r="Z170">
        <v>3.14</v>
      </c>
      <c r="AA170">
        <v>0.01</v>
      </c>
      <c r="AB170">
        <v>0</v>
      </c>
      <c r="AC170">
        <v>0</v>
      </c>
      <c r="AD170">
        <v>1</v>
      </c>
      <c r="AE170">
        <v>0</v>
      </c>
      <c r="AF170" t="s">
        <v>3</v>
      </c>
      <c r="AG170">
        <v>8.5</v>
      </c>
      <c r="AH170">
        <v>2</v>
      </c>
      <c r="AI170">
        <v>43095933</v>
      </c>
      <c r="AJ170">
        <v>184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</row>
    <row r="171" spans="1:44" x14ac:dyDescent="0.2">
      <c r="A171">
        <f>ROW(Source!A119)</f>
        <v>119</v>
      </c>
      <c r="B171">
        <v>43095940</v>
      </c>
      <c r="C171">
        <v>43095928</v>
      </c>
      <c r="D171">
        <v>42307519</v>
      </c>
      <c r="E171">
        <v>1</v>
      </c>
      <c r="F171">
        <v>1</v>
      </c>
      <c r="G171">
        <v>29</v>
      </c>
      <c r="H171">
        <v>3</v>
      </c>
      <c r="I171" t="s">
        <v>699</v>
      </c>
      <c r="J171" t="s">
        <v>700</v>
      </c>
      <c r="K171" t="s">
        <v>701</v>
      </c>
      <c r="L171">
        <v>1354</v>
      </c>
      <c r="N171">
        <v>1010</v>
      </c>
      <c r="O171" t="s">
        <v>20</v>
      </c>
      <c r="P171" t="s">
        <v>20</v>
      </c>
      <c r="Q171">
        <v>1</v>
      </c>
      <c r="X171">
        <v>10</v>
      </c>
      <c r="Y171">
        <v>1059.3499999999999</v>
      </c>
      <c r="Z171">
        <v>0</v>
      </c>
      <c r="AA171">
        <v>0</v>
      </c>
      <c r="AB171">
        <v>0</v>
      </c>
      <c r="AC171">
        <v>0</v>
      </c>
      <c r="AD171">
        <v>1</v>
      </c>
      <c r="AE171">
        <v>0</v>
      </c>
      <c r="AF171" t="s">
        <v>3</v>
      </c>
      <c r="AG171">
        <v>10</v>
      </c>
      <c r="AH171">
        <v>2</v>
      </c>
      <c r="AI171">
        <v>43095934</v>
      </c>
      <c r="AJ171">
        <v>185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</row>
    <row r="172" spans="1:44" x14ac:dyDescent="0.2">
      <c r="A172">
        <f>ROW(Source!A120)</f>
        <v>120</v>
      </c>
      <c r="B172">
        <v>43095951</v>
      </c>
      <c r="C172">
        <v>43095941</v>
      </c>
      <c r="D172">
        <v>42301367</v>
      </c>
      <c r="E172">
        <v>29</v>
      </c>
      <c r="F172">
        <v>1</v>
      </c>
      <c r="G172">
        <v>29</v>
      </c>
      <c r="H172">
        <v>1</v>
      </c>
      <c r="I172" t="s">
        <v>555</v>
      </c>
      <c r="J172" t="s">
        <v>3</v>
      </c>
      <c r="K172" t="s">
        <v>556</v>
      </c>
      <c r="L172">
        <v>1191</v>
      </c>
      <c r="N172">
        <v>1013</v>
      </c>
      <c r="O172" t="s">
        <v>557</v>
      </c>
      <c r="P172" t="s">
        <v>557</v>
      </c>
      <c r="Q172">
        <v>1</v>
      </c>
      <c r="X172">
        <v>11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1</v>
      </c>
      <c r="AE172">
        <v>1</v>
      </c>
      <c r="AF172" t="s">
        <v>3</v>
      </c>
      <c r="AG172">
        <v>11</v>
      </c>
      <c r="AH172">
        <v>2</v>
      </c>
      <c r="AI172">
        <v>43095945</v>
      </c>
      <c r="AJ172">
        <v>186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</row>
    <row r="173" spans="1:44" x14ac:dyDescent="0.2">
      <c r="A173">
        <f>ROW(Source!A120)</f>
        <v>120</v>
      </c>
      <c r="B173">
        <v>43095952</v>
      </c>
      <c r="C173">
        <v>43095941</v>
      </c>
      <c r="D173">
        <v>42303124</v>
      </c>
      <c r="E173">
        <v>1</v>
      </c>
      <c r="F173">
        <v>1</v>
      </c>
      <c r="G173">
        <v>29</v>
      </c>
      <c r="H173">
        <v>2</v>
      </c>
      <c r="I173" t="s">
        <v>633</v>
      </c>
      <c r="J173" t="s">
        <v>634</v>
      </c>
      <c r="K173" t="s">
        <v>635</v>
      </c>
      <c r="L173">
        <v>1368</v>
      </c>
      <c r="N173">
        <v>1011</v>
      </c>
      <c r="O173" t="s">
        <v>480</v>
      </c>
      <c r="P173" t="s">
        <v>480</v>
      </c>
      <c r="Q173">
        <v>1</v>
      </c>
      <c r="X173">
        <v>11</v>
      </c>
      <c r="Y173">
        <v>0</v>
      </c>
      <c r="Z173">
        <v>3.14</v>
      </c>
      <c r="AA173">
        <v>0.01</v>
      </c>
      <c r="AB173">
        <v>0</v>
      </c>
      <c r="AC173">
        <v>0</v>
      </c>
      <c r="AD173">
        <v>1</v>
      </c>
      <c r="AE173">
        <v>0</v>
      </c>
      <c r="AF173" t="s">
        <v>3</v>
      </c>
      <c r="AG173">
        <v>11</v>
      </c>
      <c r="AH173">
        <v>2</v>
      </c>
      <c r="AI173">
        <v>43095946</v>
      </c>
      <c r="AJ173">
        <v>187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</row>
    <row r="174" spans="1:44" x14ac:dyDescent="0.2">
      <c r="A174">
        <f>ROW(Source!A120)</f>
        <v>120</v>
      </c>
      <c r="B174">
        <v>43095953</v>
      </c>
      <c r="C174">
        <v>43095941</v>
      </c>
      <c r="D174">
        <v>42307520</v>
      </c>
      <c r="E174">
        <v>1</v>
      </c>
      <c r="F174">
        <v>1</v>
      </c>
      <c r="G174">
        <v>29</v>
      </c>
      <c r="H174">
        <v>3</v>
      </c>
      <c r="I174" t="s">
        <v>702</v>
      </c>
      <c r="J174" t="s">
        <v>703</v>
      </c>
      <c r="K174" t="s">
        <v>704</v>
      </c>
      <c r="L174">
        <v>1354</v>
      </c>
      <c r="N174">
        <v>1010</v>
      </c>
      <c r="O174" t="s">
        <v>20</v>
      </c>
      <c r="P174" t="s">
        <v>20</v>
      </c>
      <c r="Q174">
        <v>1</v>
      </c>
      <c r="X174">
        <v>10</v>
      </c>
      <c r="Y174">
        <v>2370.54</v>
      </c>
      <c r="Z174">
        <v>0</v>
      </c>
      <c r="AA174">
        <v>0</v>
      </c>
      <c r="AB174">
        <v>0</v>
      </c>
      <c r="AC174">
        <v>0</v>
      </c>
      <c r="AD174">
        <v>1</v>
      </c>
      <c r="AE174">
        <v>0</v>
      </c>
      <c r="AF174" t="s">
        <v>3</v>
      </c>
      <c r="AG174">
        <v>10</v>
      </c>
      <c r="AH174">
        <v>2</v>
      </c>
      <c r="AI174">
        <v>43095947</v>
      </c>
      <c r="AJ174">
        <v>188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</row>
    <row r="175" spans="1:44" x14ac:dyDescent="0.2">
      <c r="A175">
        <f>ROW(Source!A121)</f>
        <v>121</v>
      </c>
      <c r="B175">
        <v>43095961</v>
      </c>
      <c r="C175">
        <v>43095954</v>
      </c>
      <c r="D175">
        <v>42301367</v>
      </c>
      <c r="E175">
        <v>29</v>
      </c>
      <c r="F175">
        <v>1</v>
      </c>
      <c r="G175">
        <v>29</v>
      </c>
      <c r="H175">
        <v>1</v>
      </c>
      <c r="I175" t="s">
        <v>555</v>
      </c>
      <c r="J175" t="s">
        <v>3</v>
      </c>
      <c r="K175" t="s">
        <v>556</v>
      </c>
      <c r="L175">
        <v>1191</v>
      </c>
      <c r="N175">
        <v>1013</v>
      </c>
      <c r="O175" t="s">
        <v>557</v>
      </c>
      <c r="P175" t="s">
        <v>557</v>
      </c>
      <c r="Q175">
        <v>1</v>
      </c>
      <c r="X175">
        <v>3.7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1</v>
      </c>
      <c r="AE175">
        <v>1</v>
      </c>
      <c r="AF175" t="s">
        <v>3</v>
      </c>
      <c r="AG175">
        <v>3.7</v>
      </c>
      <c r="AH175">
        <v>2</v>
      </c>
      <c r="AI175">
        <v>43095957</v>
      </c>
      <c r="AJ175">
        <v>189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</row>
    <row r="176" spans="1:44" x14ac:dyDescent="0.2">
      <c r="A176">
        <f>ROW(Source!A121)</f>
        <v>121</v>
      </c>
      <c r="B176">
        <v>43095962</v>
      </c>
      <c r="C176">
        <v>43095954</v>
      </c>
      <c r="D176">
        <v>42303124</v>
      </c>
      <c r="E176">
        <v>1</v>
      </c>
      <c r="F176">
        <v>1</v>
      </c>
      <c r="G176">
        <v>29</v>
      </c>
      <c r="H176">
        <v>2</v>
      </c>
      <c r="I176" t="s">
        <v>633</v>
      </c>
      <c r="J176" t="s">
        <v>634</v>
      </c>
      <c r="K176" t="s">
        <v>635</v>
      </c>
      <c r="L176">
        <v>1368</v>
      </c>
      <c r="N176">
        <v>1011</v>
      </c>
      <c r="O176" t="s">
        <v>480</v>
      </c>
      <c r="P176" t="s">
        <v>480</v>
      </c>
      <c r="Q176">
        <v>1</v>
      </c>
      <c r="X176">
        <v>3.7</v>
      </c>
      <c r="Y176">
        <v>0</v>
      </c>
      <c r="Z176">
        <v>3.14</v>
      </c>
      <c r="AA176">
        <v>0.01</v>
      </c>
      <c r="AB176">
        <v>0</v>
      </c>
      <c r="AC176">
        <v>0</v>
      </c>
      <c r="AD176">
        <v>1</v>
      </c>
      <c r="AE176">
        <v>0</v>
      </c>
      <c r="AF176" t="s">
        <v>3</v>
      </c>
      <c r="AG176">
        <v>3.7</v>
      </c>
      <c r="AH176">
        <v>2</v>
      </c>
      <c r="AI176">
        <v>43095958</v>
      </c>
      <c r="AJ176">
        <v>190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</row>
    <row r="177" spans="1:44" x14ac:dyDescent="0.2">
      <c r="A177">
        <f>ROW(Source!A122)</f>
        <v>122</v>
      </c>
      <c r="B177">
        <v>43095970</v>
      </c>
      <c r="C177">
        <v>43095963</v>
      </c>
      <c r="D177">
        <v>42301367</v>
      </c>
      <c r="E177">
        <v>29</v>
      </c>
      <c r="F177">
        <v>1</v>
      </c>
      <c r="G177">
        <v>29</v>
      </c>
      <c r="H177">
        <v>1</v>
      </c>
      <c r="I177" t="s">
        <v>555</v>
      </c>
      <c r="J177" t="s">
        <v>3</v>
      </c>
      <c r="K177" t="s">
        <v>556</v>
      </c>
      <c r="L177">
        <v>1191</v>
      </c>
      <c r="N177">
        <v>1013</v>
      </c>
      <c r="O177" t="s">
        <v>557</v>
      </c>
      <c r="P177" t="s">
        <v>557</v>
      </c>
      <c r="Q177">
        <v>1</v>
      </c>
      <c r="X177">
        <v>2.6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1</v>
      </c>
      <c r="AE177">
        <v>1</v>
      </c>
      <c r="AF177" t="s">
        <v>3</v>
      </c>
      <c r="AG177">
        <v>2.6</v>
      </c>
      <c r="AH177">
        <v>2</v>
      </c>
      <c r="AI177">
        <v>43095966</v>
      </c>
      <c r="AJ177">
        <v>191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</row>
    <row r="178" spans="1:44" x14ac:dyDescent="0.2">
      <c r="A178">
        <f>ROW(Source!A122)</f>
        <v>122</v>
      </c>
      <c r="B178">
        <v>43095971</v>
      </c>
      <c r="C178">
        <v>43095963</v>
      </c>
      <c r="D178">
        <v>42303124</v>
      </c>
      <c r="E178">
        <v>1</v>
      </c>
      <c r="F178">
        <v>1</v>
      </c>
      <c r="G178">
        <v>29</v>
      </c>
      <c r="H178">
        <v>2</v>
      </c>
      <c r="I178" t="s">
        <v>633</v>
      </c>
      <c r="J178" t="s">
        <v>634</v>
      </c>
      <c r="K178" t="s">
        <v>635</v>
      </c>
      <c r="L178">
        <v>1368</v>
      </c>
      <c r="N178">
        <v>1011</v>
      </c>
      <c r="O178" t="s">
        <v>480</v>
      </c>
      <c r="P178" t="s">
        <v>480</v>
      </c>
      <c r="Q178">
        <v>1</v>
      </c>
      <c r="X178">
        <v>2.6</v>
      </c>
      <c r="Y178">
        <v>0</v>
      </c>
      <c r="Z178">
        <v>3.14</v>
      </c>
      <c r="AA178">
        <v>0.01</v>
      </c>
      <c r="AB178">
        <v>0</v>
      </c>
      <c r="AC178">
        <v>0</v>
      </c>
      <c r="AD178">
        <v>1</v>
      </c>
      <c r="AE178">
        <v>0</v>
      </c>
      <c r="AF178" t="s">
        <v>3</v>
      </c>
      <c r="AG178">
        <v>2.6</v>
      </c>
      <c r="AH178">
        <v>2</v>
      </c>
      <c r="AI178">
        <v>43095967</v>
      </c>
      <c r="AJ178">
        <v>192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</row>
    <row r="179" spans="1:44" x14ac:dyDescent="0.2">
      <c r="A179">
        <f>ROW(Source!A123)</f>
        <v>123</v>
      </c>
      <c r="B179">
        <v>43095980</v>
      </c>
      <c r="C179">
        <v>43095972</v>
      </c>
      <c r="D179">
        <v>42301367</v>
      </c>
      <c r="E179">
        <v>29</v>
      </c>
      <c r="F179">
        <v>1</v>
      </c>
      <c r="G179">
        <v>29</v>
      </c>
      <c r="H179">
        <v>1</v>
      </c>
      <c r="I179" t="s">
        <v>555</v>
      </c>
      <c r="J179" t="s">
        <v>3</v>
      </c>
      <c r="K179" t="s">
        <v>556</v>
      </c>
      <c r="L179">
        <v>1191</v>
      </c>
      <c r="N179">
        <v>1013</v>
      </c>
      <c r="O179" t="s">
        <v>557</v>
      </c>
      <c r="P179" t="s">
        <v>557</v>
      </c>
      <c r="Q179">
        <v>1</v>
      </c>
      <c r="X179">
        <v>95.38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1</v>
      </c>
      <c r="AE179">
        <v>1</v>
      </c>
      <c r="AF179" t="s">
        <v>3</v>
      </c>
      <c r="AG179">
        <v>95.38</v>
      </c>
      <c r="AH179">
        <v>2</v>
      </c>
      <c r="AI179">
        <v>43095974</v>
      </c>
      <c r="AJ179">
        <v>193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</row>
    <row r="180" spans="1:44" x14ac:dyDescent="0.2">
      <c r="A180">
        <f>ROW(Source!A123)</f>
        <v>123</v>
      </c>
      <c r="B180">
        <v>43095981</v>
      </c>
      <c r="C180">
        <v>43095972</v>
      </c>
      <c r="D180">
        <v>42302640</v>
      </c>
      <c r="E180">
        <v>1</v>
      </c>
      <c r="F180">
        <v>1</v>
      </c>
      <c r="G180">
        <v>29</v>
      </c>
      <c r="H180">
        <v>2</v>
      </c>
      <c r="I180" t="s">
        <v>705</v>
      </c>
      <c r="J180" t="s">
        <v>706</v>
      </c>
      <c r="K180" t="s">
        <v>707</v>
      </c>
      <c r="L180">
        <v>1368</v>
      </c>
      <c r="N180">
        <v>1011</v>
      </c>
      <c r="O180" t="s">
        <v>480</v>
      </c>
      <c r="P180" t="s">
        <v>480</v>
      </c>
      <c r="Q180">
        <v>1</v>
      </c>
      <c r="X180">
        <v>26.36</v>
      </c>
      <c r="Y180">
        <v>0</v>
      </c>
      <c r="Z180">
        <v>1105.8800000000001</v>
      </c>
      <c r="AA180">
        <v>446.17</v>
      </c>
      <c r="AB180">
        <v>0</v>
      </c>
      <c r="AC180">
        <v>0</v>
      </c>
      <c r="AD180">
        <v>1</v>
      </c>
      <c r="AE180">
        <v>0</v>
      </c>
      <c r="AF180" t="s">
        <v>3</v>
      </c>
      <c r="AG180">
        <v>26.36</v>
      </c>
      <c r="AH180">
        <v>2</v>
      </c>
      <c r="AI180">
        <v>43095975</v>
      </c>
      <c r="AJ180">
        <v>194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</row>
    <row r="181" spans="1:44" x14ac:dyDescent="0.2">
      <c r="A181">
        <f>ROW(Source!A123)</f>
        <v>123</v>
      </c>
      <c r="B181">
        <v>43095982</v>
      </c>
      <c r="C181">
        <v>43095972</v>
      </c>
      <c r="D181">
        <v>42303164</v>
      </c>
      <c r="E181">
        <v>1</v>
      </c>
      <c r="F181">
        <v>1</v>
      </c>
      <c r="G181">
        <v>29</v>
      </c>
      <c r="H181">
        <v>2</v>
      </c>
      <c r="I181" t="s">
        <v>708</v>
      </c>
      <c r="J181" t="s">
        <v>709</v>
      </c>
      <c r="K181" t="s">
        <v>710</v>
      </c>
      <c r="L181">
        <v>1368</v>
      </c>
      <c r="N181">
        <v>1011</v>
      </c>
      <c r="O181" t="s">
        <v>480</v>
      </c>
      <c r="P181" t="s">
        <v>480</v>
      </c>
      <c r="Q181">
        <v>1</v>
      </c>
      <c r="X181">
        <v>52.71</v>
      </c>
      <c r="Y181">
        <v>0</v>
      </c>
      <c r="Z181">
        <v>6.02</v>
      </c>
      <c r="AA181">
        <v>0.02</v>
      </c>
      <c r="AB181">
        <v>0</v>
      </c>
      <c r="AC181">
        <v>0</v>
      </c>
      <c r="AD181">
        <v>1</v>
      </c>
      <c r="AE181">
        <v>0</v>
      </c>
      <c r="AF181" t="s">
        <v>3</v>
      </c>
      <c r="AG181">
        <v>52.71</v>
      </c>
      <c r="AH181">
        <v>2</v>
      </c>
      <c r="AI181">
        <v>43095976</v>
      </c>
      <c r="AJ181">
        <v>195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</row>
    <row r="182" spans="1:44" x14ac:dyDescent="0.2">
      <c r="A182">
        <f>ROW(Source!A124)</f>
        <v>124</v>
      </c>
      <c r="B182">
        <v>43095993</v>
      </c>
      <c r="C182">
        <v>43095983</v>
      </c>
      <c r="D182">
        <v>42301367</v>
      </c>
      <c r="E182">
        <v>29</v>
      </c>
      <c r="F182">
        <v>1</v>
      </c>
      <c r="G182">
        <v>29</v>
      </c>
      <c r="H182">
        <v>1</v>
      </c>
      <c r="I182" t="s">
        <v>555</v>
      </c>
      <c r="J182" t="s">
        <v>3</v>
      </c>
      <c r="K182" t="s">
        <v>556</v>
      </c>
      <c r="L182">
        <v>1191</v>
      </c>
      <c r="N182">
        <v>1013</v>
      </c>
      <c r="O182" t="s">
        <v>557</v>
      </c>
      <c r="P182" t="s">
        <v>557</v>
      </c>
      <c r="Q182">
        <v>1</v>
      </c>
      <c r="X182">
        <v>26.96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1</v>
      </c>
      <c r="AE182">
        <v>1</v>
      </c>
      <c r="AF182" t="s">
        <v>3</v>
      </c>
      <c r="AG182">
        <v>26.96</v>
      </c>
      <c r="AH182">
        <v>2</v>
      </c>
      <c r="AI182">
        <v>43095987</v>
      </c>
      <c r="AJ182">
        <v>196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</row>
    <row r="183" spans="1:44" x14ac:dyDescent="0.2">
      <c r="A183">
        <f>ROW(Source!A124)</f>
        <v>124</v>
      </c>
      <c r="B183">
        <v>43095994</v>
      </c>
      <c r="C183">
        <v>43095983</v>
      </c>
      <c r="D183">
        <v>42302640</v>
      </c>
      <c r="E183">
        <v>1</v>
      </c>
      <c r="F183">
        <v>1</v>
      </c>
      <c r="G183">
        <v>29</v>
      </c>
      <c r="H183">
        <v>2</v>
      </c>
      <c r="I183" t="s">
        <v>705</v>
      </c>
      <c r="J183" t="s">
        <v>706</v>
      </c>
      <c r="K183" t="s">
        <v>707</v>
      </c>
      <c r="L183">
        <v>1368</v>
      </c>
      <c r="N183">
        <v>1011</v>
      </c>
      <c r="O183" t="s">
        <v>480</v>
      </c>
      <c r="P183" t="s">
        <v>480</v>
      </c>
      <c r="Q183">
        <v>1</v>
      </c>
      <c r="X183">
        <v>7.75</v>
      </c>
      <c r="Y183">
        <v>0</v>
      </c>
      <c r="Z183">
        <v>1105.8800000000001</v>
      </c>
      <c r="AA183">
        <v>446.17</v>
      </c>
      <c r="AB183">
        <v>0</v>
      </c>
      <c r="AC183">
        <v>0</v>
      </c>
      <c r="AD183">
        <v>1</v>
      </c>
      <c r="AE183">
        <v>0</v>
      </c>
      <c r="AF183" t="s">
        <v>3</v>
      </c>
      <c r="AG183">
        <v>7.75</v>
      </c>
      <c r="AH183">
        <v>2</v>
      </c>
      <c r="AI183">
        <v>43095988</v>
      </c>
      <c r="AJ183">
        <v>197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</row>
    <row r="184" spans="1:44" x14ac:dyDescent="0.2">
      <c r="A184">
        <f>ROW(Source!A124)</f>
        <v>124</v>
      </c>
      <c r="B184">
        <v>43095995</v>
      </c>
      <c r="C184">
        <v>43095983</v>
      </c>
      <c r="D184">
        <v>42303164</v>
      </c>
      <c r="E184">
        <v>1</v>
      </c>
      <c r="F184">
        <v>1</v>
      </c>
      <c r="G184">
        <v>29</v>
      </c>
      <c r="H184">
        <v>2</v>
      </c>
      <c r="I184" t="s">
        <v>708</v>
      </c>
      <c r="J184" t="s">
        <v>709</v>
      </c>
      <c r="K184" t="s">
        <v>710</v>
      </c>
      <c r="L184">
        <v>1368</v>
      </c>
      <c r="N184">
        <v>1011</v>
      </c>
      <c r="O184" t="s">
        <v>480</v>
      </c>
      <c r="P184" t="s">
        <v>480</v>
      </c>
      <c r="Q184">
        <v>1</v>
      </c>
      <c r="X184">
        <v>15.5</v>
      </c>
      <c r="Y184">
        <v>0</v>
      </c>
      <c r="Z184">
        <v>6.02</v>
      </c>
      <c r="AA184">
        <v>0.02</v>
      </c>
      <c r="AB184">
        <v>0</v>
      </c>
      <c r="AC184">
        <v>0</v>
      </c>
      <c r="AD184">
        <v>1</v>
      </c>
      <c r="AE184">
        <v>0</v>
      </c>
      <c r="AF184" t="s">
        <v>3</v>
      </c>
      <c r="AG184">
        <v>15.5</v>
      </c>
      <c r="AH184">
        <v>2</v>
      </c>
      <c r="AI184">
        <v>43095989</v>
      </c>
      <c r="AJ184">
        <v>198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</row>
    <row r="185" spans="1:44" x14ac:dyDescent="0.2">
      <c r="A185">
        <f>ROW(Source!A125)</f>
        <v>125</v>
      </c>
      <c r="B185">
        <v>43096012</v>
      </c>
      <c r="C185">
        <v>43095996</v>
      </c>
      <c r="D185">
        <v>42301367</v>
      </c>
      <c r="E185">
        <v>29</v>
      </c>
      <c r="F185">
        <v>1</v>
      </c>
      <c r="G185">
        <v>29</v>
      </c>
      <c r="H185">
        <v>1</v>
      </c>
      <c r="I185" t="s">
        <v>555</v>
      </c>
      <c r="J185" t="s">
        <v>3</v>
      </c>
      <c r="K185" t="s">
        <v>556</v>
      </c>
      <c r="L185">
        <v>1191</v>
      </c>
      <c r="N185">
        <v>1013</v>
      </c>
      <c r="O185" t="s">
        <v>557</v>
      </c>
      <c r="P185" t="s">
        <v>557</v>
      </c>
      <c r="Q185">
        <v>1</v>
      </c>
      <c r="X185">
        <v>109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1</v>
      </c>
      <c r="AE185">
        <v>1</v>
      </c>
      <c r="AF185" t="s">
        <v>3</v>
      </c>
      <c r="AG185">
        <v>109</v>
      </c>
      <c r="AH185">
        <v>2</v>
      </c>
      <c r="AI185">
        <v>43096002</v>
      </c>
      <c r="AJ185">
        <v>199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</row>
    <row r="186" spans="1:44" x14ac:dyDescent="0.2">
      <c r="A186">
        <f>ROW(Source!A125)</f>
        <v>125</v>
      </c>
      <c r="B186">
        <v>43096013</v>
      </c>
      <c r="C186">
        <v>43095996</v>
      </c>
      <c r="D186">
        <v>42304279</v>
      </c>
      <c r="E186">
        <v>1</v>
      </c>
      <c r="F186">
        <v>1</v>
      </c>
      <c r="G186">
        <v>29</v>
      </c>
      <c r="H186">
        <v>3</v>
      </c>
      <c r="I186" t="s">
        <v>711</v>
      </c>
      <c r="J186" t="s">
        <v>712</v>
      </c>
      <c r="K186" t="s">
        <v>713</v>
      </c>
      <c r="L186">
        <v>1348</v>
      </c>
      <c r="N186">
        <v>1009</v>
      </c>
      <c r="O186" t="s">
        <v>402</v>
      </c>
      <c r="P186" t="s">
        <v>402</v>
      </c>
      <c r="Q186">
        <v>1000</v>
      </c>
      <c r="X186">
        <v>2E-3</v>
      </c>
      <c r="Y186">
        <v>88472.75</v>
      </c>
      <c r="Z186">
        <v>0</v>
      </c>
      <c r="AA186">
        <v>0</v>
      </c>
      <c r="AB186">
        <v>0</v>
      </c>
      <c r="AC186">
        <v>0</v>
      </c>
      <c r="AD186">
        <v>1</v>
      </c>
      <c r="AE186">
        <v>0</v>
      </c>
      <c r="AF186" t="s">
        <v>3</v>
      </c>
      <c r="AG186">
        <v>2E-3</v>
      </c>
      <c r="AH186">
        <v>2</v>
      </c>
      <c r="AI186">
        <v>43096003</v>
      </c>
      <c r="AJ186">
        <v>200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</row>
    <row r="187" spans="1:44" x14ac:dyDescent="0.2">
      <c r="A187">
        <f>ROW(Source!A125)</f>
        <v>125</v>
      </c>
      <c r="B187">
        <v>43096014</v>
      </c>
      <c r="C187">
        <v>43095996</v>
      </c>
      <c r="D187">
        <v>42303861</v>
      </c>
      <c r="E187">
        <v>1</v>
      </c>
      <c r="F187">
        <v>1</v>
      </c>
      <c r="G187">
        <v>29</v>
      </c>
      <c r="H187">
        <v>3</v>
      </c>
      <c r="I187" t="s">
        <v>714</v>
      </c>
      <c r="J187" t="s">
        <v>715</v>
      </c>
      <c r="K187" t="s">
        <v>716</v>
      </c>
      <c r="L187">
        <v>1339</v>
      </c>
      <c r="N187">
        <v>1007</v>
      </c>
      <c r="O187" t="s">
        <v>81</v>
      </c>
      <c r="P187" t="s">
        <v>81</v>
      </c>
      <c r="Q187">
        <v>1</v>
      </c>
      <c r="X187">
        <v>6.7000000000000004E-2</v>
      </c>
      <c r="Y187">
        <v>9080.02</v>
      </c>
      <c r="Z187">
        <v>0</v>
      </c>
      <c r="AA187">
        <v>0</v>
      </c>
      <c r="AB187">
        <v>0</v>
      </c>
      <c r="AC187">
        <v>0</v>
      </c>
      <c r="AD187">
        <v>1</v>
      </c>
      <c r="AE187">
        <v>0</v>
      </c>
      <c r="AF187" t="s">
        <v>3</v>
      </c>
      <c r="AG187">
        <v>6.7000000000000004E-2</v>
      </c>
      <c r="AH187">
        <v>2</v>
      </c>
      <c r="AI187">
        <v>43096004</v>
      </c>
      <c r="AJ187">
        <v>201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</row>
    <row r="188" spans="1:44" x14ac:dyDescent="0.2">
      <c r="A188">
        <f>ROW(Source!A125)</f>
        <v>125</v>
      </c>
      <c r="B188">
        <v>43096015</v>
      </c>
      <c r="C188">
        <v>43095996</v>
      </c>
      <c r="D188">
        <v>42303899</v>
      </c>
      <c r="E188">
        <v>1</v>
      </c>
      <c r="F188">
        <v>1</v>
      </c>
      <c r="G188">
        <v>29</v>
      </c>
      <c r="H188">
        <v>3</v>
      </c>
      <c r="I188" t="s">
        <v>717</v>
      </c>
      <c r="J188" t="s">
        <v>718</v>
      </c>
      <c r="K188" t="s">
        <v>719</v>
      </c>
      <c r="L188">
        <v>1339</v>
      </c>
      <c r="N188">
        <v>1007</v>
      </c>
      <c r="O188" t="s">
        <v>81</v>
      </c>
      <c r="P188" t="s">
        <v>81</v>
      </c>
      <c r="Q188">
        <v>1</v>
      </c>
      <c r="X188">
        <v>5.3999999999999999E-2</v>
      </c>
      <c r="Y188">
        <v>10227.51</v>
      </c>
      <c r="Z188">
        <v>0</v>
      </c>
      <c r="AA188">
        <v>0</v>
      </c>
      <c r="AB188">
        <v>0</v>
      </c>
      <c r="AC188">
        <v>0</v>
      </c>
      <c r="AD188">
        <v>1</v>
      </c>
      <c r="AE188">
        <v>0</v>
      </c>
      <c r="AF188" t="s">
        <v>3</v>
      </c>
      <c r="AG188">
        <v>5.3999999999999999E-2</v>
      </c>
      <c r="AH188">
        <v>2</v>
      </c>
      <c r="AI188">
        <v>43096005</v>
      </c>
      <c r="AJ188">
        <v>202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</row>
    <row r="189" spans="1:44" x14ac:dyDescent="0.2">
      <c r="A189">
        <f>ROW(Source!A125)</f>
        <v>125</v>
      </c>
      <c r="B189">
        <v>43096016</v>
      </c>
      <c r="C189">
        <v>43095996</v>
      </c>
      <c r="D189">
        <v>42306195</v>
      </c>
      <c r="E189">
        <v>1</v>
      </c>
      <c r="F189">
        <v>1</v>
      </c>
      <c r="G189">
        <v>29</v>
      </c>
      <c r="H189">
        <v>3</v>
      </c>
      <c r="I189" t="s">
        <v>720</v>
      </c>
      <c r="J189" t="s">
        <v>721</v>
      </c>
      <c r="K189" t="s">
        <v>722</v>
      </c>
      <c r="L189">
        <v>1339</v>
      </c>
      <c r="N189">
        <v>1007</v>
      </c>
      <c r="O189" t="s">
        <v>81</v>
      </c>
      <c r="P189" t="s">
        <v>81</v>
      </c>
      <c r="Q189">
        <v>1</v>
      </c>
      <c r="X189">
        <v>0.312</v>
      </c>
      <c r="Y189">
        <v>3917.3</v>
      </c>
      <c r="Z189">
        <v>0</v>
      </c>
      <c r="AA189">
        <v>0</v>
      </c>
      <c r="AB189">
        <v>0</v>
      </c>
      <c r="AC189">
        <v>0</v>
      </c>
      <c r="AD189">
        <v>1</v>
      </c>
      <c r="AE189">
        <v>0</v>
      </c>
      <c r="AF189" t="s">
        <v>3</v>
      </c>
      <c r="AG189">
        <v>0.312</v>
      </c>
      <c r="AH189">
        <v>2</v>
      </c>
      <c r="AI189">
        <v>43096006</v>
      </c>
      <c r="AJ189">
        <v>203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</row>
    <row r="190" spans="1:44" x14ac:dyDescent="0.2">
      <c r="A190">
        <f>ROW(Source!A126)</f>
        <v>126</v>
      </c>
      <c r="B190">
        <v>43096033</v>
      </c>
      <c r="C190">
        <v>43096017</v>
      </c>
      <c r="D190">
        <v>42301367</v>
      </c>
      <c r="E190">
        <v>29</v>
      </c>
      <c r="F190">
        <v>1</v>
      </c>
      <c r="G190">
        <v>29</v>
      </c>
      <c r="H190">
        <v>1</v>
      </c>
      <c r="I190" t="s">
        <v>555</v>
      </c>
      <c r="J190" t="s">
        <v>3</v>
      </c>
      <c r="K190" t="s">
        <v>556</v>
      </c>
      <c r="L190">
        <v>1191</v>
      </c>
      <c r="N190">
        <v>1013</v>
      </c>
      <c r="O190" t="s">
        <v>557</v>
      </c>
      <c r="P190" t="s">
        <v>557</v>
      </c>
      <c r="Q190">
        <v>1</v>
      </c>
      <c r="X190">
        <v>95.84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1</v>
      </c>
      <c r="AE190">
        <v>1</v>
      </c>
      <c r="AF190" t="s">
        <v>3</v>
      </c>
      <c r="AG190">
        <v>95.84</v>
      </c>
      <c r="AH190">
        <v>2</v>
      </c>
      <c r="AI190">
        <v>43096023</v>
      </c>
      <c r="AJ190">
        <v>204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</row>
    <row r="191" spans="1:44" x14ac:dyDescent="0.2">
      <c r="A191">
        <f>ROW(Source!A126)</f>
        <v>126</v>
      </c>
      <c r="B191">
        <v>43096034</v>
      </c>
      <c r="C191">
        <v>43096017</v>
      </c>
      <c r="D191">
        <v>42304279</v>
      </c>
      <c r="E191">
        <v>1</v>
      </c>
      <c r="F191">
        <v>1</v>
      </c>
      <c r="G191">
        <v>29</v>
      </c>
      <c r="H191">
        <v>3</v>
      </c>
      <c r="I191" t="s">
        <v>711</v>
      </c>
      <c r="J191" t="s">
        <v>712</v>
      </c>
      <c r="K191" t="s">
        <v>713</v>
      </c>
      <c r="L191">
        <v>1348</v>
      </c>
      <c r="N191">
        <v>1009</v>
      </c>
      <c r="O191" t="s">
        <v>402</v>
      </c>
      <c r="P191" t="s">
        <v>402</v>
      </c>
      <c r="Q191">
        <v>1000</v>
      </c>
      <c r="X191">
        <v>6.0000000000000001E-3</v>
      </c>
      <c r="Y191">
        <v>88472.75</v>
      </c>
      <c r="Z191">
        <v>0</v>
      </c>
      <c r="AA191">
        <v>0</v>
      </c>
      <c r="AB191">
        <v>0</v>
      </c>
      <c r="AC191">
        <v>0</v>
      </c>
      <c r="AD191">
        <v>1</v>
      </c>
      <c r="AE191">
        <v>0</v>
      </c>
      <c r="AF191" t="s">
        <v>3</v>
      </c>
      <c r="AG191">
        <v>6.0000000000000001E-3</v>
      </c>
      <c r="AH191">
        <v>2</v>
      </c>
      <c r="AI191">
        <v>43096024</v>
      </c>
      <c r="AJ191">
        <v>205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</row>
    <row r="192" spans="1:44" x14ac:dyDescent="0.2">
      <c r="A192">
        <f>ROW(Source!A126)</f>
        <v>126</v>
      </c>
      <c r="B192">
        <v>43096035</v>
      </c>
      <c r="C192">
        <v>43096017</v>
      </c>
      <c r="D192">
        <v>42303861</v>
      </c>
      <c r="E192">
        <v>1</v>
      </c>
      <c r="F192">
        <v>1</v>
      </c>
      <c r="G192">
        <v>29</v>
      </c>
      <c r="H192">
        <v>3</v>
      </c>
      <c r="I192" t="s">
        <v>714</v>
      </c>
      <c r="J192" t="s">
        <v>715</v>
      </c>
      <c r="K192" t="s">
        <v>716</v>
      </c>
      <c r="L192">
        <v>1339</v>
      </c>
      <c r="N192">
        <v>1007</v>
      </c>
      <c r="O192" t="s">
        <v>81</v>
      </c>
      <c r="P192" t="s">
        <v>81</v>
      </c>
      <c r="Q192">
        <v>1</v>
      </c>
      <c r="X192">
        <v>0.20799999999999999</v>
      </c>
      <c r="Y192">
        <v>9080.02</v>
      </c>
      <c r="Z192">
        <v>0</v>
      </c>
      <c r="AA192">
        <v>0</v>
      </c>
      <c r="AB192">
        <v>0</v>
      </c>
      <c r="AC192">
        <v>0</v>
      </c>
      <c r="AD192">
        <v>1</v>
      </c>
      <c r="AE192">
        <v>0</v>
      </c>
      <c r="AF192" t="s">
        <v>3</v>
      </c>
      <c r="AG192">
        <v>0.20799999999999999</v>
      </c>
      <c r="AH192">
        <v>2</v>
      </c>
      <c r="AI192">
        <v>43096025</v>
      </c>
      <c r="AJ192">
        <v>206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</row>
    <row r="193" spans="1:44" x14ac:dyDescent="0.2">
      <c r="A193">
        <f>ROW(Source!A126)</f>
        <v>126</v>
      </c>
      <c r="B193">
        <v>43096036</v>
      </c>
      <c r="C193">
        <v>43096017</v>
      </c>
      <c r="D193">
        <v>42303904</v>
      </c>
      <c r="E193">
        <v>1</v>
      </c>
      <c r="F193">
        <v>1</v>
      </c>
      <c r="G193">
        <v>29</v>
      </c>
      <c r="H193">
        <v>3</v>
      </c>
      <c r="I193" t="s">
        <v>723</v>
      </c>
      <c r="J193" t="s">
        <v>724</v>
      </c>
      <c r="K193" t="s">
        <v>725</v>
      </c>
      <c r="L193">
        <v>1339</v>
      </c>
      <c r="N193">
        <v>1007</v>
      </c>
      <c r="O193" t="s">
        <v>81</v>
      </c>
      <c r="P193" t="s">
        <v>81</v>
      </c>
      <c r="Q193">
        <v>1</v>
      </c>
      <c r="X193">
        <v>0.18099999999999999</v>
      </c>
      <c r="Y193">
        <v>9420.01</v>
      </c>
      <c r="Z193">
        <v>0</v>
      </c>
      <c r="AA193">
        <v>0</v>
      </c>
      <c r="AB193">
        <v>0</v>
      </c>
      <c r="AC193">
        <v>0</v>
      </c>
      <c r="AD193">
        <v>1</v>
      </c>
      <c r="AE193">
        <v>0</v>
      </c>
      <c r="AF193" t="s">
        <v>3</v>
      </c>
      <c r="AG193">
        <v>0.18099999999999999</v>
      </c>
      <c r="AH193">
        <v>2</v>
      </c>
      <c r="AI193">
        <v>43096026</v>
      </c>
      <c r="AJ193">
        <v>207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</row>
    <row r="194" spans="1:44" x14ac:dyDescent="0.2">
      <c r="A194">
        <f>ROW(Source!A126)</f>
        <v>126</v>
      </c>
      <c r="B194">
        <v>43096037</v>
      </c>
      <c r="C194">
        <v>43096017</v>
      </c>
      <c r="D194">
        <v>42306195</v>
      </c>
      <c r="E194">
        <v>1</v>
      </c>
      <c r="F194">
        <v>1</v>
      </c>
      <c r="G194">
        <v>29</v>
      </c>
      <c r="H194">
        <v>3</v>
      </c>
      <c r="I194" t="s">
        <v>720</v>
      </c>
      <c r="J194" t="s">
        <v>721</v>
      </c>
      <c r="K194" t="s">
        <v>722</v>
      </c>
      <c r="L194">
        <v>1339</v>
      </c>
      <c r="N194">
        <v>1007</v>
      </c>
      <c r="O194" t="s">
        <v>81</v>
      </c>
      <c r="P194" t="s">
        <v>81</v>
      </c>
      <c r="Q194">
        <v>1</v>
      </c>
      <c r="X194">
        <v>1.04</v>
      </c>
      <c r="Y194">
        <v>3917.3</v>
      </c>
      <c r="Z194">
        <v>0</v>
      </c>
      <c r="AA194">
        <v>0</v>
      </c>
      <c r="AB194">
        <v>0</v>
      </c>
      <c r="AC194">
        <v>0</v>
      </c>
      <c r="AD194">
        <v>1</v>
      </c>
      <c r="AE194">
        <v>0</v>
      </c>
      <c r="AF194" t="s">
        <v>3</v>
      </c>
      <c r="AG194">
        <v>1.04</v>
      </c>
      <c r="AH194">
        <v>2</v>
      </c>
      <c r="AI194">
        <v>43096027</v>
      </c>
      <c r="AJ194">
        <v>208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</row>
    <row r="195" spans="1:44" x14ac:dyDescent="0.2">
      <c r="A195">
        <f>ROW(Source!A127)</f>
        <v>127</v>
      </c>
      <c r="B195">
        <v>43096048</v>
      </c>
      <c r="C195">
        <v>43096038</v>
      </c>
      <c r="D195">
        <v>42301367</v>
      </c>
      <c r="E195">
        <v>29</v>
      </c>
      <c r="F195">
        <v>1</v>
      </c>
      <c r="G195">
        <v>29</v>
      </c>
      <c r="H195">
        <v>1</v>
      </c>
      <c r="I195" t="s">
        <v>555</v>
      </c>
      <c r="J195" t="s">
        <v>3</v>
      </c>
      <c r="K195" t="s">
        <v>556</v>
      </c>
      <c r="L195">
        <v>1191</v>
      </c>
      <c r="N195">
        <v>1013</v>
      </c>
      <c r="O195" t="s">
        <v>557</v>
      </c>
      <c r="P195" t="s">
        <v>557</v>
      </c>
      <c r="Q195">
        <v>1</v>
      </c>
      <c r="X195">
        <v>205.6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1</v>
      </c>
      <c r="AE195">
        <v>1</v>
      </c>
      <c r="AF195" t="s">
        <v>3</v>
      </c>
      <c r="AG195">
        <v>205.6</v>
      </c>
      <c r="AH195">
        <v>2</v>
      </c>
      <c r="AI195">
        <v>43096042</v>
      </c>
      <c r="AJ195">
        <v>209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</row>
    <row r="196" spans="1:44" x14ac:dyDescent="0.2">
      <c r="A196">
        <f>ROW(Source!A127)</f>
        <v>127</v>
      </c>
      <c r="B196">
        <v>43096049</v>
      </c>
      <c r="C196">
        <v>43096038</v>
      </c>
      <c r="D196">
        <v>42306260</v>
      </c>
      <c r="E196">
        <v>1</v>
      </c>
      <c r="F196">
        <v>1</v>
      </c>
      <c r="G196">
        <v>29</v>
      </c>
      <c r="H196">
        <v>3</v>
      </c>
      <c r="I196" t="s">
        <v>726</v>
      </c>
      <c r="J196" t="s">
        <v>727</v>
      </c>
      <c r="K196" t="s">
        <v>728</v>
      </c>
      <c r="L196">
        <v>1339</v>
      </c>
      <c r="N196">
        <v>1007</v>
      </c>
      <c r="O196" t="s">
        <v>81</v>
      </c>
      <c r="P196" t="s">
        <v>81</v>
      </c>
      <c r="Q196">
        <v>1</v>
      </c>
      <c r="X196">
        <v>2.2000000000000002</v>
      </c>
      <c r="Y196">
        <v>3421.78</v>
      </c>
      <c r="Z196">
        <v>0</v>
      </c>
      <c r="AA196">
        <v>0</v>
      </c>
      <c r="AB196">
        <v>0</v>
      </c>
      <c r="AC196">
        <v>0</v>
      </c>
      <c r="AD196">
        <v>1</v>
      </c>
      <c r="AE196">
        <v>0</v>
      </c>
      <c r="AF196" t="s">
        <v>3</v>
      </c>
      <c r="AG196">
        <v>2.2000000000000002</v>
      </c>
      <c r="AH196">
        <v>2</v>
      </c>
      <c r="AI196">
        <v>43096043</v>
      </c>
      <c r="AJ196">
        <v>210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</row>
    <row r="197" spans="1:44" x14ac:dyDescent="0.2">
      <c r="A197">
        <f>ROW(Source!A127)</f>
        <v>127</v>
      </c>
      <c r="B197">
        <v>43096050</v>
      </c>
      <c r="C197">
        <v>43096038</v>
      </c>
      <c r="D197">
        <v>42301369</v>
      </c>
      <c r="E197">
        <v>29</v>
      </c>
      <c r="F197">
        <v>1</v>
      </c>
      <c r="G197">
        <v>29</v>
      </c>
      <c r="H197">
        <v>3</v>
      </c>
      <c r="I197" t="s">
        <v>729</v>
      </c>
      <c r="J197" t="s">
        <v>3</v>
      </c>
      <c r="K197" t="s">
        <v>730</v>
      </c>
      <c r="L197">
        <v>1348</v>
      </c>
      <c r="N197">
        <v>1009</v>
      </c>
      <c r="O197" t="s">
        <v>402</v>
      </c>
      <c r="P197" t="s">
        <v>402</v>
      </c>
      <c r="Q197">
        <v>1000</v>
      </c>
      <c r="X197">
        <v>3.38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1</v>
      </c>
      <c r="AE197">
        <v>0</v>
      </c>
      <c r="AF197" t="s">
        <v>3</v>
      </c>
      <c r="AG197">
        <v>3.38</v>
      </c>
      <c r="AH197">
        <v>2</v>
      </c>
      <c r="AI197">
        <v>43096044</v>
      </c>
      <c r="AJ197">
        <v>211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</row>
    <row r="198" spans="1:44" x14ac:dyDescent="0.2">
      <c r="A198">
        <f>ROW(Source!A128)</f>
        <v>128</v>
      </c>
      <c r="B198">
        <v>43096076</v>
      </c>
      <c r="C198">
        <v>43096051</v>
      </c>
      <c r="D198">
        <v>42301367</v>
      </c>
      <c r="E198">
        <v>29</v>
      </c>
      <c r="F198">
        <v>1</v>
      </c>
      <c r="G198">
        <v>29</v>
      </c>
      <c r="H198">
        <v>1</v>
      </c>
      <c r="I198" t="s">
        <v>555</v>
      </c>
      <c r="J198" t="s">
        <v>3</v>
      </c>
      <c r="K198" t="s">
        <v>556</v>
      </c>
      <c r="L198">
        <v>1191</v>
      </c>
      <c r="N198">
        <v>1013</v>
      </c>
      <c r="O198" t="s">
        <v>557</v>
      </c>
      <c r="P198" t="s">
        <v>557</v>
      </c>
      <c r="Q198">
        <v>1</v>
      </c>
      <c r="X198">
        <v>26.3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1</v>
      </c>
      <c r="AE198">
        <v>1</v>
      </c>
      <c r="AF198" t="s">
        <v>3</v>
      </c>
      <c r="AG198">
        <v>26.3</v>
      </c>
      <c r="AH198">
        <v>2</v>
      </c>
      <c r="AI198">
        <v>43096060</v>
      </c>
      <c r="AJ198">
        <v>212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</row>
    <row r="199" spans="1:44" x14ac:dyDescent="0.2">
      <c r="A199">
        <f>ROW(Source!A128)</f>
        <v>128</v>
      </c>
      <c r="B199">
        <v>43096077</v>
      </c>
      <c r="C199">
        <v>43096051</v>
      </c>
      <c r="D199">
        <v>42305225</v>
      </c>
      <c r="E199">
        <v>1</v>
      </c>
      <c r="F199">
        <v>1</v>
      </c>
      <c r="G199">
        <v>29</v>
      </c>
      <c r="H199">
        <v>3</v>
      </c>
      <c r="I199" t="s">
        <v>79</v>
      </c>
      <c r="J199" t="s">
        <v>82</v>
      </c>
      <c r="K199" t="s">
        <v>80</v>
      </c>
      <c r="L199">
        <v>1339</v>
      </c>
      <c r="N199">
        <v>1007</v>
      </c>
      <c r="O199" t="s">
        <v>81</v>
      </c>
      <c r="P199" t="s">
        <v>81</v>
      </c>
      <c r="Q199">
        <v>1</v>
      </c>
      <c r="X199">
        <v>0.24</v>
      </c>
      <c r="Y199">
        <v>36.31</v>
      </c>
      <c r="Z199">
        <v>0</v>
      </c>
      <c r="AA199">
        <v>0</v>
      </c>
      <c r="AB199">
        <v>0</v>
      </c>
      <c r="AC199">
        <v>0</v>
      </c>
      <c r="AD199">
        <v>1</v>
      </c>
      <c r="AE199">
        <v>0</v>
      </c>
      <c r="AF199" t="s">
        <v>3</v>
      </c>
      <c r="AG199">
        <v>0.24</v>
      </c>
      <c r="AH199">
        <v>2</v>
      </c>
      <c r="AI199">
        <v>43096061</v>
      </c>
      <c r="AJ199">
        <v>213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</row>
    <row r="200" spans="1:44" x14ac:dyDescent="0.2">
      <c r="A200">
        <f>ROW(Source!A128)</f>
        <v>128</v>
      </c>
      <c r="B200">
        <v>43096078</v>
      </c>
      <c r="C200">
        <v>43096051</v>
      </c>
      <c r="D200">
        <v>42305379</v>
      </c>
      <c r="E200">
        <v>1</v>
      </c>
      <c r="F200">
        <v>1</v>
      </c>
      <c r="G200">
        <v>29</v>
      </c>
      <c r="H200">
        <v>3</v>
      </c>
      <c r="I200" t="s">
        <v>731</v>
      </c>
      <c r="J200" t="s">
        <v>732</v>
      </c>
      <c r="K200" t="s">
        <v>733</v>
      </c>
      <c r="L200">
        <v>1348</v>
      </c>
      <c r="N200">
        <v>1009</v>
      </c>
      <c r="O200" t="s">
        <v>402</v>
      </c>
      <c r="P200" t="s">
        <v>402</v>
      </c>
      <c r="Q200">
        <v>1000</v>
      </c>
      <c r="X200">
        <v>1.2E-2</v>
      </c>
      <c r="Y200">
        <v>3290.37</v>
      </c>
      <c r="Z200">
        <v>0</v>
      </c>
      <c r="AA200">
        <v>0</v>
      </c>
      <c r="AB200">
        <v>0</v>
      </c>
      <c r="AC200">
        <v>0</v>
      </c>
      <c r="AD200">
        <v>1</v>
      </c>
      <c r="AE200">
        <v>0</v>
      </c>
      <c r="AF200" t="s">
        <v>3</v>
      </c>
      <c r="AG200">
        <v>1.2E-2</v>
      </c>
      <c r="AH200">
        <v>2</v>
      </c>
      <c r="AI200">
        <v>43096062</v>
      </c>
      <c r="AJ200">
        <v>214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</row>
    <row r="201" spans="1:44" x14ac:dyDescent="0.2">
      <c r="A201">
        <f>ROW(Source!A128)</f>
        <v>128</v>
      </c>
      <c r="B201">
        <v>43096079</v>
      </c>
      <c r="C201">
        <v>43096051</v>
      </c>
      <c r="D201">
        <v>42305385</v>
      </c>
      <c r="E201">
        <v>1</v>
      </c>
      <c r="F201">
        <v>1</v>
      </c>
      <c r="G201">
        <v>29</v>
      </c>
      <c r="H201">
        <v>3</v>
      </c>
      <c r="I201" t="s">
        <v>734</v>
      </c>
      <c r="J201" t="s">
        <v>735</v>
      </c>
      <c r="K201" t="s">
        <v>736</v>
      </c>
      <c r="L201">
        <v>1348</v>
      </c>
      <c r="N201">
        <v>1009</v>
      </c>
      <c r="O201" t="s">
        <v>402</v>
      </c>
      <c r="P201" t="s">
        <v>402</v>
      </c>
      <c r="Q201">
        <v>1000</v>
      </c>
      <c r="X201">
        <v>6.4000000000000005E-4</v>
      </c>
      <c r="Y201">
        <v>37604.99</v>
      </c>
      <c r="Z201">
        <v>0</v>
      </c>
      <c r="AA201">
        <v>0</v>
      </c>
      <c r="AB201">
        <v>0</v>
      </c>
      <c r="AC201">
        <v>0</v>
      </c>
      <c r="AD201">
        <v>1</v>
      </c>
      <c r="AE201">
        <v>0</v>
      </c>
      <c r="AF201" t="s">
        <v>3</v>
      </c>
      <c r="AG201">
        <v>6.4000000000000005E-4</v>
      </c>
      <c r="AH201">
        <v>2</v>
      </c>
      <c r="AI201">
        <v>43096063</v>
      </c>
      <c r="AJ201">
        <v>215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</row>
    <row r="202" spans="1:44" x14ac:dyDescent="0.2">
      <c r="A202">
        <f>ROW(Source!A128)</f>
        <v>128</v>
      </c>
      <c r="B202">
        <v>43096080</v>
      </c>
      <c r="C202">
        <v>43096051</v>
      </c>
      <c r="D202">
        <v>42305576</v>
      </c>
      <c r="E202">
        <v>1</v>
      </c>
      <c r="F202">
        <v>1</v>
      </c>
      <c r="G202">
        <v>29</v>
      </c>
      <c r="H202">
        <v>3</v>
      </c>
      <c r="I202" t="s">
        <v>737</v>
      </c>
      <c r="J202" t="s">
        <v>738</v>
      </c>
      <c r="K202" t="s">
        <v>739</v>
      </c>
      <c r="L202">
        <v>1327</v>
      </c>
      <c r="N202">
        <v>1005</v>
      </c>
      <c r="O202" t="s">
        <v>94</v>
      </c>
      <c r="P202" t="s">
        <v>94</v>
      </c>
      <c r="Q202">
        <v>1</v>
      </c>
      <c r="X202">
        <v>0.8</v>
      </c>
      <c r="Y202">
        <v>333.42</v>
      </c>
      <c r="Z202">
        <v>0</v>
      </c>
      <c r="AA202">
        <v>0</v>
      </c>
      <c r="AB202">
        <v>0</v>
      </c>
      <c r="AC202">
        <v>0</v>
      </c>
      <c r="AD202">
        <v>1</v>
      </c>
      <c r="AE202">
        <v>0</v>
      </c>
      <c r="AF202" t="s">
        <v>3</v>
      </c>
      <c r="AG202">
        <v>0.8</v>
      </c>
      <c r="AH202">
        <v>2</v>
      </c>
      <c r="AI202">
        <v>43096064</v>
      </c>
      <c r="AJ202">
        <v>216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</row>
    <row r="203" spans="1:44" x14ac:dyDescent="0.2">
      <c r="A203">
        <f>ROW(Source!A128)</f>
        <v>128</v>
      </c>
      <c r="B203">
        <v>43096081</v>
      </c>
      <c r="C203">
        <v>43096051</v>
      </c>
      <c r="D203">
        <v>42305595</v>
      </c>
      <c r="E203">
        <v>1</v>
      </c>
      <c r="F203">
        <v>1</v>
      </c>
      <c r="G203">
        <v>29</v>
      </c>
      <c r="H203">
        <v>3</v>
      </c>
      <c r="I203" t="s">
        <v>740</v>
      </c>
      <c r="J203" t="s">
        <v>741</v>
      </c>
      <c r="K203" t="s">
        <v>742</v>
      </c>
      <c r="L203">
        <v>1348</v>
      </c>
      <c r="N203">
        <v>1009</v>
      </c>
      <c r="O203" t="s">
        <v>402</v>
      </c>
      <c r="P203" t="s">
        <v>402</v>
      </c>
      <c r="Q203">
        <v>1000</v>
      </c>
      <c r="X203">
        <v>6.4000000000000003E-3</v>
      </c>
      <c r="Y203">
        <v>26217.02</v>
      </c>
      <c r="Z203">
        <v>0</v>
      </c>
      <c r="AA203">
        <v>0</v>
      </c>
      <c r="AB203">
        <v>0</v>
      </c>
      <c r="AC203">
        <v>0</v>
      </c>
      <c r="AD203">
        <v>1</v>
      </c>
      <c r="AE203">
        <v>0</v>
      </c>
      <c r="AF203" t="s">
        <v>3</v>
      </c>
      <c r="AG203">
        <v>6.4000000000000003E-3</v>
      </c>
      <c r="AH203">
        <v>2</v>
      </c>
      <c r="AI203">
        <v>43096065</v>
      </c>
      <c r="AJ203">
        <v>217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</row>
    <row r="204" spans="1:44" x14ac:dyDescent="0.2">
      <c r="A204">
        <f>ROW(Source!A128)</f>
        <v>128</v>
      </c>
      <c r="B204">
        <v>43096082</v>
      </c>
      <c r="C204">
        <v>43096051</v>
      </c>
      <c r="D204">
        <v>42305287</v>
      </c>
      <c r="E204">
        <v>1</v>
      </c>
      <c r="F204">
        <v>1</v>
      </c>
      <c r="G204">
        <v>29</v>
      </c>
      <c r="H204">
        <v>3</v>
      </c>
      <c r="I204" t="s">
        <v>743</v>
      </c>
      <c r="J204" t="s">
        <v>744</v>
      </c>
      <c r="K204" t="s">
        <v>745</v>
      </c>
      <c r="L204">
        <v>1348</v>
      </c>
      <c r="N204">
        <v>1009</v>
      </c>
      <c r="O204" t="s">
        <v>402</v>
      </c>
      <c r="P204" t="s">
        <v>402</v>
      </c>
      <c r="Q204">
        <v>1000</v>
      </c>
      <c r="X204">
        <v>2.4299999999999999E-3</v>
      </c>
      <c r="Y204">
        <v>546290.88</v>
      </c>
      <c r="Z204">
        <v>0</v>
      </c>
      <c r="AA204">
        <v>0</v>
      </c>
      <c r="AB204">
        <v>0</v>
      </c>
      <c r="AC204">
        <v>0</v>
      </c>
      <c r="AD204">
        <v>1</v>
      </c>
      <c r="AE204">
        <v>0</v>
      </c>
      <c r="AF204" t="s">
        <v>3</v>
      </c>
      <c r="AG204">
        <v>2.4299999999999999E-3</v>
      </c>
      <c r="AH204">
        <v>2</v>
      </c>
      <c r="AI204">
        <v>43096066</v>
      </c>
      <c r="AJ204">
        <v>218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</row>
    <row r="205" spans="1:44" x14ac:dyDescent="0.2">
      <c r="A205">
        <f>ROW(Source!A128)</f>
        <v>128</v>
      </c>
      <c r="B205">
        <v>43096083</v>
      </c>
      <c r="C205">
        <v>43096051</v>
      </c>
      <c r="D205">
        <v>42303642</v>
      </c>
      <c r="E205">
        <v>1</v>
      </c>
      <c r="F205">
        <v>1</v>
      </c>
      <c r="G205">
        <v>29</v>
      </c>
      <c r="H205">
        <v>3</v>
      </c>
      <c r="I205" t="s">
        <v>746</v>
      </c>
      <c r="J205" t="s">
        <v>747</v>
      </c>
      <c r="K205" t="s">
        <v>748</v>
      </c>
      <c r="L205">
        <v>1348</v>
      </c>
      <c r="N205">
        <v>1009</v>
      </c>
      <c r="O205" t="s">
        <v>402</v>
      </c>
      <c r="P205" t="s">
        <v>402</v>
      </c>
      <c r="Q205">
        <v>1000</v>
      </c>
      <c r="X205">
        <v>6.7000000000000004E-2</v>
      </c>
      <c r="Y205">
        <v>85201.19</v>
      </c>
      <c r="Z205">
        <v>0</v>
      </c>
      <c r="AA205">
        <v>0</v>
      </c>
      <c r="AB205">
        <v>0</v>
      </c>
      <c r="AC205">
        <v>0</v>
      </c>
      <c r="AD205">
        <v>1</v>
      </c>
      <c r="AE205">
        <v>0</v>
      </c>
      <c r="AF205" t="s">
        <v>3</v>
      </c>
      <c r="AG205">
        <v>6.7000000000000004E-2</v>
      </c>
      <c r="AH205">
        <v>2</v>
      </c>
      <c r="AI205">
        <v>43096067</v>
      </c>
      <c r="AJ205">
        <v>219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</row>
    <row r="206" spans="1:44" x14ac:dyDescent="0.2">
      <c r="A206">
        <f>ROW(Source!A129)</f>
        <v>129</v>
      </c>
      <c r="B206">
        <v>43096091</v>
      </c>
      <c r="C206">
        <v>43096084</v>
      </c>
      <c r="D206">
        <v>42301367</v>
      </c>
      <c r="E206">
        <v>29</v>
      </c>
      <c r="F206">
        <v>1</v>
      </c>
      <c r="G206">
        <v>29</v>
      </c>
      <c r="H206">
        <v>1</v>
      </c>
      <c r="I206" t="s">
        <v>555</v>
      </c>
      <c r="J206" t="s">
        <v>3</v>
      </c>
      <c r="K206" t="s">
        <v>556</v>
      </c>
      <c r="L206">
        <v>1191</v>
      </c>
      <c r="N206">
        <v>1013</v>
      </c>
      <c r="O206" t="s">
        <v>557</v>
      </c>
      <c r="P206" t="s">
        <v>557</v>
      </c>
      <c r="Q206">
        <v>1</v>
      </c>
      <c r="X206">
        <v>19.05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1</v>
      </c>
      <c r="AE206">
        <v>1</v>
      </c>
      <c r="AF206" t="s">
        <v>3</v>
      </c>
      <c r="AG206">
        <v>19.05</v>
      </c>
      <c r="AH206">
        <v>2</v>
      </c>
      <c r="AI206">
        <v>43096087</v>
      </c>
      <c r="AJ206">
        <v>220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</row>
    <row r="207" spans="1:44" x14ac:dyDescent="0.2">
      <c r="A207">
        <f>ROW(Source!A129)</f>
        <v>129</v>
      </c>
      <c r="B207">
        <v>43096092</v>
      </c>
      <c r="C207">
        <v>43096084</v>
      </c>
      <c r="D207">
        <v>42307588</v>
      </c>
      <c r="E207">
        <v>1</v>
      </c>
      <c r="F207">
        <v>1</v>
      </c>
      <c r="G207">
        <v>29</v>
      </c>
      <c r="H207">
        <v>3</v>
      </c>
      <c r="I207" t="s">
        <v>749</v>
      </c>
      <c r="J207" t="s">
        <v>750</v>
      </c>
      <c r="K207" t="s">
        <v>751</v>
      </c>
      <c r="L207">
        <v>1035</v>
      </c>
      <c r="N207">
        <v>1013</v>
      </c>
      <c r="O207" t="s">
        <v>752</v>
      </c>
      <c r="P207" t="s">
        <v>752</v>
      </c>
      <c r="Q207">
        <v>1</v>
      </c>
      <c r="X207">
        <v>100</v>
      </c>
      <c r="Y207">
        <v>171.69</v>
      </c>
      <c r="Z207">
        <v>0</v>
      </c>
      <c r="AA207">
        <v>0</v>
      </c>
      <c r="AB207">
        <v>0</v>
      </c>
      <c r="AC207">
        <v>0</v>
      </c>
      <c r="AD207">
        <v>1</v>
      </c>
      <c r="AE207">
        <v>0</v>
      </c>
      <c r="AF207" t="s">
        <v>3</v>
      </c>
      <c r="AG207">
        <v>100</v>
      </c>
      <c r="AH207">
        <v>2</v>
      </c>
      <c r="AI207">
        <v>43096088</v>
      </c>
      <c r="AJ207">
        <v>221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</row>
    <row r="208" spans="1:44" x14ac:dyDescent="0.2">
      <c r="A208">
        <f>ROW(Source!A130)</f>
        <v>130</v>
      </c>
      <c r="B208">
        <v>43096110</v>
      </c>
      <c r="C208">
        <v>43096093</v>
      </c>
      <c r="D208">
        <v>42301367</v>
      </c>
      <c r="E208">
        <v>29</v>
      </c>
      <c r="F208">
        <v>1</v>
      </c>
      <c r="G208">
        <v>29</v>
      </c>
      <c r="H208">
        <v>1</v>
      </c>
      <c r="I208" t="s">
        <v>555</v>
      </c>
      <c r="J208" t="s">
        <v>3</v>
      </c>
      <c r="K208" t="s">
        <v>556</v>
      </c>
      <c r="L208">
        <v>1191</v>
      </c>
      <c r="N208">
        <v>1013</v>
      </c>
      <c r="O208" t="s">
        <v>557</v>
      </c>
      <c r="P208" t="s">
        <v>557</v>
      </c>
      <c r="Q208">
        <v>1</v>
      </c>
      <c r="X208">
        <v>67.5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1</v>
      </c>
      <c r="AE208">
        <v>1</v>
      </c>
      <c r="AF208" t="s">
        <v>3</v>
      </c>
      <c r="AG208">
        <v>67.5</v>
      </c>
      <c r="AH208">
        <v>2</v>
      </c>
      <c r="AI208">
        <v>43096102</v>
      </c>
      <c r="AJ208">
        <v>222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</row>
    <row r="209" spans="1:44" x14ac:dyDescent="0.2">
      <c r="A209">
        <f>ROW(Source!A130)</f>
        <v>130</v>
      </c>
      <c r="B209">
        <v>43096111</v>
      </c>
      <c r="C209">
        <v>43096093</v>
      </c>
      <c r="D209">
        <v>42302736</v>
      </c>
      <c r="E209">
        <v>1</v>
      </c>
      <c r="F209">
        <v>1</v>
      </c>
      <c r="G209">
        <v>29</v>
      </c>
      <c r="H209">
        <v>2</v>
      </c>
      <c r="I209" t="s">
        <v>690</v>
      </c>
      <c r="J209" t="s">
        <v>691</v>
      </c>
      <c r="K209" t="s">
        <v>692</v>
      </c>
      <c r="L209">
        <v>1368</v>
      </c>
      <c r="N209">
        <v>1011</v>
      </c>
      <c r="O209" t="s">
        <v>480</v>
      </c>
      <c r="P209" t="s">
        <v>480</v>
      </c>
      <c r="Q209">
        <v>1</v>
      </c>
      <c r="X209">
        <v>14.12</v>
      </c>
      <c r="Y209">
        <v>0</v>
      </c>
      <c r="Z209">
        <v>366.19</v>
      </c>
      <c r="AA209">
        <v>7.37</v>
      </c>
      <c r="AB209">
        <v>0</v>
      </c>
      <c r="AC209">
        <v>0</v>
      </c>
      <c r="AD209">
        <v>1</v>
      </c>
      <c r="AE209">
        <v>0</v>
      </c>
      <c r="AF209" t="s">
        <v>3</v>
      </c>
      <c r="AG209">
        <v>14.12</v>
      </c>
      <c r="AH209">
        <v>2</v>
      </c>
      <c r="AI209">
        <v>43096103</v>
      </c>
      <c r="AJ209">
        <v>223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</row>
    <row r="210" spans="1:44" x14ac:dyDescent="0.2">
      <c r="A210">
        <f>ROW(Source!A130)</f>
        <v>130</v>
      </c>
      <c r="B210">
        <v>43096112</v>
      </c>
      <c r="C210">
        <v>43096093</v>
      </c>
      <c r="D210">
        <v>42304254</v>
      </c>
      <c r="E210">
        <v>1</v>
      </c>
      <c r="F210">
        <v>1</v>
      </c>
      <c r="G210">
        <v>29</v>
      </c>
      <c r="H210">
        <v>3</v>
      </c>
      <c r="I210" t="s">
        <v>663</v>
      </c>
      <c r="J210" t="s">
        <v>664</v>
      </c>
      <c r="K210" t="s">
        <v>665</v>
      </c>
      <c r="L210">
        <v>1348</v>
      </c>
      <c r="N210">
        <v>1009</v>
      </c>
      <c r="O210" t="s">
        <v>402</v>
      </c>
      <c r="P210" t="s">
        <v>402</v>
      </c>
      <c r="Q210">
        <v>1000</v>
      </c>
      <c r="X210">
        <v>2.5400000000000002E-3</v>
      </c>
      <c r="Y210">
        <v>146451.23000000001</v>
      </c>
      <c r="Z210">
        <v>0</v>
      </c>
      <c r="AA210">
        <v>0</v>
      </c>
      <c r="AB210">
        <v>0</v>
      </c>
      <c r="AC210">
        <v>0</v>
      </c>
      <c r="AD210">
        <v>1</v>
      </c>
      <c r="AE210">
        <v>0</v>
      </c>
      <c r="AF210" t="s">
        <v>3</v>
      </c>
      <c r="AG210">
        <v>2.5400000000000002E-3</v>
      </c>
      <c r="AH210">
        <v>2</v>
      </c>
      <c r="AI210">
        <v>43096104</v>
      </c>
      <c r="AJ210">
        <v>224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</row>
    <row r="211" spans="1:44" x14ac:dyDescent="0.2">
      <c r="A211">
        <f>ROW(Source!A130)</f>
        <v>130</v>
      </c>
      <c r="B211">
        <v>43096113</v>
      </c>
      <c r="C211">
        <v>43096093</v>
      </c>
      <c r="D211">
        <v>42305119</v>
      </c>
      <c r="E211">
        <v>1</v>
      </c>
      <c r="F211">
        <v>1</v>
      </c>
      <c r="G211">
        <v>29</v>
      </c>
      <c r="H211">
        <v>3</v>
      </c>
      <c r="I211" t="s">
        <v>753</v>
      </c>
      <c r="J211" t="s">
        <v>754</v>
      </c>
      <c r="K211" t="s">
        <v>755</v>
      </c>
      <c r="L211">
        <v>1348</v>
      </c>
      <c r="N211">
        <v>1009</v>
      </c>
      <c r="O211" t="s">
        <v>402</v>
      </c>
      <c r="P211" t="s">
        <v>402</v>
      </c>
      <c r="Q211">
        <v>1000</v>
      </c>
      <c r="X211">
        <v>3.3600000000000001E-3</v>
      </c>
      <c r="Y211">
        <v>110835.3</v>
      </c>
      <c r="Z211">
        <v>0</v>
      </c>
      <c r="AA211">
        <v>0</v>
      </c>
      <c r="AB211">
        <v>0</v>
      </c>
      <c r="AC211">
        <v>0</v>
      </c>
      <c r="AD211">
        <v>1</v>
      </c>
      <c r="AE211">
        <v>0</v>
      </c>
      <c r="AF211" t="s">
        <v>3</v>
      </c>
      <c r="AG211">
        <v>3.3600000000000001E-3</v>
      </c>
      <c r="AH211">
        <v>2</v>
      </c>
      <c r="AI211">
        <v>43096105</v>
      </c>
      <c r="AJ211">
        <v>225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</row>
    <row r="212" spans="1:44" x14ac:dyDescent="0.2">
      <c r="A212">
        <f>ROW(Source!A135)</f>
        <v>135</v>
      </c>
      <c r="B212">
        <v>43096146</v>
      </c>
      <c r="C212">
        <v>43096118</v>
      </c>
      <c r="D212">
        <v>42301367</v>
      </c>
      <c r="E212">
        <v>29</v>
      </c>
      <c r="F212">
        <v>1</v>
      </c>
      <c r="G212">
        <v>29</v>
      </c>
      <c r="H212">
        <v>1</v>
      </c>
      <c r="I212" t="s">
        <v>555</v>
      </c>
      <c r="J212" t="s">
        <v>3</v>
      </c>
      <c r="K212" t="s">
        <v>556</v>
      </c>
      <c r="L212">
        <v>1191</v>
      </c>
      <c r="N212">
        <v>1013</v>
      </c>
      <c r="O212" t="s">
        <v>557</v>
      </c>
      <c r="P212" t="s">
        <v>557</v>
      </c>
      <c r="Q212">
        <v>1</v>
      </c>
      <c r="X212">
        <v>10.66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1</v>
      </c>
      <c r="AE212">
        <v>1</v>
      </c>
      <c r="AF212" t="s">
        <v>3</v>
      </c>
      <c r="AG212">
        <v>10.66</v>
      </c>
      <c r="AH212">
        <v>2</v>
      </c>
      <c r="AI212">
        <v>43096128</v>
      </c>
      <c r="AJ212">
        <v>226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</row>
    <row r="213" spans="1:44" x14ac:dyDescent="0.2">
      <c r="A213">
        <f>ROW(Source!A135)</f>
        <v>135</v>
      </c>
      <c r="B213">
        <v>43096147</v>
      </c>
      <c r="C213">
        <v>43096118</v>
      </c>
      <c r="D213">
        <v>42302736</v>
      </c>
      <c r="E213">
        <v>1</v>
      </c>
      <c r="F213">
        <v>1</v>
      </c>
      <c r="G213">
        <v>29</v>
      </c>
      <c r="H213">
        <v>2</v>
      </c>
      <c r="I213" t="s">
        <v>690</v>
      </c>
      <c r="J213" t="s">
        <v>691</v>
      </c>
      <c r="K213" t="s">
        <v>692</v>
      </c>
      <c r="L213">
        <v>1368</v>
      </c>
      <c r="N213">
        <v>1011</v>
      </c>
      <c r="O213" t="s">
        <v>480</v>
      </c>
      <c r="P213" t="s">
        <v>480</v>
      </c>
      <c r="Q213">
        <v>1</v>
      </c>
      <c r="X213">
        <v>3.24</v>
      </c>
      <c r="Y213">
        <v>0</v>
      </c>
      <c r="Z213">
        <v>366.19</v>
      </c>
      <c r="AA213">
        <v>7.37</v>
      </c>
      <c r="AB213">
        <v>0</v>
      </c>
      <c r="AC213">
        <v>0</v>
      </c>
      <c r="AD213">
        <v>1</v>
      </c>
      <c r="AE213">
        <v>0</v>
      </c>
      <c r="AF213" t="s">
        <v>3</v>
      </c>
      <c r="AG213">
        <v>3.24</v>
      </c>
      <c r="AH213">
        <v>2</v>
      </c>
      <c r="AI213">
        <v>43096129</v>
      </c>
      <c r="AJ213">
        <v>227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</row>
    <row r="214" spans="1:44" x14ac:dyDescent="0.2">
      <c r="A214">
        <f>ROW(Source!A135)</f>
        <v>135</v>
      </c>
      <c r="B214">
        <v>43096148</v>
      </c>
      <c r="C214">
        <v>43096118</v>
      </c>
      <c r="D214">
        <v>42303124</v>
      </c>
      <c r="E214">
        <v>1</v>
      </c>
      <c r="F214">
        <v>1</v>
      </c>
      <c r="G214">
        <v>29</v>
      </c>
      <c r="H214">
        <v>2</v>
      </c>
      <c r="I214" t="s">
        <v>633</v>
      </c>
      <c r="J214" t="s">
        <v>634</v>
      </c>
      <c r="K214" t="s">
        <v>635</v>
      </c>
      <c r="L214">
        <v>1368</v>
      </c>
      <c r="N214">
        <v>1011</v>
      </c>
      <c r="O214" t="s">
        <v>480</v>
      </c>
      <c r="P214" t="s">
        <v>480</v>
      </c>
      <c r="Q214">
        <v>1</v>
      </c>
      <c r="X214">
        <v>2.38</v>
      </c>
      <c r="Y214">
        <v>0</v>
      </c>
      <c r="Z214">
        <v>3.14</v>
      </c>
      <c r="AA214">
        <v>0.01</v>
      </c>
      <c r="AB214">
        <v>0</v>
      </c>
      <c r="AC214">
        <v>0</v>
      </c>
      <c r="AD214">
        <v>1</v>
      </c>
      <c r="AE214">
        <v>0</v>
      </c>
      <c r="AF214" t="s">
        <v>3</v>
      </c>
      <c r="AG214">
        <v>2.38</v>
      </c>
      <c r="AH214">
        <v>2</v>
      </c>
      <c r="AI214">
        <v>43096130</v>
      </c>
      <c r="AJ214">
        <v>228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</row>
    <row r="215" spans="1:44" x14ac:dyDescent="0.2">
      <c r="A215">
        <f>ROW(Source!A135)</f>
        <v>135</v>
      </c>
      <c r="B215">
        <v>43096149</v>
      </c>
      <c r="C215">
        <v>43096118</v>
      </c>
      <c r="D215">
        <v>42302401</v>
      </c>
      <c r="E215">
        <v>1</v>
      </c>
      <c r="F215">
        <v>1</v>
      </c>
      <c r="G215">
        <v>29</v>
      </c>
      <c r="H215">
        <v>2</v>
      </c>
      <c r="I215" t="s">
        <v>756</v>
      </c>
      <c r="J215" t="s">
        <v>757</v>
      </c>
      <c r="K215" t="s">
        <v>758</v>
      </c>
      <c r="L215">
        <v>1368</v>
      </c>
      <c r="N215">
        <v>1011</v>
      </c>
      <c r="O215" t="s">
        <v>480</v>
      </c>
      <c r="P215" t="s">
        <v>480</v>
      </c>
      <c r="Q215">
        <v>1</v>
      </c>
      <c r="X215">
        <v>3.59</v>
      </c>
      <c r="Y215">
        <v>0</v>
      </c>
      <c r="Z215">
        <v>1120.82</v>
      </c>
      <c r="AA215">
        <v>545.34</v>
      </c>
      <c r="AB215">
        <v>0</v>
      </c>
      <c r="AC215">
        <v>0</v>
      </c>
      <c r="AD215">
        <v>1</v>
      </c>
      <c r="AE215">
        <v>0</v>
      </c>
      <c r="AF215" t="s">
        <v>3</v>
      </c>
      <c r="AG215">
        <v>3.59</v>
      </c>
      <c r="AH215">
        <v>2</v>
      </c>
      <c r="AI215">
        <v>43096131</v>
      </c>
      <c r="AJ215">
        <v>229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</row>
    <row r="216" spans="1:44" x14ac:dyDescent="0.2">
      <c r="A216">
        <f>ROW(Source!A135)</f>
        <v>135</v>
      </c>
      <c r="B216">
        <v>43096150</v>
      </c>
      <c r="C216">
        <v>43096118</v>
      </c>
      <c r="D216">
        <v>42304366</v>
      </c>
      <c r="E216">
        <v>1</v>
      </c>
      <c r="F216">
        <v>1</v>
      </c>
      <c r="G216">
        <v>29</v>
      </c>
      <c r="H216">
        <v>3</v>
      </c>
      <c r="I216" t="s">
        <v>759</v>
      </c>
      <c r="J216" t="s">
        <v>760</v>
      </c>
      <c r="K216" t="s">
        <v>761</v>
      </c>
      <c r="L216">
        <v>1035</v>
      </c>
      <c r="N216">
        <v>1013</v>
      </c>
      <c r="O216" t="s">
        <v>752</v>
      </c>
      <c r="P216" t="s">
        <v>752</v>
      </c>
      <c r="Q216">
        <v>1</v>
      </c>
      <c r="X216">
        <v>43.4</v>
      </c>
      <c r="Y216">
        <v>11.27</v>
      </c>
      <c r="Z216">
        <v>0</v>
      </c>
      <c r="AA216">
        <v>0</v>
      </c>
      <c r="AB216">
        <v>0</v>
      </c>
      <c r="AC216">
        <v>0</v>
      </c>
      <c r="AD216">
        <v>1</v>
      </c>
      <c r="AE216">
        <v>0</v>
      </c>
      <c r="AF216" t="s">
        <v>3</v>
      </c>
      <c r="AG216">
        <v>43.4</v>
      </c>
      <c r="AH216">
        <v>2</v>
      </c>
      <c r="AI216">
        <v>43096132</v>
      </c>
      <c r="AJ216">
        <v>230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</row>
    <row r="217" spans="1:44" x14ac:dyDescent="0.2">
      <c r="A217">
        <f>ROW(Source!A135)</f>
        <v>135</v>
      </c>
      <c r="B217">
        <v>43096151</v>
      </c>
      <c r="C217">
        <v>43096118</v>
      </c>
      <c r="D217">
        <v>42304249</v>
      </c>
      <c r="E217">
        <v>1</v>
      </c>
      <c r="F217">
        <v>1</v>
      </c>
      <c r="G217">
        <v>29</v>
      </c>
      <c r="H217">
        <v>3</v>
      </c>
      <c r="I217" t="s">
        <v>762</v>
      </c>
      <c r="J217" t="s">
        <v>763</v>
      </c>
      <c r="K217" t="s">
        <v>764</v>
      </c>
      <c r="L217">
        <v>1348</v>
      </c>
      <c r="N217">
        <v>1009</v>
      </c>
      <c r="O217" t="s">
        <v>402</v>
      </c>
      <c r="P217" t="s">
        <v>402</v>
      </c>
      <c r="Q217">
        <v>1000</v>
      </c>
      <c r="X217">
        <v>1.25E-3</v>
      </c>
      <c r="Y217">
        <v>134401.64000000001</v>
      </c>
      <c r="Z217">
        <v>0</v>
      </c>
      <c r="AA217">
        <v>0</v>
      </c>
      <c r="AB217">
        <v>0</v>
      </c>
      <c r="AC217">
        <v>0</v>
      </c>
      <c r="AD217">
        <v>1</v>
      </c>
      <c r="AE217">
        <v>0</v>
      </c>
      <c r="AF217" t="s">
        <v>3</v>
      </c>
      <c r="AG217">
        <v>1.25E-3</v>
      </c>
      <c r="AH217">
        <v>2</v>
      </c>
      <c r="AI217">
        <v>43096133</v>
      </c>
      <c r="AJ217">
        <v>231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</row>
    <row r="218" spans="1:44" x14ac:dyDescent="0.2">
      <c r="A218">
        <f>ROW(Source!A135)</f>
        <v>135</v>
      </c>
      <c r="B218">
        <v>43096152</v>
      </c>
      <c r="C218">
        <v>43096118</v>
      </c>
      <c r="D218">
        <v>42304411</v>
      </c>
      <c r="E218">
        <v>1</v>
      </c>
      <c r="F218">
        <v>1</v>
      </c>
      <c r="G218">
        <v>29</v>
      </c>
      <c r="H218">
        <v>3</v>
      </c>
      <c r="I218" t="s">
        <v>765</v>
      </c>
      <c r="J218" t="s">
        <v>766</v>
      </c>
      <c r="K218" t="s">
        <v>767</v>
      </c>
      <c r="L218">
        <v>1355</v>
      </c>
      <c r="N218">
        <v>1010</v>
      </c>
      <c r="O218" t="s">
        <v>342</v>
      </c>
      <c r="P218" t="s">
        <v>342</v>
      </c>
      <c r="Q218">
        <v>100</v>
      </c>
      <c r="X218">
        <v>0.3</v>
      </c>
      <c r="Y218">
        <v>28.5</v>
      </c>
      <c r="Z218">
        <v>0</v>
      </c>
      <c r="AA218">
        <v>0</v>
      </c>
      <c r="AB218">
        <v>0</v>
      </c>
      <c r="AC218">
        <v>0</v>
      </c>
      <c r="AD218">
        <v>1</v>
      </c>
      <c r="AE218">
        <v>0</v>
      </c>
      <c r="AF218" t="s">
        <v>3</v>
      </c>
      <c r="AG218">
        <v>0.3</v>
      </c>
      <c r="AH218">
        <v>2</v>
      </c>
      <c r="AI218">
        <v>43096134</v>
      </c>
      <c r="AJ218">
        <v>232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</row>
    <row r="219" spans="1:44" x14ac:dyDescent="0.2">
      <c r="A219">
        <f>ROW(Source!A135)</f>
        <v>135</v>
      </c>
      <c r="B219">
        <v>43096153</v>
      </c>
      <c r="C219">
        <v>43096118</v>
      </c>
      <c r="D219">
        <v>42305119</v>
      </c>
      <c r="E219">
        <v>1</v>
      </c>
      <c r="F219">
        <v>1</v>
      </c>
      <c r="G219">
        <v>29</v>
      </c>
      <c r="H219">
        <v>3</v>
      </c>
      <c r="I219" t="s">
        <v>753</v>
      </c>
      <c r="J219" t="s">
        <v>754</v>
      </c>
      <c r="K219" t="s">
        <v>755</v>
      </c>
      <c r="L219">
        <v>1348</v>
      </c>
      <c r="N219">
        <v>1009</v>
      </c>
      <c r="O219" t="s">
        <v>402</v>
      </c>
      <c r="P219" t="s">
        <v>402</v>
      </c>
      <c r="Q219">
        <v>1000</v>
      </c>
      <c r="X219">
        <v>2.14E-3</v>
      </c>
      <c r="Y219">
        <v>110835.3</v>
      </c>
      <c r="Z219">
        <v>0</v>
      </c>
      <c r="AA219">
        <v>0</v>
      </c>
      <c r="AB219">
        <v>0</v>
      </c>
      <c r="AC219">
        <v>0</v>
      </c>
      <c r="AD219">
        <v>1</v>
      </c>
      <c r="AE219">
        <v>0</v>
      </c>
      <c r="AF219" t="s">
        <v>3</v>
      </c>
      <c r="AG219">
        <v>2.14E-3</v>
      </c>
      <c r="AH219">
        <v>2</v>
      </c>
      <c r="AI219">
        <v>43096135</v>
      </c>
      <c r="AJ219">
        <v>233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</row>
    <row r="220" spans="1:44" x14ac:dyDescent="0.2">
      <c r="A220">
        <f>ROW(Source!A139)</f>
        <v>139</v>
      </c>
      <c r="B220">
        <v>43096161</v>
      </c>
      <c r="C220">
        <v>43096157</v>
      </c>
      <c r="D220">
        <v>42301367</v>
      </c>
      <c r="E220">
        <v>29</v>
      </c>
      <c r="F220">
        <v>1</v>
      </c>
      <c r="G220">
        <v>29</v>
      </c>
      <c r="H220">
        <v>1</v>
      </c>
      <c r="I220" t="s">
        <v>555</v>
      </c>
      <c r="J220" t="s">
        <v>3</v>
      </c>
      <c r="K220" t="s">
        <v>556</v>
      </c>
      <c r="L220">
        <v>1191</v>
      </c>
      <c r="N220">
        <v>1013</v>
      </c>
      <c r="O220" t="s">
        <v>557</v>
      </c>
      <c r="P220" t="s">
        <v>557</v>
      </c>
      <c r="Q220">
        <v>1</v>
      </c>
      <c r="X220">
        <v>0.36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1</v>
      </c>
      <c r="AE220">
        <v>1</v>
      </c>
      <c r="AF220" t="s">
        <v>3</v>
      </c>
      <c r="AG220">
        <v>0.36</v>
      </c>
      <c r="AH220">
        <v>2</v>
      </c>
      <c r="AI220">
        <v>43096159</v>
      </c>
      <c r="AJ220">
        <v>236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</row>
    <row r="221" spans="1:44" x14ac:dyDescent="0.2">
      <c r="A221">
        <f>ROW(Source!A140)</f>
        <v>140</v>
      </c>
      <c r="B221">
        <v>43096175</v>
      </c>
      <c r="C221">
        <v>43096162</v>
      </c>
      <c r="D221">
        <v>42301367</v>
      </c>
      <c r="E221">
        <v>29</v>
      </c>
      <c r="F221">
        <v>1</v>
      </c>
      <c r="G221">
        <v>29</v>
      </c>
      <c r="H221">
        <v>1</v>
      </c>
      <c r="I221" t="s">
        <v>555</v>
      </c>
      <c r="J221" t="s">
        <v>3</v>
      </c>
      <c r="K221" t="s">
        <v>556</v>
      </c>
      <c r="L221">
        <v>1191</v>
      </c>
      <c r="N221">
        <v>1013</v>
      </c>
      <c r="O221" t="s">
        <v>557</v>
      </c>
      <c r="P221" t="s">
        <v>557</v>
      </c>
      <c r="Q221">
        <v>1</v>
      </c>
      <c r="X221">
        <v>15.41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1</v>
      </c>
      <c r="AE221">
        <v>1</v>
      </c>
      <c r="AF221" t="s">
        <v>3</v>
      </c>
      <c r="AG221">
        <v>15.41</v>
      </c>
      <c r="AH221">
        <v>2</v>
      </c>
      <c r="AI221">
        <v>43096167</v>
      </c>
      <c r="AJ221">
        <v>237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</row>
    <row r="222" spans="1:44" x14ac:dyDescent="0.2">
      <c r="A222">
        <f>ROW(Source!A140)</f>
        <v>140</v>
      </c>
      <c r="B222">
        <v>43096176</v>
      </c>
      <c r="C222">
        <v>43096162</v>
      </c>
      <c r="D222">
        <v>42307612</v>
      </c>
      <c r="E222">
        <v>1</v>
      </c>
      <c r="F222">
        <v>1</v>
      </c>
      <c r="G222">
        <v>29</v>
      </c>
      <c r="H222">
        <v>3</v>
      </c>
      <c r="I222" t="s">
        <v>768</v>
      </c>
      <c r="J222" t="s">
        <v>769</v>
      </c>
      <c r="K222" t="s">
        <v>770</v>
      </c>
      <c r="L222">
        <v>1354</v>
      </c>
      <c r="N222">
        <v>1010</v>
      </c>
      <c r="O222" t="s">
        <v>20</v>
      </c>
      <c r="P222" t="s">
        <v>20</v>
      </c>
      <c r="Q222">
        <v>1</v>
      </c>
      <c r="X222">
        <v>33.33</v>
      </c>
      <c r="Y222">
        <v>478.07</v>
      </c>
      <c r="Z222">
        <v>0</v>
      </c>
      <c r="AA222">
        <v>0</v>
      </c>
      <c r="AB222">
        <v>0</v>
      </c>
      <c r="AC222">
        <v>0</v>
      </c>
      <c r="AD222">
        <v>1</v>
      </c>
      <c r="AE222">
        <v>0</v>
      </c>
      <c r="AF222" t="s">
        <v>3</v>
      </c>
      <c r="AG222">
        <v>33.33</v>
      </c>
      <c r="AH222">
        <v>2</v>
      </c>
      <c r="AI222">
        <v>43096168</v>
      </c>
      <c r="AJ222">
        <v>238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</row>
    <row r="223" spans="1:44" x14ac:dyDescent="0.2">
      <c r="A223">
        <f>ROW(Source!A140)</f>
        <v>140</v>
      </c>
      <c r="B223">
        <v>43096177</v>
      </c>
      <c r="C223">
        <v>43096162</v>
      </c>
      <c r="D223">
        <v>42307613</v>
      </c>
      <c r="E223">
        <v>1</v>
      </c>
      <c r="F223">
        <v>1</v>
      </c>
      <c r="G223">
        <v>29</v>
      </c>
      <c r="H223">
        <v>3</v>
      </c>
      <c r="I223" t="s">
        <v>771</v>
      </c>
      <c r="J223" t="s">
        <v>772</v>
      </c>
      <c r="K223" t="s">
        <v>773</v>
      </c>
      <c r="L223">
        <v>1354</v>
      </c>
      <c r="N223">
        <v>1010</v>
      </c>
      <c r="O223" t="s">
        <v>20</v>
      </c>
      <c r="P223" t="s">
        <v>20</v>
      </c>
      <c r="Q223">
        <v>1</v>
      </c>
      <c r="X223">
        <v>33.340000000000003</v>
      </c>
      <c r="Y223">
        <v>541.96</v>
      </c>
      <c r="Z223">
        <v>0</v>
      </c>
      <c r="AA223">
        <v>0</v>
      </c>
      <c r="AB223">
        <v>0</v>
      </c>
      <c r="AC223">
        <v>0</v>
      </c>
      <c r="AD223">
        <v>1</v>
      </c>
      <c r="AE223">
        <v>0</v>
      </c>
      <c r="AF223" t="s">
        <v>3</v>
      </c>
      <c r="AG223">
        <v>33.340000000000003</v>
      </c>
      <c r="AH223">
        <v>2</v>
      </c>
      <c r="AI223">
        <v>43096169</v>
      </c>
      <c r="AJ223">
        <v>239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</row>
    <row r="224" spans="1:44" x14ac:dyDescent="0.2">
      <c r="A224">
        <f>ROW(Source!A140)</f>
        <v>140</v>
      </c>
      <c r="B224">
        <v>43096178</v>
      </c>
      <c r="C224">
        <v>43096162</v>
      </c>
      <c r="D224">
        <v>42307614</v>
      </c>
      <c r="E224">
        <v>1</v>
      </c>
      <c r="F224">
        <v>1</v>
      </c>
      <c r="G224">
        <v>29</v>
      </c>
      <c r="H224">
        <v>3</v>
      </c>
      <c r="I224" t="s">
        <v>774</v>
      </c>
      <c r="J224" t="s">
        <v>775</v>
      </c>
      <c r="K224" t="s">
        <v>776</v>
      </c>
      <c r="L224">
        <v>1354</v>
      </c>
      <c r="N224">
        <v>1010</v>
      </c>
      <c r="O224" t="s">
        <v>20</v>
      </c>
      <c r="P224" t="s">
        <v>20</v>
      </c>
      <c r="Q224">
        <v>1</v>
      </c>
      <c r="X224">
        <v>33.340000000000003</v>
      </c>
      <c r="Y224">
        <v>838.96</v>
      </c>
      <c r="Z224">
        <v>0</v>
      </c>
      <c r="AA224">
        <v>0</v>
      </c>
      <c r="AB224">
        <v>0</v>
      </c>
      <c r="AC224">
        <v>0</v>
      </c>
      <c r="AD224">
        <v>1</v>
      </c>
      <c r="AE224">
        <v>0</v>
      </c>
      <c r="AF224" t="s">
        <v>3</v>
      </c>
      <c r="AG224">
        <v>33.340000000000003</v>
      </c>
      <c r="AH224">
        <v>2</v>
      </c>
      <c r="AI224">
        <v>43096170</v>
      </c>
      <c r="AJ224">
        <v>240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</row>
    <row r="225" spans="1:44" x14ac:dyDescent="0.2">
      <c r="A225">
        <f>ROW(Source!A141)</f>
        <v>141</v>
      </c>
      <c r="B225">
        <v>43096216</v>
      </c>
      <c r="C225">
        <v>43096179</v>
      </c>
      <c r="D225">
        <v>42301367</v>
      </c>
      <c r="E225">
        <v>29</v>
      </c>
      <c r="F225">
        <v>1</v>
      </c>
      <c r="G225">
        <v>29</v>
      </c>
      <c r="H225">
        <v>1</v>
      </c>
      <c r="I225" t="s">
        <v>555</v>
      </c>
      <c r="J225" t="s">
        <v>3</v>
      </c>
      <c r="K225" t="s">
        <v>556</v>
      </c>
      <c r="L225">
        <v>1191</v>
      </c>
      <c r="N225">
        <v>1013</v>
      </c>
      <c r="O225" t="s">
        <v>557</v>
      </c>
      <c r="P225" t="s">
        <v>557</v>
      </c>
      <c r="Q225">
        <v>1</v>
      </c>
      <c r="X225">
        <v>128.02000000000001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1</v>
      </c>
      <c r="AE225">
        <v>1</v>
      </c>
      <c r="AF225" t="s">
        <v>441</v>
      </c>
      <c r="AG225">
        <v>25.604000000000003</v>
      </c>
      <c r="AH225">
        <v>2</v>
      </c>
      <c r="AI225">
        <v>43096192</v>
      </c>
      <c r="AJ225">
        <v>241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</row>
    <row r="226" spans="1:44" x14ac:dyDescent="0.2">
      <c r="A226">
        <f>ROW(Source!A141)</f>
        <v>141</v>
      </c>
      <c r="B226">
        <v>43096217</v>
      </c>
      <c r="C226">
        <v>43096179</v>
      </c>
      <c r="D226">
        <v>42303204</v>
      </c>
      <c r="E226">
        <v>1</v>
      </c>
      <c r="F226">
        <v>1</v>
      </c>
      <c r="G226">
        <v>29</v>
      </c>
      <c r="H226">
        <v>2</v>
      </c>
      <c r="I226" t="s">
        <v>636</v>
      </c>
      <c r="J226" t="s">
        <v>637</v>
      </c>
      <c r="K226" t="s">
        <v>638</v>
      </c>
      <c r="L226">
        <v>1368</v>
      </c>
      <c r="N226">
        <v>1011</v>
      </c>
      <c r="O226" t="s">
        <v>480</v>
      </c>
      <c r="P226" t="s">
        <v>480</v>
      </c>
      <c r="Q226">
        <v>1</v>
      </c>
      <c r="X226">
        <v>10.06</v>
      </c>
      <c r="Y226">
        <v>0</v>
      </c>
      <c r="Z226">
        <v>7.81</v>
      </c>
      <c r="AA226">
        <v>1.03</v>
      </c>
      <c r="AB226">
        <v>0</v>
      </c>
      <c r="AC226">
        <v>0</v>
      </c>
      <c r="AD226">
        <v>1</v>
      </c>
      <c r="AE226">
        <v>0</v>
      </c>
      <c r="AF226" t="s">
        <v>441</v>
      </c>
      <c r="AG226">
        <v>2.012</v>
      </c>
      <c r="AH226">
        <v>2</v>
      </c>
      <c r="AI226">
        <v>43096193</v>
      </c>
      <c r="AJ226">
        <v>242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</row>
    <row r="227" spans="1:44" x14ac:dyDescent="0.2">
      <c r="A227">
        <f>ROW(Source!A141)</f>
        <v>141</v>
      </c>
      <c r="B227">
        <v>43096218</v>
      </c>
      <c r="C227">
        <v>43096179</v>
      </c>
      <c r="D227">
        <v>42303166</v>
      </c>
      <c r="E227">
        <v>1</v>
      </c>
      <c r="F227">
        <v>1</v>
      </c>
      <c r="G227">
        <v>29</v>
      </c>
      <c r="H227">
        <v>2</v>
      </c>
      <c r="I227" t="s">
        <v>561</v>
      </c>
      <c r="J227" t="s">
        <v>562</v>
      </c>
      <c r="K227" t="s">
        <v>563</v>
      </c>
      <c r="L227">
        <v>1368</v>
      </c>
      <c r="N227">
        <v>1011</v>
      </c>
      <c r="O227" t="s">
        <v>480</v>
      </c>
      <c r="P227" t="s">
        <v>480</v>
      </c>
      <c r="Q227">
        <v>1</v>
      </c>
      <c r="X227">
        <v>44.36</v>
      </c>
      <c r="Y227">
        <v>0</v>
      </c>
      <c r="Z227">
        <v>5.17</v>
      </c>
      <c r="AA227">
        <v>0.01</v>
      </c>
      <c r="AB227">
        <v>0</v>
      </c>
      <c r="AC227">
        <v>0</v>
      </c>
      <c r="AD227">
        <v>1</v>
      </c>
      <c r="AE227">
        <v>0</v>
      </c>
      <c r="AF227" t="s">
        <v>441</v>
      </c>
      <c r="AG227">
        <v>8.8719999999999999</v>
      </c>
      <c r="AH227">
        <v>2</v>
      </c>
      <c r="AI227">
        <v>43096194</v>
      </c>
      <c r="AJ227">
        <v>243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</row>
    <row r="228" spans="1:44" x14ac:dyDescent="0.2">
      <c r="A228">
        <f>ROW(Source!A141)</f>
        <v>141</v>
      </c>
      <c r="B228">
        <v>43096219</v>
      </c>
      <c r="C228">
        <v>43096179</v>
      </c>
      <c r="D228">
        <v>42303184</v>
      </c>
      <c r="E228">
        <v>1</v>
      </c>
      <c r="F228">
        <v>1</v>
      </c>
      <c r="G228">
        <v>29</v>
      </c>
      <c r="H228">
        <v>2</v>
      </c>
      <c r="I228" t="s">
        <v>777</v>
      </c>
      <c r="J228" t="s">
        <v>778</v>
      </c>
      <c r="K228" t="s">
        <v>779</v>
      </c>
      <c r="L228">
        <v>1368</v>
      </c>
      <c r="N228">
        <v>1011</v>
      </c>
      <c r="O228" t="s">
        <v>480</v>
      </c>
      <c r="P228" t="s">
        <v>480</v>
      </c>
      <c r="Q228">
        <v>1</v>
      </c>
      <c r="X228">
        <v>4.9800000000000004</v>
      </c>
      <c r="Y228">
        <v>0</v>
      </c>
      <c r="Z228">
        <v>16.350000000000001</v>
      </c>
      <c r="AA228">
        <v>1.18</v>
      </c>
      <c r="AB228">
        <v>0</v>
      </c>
      <c r="AC228">
        <v>0</v>
      </c>
      <c r="AD228">
        <v>1</v>
      </c>
      <c r="AE228">
        <v>0</v>
      </c>
      <c r="AF228" t="s">
        <v>441</v>
      </c>
      <c r="AG228">
        <v>0.99600000000000011</v>
      </c>
      <c r="AH228">
        <v>2</v>
      </c>
      <c r="AI228">
        <v>43096195</v>
      </c>
      <c r="AJ228">
        <v>244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</row>
    <row r="229" spans="1:44" x14ac:dyDescent="0.2">
      <c r="A229">
        <f>ROW(Source!A141)</f>
        <v>141</v>
      </c>
      <c r="B229">
        <v>43096220</v>
      </c>
      <c r="C229">
        <v>43096179</v>
      </c>
      <c r="D229">
        <v>42304362</v>
      </c>
      <c r="E229">
        <v>1</v>
      </c>
      <c r="F229">
        <v>1</v>
      </c>
      <c r="G229">
        <v>29</v>
      </c>
      <c r="H229">
        <v>3</v>
      </c>
      <c r="I229" t="s">
        <v>446</v>
      </c>
      <c r="J229" t="s">
        <v>448</v>
      </c>
      <c r="K229" t="s">
        <v>447</v>
      </c>
      <c r="L229">
        <v>1355</v>
      </c>
      <c r="N229">
        <v>1010</v>
      </c>
      <c r="O229" t="s">
        <v>342</v>
      </c>
      <c r="P229" t="s">
        <v>342</v>
      </c>
      <c r="Q229">
        <v>100</v>
      </c>
      <c r="X229">
        <v>29</v>
      </c>
      <c r="Y229">
        <v>24.56</v>
      </c>
      <c r="Z229">
        <v>0</v>
      </c>
      <c r="AA229">
        <v>0</v>
      </c>
      <c r="AB229">
        <v>0</v>
      </c>
      <c r="AC229">
        <v>0</v>
      </c>
      <c r="AD229">
        <v>1</v>
      </c>
      <c r="AE229">
        <v>0</v>
      </c>
      <c r="AF229" t="s">
        <v>440</v>
      </c>
      <c r="AG229">
        <v>0</v>
      </c>
      <c r="AH229">
        <v>2</v>
      </c>
      <c r="AI229">
        <v>43096196</v>
      </c>
      <c r="AJ229">
        <v>245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</row>
    <row r="230" spans="1:44" x14ac:dyDescent="0.2">
      <c r="A230">
        <f>ROW(Source!A141)</f>
        <v>141</v>
      </c>
      <c r="B230">
        <v>43096221</v>
      </c>
      <c r="C230">
        <v>43096179</v>
      </c>
      <c r="D230">
        <v>42304301</v>
      </c>
      <c r="E230">
        <v>1</v>
      </c>
      <c r="F230">
        <v>1</v>
      </c>
      <c r="G230">
        <v>29</v>
      </c>
      <c r="H230">
        <v>3</v>
      </c>
      <c r="I230" t="s">
        <v>450</v>
      </c>
      <c r="J230" t="s">
        <v>452</v>
      </c>
      <c r="K230" t="s">
        <v>451</v>
      </c>
      <c r="L230">
        <v>1355</v>
      </c>
      <c r="N230">
        <v>1010</v>
      </c>
      <c r="O230" t="s">
        <v>342</v>
      </c>
      <c r="P230" t="s">
        <v>342</v>
      </c>
      <c r="Q230">
        <v>100</v>
      </c>
      <c r="X230">
        <v>7</v>
      </c>
      <c r="Y230">
        <v>303.5</v>
      </c>
      <c r="Z230">
        <v>0</v>
      </c>
      <c r="AA230">
        <v>0</v>
      </c>
      <c r="AB230">
        <v>0</v>
      </c>
      <c r="AC230">
        <v>0</v>
      </c>
      <c r="AD230">
        <v>1</v>
      </c>
      <c r="AE230">
        <v>0</v>
      </c>
      <c r="AF230" t="s">
        <v>440</v>
      </c>
      <c r="AG230">
        <v>0</v>
      </c>
      <c r="AH230">
        <v>2</v>
      </c>
      <c r="AI230">
        <v>43096197</v>
      </c>
      <c r="AJ230">
        <v>246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</row>
    <row r="231" spans="1:44" x14ac:dyDescent="0.2">
      <c r="A231">
        <f>ROW(Source!A141)</f>
        <v>141</v>
      </c>
      <c r="B231">
        <v>43096222</v>
      </c>
      <c r="C231">
        <v>43096179</v>
      </c>
      <c r="D231">
        <v>42307353</v>
      </c>
      <c r="E231">
        <v>1</v>
      </c>
      <c r="F231">
        <v>1</v>
      </c>
      <c r="G231">
        <v>29</v>
      </c>
      <c r="H231">
        <v>3</v>
      </c>
      <c r="I231" t="s">
        <v>454</v>
      </c>
      <c r="J231" t="s">
        <v>456</v>
      </c>
      <c r="K231" t="s">
        <v>455</v>
      </c>
      <c r="L231">
        <v>1354</v>
      </c>
      <c r="N231">
        <v>1010</v>
      </c>
      <c r="O231" t="s">
        <v>20</v>
      </c>
      <c r="P231" t="s">
        <v>20</v>
      </c>
      <c r="Q231">
        <v>1</v>
      </c>
      <c r="X231">
        <v>350</v>
      </c>
      <c r="Y231">
        <v>34.01</v>
      </c>
      <c r="Z231">
        <v>0</v>
      </c>
      <c r="AA231">
        <v>0</v>
      </c>
      <c r="AB231">
        <v>0</v>
      </c>
      <c r="AC231">
        <v>0</v>
      </c>
      <c r="AD231">
        <v>1</v>
      </c>
      <c r="AE231">
        <v>0</v>
      </c>
      <c r="AF231" t="s">
        <v>440</v>
      </c>
      <c r="AG231">
        <v>0</v>
      </c>
      <c r="AH231">
        <v>2</v>
      </c>
      <c r="AI231">
        <v>43096198</v>
      </c>
      <c r="AJ231">
        <v>247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</row>
    <row r="232" spans="1:44" x14ac:dyDescent="0.2">
      <c r="A232">
        <f>ROW(Source!A141)</f>
        <v>141</v>
      </c>
      <c r="B232">
        <v>43096223</v>
      </c>
      <c r="C232">
        <v>43096179</v>
      </c>
      <c r="D232">
        <v>42307363</v>
      </c>
      <c r="E232">
        <v>1</v>
      </c>
      <c r="F232">
        <v>1</v>
      </c>
      <c r="G232">
        <v>29</v>
      </c>
      <c r="H232">
        <v>3</v>
      </c>
      <c r="I232" t="s">
        <v>458</v>
      </c>
      <c r="J232" t="s">
        <v>460</v>
      </c>
      <c r="K232" t="s">
        <v>459</v>
      </c>
      <c r="L232">
        <v>1301</v>
      </c>
      <c r="N232">
        <v>1003</v>
      </c>
      <c r="O232" t="s">
        <v>64</v>
      </c>
      <c r="P232" t="s">
        <v>64</v>
      </c>
      <c r="Q232">
        <v>1</v>
      </c>
      <c r="X232">
        <v>42</v>
      </c>
      <c r="Y232">
        <v>86.49</v>
      </c>
      <c r="Z232">
        <v>0</v>
      </c>
      <c r="AA232">
        <v>0</v>
      </c>
      <c r="AB232">
        <v>0</v>
      </c>
      <c r="AC232">
        <v>0</v>
      </c>
      <c r="AD232">
        <v>1</v>
      </c>
      <c r="AE232">
        <v>0</v>
      </c>
      <c r="AF232" t="s">
        <v>440</v>
      </c>
      <c r="AG232">
        <v>0</v>
      </c>
      <c r="AH232">
        <v>2</v>
      </c>
      <c r="AI232">
        <v>43096199</v>
      </c>
      <c r="AJ232">
        <v>248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</row>
    <row r="233" spans="1:44" x14ac:dyDescent="0.2">
      <c r="A233">
        <f>ROW(Source!A141)</f>
        <v>141</v>
      </c>
      <c r="B233">
        <v>43096224</v>
      </c>
      <c r="C233">
        <v>43096179</v>
      </c>
      <c r="D233">
        <v>42307364</v>
      </c>
      <c r="E233">
        <v>1</v>
      </c>
      <c r="F233">
        <v>1</v>
      </c>
      <c r="G233">
        <v>29</v>
      </c>
      <c r="H233">
        <v>3</v>
      </c>
      <c r="I233" t="s">
        <v>462</v>
      </c>
      <c r="J233" t="s">
        <v>464</v>
      </c>
      <c r="K233" t="s">
        <v>463</v>
      </c>
      <c r="L233">
        <v>1301</v>
      </c>
      <c r="N233">
        <v>1003</v>
      </c>
      <c r="O233" t="s">
        <v>64</v>
      </c>
      <c r="P233" t="s">
        <v>64</v>
      </c>
      <c r="Q233">
        <v>1</v>
      </c>
      <c r="X233">
        <v>12</v>
      </c>
      <c r="Y233">
        <v>281.07</v>
      </c>
      <c r="Z233">
        <v>0</v>
      </c>
      <c r="AA233">
        <v>0</v>
      </c>
      <c r="AB233">
        <v>0</v>
      </c>
      <c r="AC233">
        <v>0</v>
      </c>
      <c r="AD233">
        <v>1</v>
      </c>
      <c r="AE233">
        <v>0</v>
      </c>
      <c r="AF233" t="s">
        <v>440</v>
      </c>
      <c r="AG233">
        <v>0</v>
      </c>
      <c r="AH233">
        <v>2</v>
      </c>
      <c r="AI233">
        <v>43096200</v>
      </c>
      <c r="AJ233">
        <v>249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</row>
    <row r="234" spans="1:44" x14ac:dyDescent="0.2">
      <c r="A234">
        <f>ROW(Source!A141)</f>
        <v>141</v>
      </c>
      <c r="B234">
        <v>43096225</v>
      </c>
      <c r="C234">
        <v>43096179</v>
      </c>
      <c r="D234">
        <v>42307365</v>
      </c>
      <c r="E234">
        <v>1</v>
      </c>
      <c r="F234">
        <v>1</v>
      </c>
      <c r="G234">
        <v>29</v>
      </c>
      <c r="H234">
        <v>3</v>
      </c>
      <c r="I234" t="s">
        <v>466</v>
      </c>
      <c r="J234" t="s">
        <v>468</v>
      </c>
      <c r="K234" t="s">
        <v>467</v>
      </c>
      <c r="L234">
        <v>1301</v>
      </c>
      <c r="N234">
        <v>1003</v>
      </c>
      <c r="O234" t="s">
        <v>64</v>
      </c>
      <c r="P234" t="s">
        <v>64</v>
      </c>
      <c r="Q234">
        <v>1</v>
      </c>
      <c r="X234">
        <v>55</v>
      </c>
      <c r="Y234">
        <v>152.68</v>
      </c>
      <c r="Z234">
        <v>0</v>
      </c>
      <c r="AA234">
        <v>0</v>
      </c>
      <c r="AB234">
        <v>0</v>
      </c>
      <c r="AC234">
        <v>0</v>
      </c>
      <c r="AD234">
        <v>1</v>
      </c>
      <c r="AE234">
        <v>0</v>
      </c>
      <c r="AF234" t="s">
        <v>440</v>
      </c>
      <c r="AG234">
        <v>0</v>
      </c>
      <c r="AH234">
        <v>2</v>
      </c>
      <c r="AI234">
        <v>43096201</v>
      </c>
      <c r="AJ234">
        <v>250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</row>
    <row r="235" spans="1:44" x14ac:dyDescent="0.2">
      <c r="A235">
        <f>ROW(Source!A141)</f>
        <v>141</v>
      </c>
      <c r="B235">
        <v>43096226</v>
      </c>
      <c r="C235">
        <v>43096179</v>
      </c>
      <c r="D235">
        <v>42307399</v>
      </c>
      <c r="E235">
        <v>1</v>
      </c>
      <c r="F235">
        <v>1</v>
      </c>
      <c r="G235">
        <v>29</v>
      </c>
      <c r="H235">
        <v>3</v>
      </c>
      <c r="I235" t="s">
        <v>470</v>
      </c>
      <c r="J235" t="s">
        <v>472</v>
      </c>
      <c r="K235" t="s">
        <v>471</v>
      </c>
      <c r="L235">
        <v>1327</v>
      </c>
      <c r="N235">
        <v>1005</v>
      </c>
      <c r="O235" t="s">
        <v>94</v>
      </c>
      <c r="P235" t="s">
        <v>94</v>
      </c>
      <c r="Q235">
        <v>1</v>
      </c>
      <c r="X235">
        <v>116.6</v>
      </c>
      <c r="Y235">
        <v>779</v>
      </c>
      <c r="Z235">
        <v>0</v>
      </c>
      <c r="AA235">
        <v>0</v>
      </c>
      <c r="AB235">
        <v>0</v>
      </c>
      <c r="AC235">
        <v>0</v>
      </c>
      <c r="AD235">
        <v>1</v>
      </c>
      <c r="AE235">
        <v>0</v>
      </c>
      <c r="AF235" t="s">
        <v>440</v>
      </c>
      <c r="AG235">
        <v>0</v>
      </c>
      <c r="AH235">
        <v>2</v>
      </c>
      <c r="AI235">
        <v>43096202</v>
      </c>
      <c r="AJ235">
        <v>251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</row>
    <row r="236" spans="1:44" x14ac:dyDescent="0.2">
      <c r="A236">
        <f>ROW(Source!A141)</f>
        <v>141</v>
      </c>
      <c r="B236">
        <v>43096227</v>
      </c>
      <c r="C236">
        <v>43096179</v>
      </c>
      <c r="D236">
        <v>42307569</v>
      </c>
      <c r="E236">
        <v>1</v>
      </c>
      <c r="F236">
        <v>1</v>
      </c>
      <c r="G236">
        <v>29</v>
      </c>
      <c r="H236">
        <v>3</v>
      </c>
      <c r="I236" t="s">
        <v>474</v>
      </c>
      <c r="J236" t="s">
        <v>476</v>
      </c>
      <c r="K236" t="s">
        <v>475</v>
      </c>
      <c r="L236">
        <v>1348</v>
      </c>
      <c r="N236">
        <v>1009</v>
      </c>
      <c r="O236" t="s">
        <v>402</v>
      </c>
      <c r="P236" t="s">
        <v>402</v>
      </c>
      <c r="Q236">
        <v>1000</v>
      </c>
      <c r="X236">
        <v>0.14399999999999999</v>
      </c>
      <c r="Y236">
        <v>217076.76</v>
      </c>
      <c r="Z236">
        <v>0</v>
      </c>
      <c r="AA236">
        <v>0</v>
      </c>
      <c r="AB236">
        <v>0</v>
      </c>
      <c r="AC236">
        <v>0</v>
      </c>
      <c r="AD236">
        <v>1</v>
      </c>
      <c r="AE236">
        <v>0</v>
      </c>
      <c r="AF236" t="s">
        <v>440</v>
      </c>
      <c r="AG236">
        <v>0</v>
      </c>
      <c r="AH236">
        <v>2</v>
      </c>
      <c r="AI236">
        <v>43096203</v>
      </c>
      <c r="AJ236">
        <v>252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</row>
    <row r="237" spans="1:44" x14ac:dyDescent="0.2">
      <c r="A237">
        <f>ROW(Source!A142)</f>
        <v>142</v>
      </c>
      <c r="B237">
        <v>43096257</v>
      </c>
      <c r="C237">
        <v>43096228</v>
      </c>
      <c r="D237">
        <v>42301367</v>
      </c>
      <c r="E237">
        <v>29</v>
      </c>
      <c r="F237">
        <v>1</v>
      </c>
      <c r="G237">
        <v>29</v>
      </c>
      <c r="H237">
        <v>1</v>
      </c>
      <c r="I237" t="s">
        <v>555</v>
      </c>
      <c r="J237" t="s">
        <v>3</v>
      </c>
      <c r="K237" t="s">
        <v>556</v>
      </c>
      <c r="L237">
        <v>1191</v>
      </c>
      <c r="N237">
        <v>1013</v>
      </c>
      <c r="O237" t="s">
        <v>557</v>
      </c>
      <c r="P237" t="s">
        <v>557</v>
      </c>
      <c r="Q237">
        <v>1</v>
      </c>
      <c r="X237">
        <v>128.02000000000001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1</v>
      </c>
      <c r="AE237">
        <v>1</v>
      </c>
      <c r="AF237" t="s">
        <v>3</v>
      </c>
      <c r="AG237">
        <v>128.02000000000001</v>
      </c>
      <c r="AH237">
        <v>2</v>
      </c>
      <c r="AI237">
        <v>43096233</v>
      </c>
      <c r="AJ237">
        <v>253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</row>
    <row r="238" spans="1:44" x14ac:dyDescent="0.2">
      <c r="A238">
        <f>ROW(Source!A142)</f>
        <v>142</v>
      </c>
      <c r="B238">
        <v>43096258</v>
      </c>
      <c r="C238">
        <v>43096228</v>
      </c>
      <c r="D238">
        <v>42303204</v>
      </c>
      <c r="E238">
        <v>1</v>
      </c>
      <c r="F238">
        <v>1</v>
      </c>
      <c r="G238">
        <v>29</v>
      </c>
      <c r="H238">
        <v>2</v>
      </c>
      <c r="I238" t="s">
        <v>636</v>
      </c>
      <c r="J238" t="s">
        <v>637</v>
      </c>
      <c r="K238" t="s">
        <v>638</v>
      </c>
      <c r="L238">
        <v>1368</v>
      </c>
      <c r="N238">
        <v>1011</v>
      </c>
      <c r="O238" t="s">
        <v>480</v>
      </c>
      <c r="P238" t="s">
        <v>480</v>
      </c>
      <c r="Q238">
        <v>1</v>
      </c>
      <c r="X238">
        <v>10.06</v>
      </c>
      <c r="Y238">
        <v>0</v>
      </c>
      <c r="Z238">
        <v>7.81</v>
      </c>
      <c r="AA238">
        <v>1.03</v>
      </c>
      <c r="AB238">
        <v>0</v>
      </c>
      <c r="AC238">
        <v>0</v>
      </c>
      <c r="AD238">
        <v>1</v>
      </c>
      <c r="AE238">
        <v>0</v>
      </c>
      <c r="AF238" t="s">
        <v>3</v>
      </c>
      <c r="AG238">
        <v>10.06</v>
      </c>
      <c r="AH238">
        <v>2</v>
      </c>
      <c r="AI238">
        <v>43096234</v>
      </c>
      <c r="AJ238">
        <v>254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</row>
    <row r="239" spans="1:44" x14ac:dyDescent="0.2">
      <c r="A239">
        <f>ROW(Source!A142)</f>
        <v>142</v>
      </c>
      <c r="B239">
        <v>43096259</v>
      </c>
      <c r="C239">
        <v>43096228</v>
      </c>
      <c r="D239">
        <v>42303166</v>
      </c>
      <c r="E239">
        <v>1</v>
      </c>
      <c r="F239">
        <v>1</v>
      </c>
      <c r="G239">
        <v>29</v>
      </c>
      <c r="H239">
        <v>2</v>
      </c>
      <c r="I239" t="s">
        <v>561</v>
      </c>
      <c r="J239" t="s">
        <v>562</v>
      </c>
      <c r="K239" t="s">
        <v>563</v>
      </c>
      <c r="L239">
        <v>1368</v>
      </c>
      <c r="N239">
        <v>1011</v>
      </c>
      <c r="O239" t="s">
        <v>480</v>
      </c>
      <c r="P239" t="s">
        <v>480</v>
      </c>
      <c r="Q239">
        <v>1</v>
      </c>
      <c r="X239">
        <v>44.36</v>
      </c>
      <c r="Y239">
        <v>0</v>
      </c>
      <c r="Z239">
        <v>5.17</v>
      </c>
      <c r="AA239">
        <v>0.01</v>
      </c>
      <c r="AB239">
        <v>0</v>
      </c>
      <c r="AC239">
        <v>0</v>
      </c>
      <c r="AD239">
        <v>1</v>
      </c>
      <c r="AE239">
        <v>0</v>
      </c>
      <c r="AF239" t="s">
        <v>3</v>
      </c>
      <c r="AG239">
        <v>44.36</v>
      </c>
      <c r="AH239">
        <v>2</v>
      </c>
      <c r="AI239">
        <v>43096235</v>
      </c>
      <c r="AJ239">
        <v>255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</row>
    <row r="240" spans="1:44" x14ac:dyDescent="0.2">
      <c r="A240">
        <f>ROW(Source!A142)</f>
        <v>142</v>
      </c>
      <c r="B240">
        <v>43096260</v>
      </c>
      <c r="C240">
        <v>43096228</v>
      </c>
      <c r="D240">
        <v>42303184</v>
      </c>
      <c r="E240">
        <v>1</v>
      </c>
      <c r="F240">
        <v>1</v>
      </c>
      <c r="G240">
        <v>29</v>
      </c>
      <c r="H240">
        <v>2</v>
      </c>
      <c r="I240" t="s">
        <v>777</v>
      </c>
      <c r="J240" t="s">
        <v>778</v>
      </c>
      <c r="K240" t="s">
        <v>779</v>
      </c>
      <c r="L240">
        <v>1368</v>
      </c>
      <c r="N240">
        <v>1011</v>
      </c>
      <c r="O240" t="s">
        <v>480</v>
      </c>
      <c r="P240" t="s">
        <v>480</v>
      </c>
      <c r="Q240">
        <v>1</v>
      </c>
      <c r="X240">
        <v>4.9800000000000004</v>
      </c>
      <c r="Y240">
        <v>0</v>
      </c>
      <c r="Z240">
        <v>16.350000000000001</v>
      </c>
      <c r="AA240">
        <v>1.18</v>
      </c>
      <c r="AB240">
        <v>0</v>
      </c>
      <c r="AC240">
        <v>0</v>
      </c>
      <c r="AD240">
        <v>1</v>
      </c>
      <c r="AE240">
        <v>0</v>
      </c>
      <c r="AF240" t="s">
        <v>3</v>
      </c>
      <c r="AG240">
        <v>4.9800000000000004</v>
      </c>
      <c r="AH240">
        <v>2</v>
      </c>
      <c r="AI240">
        <v>43096236</v>
      </c>
      <c r="AJ240">
        <v>256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</row>
    <row r="241" spans="1:44" x14ac:dyDescent="0.2">
      <c r="A241">
        <f>ROW(Source!A142)</f>
        <v>142</v>
      </c>
      <c r="B241">
        <v>43096261</v>
      </c>
      <c r="C241">
        <v>43096228</v>
      </c>
      <c r="D241">
        <v>42304362</v>
      </c>
      <c r="E241">
        <v>1</v>
      </c>
      <c r="F241">
        <v>1</v>
      </c>
      <c r="G241">
        <v>29</v>
      </c>
      <c r="H241">
        <v>3</v>
      </c>
      <c r="I241" t="s">
        <v>446</v>
      </c>
      <c r="J241" t="s">
        <v>448</v>
      </c>
      <c r="K241" t="s">
        <v>447</v>
      </c>
      <c r="L241">
        <v>1355</v>
      </c>
      <c r="N241">
        <v>1010</v>
      </c>
      <c r="O241" t="s">
        <v>342</v>
      </c>
      <c r="P241" t="s">
        <v>342</v>
      </c>
      <c r="Q241">
        <v>100</v>
      </c>
      <c r="X241">
        <v>29</v>
      </c>
      <c r="Y241">
        <v>24.56</v>
      </c>
      <c r="Z241">
        <v>0</v>
      </c>
      <c r="AA241">
        <v>0</v>
      </c>
      <c r="AB241">
        <v>0</v>
      </c>
      <c r="AC241">
        <v>0</v>
      </c>
      <c r="AD241">
        <v>1</v>
      </c>
      <c r="AE241">
        <v>0</v>
      </c>
      <c r="AF241" t="s">
        <v>3</v>
      </c>
      <c r="AG241">
        <v>29</v>
      </c>
      <c r="AH241">
        <v>2</v>
      </c>
      <c r="AI241">
        <v>43096237</v>
      </c>
      <c r="AJ241">
        <v>257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</row>
    <row r="242" spans="1:44" x14ac:dyDescent="0.2">
      <c r="A242">
        <f>ROW(Source!A142)</f>
        <v>142</v>
      </c>
      <c r="B242">
        <v>43096262</v>
      </c>
      <c r="C242">
        <v>43096228</v>
      </c>
      <c r="D242">
        <v>42304301</v>
      </c>
      <c r="E242">
        <v>1</v>
      </c>
      <c r="F242">
        <v>1</v>
      </c>
      <c r="G242">
        <v>29</v>
      </c>
      <c r="H242">
        <v>3</v>
      </c>
      <c r="I242" t="s">
        <v>450</v>
      </c>
      <c r="J242" t="s">
        <v>452</v>
      </c>
      <c r="K242" t="s">
        <v>451</v>
      </c>
      <c r="L242">
        <v>1355</v>
      </c>
      <c r="N242">
        <v>1010</v>
      </c>
      <c r="O242" t="s">
        <v>342</v>
      </c>
      <c r="P242" t="s">
        <v>342</v>
      </c>
      <c r="Q242">
        <v>100</v>
      </c>
      <c r="X242">
        <v>7</v>
      </c>
      <c r="Y242">
        <v>303.5</v>
      </c>
      <c r="Z242">
        <v>0</v>
      </c>
      <c r="AA242">
        <v>0</v>
      </c>
      <c r="AB242">
        <v>0</v>
      </c>
      <c r="AC242">
        <v>0</v>
      </c>
      <c r="AD242">
        <v>1</v>
      </c>
      <c r="AE242">
        <v>0</v>
      </c>
      <c r="AF242" t="s">
        <v>3</v>
      </c>
      <c r="AG242">
        <v>7</v>
      </c>
      <c r="AH242">
        <v>2</v>
      </c>
      <c r="AI242">
        <v>43096238</v>
      </c>
      <c r="AJ242">
        <v>258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</row>
    <row r="243" spans="1:44" x14ac:dyDescent="0.2">
      <c r="A243">
        <f>ROW(Source!A142)</f>
        <v>142</v>
      </c>
      <c r="B243">
        <v>43096263</v>
      </c>
      <c r="C243">
        <v>43096228</v>
      </c>
      <c r="D243">
        <v>42307353</v>
      </c>
      <c r="E243">
        <v>1</v>
      </c>
      <c r="F243">
        <v>1</v>
      </c>
      <c r="G243">
        <v>29</v>
      </c>
      <c r="H243">
        <v>3</v>
      </c>
      <c r="I243" t="s">
        <v>454</v>
      </c>
      <c r="J243" t="s">
        <v>456</v>
      </c>
      <c r="K243" t="s">
        <v>455</v>
      </c>
      <c r="L243">
        <v>1354</v>
      </c>
      <c r="N243">
        <v>1010</v>
      </c>
      <c r="O243" t="s">
        <v>20</v>
      </c>
      <c r="P243" t="s">
        <v>20</v>
      </c>
      <c r="Q243">
        <v>1</v>
      </c>
      <c r="X243">
        <v>350</v>
      </c>
      <c r="Y243">
        <v>34.01</v>
      </c>
      <c r="Z243">
        <v>0</v>
      </c>
      <c r="AA243">
        <v>0</v>
      </c>
      <c r="AB243">
        <v>0</v>
      </c>
      <c r="AC243">
        <v>0</v>
      </c>
      <c r="AD243">
        <v>1</v>
      </c>
      <c r="AE243">
        <v>0</v>
      </c>
      <c r="AF243" t="s">
        <v>3</v>
      </c>
      <c r="AG243">
        <v>350</v>
      </c>
      <c r="AH243">
        <v>2</v>
      </c>
      <c r="AI243">
        <v>43096239</v>
      </c>
      <c r="AJ243">
        <v>259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</row>
    <row r="244" spans="1:44" x14ac:dyDescent="0.2">
      <c r="A244">
        <f>ROW(Source!A142)</f>
        <v>142</v>
      </c>
      <c r="B244">
        <v>43096264</v>
      </c>
      <c r="C244">
        <v>43096228</v>
      </c>
      <c r="D244">
        <v>42307363</v>
      </c>
      <c r="E244">
        <v>1</v>
      </c>
      <c r="F244">
        <v>1</v>
      </c>
      <c r="G244">
        <v>29</v>
      </c>
      <c r="H244">
        <v>3</v>
      </c>
      <c r="I244" t="s">
        <v>458</v>
      </c>
      <c r="J244" t="s">
        <v>460</v>
      </c>
      <c r="K244" t="s">
        <v>459</v>
      </c>
      <c r="L244">
        <v>1301</v>
      </c>
      <c r="N244">
        <v>1003</v>
      </c>
      <c r="O244" t="s">
        <v>64</v>
      </c>
      <c r="P244" t="s">
        <v>64</v>
      </c>
      <c r="Q244">
        <v>1</v>
      </c>
      <c r="X244">
        <v>42</v>
      </c>
      <c r="Y244">
        <v>86.49</v>
      </c>
      <c r="Z244">
        <v>0</v>
      </c>
      <c r="AA244">
        <v>0</v>
      </c>
      <c r="AB244">
        <v>0</v>
      </c>
      <c r="AC244">
        <v>0</v>
      </c>
      <c r="AD244">
        <v>1</v>
      </c>
      <c r="AE244">
        <v>0</v>
      </c>
      <c r="AF244" t="s">
        <v>3</v>
      </c>
      <c r="AG244">
        <v>42</v>
      </c>
      <c r="AH244">
        <v>2</v>
      </c>
      <c r="AI244">
        <v>43096240</v>
      </c>
      <c r="AJ244">
        <v>260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</row>
    <row r="245" spans="1:44" x14ac:dyDescent="0.2">
      <c r="A245">
        <f>ROW(Source!A142)</f>
        <v>142</v>
      </c>
      <c r="B245">
        <v>43096265</v>
      </c>
      <c r="C245">
        <v>43096228</v>
      </c>
      <c r="D245">
        <v>42307364</v>
      </c>
      <c r="E245">
        <v>1</v>
      </c>
      <c r="F245">
        <v>1</v>
      </c>
      <c r="G245">
        <v>29</v>
      </c>
      <c r="H245">
        <v>3</v>
      </c>
      <c r="I245" t="s">
        <v>462</v>
      </c>
      <c r="J245" t="s">
        <v>464</v>
      </c>
      <c r="K245" t="s">
        <v>463</v>
      </c>
      <c r="L245">
        <v>1301</v>
      </c>
      <c r="N245">
        <v>1003</v>
      </c>
      <c r="O245" t="s">
        <v>64</v>
      </c>
      <c r="P245" t="s">
        <v>64</v>
      </c>
      <c r="Q245">
        <v>1</v>
      </c>
      <c r="X245">
        <v>12</v>
      </c>
      <c r="Y245">
        <v>281.07</v>
      </c>
      <c r="Z245">
        <v>0</v>
      </c>
      <c r="AA245">
        <v>0</v>
      </c>
      <c r="AB245">
        <v>0</v>
      </c>
      <c r="AC245">
        <v>0</v>
      </c>
      <c r="AD245">
        <v>1</v>
      </c>
      <c r="AE245">
        <v>0</v>
      </c>
      <c r="AF245" t="s">
        <v>3</v>
      </c>
      <c r="AG245">
        <v>12</v>
      </c>
      <c r="AH245">
        <v>2</v>
      </c>
      <c r="AI245">
        <v>43096241</v>
      </c>
      <c r="AJ245">
        <v>261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</row>
    <row r="246" spans="1:44" x14ac:dyDescent="0.2">
      <c r="A246">
        <f>ROW(Source!A142)</f>
        <v>142</v>
      </c>
      <c r="B246">
        <v>43096266</v>
      </c>
      <c r="C246">
        <v>43096228</v>
      </c>
      <c r="D246">
        <v>42307365</v>
      </c>
      <c r="E246">
        <v>1</v>
      </c>
      <c r="F246">
        <v>1</v>
      </c>
      <c r="G246">
        <v>29</v>
      </c>
      <c r="H246">
        <v>3</v>
      </c>
      <c r="I246" t="s">
        <v>466</v>
      </c>
      <c r="J246" t="s">
        <v>468</v>
      </c>
      <c r="K246" t="s">
        <v>467</v>
      </c>
      <c r="L246">
        <v>1301</v>
      </c>
      <c r="N246">
        <v>1003</v>
      </c>
      <c r="O246" t="s">
        <v>64</v>
      </c>
      <c r="P246" t="s">
        <v>64</v>
      </c>
      <c r="Q246">
        <v>1</v>
      </c>
      <c r="X246">
        <v>55</v>
      </c>
      <c r="Y246">
        <v>152.68</v>
      </c>
      <c r="Z246">
        <v>0</v>
      </c>
      <c r="AA246">
        <v>0</v>
      </c>
      <c r="AB246">
        <v>0</v>
      </c>
      <c r="AC246">
        <v>0</v>
      </c>
      <c r="AD246">
        <v>1</v>
      </c>
      <c r="AE246">
        <v>0</v>
      </c>
      <c r="AF246" t="s">
        <v>3</v>
      </c>
      <c r="AG246">
        <v>55</v>
      </c>
      <c r="AH246">
        <v>2</v>
      </c>
      <c r="AI246">
        <v>43096242</v>
      </c>
      <c r="AJ246">
        <v>262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</row>
    <row r="247" spans="1:44" x14ac:dyDescent="0.2">
      <c r="A247">
        <f>ROW(Source!A142)</f>
        <v>142</v>
      </c>
      <c r="B247">
        <v>43096267</v>
      </c>
      <c r="C247">
        <v>43096228</v>
      </c>
      <c r="D247">
        <v>42307399</v>
      </c>
      <c r="E247">
        <v>1</v>
      </c>
      <c r="F247">
        <v>1</v>
      </c>
      <c r="G247">
        <v>29</v>
      </c>
      <c r="H247">
        <v>3</v>
      </c>
      <c r="I247" t="s">
        <v>470</v>
      </c>
      <c r="J247" t="s">
        <v>472</v>
      </c>
      <c r="K247" t="s">
        <v>471</v>
      </c>
      <c r="L247">
        <v>1327</v>
      </c>
      <c r="N247">
        <v>1005</v>
      </c>
      <c r="O247" t="s">
        <v>94</v>
      </c>
      <c r="P247" t="s">
        <v>94</v>
      </c>
      <c r="Q247">
        <v>1</v>
      </c>
      <c r="X247">
        <v>116.6</v>
      </c>
      <c r="Y247">
        <v>779</v>
      </c>
      <c r="Z247">
        <v>0</v>
      </c>
      <c r="AA247">
        <v>0</v>
      </c>
      <c r="AB247">
        <v>0</v>
      </c>
      <c r="AC247">
        <v>0</v>
      </c>
      <c r="AD247">
        <v>1</v>
      </c>
      <c r="AE247">
        <v>0</v>
      </c>
      <c r="AF247" t="s">
        <v>3</v>
      </c>
      <c r="AG247">
        <v>116.6</v>
      </c>
      <c r="AH247">
        <v>2</v>
      </c>
      <c r="AI247">
        <v>43096243</v>
      </c>
      <c r="AJ247">
        <v>263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</row>
    <row r="248" spans="1:44" x14ac:dyDescent="0.2">
      <c r="A248">
        <f>ROW(Source!A142)</f>
        <v>142</v>
      </c>
      <c r="B248">
        <v>43096268</v>
      </c>
      <c r="C248">
        <v>43096228</v>
      </c>
      <c r="D248">
        <v>42307569</v>
      </c>
      <c r="E248">
        <v>1</v>
      </c>
      <c r="F248">
        <v>1</v>
      </c>
      <c r="G248">
        <v>29</v>
      </c>
      <c r="H248">
        <v>3</v>
      </c>
      <c r="I248" t="s">
        <v>474</v>
      </c>
      <c r="J248" t="s">
        <v>476</v>
      </c>
      <c r="K248" t="s">
        <v>475</v>
      </c>
      <c r="L248">
        <v>1348</v>
      </c>
      <c r="N248">
        <v>1009</v>
      </c>
      <c r="O248" t="s">
        <v>402</v>
      </c>
      <c r="P248" t="s">
        <v>402</v>
      </c>
      <c r="Q248">
        <v>1000</v>
      </c>
      <c r="X248">
        <v>0.14399999999999999</v>
      </c>
      <c r="Y248">
        <v>217076.76</v>
      </c>
      <c r="Z248">
        <v>0</v>
      </c>
      <c r="AA248">
        <v>0</v>
      </c>
      <c r="AB248">
        <v>0</v>
      </c>
      <c r="AC248">
        <v>0</v>
      </c>
      <c r="AD248">
        <v>1</v>
      </c>
      <c r="AE248">
        <v>0</v>
      </c>
      <c r="AF248" t="s">
        <v>3</v>
      </c>
      <c r="AG248">
        <v>0.14399999999999999</v>
      </c>
      <c r="AH248">
        <v>2</v>
      </c>
      <c r="AI248">
        <v>43096244</v>
      </c>
      <c r="AJ248">
        <v>264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</row>
    <row r="249" spans="1:44" x14ac:dyDescent="0.2">
      <c r="A249">
        <f>ROW(Source!A152)</f>
        <v>152</v>
      </c>
      <c r="B249">
        <v>43096282</v>
      </c>
      <c r="C249">
        <v>43096278</v>
      </c>
      <c r="D249">
        <v>42302278</v>
      </c>
      <c r="E249">
        <v>1</v>
      </c>
      <c r="F249">
        <v>1</v>
      </c>
      <c r="G249">
        <v>29</v>
      </c>
      <c r="H249">
        <v>2</v>
      </c>
      <c r="I249" t="s">
        <v>780</v>
      </c>
      <c r="J249" t="s">
        <v>781</v>
      </c>
      <c r="K249" t="s">
        <v>782</v>
      </c>
      <c r="L249">
        <v>1368</v>
      </c>
      <c r="N249">
        <v>1011</v>
      </c>
      <c r="O249" t="s">
        <v>480</v>
      </c>
      <c r="P249" t="s">
        <v>480</v>
      </c>
      <c r="Q249">
        <v>1</v>
      </c>
      <c r="X249">
        <v>5.3699999999999998E-2</v>
      </c>
      <c r="Y249">
        <v>0</v>
      </c>
      <c r="Z249">
        <v>1568.39</v>
      </c>
      <c r="AA249">
        <v>505.27</v>
      </c>
      <c r="AB249">
        <v>0</v>
      </c>
      <c r="AC249">
        <v>0</v>
      </c>
      <c r="AD249">
        <v>1</v>
      </c>
      <c r="AE249">
        <v>0</v>
      </c>
      <c r="AF249" t="s">
        <v>3</v>
      </c>
      <c r="AG249">
        <v>5.3699999999999998E-2</v>
      </c>
      <c r="AH249">
        <v>2</v>
      </c>
      <c r="AI249">
        <v>43096280</v>
      </c>
      <c r="AJ249">
        <v>265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</row>
    <row r="250" spans="1:44" x14ac:dyDescent="0.2">
      <c r="A250">
        <f>ROW(Source!A153)</f>
        <v>153</v>
      </c>
      <c r="B250">
        <v>43096290</v>
      </c>
      <c r="C250">
        <v>43096283</v>
      </c>
      <c r="D250">
        <v>42303090</v>
      </c>
      <c r="E250">
        <v>1</v>
      </c>
      <c r="F250">
        <v>1</v>
      </c>
      <c r="G250">
        <v>29</v>
      </c>
      <c r="H250">
        <v>2</v>
      </c>
      <c r="I250" t="s">
        <v>783</v>
      </c>
      <c r="J250" t="s">
        <v>784</v>
      </c>
      <c r="K250" t="s">
        <v>785</v>
      </c>
      <c r="L250">
        <v>1368</v>
      </c>
      <c r="N250">
        <v>1011</v>
      </c>
      <c r="O250" t="s">
        <v>480</v>
      </c>
      <c r="P250" t="s">
        <v>480</v>
      </c>
      <c r="Q250">
        <v>1</v>
      </c>
      <c r="X250">
        <v>0.02</v>
      </c>
      <c r="Y250">
        <v>0</v>
      </c>
      <c r="Z250">
        <v>1070.1199999999999</v>
      </c>
      <c r="AA250">
        <v>332.66</v>
      </c>
      <c r="AB250">
        <v>0</v>
      </c>
      <c r="AC250">
        <v>0</v>
      </c>
      <c r="AD250">
        <v>1</v>
      </c>
      <c r="AE250">
        <v>0</v>
      </c>
      <c r="AF250" t="s">
        <v>3</v>
      </c>
      <c r="AG250">
        <v>0.02</v>
      </c>
      <c r="AH250">
        <v>2</v>
      </c>
      <c r="AI250">
        <v>43096286</v>
      </c>
      <c r="AJ250">
        <v>266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</row>
    <row r="251" spans="1:44" x14ac:dyDescent="0.2">
      <c r="A251">
        <f>ROW(Source!A153)</f>
        <v>153</v>
      </c>
      <c r="B251">
        <v>43096291</v>
      </c>
      <c r="C251">
        <v>43096283</v>
      </c>
      <c r="D251">
        <v>42303091</v>
      </c>
      <c r="E251">
        <v>1</v>
      </c>
      <c r="F251">
        <v>1</v>
      </c>
      <c r="G251">
        <v>29</v>
      </c>
      <c r="H251">
        <v>2</v>
      </c>
      <c r="I251" t="s">
        <v>786</v>
      </c>
      <c r="J251" t="s">
        <v>787</v>
      </c>
      <c r="K251" t="s">
        <v>788</v>
      </c>
      <c r="L251">
        <v>1368</v>
      </c>
      <c r="N251">
        <v>1011</v>
      </c>
      <c r="O251" t="s">
        <v>480</v>
      </c>
      <c r="P251" t="s">
        <v>480</v>
      </c>
      <c r="Q251">
        <v>1</v>
      </c>
      <c r="X251">
        <v>1.7999999999999999E-2</v>
      </c>
      <c r="Y251">
        <v>0</v>
      </c>
      <c r="Z251">
        <v>1080.76</v>
      </c>
      <c r="AA251">
        <v>332.99</v>
      </c>
      <c r="AB251">
        <v>0</v>
      </c>
      <c r="AC251">
        <v>0</v>
      </c>
      <c r="AD251">
        <v>1</v>
      </c>
      <c r="AE251">
        <v>0</v>
      </c>
      <c r="AF251" t="s">
        <v>3</v>
      </c>
      <c r="AG251">
        <v>1.7999999999999999E-2</v>
      </c>
      <c r="AH251">
        <v>2</v>
      </c>
      <c r="AI251">
        <v>43096287</v>
      </c>
      <c r="AJ251">
        <v>267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</row>
    <row r="252" spans="1:44" x14ac:dyDescent="0.2">
      <c r="A252">
        <f>ROW(Source!A154)</f>
        <v>154</v>
      </c>
      <c r="B252">
        <v>43096299</v>
      </c>
      <c r="C252">
        <v>43096292</v>
      </c>
      <c r="D252">
        <v>42303090</v>
      </c>
      <c r="E252">
        <v>1</v>
      </c>
      <c r="F252">
        <v>1</v>
      </c>
      <c r="G252">
        <v>29</v>
      </c>
      <c r="H252">
        <v>2</v>
      </c>
      <c r="I252" t="s">
        <v>783</v>
      </c>
      <c r="J252" t="s">
        <v>784</v>
      </c>
      <c r="K252" t="s">
        <v>785</v>
      </c>
      <c r="L252">
        <v>1368</v>
      </c>
      <c r="N252">
        <v>1011</v>
      </c>
      <c r="O252" t="s">
        <v>480</v>
      </c>
      <c r="P252" t="s">
        <v>480</v>
      </c>
      <c r="Q252">
        <v>1</v>
      </c>
      <c r="X252">
        <v>0.01</v>
      </c>
      <c r="Y252">
        <v>0</v>
      </c>
      <c r="Z252">
        <v>1070.1199999999999</v>
      </c>
      <c r="AA252">
        <v>332.66</v>
      </c>
      <c r="AB252">
        <v>0</v>
      </c>
      <c r="AC252">
        <v>0</v>
      </c>
      <c r="AD252">
        <v>1</v>
      </c>
      <c r="AE252">
        <v>0</v>
      </c>
      <c r="AF252" t="s">
        <v>3</v>
      </c>
      <c r="AG252">
        <v>0.01</v>
      </c>
      <c r="AH252">
        <v>2</v>
      </c>
      <c r="AI252">
        <v>43096295</v>
      </c>
      <c r="AJ252">
        <v>268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</row>
    <row r="253" spans="1:44" x14ac:dyDescent="0.2">
      <c r="A253">
        <f>ROW(Source!A154)</f>
        <v>154</v>
      </c>
      <c r="B253">
        <v>43096300</v>
      </c>
      <c r="C253">
        <v>43096292</v>
      </c>
      <c r="D253">
        <v>42303091</v>
      </c>
      <c r="E253">
        <v>1</v>
      </c>
      <c r="F253">
        <v>1</v>
      </c>
      <c r="G253">
        <v>29</v>
      </c>
      <c r="H253">
        <v>2</v>
      </c>
      <c r="I253" t="s">
        <v>786</v>
      </c>
      <c r="J253" t="s">
        <v>787</v>
      </c>
      <c r="K253" t="s">
        <v>788</v>
      </c>
      <c r="L253">
        <v>1368</v>
      </c>
      <c r="N253">
        <v>1011</v>
      </c>
      <c r="O253" t="s">
        <v>480</v>
      </c>
      <c r="P253" t="s">
        <v>480</v>
      </c>
      <c r="Q253">
        <v>1</v>
      </c>
      <c r="X253">
        <v>8.0000000000000002E-3</v>
      </c>
      <c r="Y253">
        <v>0</v>
      </c>
      <c r="Z253">
        <v>1080.76</v>
      </c>
      <c r="AA253">
        <v>332.99</v>
      </c>
      <c r="AB253">
        <v>0</v>
      </c>
      <c r="AC253">
        <v>0</v>
      </c>
      <c r="AD253">
        <v>1</v>
      </c>
      <c r="AE253">
        <v>0</v>
      </c>
      <c r="AF253" t="s">
        <v>3</v>
      </c>
      <c r="AG253">
        <v>8.0000000000000002E-3</v>
      </c>
      <c r="AH253">
        <v>2</v>
      </c>
      <c r="AI253">
        <v>43096296</v>
      </c>
      <c r="AJ253">
        <v>269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52"/>
  <sheetViews>
    <sheetView topLeftCell="A17" zoomScaleNormal="100" workbookViewId="0">
      <selection activeCell="K20" sqref="K20:M21"/>
    </sheetView>
  </sheetViews>
  <sheetFormatPr defaultRowHeight="12.75" x14ac:dyDescent="0.2"/>
  <cols>
    <col min="1" max="2" width="5.7109375" customWidth="1"/>
    <col min="3" max="3" width="13.85546875" customWidth="1"/>
    <col min="4" max="4" width="40.7109375" customWidth="1"/>
    <col min="5" max="7" width="11.7109375" customWidth="1"/>
    <col min="8" max="8" width="12.7109375" customWidth="1"/>
    <col min="9" max="9" width="11.85546875" customWidth="1"/>
    <col min="10" max="10" width="14.5703125" customWidth="1"/>
    <col min="11" max="12" width="12.7109375" customWidth="1"/>
    <col min="13" max="15" width="9.140625" customWidth="1"/>
    <col min="16" max="31" width="0" hidden="1" customWidth="1"/>
    <col min="32" max="32" width="149.140625" hidden="1" customWidth="1"/>
    <col min="33" max="33" width="113.140625" hidden="1" customWidth="1"/>
    <col min="34" max="35" width="0" hidden="1" customWidth="1"/>
    <col min="36" max="36" width="3.7109375" hidden="1" customWidth="1"/>
    <col min="37" max="37" width="6.5703125" hidden="1" customWidth="1"/>
  </cols>
  <sheetData>
    <row r="1" spans="1:13" x14ac:dyDescent="0.2">
      <c r="A1" s="9" t="str">
        <f>CONCATENATE(Source!A1, "     СН-2012 (© ОАО МЦЦС 'Мосстройцены', ", "2022", ")")</f>
        <v>0     СН-2012 (© ОАО МЦЦС 'Мосстройцены', 2022)</v>
      </c>
      <c r="B1" s="9" t="str">
        <f>CONCATENATE(Source!B1, "     СН-2012 (© ОАО МЦЦС 'Мосстройцены', ", "2022", ")")</f>
        <v>Smeta.RU  (495) 974-1589     СН-2012 (© ОАО МЦЦС 'Мосстройцены', 2022)</v>
      </c>
    </row>
    <row r="2" spans="1:13" x14ac:dyDescent="0.2">
      <c r="A2" s="69"/>
      <c r="B2" s="69"/>
      <c r="C2" s="69"/>
      <c r="D2" s="69"/>
      <c r="E2" s="69"/>
      <c r="F2" s="69"/>
      <c r="G2" s="69"/>
      <c r="H2" s="69"/>
      <c r="I2" s="69"/>
      <c r="J2" s="141" t="s">
        <v>928</v>
      </c>
      <c r="K2" s="141"/>
      <c r="L2" s="141"/>
      <c r="M2" s="141"/>
    </row>
    <row r="3" spans="1:13" x14ac:dyDescent="0.2">
      <c r="A3" s="69"/>
      <c r="B3" s="69"/>
      <c r="C3" s="69"/>
      <c r="D3" s="69"/>
      <c r="E3" s="69"/>
      <c r="F3" s="69"/>
      <c r="G3" s="69"/>
      <c r="H3" s="69"/>
      <c r="I3" s="141" t="s">
        <v>929</v>
      </c>
      <c r="J3" s="141"/>
      <c r="K3" s="141"/>
      <c r="L3" s="141"/>
      <c r="M3" s="141"/>
    </row>
    <row r="4" spans="1:13" x14ac:dyDescent="0.2">
      <c r="A4" s="69"/>
      <c r="B4" s="69"/>
      <c r="C4" s="69"/>
      <c r="D4" s="69"/>
      <c r="E4" s="69"/>
      <c r="F4" s="69"/>
      <c r="G4" s="69"/>
      <c r="H4" s="69"/>
      <c r="I4" s="69"/>
      <c r="J4" s="141" t="s">
        <v>930</v>
      </c>
      <c r="K4" s="141"/>
      <c r="L4" s="141"/>
      <c r="M4" s="141"/>
    </row>
    <row r="5" spans="1:13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</row>
    <row r="6" spans="1:13" ht="14.25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142" t="s">
        <v>931</v>
      </c>
      <c r="L6" s="142"/>
      <c r="M6" s="142"/>
    </row>
    <row r="7" spans="1:13" ht="28.5" x14ac:dyDescent="0.2">
      <c r="A7" s="69"/>
      <c r="B7" s="69"/>
      <c r="C7" s="69"/>
      <c r="D7" s="69"/>
      <c r="E7" s="69"/>
      <c r="F7" s="69"/>
      <c r="G7" s="69"/>
      <c r="H7" s="69"/>
      <c r="I7" s="69"/>
      <c r="J7" s="70" t="s">
        <v>932</v>
      </c>
      <c r="K7" s="131">
        <v>322005</v>
      </c>
      <c r="L7" s="131"/>
      <c r="M7" s="131"/>
    </row>
    <row r="8" spans="1:13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140"/>
      <c r="L8" s="140"/>
      <c r="M8" s="140"/>
    </row>
    <row r="9" spans="1:13" ht="14.25" x14ac:dyDescent="0.2">
      <c r="A9" s="138" t="s">
        <v>933</v>
      </c>
      <c r="B9" s="138"/>
      <c r="C9" s="139" t="e">
        <f>IF([1]Source!BA15 &lt;&gt; "", [1]Source!BA15, IF([1]Source!AU15 &lt;&gt; "", [1]Source!AU15, ""))</f>
        <v>#REF!</v>
      </c>
      <c r="D9" s="139"/>
      <c r="E9" s="139"/>
      <c r="F9" s="139"/>
      <c r="G9" s="139"/>
      <c r="H9" s="139"/>
      <c r="I9" s="139"/>
      <c r="J9" s="70" t="s">
        <v>934</v>
      </c>
      <c r="K9" s="140"/>
      <c r="L9" s="140"/>
      <c r="M9" s="140"/>
    </row>
    <row r="10" spans="1:13" x14ac:dyDescent="0.2">
      <c r="A10" s="69"/>
      <c r="B10" s="69"/>
      <c r="C10" s="134" t="s">
        <v>935</v>
      </c>
      <c r="D10" s="134"/>
      <c r="E10" s="134"/>
      <c r="F10" s="134"/>
      <c r="G10" s="134"/>
      <c r="H10" s="134"/>
      <c r="I10" s="134"/>
      <c r="J10" s="69"/>
      <c r="K10" s="140"/>
      <c r="L10" s="140"/>
      <c r="M10" s="140"/>
    </row>
    <row r="11" spans="1:13" ht="46.5" customHeight="1" x14ac:dyDescent="0.2">
      <c r="A11" s="138" t="s">
        <v>936</v>
      </c>
      <c r="B11" s="138"/>
      <c r="C11" s="139"/>
      <c r="D11" s="139"/>
      <c r="E11" s="139"/>
      <c r="F11" s="139"/>
      <c r="G11" s="139"/>
      <c r="H11" s="139"/>
      <c r="I11" s="139"/>
      <c r="J11" s="70" t="s">
        <v>934</v>
      </c>
      <c r="K11" s="140"/>
      <c r="L11" s="140"/>
      <c r="M11" s="140"/>
    </row>
    <row r="12" spans="1:13" x14ac:dyDescent="0.2">
      <c r="A12" s="69"/>
      <c r="B12" s="69"/>
      <c r="C12" s="134" t="s">
        <v>935</v>
      </c>
      <c r="D12" s="134"/>
      <c r="E12" s="134"/>
      <c r="F12" s="134"/>
      <c r="G12" s="134"/>
      <c r="H12" s="134"/>
      <c r="I12" s="134"/>
      <c r="J12" s="69"/>
      <c r="K12" s="140">
        <v>45267383</v>
      </c>
      <c r="L12" s="140"/>
      <c r="M12" s="140"/>
    </row>
    <row r="13" spans="1:13" ht="14.25" x14ac:dyDescent="0.2">
      <c r="A13" s="138" t="s">
        <v>937</v>
      </c>
      <c r="B13" s="138"/>
      <c r="C13" s="139"/>
      <c r="D13" s="139"/>
      <c r="E13" s="139"/>
      <c r="F13" s="139"/>
      <c r="G13" s="139"/>
      <c r="H13" s="139"/>
      <c r="I13" s="139"/>
      <c r="J13" s="70" t="s">
        <v>934</v>
      </c>
      <c r="K13" s="140"/>
      <c r="L13" s="140"/>
      <c r="M13" s="140"/>
    </row>
    <row r="14" spans="1:13" x14ac:dyDescent="0.2">
      <c r="A14" s="69"/>
      <c r="B14" s="69"/>
      <c r="C14" s="134" t="s">
        <v>935</v>
      </c>
      <c r="D14" s="134"/>
      <c r="E14" s="134"/>
      <c r="F14" s="134"/>
      <c r="G14" s="134"/>
      <c r="H14" s="134"/>
      <c r="I14" s="134"/>
      <c r="J14" s="69"/>
      <c r="K14" s="131"/>
      <c r="L14" s="131"/>
      <c r="M14" s="131"/>
    </row>
    <row r="15" spans="1:13" ht="51.75" customHeight="1" x14ac:dyDescent="0.2">
      <c r="A15" s="138" t="s">
        <v>938</v>
      </c>
      <c r="B15" s="138"/>
      <c r="C15" s="139"/>
      <c r="D15" s="139"/>
      <c r="E15" s="139"/>
      <c r="F15" s="139"/>
      <c r="G15" s="139"/>
      <c r="H15" s="139"/>
      <c r="I15" s="139"/>
      <c r="J15" s="69"/>
      <c r="K15" s="131"/>
      <c r="L15" s="131"/>
      <c r="M15" s="131"/>
    </row>
    <row r="16" spans="1:13" x14ac:dyDescent="0.2">
      <c r="A16" s="69"/>
      <c r="B16" s="69"/>
      <c r="C16" s="134" t="s">
        <v>939</v>
      </c>
      <c r="D16" s="134"/>
      <c r="E16" s="134"/>
      <c r="F16" s="134"/>
      <c r="G16" s="134"/>
      <c r="H16" s="134"/>
      <c r="I16" s="134"/>
      <c r="J16" s="69"/>
      <c r="K16" s="140"/>
      <c r="L16" s="140"/>
      <c r="M16" s="140"/>
    </row>
    <row r="17" spans="1:13" ht="42" customHeight="1" x14ac:dyDescent="0.2">
      <c r="A17" s="138" t="s">
        <v>940</v>
      </c>
      <c r="B17" s="138"/>
      <c r="C17" s="139">
        <f>C15</f>
        <v>0</v>
      </c>
      <c r="D17" s="139"/>
      <c r="E17" s="139"/>
      <c r="F17" s="139"/>
      <c r="G17" s="139"/>
      <c r="H17" s="139"/>
      <c r="I17" s="139"/>
      <c r="J17" s="69"/>
      <c r="K17" s="140"/>
      <c r="L17" s="140"/>
      <c r="M17" s="140"/>
    </row>
    <row r="18" spans="1:13" x14ac:dyDescent="0.2">
      <c r="A18" s="69"/>
      <c r="B18" s="69"/>
      <c r="C18" s="134" t="s">
        <v>941</v>
      </c>
      <c r="D18" s="134"/>
      <c r="E18" s="134"/>
      <c r="F18" s="134"/>
      <c r="G18" s="134"/>
      <c r="H18" s="134"/>
      <c r="I18" s="134"/>
      <c r="J18" s="69"/>
      <c r="K18" s="69"/>
      <c r="L18" s="69"/>
      <c r="M18" s="69"/>
    </row>
    <row r="19" spans="1:13" ht="14.25" x14ac:dyDescent="0.2">
      <c r="A19" s="69"/>
      <c r="B19" s="69"/>
      <c r="C19" s="69"/>
      <c r="D19" s="69"/>
      <c r="E19" s="69"/>
      <c r="F19" s="69"/>
      <c r="G19" s="69"/>
      <c r="H19" s="135" t="s">
        <v>942</v>
      </c>
      <c r="I19" s="135"/>
      <c r="J19" s="135"/>
      <c r="K19" s="136"/>
      <c r="L19" s="136"/>
      <c r="M19" s="136"/>
    </row>
    <row r="20" spans="1:13" ht="14.25" x14ac:dyDescent="0.2">
      <c r="A20" s="69"/>
      <c r="B20" s="69"/>
      <c r="C20" s="69"/>
      <c r="D20" s="69"/>
      <c r="E20" s="69"/>
      <c r="F20" s="69"/>
      <c r="G20" s="69"/>
      <c r="H20" s="135" t="s">
        <v>943</v>
      </c>
      <c r="I20" s="135"/>
      <c r="J20" s="71" t="s">
        <v>944</v>
      </c>
      <c r="K20" s="131"/>
      <c r="L20" s="131"/>
      <c r="M20" s="131"/>
    </row>
    <row r="21" spans="1:13" ht="14.25" x14ac:dyDescent="0.2">
      <c r="A21" s="69"/>
      <c r="B21" s="69"/>
      <c r="C21" s="69"/>
      <c r="D21" s="69"/>
      <c r="E21" s="69"/>
      <c r="F21" s="69"/>
      <c r="G21" s="69"/>
      <c r="H21" s="69"/>
      <c r="I21" s="69"/>
      <c r="J21" s="71" t="s">
        <v>945</v>
      </c>
      <c r="K21" s="137"/>
      <c r="L21" s="137"/>
      <c r="M21" s="137"/>
    </row>
    <row r="22" spans="1:13" ht="28.5" x14ac:dyDescent="0.2">
      <c r="A22" s="69"/>
      <c r="B22" s="69"/>
      <c r="C22" s="69"/>
      <c r="D22" s="69"/>
      <c r="E22" s="69"/>
      <c r="F22" s="69"/>
      <c r="G22" s="69"/>
      <c r="H22" s="69"/>
      <c r="I22" s="69"/>
      <c r="J22" s="70" t="s">
        <v>946</v>
      </c>
      <c r="K22" s="131"/>
      <c r="L22" s="131"/>
      <c r="M22" s="131"/>
    </row>
    <row r="23" spans="1:13" x14ac:dyDescent="0.2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</row>
    <row r="24" spans="1:13" x14ac:dyDescent="0.2">
      <c r="A24" s="69"/>
      <c r="B24" s="69"/>
      <c r="C24" s="69"/>
      <c r="D24" s="69"/>
      <c r="E24" s="69"/>
      <c r="F24" s="69"/>
      <c r="G24" s="132" t="s">
        <v>947</v>
      </c>
      <c r="H24" s="132" t="s">
        <v>948</v>
      </c>
      <c r="I24" s="132" t="s">
        <v>949</v>
      </c>
      <c r="J24" s="132"/>
      <c r="K24" s="69"/>
      <c r="L24" s="69"/>
      <c r="M24" s="69"/>
    </row>
    <row r="25" spans="1:13" x14ac:dyDescent="0.2">
      <c r="A25" s="69"/>
      <c r="B25" s="69"/>
      <c r="C25" s="69"/>
      <c r="D25" s="69"/>
      <c r="E25" s="69"/>
      <c r="F25" s="69"/>
      <c r="G25" s="132"/>
      <c r="H25" s="132"/>
      <c r="I25" s="72" t="s">
        <v>950</v>
      </c>
      <c r="J25" s="72" t="s">
        <v>951</v>
      </c>
      <c r="K25" s="69"/>
      <c r="L25" s="69"/>
      <c r="M25" s="69"/>
    </row>
    <row r="26" spans="1:13" x14ac:dyDescent="0.2">
      <c r="A26" s="69"/>
      <c r="B26" s="69"/>
      <c r="C26" s="69"/>
      <c r="D26" s="69"/>
      <c r="E26" s="69"/>
      <c r="F26" s="69"/>
      <c r="G26" s="73">
        <v>1</v>
      </c>
      <c r="H26" s="74">
        <v>44973</v>
      </c>
      <c r="I26" s="74">
        <f>K21</f>
        <v>0</v>
      </c>
      <c r="J26" s="74">
        <f>H26</f>
        <v>44973</v>
      </c>
      <c r="K26" s="69"/>
      <c r="L26" s="69"/>
      <c r="M26" s="69"/>
    </row>
    <row r="27" spans="1:13" x14ac:dyDescent="0.2">
      <c r="A27" s="69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</row>
    <row r="28" spans="1:13" ht="18" x14ac:dyDescent="0.25">
      <c r="A28" s="69"/>
      <c r="B28" s="133" t="s">
        <v>952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</row>
    <row r="29" spans="1:13" ht="18" x14ac:dyDescent="0.25">
      <c r="A29" s="69"/>
      <c r="B29" s="133" t="s">
        <v>953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</row>
    <row r="30" spans="1:13" ht="15.75" x14ac:dyDescent="0.25">
      <c r="A30" s="75"/>
      <c r="B30" s="75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7"/>
    </row>
    <row r="31" spans="1:13" ht="14.25" x14ac:dyDescent="0.2">
      <c r="A31" s="11" t="s">
        <v>927</v>
      </c>
      <c r="B31" s="11" t="s">
        <v>824</v>
      </c>
      <c r="C31" s="11"/>
      <c r="D31" s="11"/>
      <c r="E31" s="17"/>
      <c r="F31" s="18"/>
      <c r="G31" s="11"/>
      <c r="H31" s="11"/>
      <c r="I31" s="11"/>
      <c r="J31" s="11"/>
      <c r="K31" s="11"/>
      <c r="L31" s="11"/>
    </row>
    <row r="32" spans="1:13" ht="14.25" x14ac:dyDescent="0.2">
      <c r="A32" s="105" t="s">
        <v>811</v>
      </c>
      <c r="B32" s="105" t="s">
        <v>811</v>
      </c>
      <c r="C32" s="105" t="s">
        <v>812</v>
      </c>
      <c r="D32" s="105" t="s">
        <v>813</v>
      </c>
      <c r="E32" s="105" t="s">
        <v>814</v>
      </c>
      <c r="F32" s="105" t="s">
        <v>815</v>
      </c>
      <c r="G32" s="105" t="s">
        <v>816</v>
      </c>
      <c r="H32" s="105" t="s">
        <v>817</v>
      </c>
      <c r="I32" s="105" t="s">
        <v>818</v>
      </c>
      <c r="J32" s="105" t="s">
        <v>819</v>
      </c>
      <c r="K32" s="105" t="s">
        <v>820</v>
      </c>
      <c r="L32" s="19" t="s">
        <v>821</v>
      </c>
    </row>
    <row r="33" spans="1:23" ht="28.5" x14ac:dyDescent="0.2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20" t="s">
        <v>822</v>
      </c>
    </row>
    <row r="34" spans="1:23" ht="28.5" x14ac:dyDescent="0.2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20" t="s">
        <v>823</v>
      </c>
    </row>
    <row r="35" spans="1:23" ht="14.25" x14ac:dyDescent="0.2">
      <c r="A35" s="20">
        <v>1</v>
      </c>
      <c r="B35" s="20">
        <v>2</v>
      </c>
      <c r="C35" s="20">
        <v>3</v>
      </c>
      <c r="D35" s="20">
        <v>4</v>
      </c>
      <c r="E35" s="20">
        <v>5</v>
      </c>
      <c r="F35" s="20">
        <v>6</v>
      </c>
      <c r="G35" s="20">
        <v>7</v>
      </c>
      <c r="H35" s="20">
        <v>8</v>
      </c>
      <c r="I35" s="20">
        <v>9</v>
      </c>
      <c r="J35" s="20">
        <v>10</v>
      </c>
      <c r="K35" s="20">
        <v>11</v>
      </c>
      <c r="L35" s="20">
        <v>12</v>
      </c>
    </row>
    <row r="37" spans="1:23" ht="16.5" x14ac:dyDescent="0.25">
      <c r="B37" s="109" t="str">
        <f>CONCATENATE("Локальная смета: ",IF(Source!G20&lt;&gt;"Новая локальная смета", Source!G20, ""))</f>
        <v>Локальная смета: Установка сплит-систем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</row>
    <row r="38" spans="1:23" ht="42.75" x14ac:dyDescent="0.2">
      <c r="A38" s="22">
        <v>1</v>
      </c>
      <c r="B38" s="22">
        <v>1</v>
      </c>
      <c r="C38" s="22" t="str">
        <f>Source!F24</f>
        <v>1.18-3403-18-1/1</v>
      </c>
      <c r="D38" s="22" t="str">
        <f>Source!G24</f>
        <v>Установка внутреннего блока сплит-системы весом до 10 кг (без стоимости блока)</v>
      </c>
      <c r="E38" s="23" t="str">
        <f>Source!H24</f>
        <v>шт.</v>
      </c>
      <c r="F38" s="68">
        <f>Source!I24</f>
        <v>23</v>
      </c>
      <c r="G38" s="66"/>
      <c r="H38" s="24"/>
      <c r="I38" s="68"/>
      <c r="J38" s="68"/>
      <c r="K38" s="66"/>
      <c r="L38" s="66"/>
      <c r="R38">
        <f>ROUND((Source!BZ24/100)*ROUND((Source!AF24*Source!AV24)*Source!I24, 2), 2)</f>
        <v>42737.61</v>
      </c>
      <c r="S38">
        <f>Source!X24</f>
        <v>42737.61</v>
      </c>
      <c r="T38">
        <f>ROUND((Source!CA24/100)*ROUND((Source!AF24*Source!AV24)*Source!I24, 2), 2)</f>
        <v>6105.37</v>
      </c>
      <c r="U38">
        <f>Source!Y24</f>
        <v>6105.37</v>
      </c>
      <c r="V38">
        <f>ROUND((175/100)*ROUND((Source!AE24*Source!AV24)*Source!I24, 2), 2)</f>
        <v>10.47</v>
      </c>
      <c r="W38">
        <f>ROUND((108/100)*ROUND(Source!CS24*Source!I24, 2), 2)</f>
        <v>6.46</v>
      </c>
    </row>
    <row r="39" spans="1:23" ht="14.25" x14ac:dyDescent="0.2">
      <c r="A39" s="22"/>
      <c r="B39" s="22"/>
      <c r="C39" s="22"/>
      <c r="D39" s="22" t="s">
        <v>825</v>
      </c>
      <c r="E39" s="23"/>
      <c r="F39" s="68"/>
      <c r="G39" s="66">
        <f>Source!AO24</f>
        <v>2654.51</v>
      </c>
      <c r="H39" s="24" t="str">
        <f>Source!DG24</f>
        <v/>
      </c>
      <c r="I39" s="68">
        <f>Source!AV24</f>
        <v>1</v>
      </c>
      <c r="J39" s="68">
        <f>IF(Source!BA24&lt;&gt; 0, Source!BA24, 1)</f>
        <v>1</v>
      </c>
      <c r="K39" s="66">
        <f>Source!S24</f>
        <v>61053.73</v>
      </c>
      <c r="L39" s="66"/>
    </row>
    <row r="40" spans="1:23" ht="14.25" x14ac:dyDescent="0.2">
      <c r="A40" s="22"/>
      <c r="B40" s="22"/>
      <c r="C40" s="22"/>
      <c r="D40" s="22" t="s">
        <v>826</v>
      </c>
      <c r="E40" s="23"/>
      <c r="F40" s="68"/>
      <c r="G40" s="66">
        <f>Source!AM24</f>
        <v>2.75</v>
      </c>
      <c r="H40" s="24" t="str">
        <f>Source!DE24</f>
        <v/>
      </c>
      <c r="I40" s="68">
        <f>Source!AV24</f>
        <v>1</v>
      </c>
      <c r="J40" s="68">
        <f>IF(Source!BB24&lt;&gt; 0, Source!BB24, 1)</f>
        <v>1</v>
      </c>
      <c r="K40" s="66">
        <f>Source!Q24</f>
        <v>63.25</v>
      </c>
      <c r="L40" s="66"/>
    </row>
    <row r="41" spans="1:23" ht="14.25" x14ac:dyDescent="0.2">
      <c r="A41" s="22"/>
      <c r="B41" s="22"/>
      <c r="C41" s="22"/>
      <c r="D41" s="22" t="s">
        <v>827</v>
      </c>
      <c r="E41" s="23"/>
      <c r="F41" s="68"/>
      <c r="G41" s="66">
        <f>Source!AN24</f>
        <v>0.26</v>
      </c>
      <c r="H41" s="24" t="str">
        <f>Source!DF24</f>
        <v/>
      </c>
      <c r="I41" s="68">
        <f>Source!AV24</f>
        <v>1</v>
      </c>
      <c r="J41" s="68">
        <f>IF(Source!BS24&lt;&gt; 0, Source!BS24, 1)</f>
        <v>1</v>
      </c>
      <c r="K41" s="26">
        <f>Source!R24</f>
        <v>5.98</v>
      </c>
      <c r="L41" s="66"/>
    </row>
    <row r="42" spans="1:23" ht="14.25" x14ac:dyDescent="0.2">
      <c r="A42" s="22"/>
      <c r="B42" s="22"/>
      <c r="C42" s="22"/>
      <c r="D42" s="22" t="s">
        <v>828</v>
      </c>
      <c r="E42" s="23"/>
      <c r="F42" s="68"/>
      <c r="G42" s="66">
        <f>Source!AL24</f>
        <v>30.37</v>
      </c>
      <c r="H42" s="24" t="str">
        <f>Source!DD24</f>
        <v/>
      </c>
      <c r="I42" s="68">
        <f>Source!AW24</f>
        <v>1</v>
      </c>
      <c r="J42" s="68">
        <f>IF(Source!BC24&lt;&gt; 0, Source!BC24, 1)</f>
        <v>1</v>
      </c>
      <c r="K42" s="66">
        <f>Source!P24</f>
        <v>698.51</v>
      </c>
      <c r="L42" s="66"/>
    </row>
    <row r="43" spans="1:23" ht="14.25" x14ac:dyDescent="0.2">
      <c r="A43" s="22"/>
      <c r="B43" s="22"/>
      <c r="C43" s="22"/>
      <c r="D43" s="22" t="s">
        <v>829</v>
      </c>
      <c r="E43" s="23" t="s">
        <v>830</v>
      </c>
      <c r="F43" s="68">
        <f>Source!AT24</f>
        <v>70</v>
      </c>
      <c r="G43" s="66"/>
      <c r="H43" s="24"/>
      <c r="I43" s="68"/>
      <c r="J43" s="68"/>
      <c r="K43" s="66">
        <f>SUM(S38:S42)</f>
        <v>42737.61</v>
      </c>
      <c r="L43" s="66"/>
    </row>
    <row r="44" spans="1:23" ht="14.25" x14ac:dyDescent="0.2">
      <c r="A44" s="22"/>
      <c r="B44" s="22"/>
      <c r="C44" s="22"/>
      <c r="D44" s="22" t="s">
        <v>831</v>
      </c>
      <c r="E44" s="23" t="s">
        <v>830</v>
      </c>
      <c r="F44" s="68">
        <f>Source!AU24</f>
        <v>10</v>
      </c>
      <c r="G44" s="66"/>
      <c r="H44" s="24"/>
      <c r="I44" s="68"/>
      <c r="J44" s="68"/>
      <c r="K44" s="66">
        <f>SUM(U38:U43)</f>
        <v>6105.37</v>
      </c>
      <c r="L44" s="66"/>
    </row>
    <row r="45" spans="1:23" ht="14.25" x14ac:dyDescent="0.2">
      <c r="A45" s="22"/>
      <c r="B45" s="22"/>
      <c r="C45" s="22"/>
      <c r="D45" s="22" t="s">
        <v>832</v>
      </c>
      <c r="E45" s="23" t="s">
        <v>830</v>
      </c>
      <c r="F45" s="68">
        <f>108</f>
        <v>108</v>
      </c>
      <c r="G45" s="66"/>
      <c r="H45" s="24"/>
      <c r="I45" s="68"/>
      <c r="J45" s="68"/>
      <c r="K45" s="66">
        <f>SUM(W38:W44)</f>
        <v>6.46</v>
      </c>
      <c r="L45" s="66"/>
    </row>
    <row r="46" spans="1:23" ht="14.25" x14ac:dyDescent="0.2">
      <c r="A46" s="22"/>
      <c r="B46" s="22"/>
      <c r="C46" s="22"/>
      <c r="D46" s="22" t="s">
        <v>833</v>
      </c>
      <c r="E46" s="23" t="s">
        <v>834</v>
      </c>
      <c r="F46" s="68">
        <f>Source!AQ24</f>
        <v>10.42</v>
      </c>
      <c r="G46" s="66"/>
      <c r="H46" s="24" t="str">
        <f>Source!DI24</f>
        <v/>
      </c>
      <c r="I46" s="68">
        <f>Source!AV24</f>
        <v>1</v>
      </c>
      <c r="J46" s="68"/>
      <c r="K46" s="66"/>
      <c r="L46" s="66">
        <f>Source!U24</f>
        <v>239.66</v>
      </c>
    </row>
    <row r="47" spans="1:23" ht="15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104">
        <f>K39+K40+K42+K43+K44+K45</f>
        <v>110664.93000000001</v>
      </c>
      <c r="K47" s="104"/>
      <c r="L47" s="67">
        <f>IF(Source!I24&lt;&gt;0, ROUND(J47/Source!I24, 2), 0)</f>
        <v>4811.5200000000004</v>
      </c>
      <c r="Q47" s="27">
        <f>J47</f>
        <v>110664.93000000001</v>
      </c>
    </row>
    <row r="48" spans="1:23" ht="42.75" x14ac:dyDescent="0.2">
      <c r="A48" s="22">
        <v>2</v>
      </c>
      <c r="B48" s="22">
        <v>2</v>
      </c>
      <c r="C48" s="22" t="str">
        <f>Source!F25</f>
        <v>1.18-3403-18-2/1</v>
      </c>
      <c r="D48" s="22" t="str">
        <f>Source!G25</f>
        <v>Установка внутреннего блока сплит-системы весом до 15 кг (без стоимости блока)</v>
      </c>
      <c r="E48" s="23" t="str">
        <f>Source!H25</f>
        <v>шт.</v>
      </c>
      <c r="F48" s="68">
        <f>Source!I25</f>
        <v>3</v>
      </c>
      <c r="G48" s="66"/>
      <c r="H48" s="24"/>
      <c r="I48" s="68"/>
      <c r="J48" s="68"/>
      <c r="K48" s="66"/>
      <c r="L48" s="66"/>
      <c r="R48">
        <f>ROUND((Source!BZ25/100)*ROUND((Source!AF25*Source!AV25)*Source!I25, 2), 2)</f>
        <v>7616.24</v>
      </c>
      <c r="S48">
        <f>Source!X25</f>
        <v>7616.24</v>
      </c>
      <c r="T48">
        <f>ROUND((Source!CA25/100)*ROUND((Source!AF25*Source!AV25)*Source!I25, 2), 2)</f>
        <v>1088.03</v>
      </c>
      <c r="U48">
        <f>Source!Y25</f>
        <v>1088.03</v>
      </c>
      <c r="V48">
        <f>ROUND((175/100)*ROUND((Source!AE25*Source!AV25)*Source!I25, 2), 2)</f>
        <v>1.37</v>
      </c>
      <c r="W48">
        <f>ROUND((108/100)*ROUND(Source!CS25*Source!I25, 2), 2)</f>
        <v>0.84</v>
      </c>
    </row>
    <row r="49" spans="1:23" ht="14.25" x14ac:dyDescent="0.2">
      <c r="A49" s="22"/>
      <c r="B49" s="22"/>
      <c r="C49" s="22"/>
      <c r="D49" s="22" t="s">
        <v>825</v>
      </c>
      <c r="E49" s="23"/>
      <c r="F49" s="68"/>
      <c r="G49" s="66">
        <f>Source!AO25</f>
        <v>3626.78</v>
      </c>
      <c r="H49" s="24" t="str">
        <f>Source!DG25</f>
        <v/>
      </c>
      <c r="I49" s="68">
        <f>Source!AV25</f>
        <v>1</v>
      </c>
      <c r="J49" s="68">
        <f>IF(Source!BA25&lt;&gt; 0, Source!BA25, 1)</f>
        <v>1</v>
      </c>
      <c r="K49" s="66">
        <f>Source!S25</f>
        <v>10880.34</v>
      </c>
      <c r="L49" s="66"/>
    </row>
    <row r="50" spans="1:23" ht="14.25" x14ac:dyDescent="0.2">
      <c r="A50" s="22"/>
      <c r="B50" s="22"/>
      <c r="C50" s="22"/>
      <c r="D50" s="22" t="s">
        <v>826</v>
      </c>
      <c r="E50" s="23"/>
      <c r="F50" s="68"/>
      <c r="G50" s="66">
        <f>Source!AM25</f>
        <v>2.75</v>
      </c>
      <c r="H50" s="24" t="str">
        <f>Source!DE25</f>
        <v/>
      </c>
      <c r="I50" s="68">
        <f>Source!AV25</f>
        <v>1</v>
      </c>
      <c r="J50" s="68">
        <f>IF(Source!BB25&lt;&gt; 0, Source!BB25, 1)</f>
        <v>1</v>
      </c>
      <c r="K50" s="66">
        <f>Source!Q25</f>
        <v>8.25</v>
      </c>
      <c r="L50" s="66"/>
    </row>
    <row r="51" spans="1:23" ht="14.25" x14ac:dyDescent="0.2">
      <c r="A51" s="22"/>
      <c r="B51" s="22"/>
      <c r="C51" s="22"/>
      <c r="D51" s="22" t="s">
        <v>827</v>
      </c>
      <c r="E51" s="23"/>
      <c r="F51" s="68"/>
      <c r="G51" s="66">
        <f>Source!AN25</f>
        <v>0.26</v>
      </c>
      <c r="H51" s="24" t="str">
        <f>Source!DF25</f>
        <v/>
      </c>
      <c r="I51" s="68">
        <f>Source!AV25</f>
        <v>1</v>
      </c>
      <c r="J51" s="68">
        <f>IF(Source!BS25&lt;&gt; 0, Source!BS25, 1)</f>
        <v>1</v>
      </c>
      <c r="K51" s="26">
        <f>Source!R25</f>
        <v>0.78</v>
      </c>
      <c r="L51" s="66"/>
    </row>
    <row r="52" spans="1:23" ht="14.25" x14ac:dyDescent="0.2">
      <c r="A52" s="22"/>
      <c r="B52" s="22"/>
      <c r="C52" s="22"/>
      <c r="D52" s="22" t="s">
        <v>828</v>
      </c>
      <c r="E52" s="23"/>
      <c r="F52" s="68"/>
      <c r="G52" s="66">
        <f>Source!AL25</f>
        <v>30.37</v>
      </c>
      <c r="H52" s="24" t="str">
        <f>Source!DD25</f>
        <v/>
      </c>
      <c r="I52" s="68">
        <f>Source!AW25</f>
        <v>1</v>
      </c>
      <c r="J52" s="68">
        <f>IF(Source!BC25&lt;&gt; 0, Source!BC25, 1)</f>
        <v>1</v>
      </c>
      <c r="K52" s="66">
        <f>Source!P25</f>
        <v>91.11</v>
      </c>
      <c r="L52" s="66"/>
    </row>
    <row r="53" spans="1:23" ht="14.25" x14ac:dyDescent="0.2">
      <c r="A53" s="22"/>
      <c r="B53" s="22"/>
      <c r="C53" s="22"/>
      <c r="D53" s="22" t="s">
        <v>829</v>
      </c>
      <c r="E53" s="23" t="s">
        <v>830</v>
      </c>
      <c r="F53" s="68">
        <f>Source!AT25</f>
        <v>70</v>
      </c>
      <c r="G53" s="66"/>
      <c r="H53" s="24"/>
      <c r="I53" s="68"/>
      <c r="J53" s="68"/>
      <c r="K53" s="66">
        <f>SUM(S48:S52)</f>
        <v>7616.24</v>
      </c>
      <c r="L53" s="66"/>
    </row>
    <row r="54" spans="1:23" ht="14.25" x14ac:dyDescent="0.2">
      <c r="A54" s="22"/>
      <c r="B54" s="22"/>
      <c r="C54" s="22"/>
      <c r="D54" s="22" t="s">
        <v>831</v>
      </c>
      <c r="E54" s="23" t="s">
        <v>830</v>
      </c>
      <c r="F54" s="68">
        <f>Source!AU25</f>
        <v>10</v>
      </c>
      <c r="G54" s="66"/>
      <c r="H54" s="24"/>
      <c r="I54" s="68"/>
      <c r="J54" s="68"/>
      <c r="K54" s="66">
        <f>SUM(U48:U53)</f>
        <v>1088.03</v>
      </c>
      <c r="L54" s="66"/>
    </row>
    <row r="55" spans="1:23" ht="14.25" x14ac:dyDescent="0.2">
      <c r="A55" s="22"/>
      <c r="B55" s="22"/>
      <c r="C55" s="22"/>
      <c r="D55" s="22" t="s">
        <v>832</v>
      </c>
      <c r="E55" s="23" t="s">
        <v>830</v>
      </c>
      <c r="F55" s="68">
        <f>108</f>
        <v>108</v>
      </c>
      <c r="G55" s="66"/>
      <c r="H55" s="24"/>
      <c r="I55" s="68"/>
      <c r="J55" s="68"/>
      <c r="K55" s="66">
        <f>SUM(W48:W54)</f>
        <v>0.84</v>
      </c>
      <c r="L55" s="66"/>
    </row>
    <row r="56" spans="1:23" ht="14.25" x14ac:dyDescent="0.2">
      <c r="A56" s="22"/>
      <c r="B56" s="22"/>
      <c r="C56" s="22"/>
      <c r="D56" s="22" t="s">
        <v>833</v>
      </c>
      <c r="E56" s="23" t="s">
        <v>834</v>
      </c>
      <c r="F56" s="68">
        <f>Source!AQ25</f>
        <v>14.22</v>
      </c>
      <c r="G56" s="66"/>
      <c r="H56" s="24" t="str">
        <f>Source!DI25</f>
        <v/>
      </c>
      <c r="I56" s="68">
        <f>Source!AV25</f>
        <v>1</v>
      </c>
      <c r="J56" s="68"/>
      <c r="K56" s="66"/>
      <c r="L56" s="66">
        <f>Source!U25</f>
        <v>42.660000000000004</v>
      </c>
    </row>
    <row r="57" spans="1:23" ht="15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104">
        <f>K49+K50+K52+K53+K54+K55</f>
        <v>19684.810000000001</v>
      </c>
      <c r="K57" s="104"/>
      <c r="L57" s="67">
        <f>IF(Source!I25&lt;&gt;0, ROUND(J57/Source!I25, 2), 0)</f>
        <v>6561.6</v>
      </c>
      <c r="Q57" s="27">
        <f>J57</f>
        <v>19684.810000000001</v>
      </c>
    </row>
    <row r="58" spans="1:23" ht="42.75" x14ac:dyDescent="0.2">
      <c r="A58" s="22">
        <v>3</v>
      </c>
      <c r="B58" s="22">
        <v>3</v>
      </c>
      <c r="C58" s="22" t="str">
        <f>Source!F26</f>
        <v>1.18-3403-17-1/1</v>
      </c>
      <c r="D58" s="22" t="str">
        <f>Source!G26</f>
        <v>Установка наружного блока сплит-системы весом до 30 кг (без стоимости блока и кронштейнов)</v>
      </c>
      <c r="E58" s="23" t="str">
        <f>Source!H26</f>
        <v>шт.</v>
      </c>
      <c r="F58" s="68">
        <f>Source!I26</f>
        <v>23</v>
      </c>
      <c r="G58" s="66"/>
      <c r="H58" s="24"/>
      <c r="I58" s="68"/>
      <c r="J58" s="68"/>
      <c r="K58" s="66"/>
      <c r="L58" s="66"/>
      <c r="R58">
        <f>ROUND((Source!BZ26/100)*ROUND((Source!AF26*Source!AV26)*Source!I26, 2), 2)</f>
        <v>65124.98</v>
      </c>
      <c r="S58">
        <f>Source!X26</f>
        <v>65124.98</v>
      </c>
      <c r="T58">
        <f>ROUND((Source!CA26/100)*ROUND((Source!AF26*Source!AV26)*Source!I26, 2), 2)</f>
        <v>9303.57</v>
      </c>
      <c r="U58">
        <f>Source!Y26</f>
        <v>9303.57</v>
      </c>
      <c r="V58">
        <f>ROUND((175/100)*ROUND((Source!AE26*Source!AV26)*Source!I26, 2), 2)</f>
        <v>26.97</v>
      </c>
      <c r="W58">
        <f>ROUND((108/100)*ROUND(Source!CS26*Source!I26, 2), 2)</f>
        <v>16.64</v>
      </c>
    </row>
    <row r="59" spans="1:23" ht="14.25" x14ac:dyDescent="0.2">
      <c r="A59" s="22"/>
      <c r="B59" s="22"/>
      <c r="C59" s="22"/>
      <c r="D59" s="22" t="s">
        <v>825</v>
      </c>
      <c r="E59" s="23"/>
      <c r="F59" s="68"/>
      <c r="G59" s="66">
        <f>Source!AO26</f>
        <v>4045.03</v>
      </c>
      <c r="H59" s="24" t="str">
        <f>Source!DG26</f>
        <v/>
      </c>
      <c r="I59" s="68">
        <f>Source!AV26</f>
        <v>1</v>
      </c>
      <c r="J59" s="68">
        <f>IF(Source!BA26&lt;&gt; 0, Source!BA26, 1)</f>
        <v>1</v>
      </c>
      <c r="K59" s="66">
        <f>Source!S26</f>
        <v>93035.69</v>
      </c>
      <c r="L59" s="66"/>
    </row>
    <row r="60" spans="1:23" ht="14.25" x14ac:dyDescent="0.2">
      <c r="A60" s="22"/>
      <c r="B60" s="22"/>
      <c r="C60" s="22"/>
      <c r="D60" s="22" t="s">
        <v>826</v>
      </c>
      <c r="E60" s="23"/>
      <c r="F60" s="68"/>
      <c r="G60" s="66">
        <f>Source!AM26</f>
        <v>4.66</v>
      </c>
      <c r="H60" s="24" t="str">
        <f>Source!DE26</f>
        <v/>
      </c>
      <c r="I60" s="68">
        <f>Source!AV26</f>
        <v>1</v>
      </c>
      <c r="J60" s="68">
        <f>IF(Source!BB26&lt;&gt; 0, Source!BB26, 1)</f>
        <v>1</v>
      </c>
      <c r="K60" s="66">
        <f>Source!Q26</f>
        <v>107.18</v>
      </c>
      <c r="L60" s="66"/>
    </row>
    <row r="61" spans="1:23" ht="14.25" x14ac:dyDescent="0.2">
      <c r="A61" s="22"/>
      <c r="B61" s="22"/>
      <c r="C61" s="22"/>
      <c r="D61" s="22" t="s">
        <v>827</v>
      </c>
      <c r="E61" s="23"/>
      <c r="F61" s="68"/>
      <c r="G61" s="66">
        <f>Source!AN26</f>
        <v>0.67</v>
      </c>
      <c r="H61" s="24" t="str">
        <f>Source!DF26</f>
        <v/>
      </c>
      <c r="I61" s="68">
        <f>Source!AV26</f>
        <v>1</v>
      </c>
      <c r="J61" s="68">
        <f>IF(Source!BS26&lt;&gt; 0, Source!BS26, 1)</f>
        <v>1</v>
      </c>
      <c r="K61" s="26">
        <f>Source!R26</f>
        <v>15.41</v>
      </c>
      <c r="L61" s="66"/>
    </row>
    <row r="62" spans="1:23" ht="14.25" x14ac:dyDescent="0.2">
      <c r="A62" s="22"/>
      <c r="B62" s="22"/>
      <c r="C62" s="22"/>
      <c r="D62" s="22" t="s">
        <v>828</v>
      </c>
      <c r="E62" s="23"/>
      <c r="F62" s="68"/>
      <c r="G62" s="66">
        <f>Source!AL26</f>
        <v>631.24</v>
      </c>
      <c r="H62" s="24" t="str">
        <f>Source!DD26</f>
        <v/>
      </c>
      <c r="I62" s="68">
        <f>Source!AW26</f>
        <v>1</v>
      </c>
      <c r="J62" s="68">
        <f>IF(Source!BC26&lt;&gt; 0, Source!BC26, 1)</f>
        <v>1</v>
      </c>
      <c r="K62" s="66">
        <f>Source!P26</f>
        <v>14518.52</v>
      </c>
      <c r="L62" s="66"/>
    </row>
    <row r="63" spans="1:23" ht="55.5" x14ac:dyDescent="0.2">
      <c r="A63" s="22" t="s">
        <v>33</v>
      </c>
      <c r="B63" s="22" t="s">
        <v>33</v>
      </c>
      <c r="C63" s="22" t="str">
        <f>Source!F27</f>
        <v>Цена поставщика</v>
      </c>
      <c r="D63" s="22" t="s">
        <v>835</v>
      </c>
      <c r="E63" s="23" t="str">
        <f>Source!H27</f>
        <v>шт.</v>
      </c>
      <c r="F63" s="68">
        <f>Source!I27</f>
        <v>16</v>
      </c>
      <c r="G63" s="66">
        <f>Source!AK27</f>
        <v>44958.33</v>
      </c>
      <c r="H63" s="31" t="s">
        <v>3</v>
      </c>
      <c r="I63" s="68">
        <f>Source!AW27</f>
        <v>1</v>
      </c>
      <c r="J63" s="68">
        <f>IF(Source!BC27&lt;&gt; 0, Source!BC27, 1)</f>
        <v>1</v>
      </c>
      <c r="K63" s="66">
        <f>Source!O27</f>
        <v>719333.28</v>
      </c>
      <c r="L63" s="66"/>
      <c r="R63">
        <f>ROUND((Source!BZ27/100)*ROUND((Source!AF27*Source!AV27)*Source!I27, 2), 2)</f>
        <v>0</v>
      </c>
      <c r="S63">
        <f>Source!X27</f>
        <v>0</v>
      </c>
      <c r="T63">
        <f>ROUND((Source!CA27/100)*ROUND((Source!AF27*Source!AV27)*Source!I27, 2), 2)</f>
        <v>0</v>
      </c>
      <c r="U63">
        <f>Source!Y27</f>
        <v>0</v>
      </c>
      <c r="V63">
        <f>ROUND((175/100)*ROUND((Source!AE27*Source!AV27)*Source!I27, 2), 2)</f>
        <v>0</v>
      </c>
      <c r="W63">
        <f>ROUND((108/100)*ROUND(Source!CS27*Source!I27, 2), 2)</f>
        <v>0</v>
      </c>
    </row>
    <row r="64" spans="1:23" ht="55.5" x14ac:dyDescent="0.2">
      <c r="A64" s="22" t="s">
        <v>38</v>
      </c>
      <c r="B64" s="22" t="s">
        <v>38</v>
      </c>
      <c r="C64" s="22" t="str">
        <f>Source!F28</f>
        <v>Цена поставщика</v>
      </c>
      <c r="D64" s="22" t="s">
        <v>836</v>
      </c>
      <c r="E64" s="23" t="str">
        <f>Source!H28</f>
        <v>шт.</v>
      </c>
      <c r="F64" s="68">
        <f>Source!I28</f>
        <v>7</v>
      </c>
      <c r="G64" s="66">
        <f>Source!AK28</f>
        <v>59583.33</v>
      </c>
      <c r="H64" s="31" t="s">
        <v>3</v>
      </c>
      <c r="I64" s="68">
        <f>Source!AW28</f>
        <v>1</v>
      </c>
      <c r="J64" s="68">
        <f>IF(Source!BC28&lt;&gt; 0, Source!BC28, 1)</f>
        <v>1</v>
      </c>
      <c r="K64" s="66">
        <f>Source!O28</f>
        <v>417083.31</v>
      </c>
      <c r="L64" s="66"/>
      <c r="R64">
        <f>ROUND((Source!BZ28/100)*ROUND((Source!AF28*Source!AV28)*Source!I28, 2), 2)</f>
        <v>0</v>
      </c>
      <c r="S64">
        <f>Source!X28</f>
        <v>0</v>
      </c>
      <c r="T64">
        <f>ROUND((Source!CA28/100)*ROUND((Source!AF28*Source!AV28)*Source!I28, 2), 2)</f>
        <v>0</v>
      </c>
      <c r="U64">
        <f>Source!Y28</f>
        <v>0</v>
      </c>
      <c r="V64">
        <f>ROUND((175/100)*ROUND((Source!AE28*Source!AV28)*Source!I28, 2), 2)</f>
        <v>0</v>
      </c>
      <c r="W64">
        <f>ROUND((108/100)*ROUND(Source!CS28*Source!I28, 2), 2)</f>
        <v>0</v>
      </c>
    </row>
    <row r="65" spans="1:23" ht="42.75" x14ac:dyDescent="0.2">
      <c r="A65" s="22" t="s">
        <v>43</v>
      </c>
      <c r="B65" s="22" t="s">
        <v>43</v>
      </c>
      <c r="C65" s="22" t="str">
        <f>Source!F30</f>
        <v>21.19-12-33</v>
      </c>
      <c r="D65" s="22" t="str">
        <f>Source!G30</f>
        <v>Средства крепления - кронштейн и подставка под оборудование из сортовой стали</v>
      </c>
      <c r="E65" s="23" t="str">
        <f>Source!H30</f>
        <v>кг</v>
      </c>
      <c r="F65" s="68">
        <f>Source!I30</f>
        <v>101.2</v>
      </c>
      <c r="G65" s="66">
        <f>Source!AK30</f>
        <v>156.56</v>
      </c>
      <c r="H65" s="31" t="s">
        <v>3</v>
      </c>
      <c r="I65" s="68">
        <f>Source!AW30</f>
        <v>1</v>
      </c>
      <c r="J65" s="68">
        <f>IF(Source!BC30&lt;&gt; 0, Source!BC30, 1)</f>
        <v>1</v>
      </c>
      <c r="K65" s="66">
        <f>Source!O30</f>
        <v>15843.87</v>
      </c>
      <c r="L65" s="66"/>
      <c r="R65">
        <f>ROUND((Source!BZ30/100)*ROUND((Source!AF30*Source!AV30)*Source!I30, 2), 2)</f>
        <v>0</v>
      </c>
      <c r="S65">
        <f>Source!X30</f>
        <v>0</v>
      </c>
      <c r="T65">
        <f>ROUND((Source!CA30/100)*ROUND((Source!AF30*Source!AV30)*Source!I30, 2), 2)</f>
        <v>0</v>
      </c>
      <c r="U65">
        <f>Source!Y30</f>
        <v>0</v>
      </c>
      <c r="V65">
        <f>ROUND((175/100)*ROUND((Source!AE30*Source!AV30)*Source!I30, 2), 2)</f>
        <v>0</v>
      </c>
      <c r="W65">
        <f>ROUND((108/100)*ROUND(Source!CS30*Source!I30, 2), 2)</f>
        <v>0</v>
      </c>
    </row>
    <row r="66" spans="1:23" ht="14.25" x14ac:dyDescent="0.2">
      <c r="A66" s="22"/>
      <c r="B66" s="22"/>
      <c r="C66" s="22"/>
      <c r="D66" s="22" t="s">
        <v>829</v>
      </c>
      <c r="E66" s="23" t="s">
        <v>830</v>
      </c>
      <c r="F66" s="68">
        <f>Source!AT26</f>
        <v>70</v>
      </c>
      <c r="G66" s="66"/>
      <c r="H66" s="24"/>
      <c r="I66" s="68"/>
      <c r="J66" s="68"/>
      <c r="K66" s="66">
        <f>SUM(S58:S65)</f>
        <v>65124.98</v>
      </c>
      <c r="L66" s="66"/>
    </row>
    <row r="67" spans="1:23" ht="14.25" x14ac:dyDescent="0.2">
      <c r="A67" s="22"/>
      <c r="B67" s="22"/>
      <c r="C67" s="22"/>
      <c r="D67" s="22" t="s">
        <v>831</v>
      </c>
      <c r="E67" s="23" t="s">
        <v>830</v>
      </c>
      <c r="F67" s="68">
        <f>Source!AU26</f>
        <v>10</v>
      </c>
      <c r="G67" s="66"/>
      <c r="H67" s="24"/>
      <c r="I67" s="68"/>
      <c r="J67" s="68"/>
      <c r="K67" s="66">
        <f>SUM(U58:U66)</f>
        <v>9303.57</v>
      </c>
      <c r="L67" s="66"/>
    </row>
    <row r="68" spans="1:23" ht="14.25" x14ac:dyDescent="0.2">
      <c r="A68" s="22"/>
      <c r="B68" s="22"/>
      <c r="C68" s="22"/>
      <c r="D68" s="22" t="s">
        <v>832</v>
      </c>
      <c r="E68" s="23" t="s">
        <v>830</v>
      </c>
      <c r="F68" s="68">
        <f>108</f>
        <v>108</v>
      </c>
      <c r="G68" s="66"/>
      <c r="H68" s="24"/>
      <c r="I68" s="68"/>
      <c r="J68" s="68"/>
      <c r="K68" s="66">
        <f>SUM(W58:W67)</f>
        <v>16.64</v>
      </c>
      <c r="L68" s="66"/>
    </row>
    <row r="69" spans="1:23" ht="14.25" x14ac:dyDescent="0.2">
      <c r="A69" s="22"/>
      <c r="B69" s="22"/>
      <c r="C69" s="22"/>
      <c r="D69" s="22" t="s">
        <v>833</v>
      </c>
      <c r="E69" s="23" t="s">
        <v>834</v>
      </c>
      <c r="F69" s="68">
        <f>Source!AQ26</f>
        <v>15.78</v>
      </c>
      <c r="G69" s="66"/>
      <c r="H69" s="24" t="str">
        <f>Source!DI26</f>
        <v/>
      </c>
      <c r="I69" s="68">
        <f>Source!AV26</f>
        <v>1</v>
      </c>
      <c r="J69" s="68"/>
      <c r="K69" s="66"/>
      <c r="L69" s="66">
        <f>Source!U26</f>
        <v>362.94</v>
      </c>
    </row>
    <row r="70" spans="1:23" ht="15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104">
        <f>K59+K60+K62+K66+K67+K68+SUM(K63:K65)</f>
        <v>1334367.0400000003</v>
      </c>
      <c r="K70" s="104"/>
      <c r="L70" s="67">
        <f>IF(Source!I26&lt;&gt;0, ROUND(J70/Source!I26, 2), 0)</f>
        <v>58015.96</v>
      </c>
      <c r="Q70" s="27">
        <f>J70</f>
        <v>1334367.0400000003</v>
      </c>
    </row>
    <row r="71" spans="1:23" ht="42.75" x14ac:dyDescent="0.2">
      <c r="A71" s="22">
        <v>4</v>
      </c>
      <c r="B71" s="22">
        <v>4</v>
      </c>
      <c r="C71" s="22" t="str">
        <f>Source!F31</f>
        <v>1.18-3403-17-3/1</v>
      </c>
      <c r="D71" s="22" t="str">
        <f>Source!G31</f>
        <v>Установка наружного блока сплит-системы весом до 50 кг (без стоимости блока и кронштейнов)</v>
      </c>
      <c r="E71" s="23" t="str">
        <f>Source!H31</f>
        <v>шт.</v>
      </c>
      <c r="F71" s="68">
        <f>Source!I31</f>
        <v>3</v>
      </c>
      <c r="G71" s="66"/>
      <c r="H71" s="24"/>
      <c r="I71" s="68"/>
      <c r="J71" s="68"/>
      <c r="K71" s="66"/>
      <c r="L71" s="66"/>
      <c r="R71">
        <f>ROUND((Source!BZ31/100)*ROUND((Source!AF31*Source!AV31)*Source!I31, 2), 2)</f>
        <v>11842.05</v>
      </c>
      <c r="S71">
        <f>Source!X31</f>
        <v>11842.05</v>
      </c>
      <c r="T71">
        <f>ROUND((Source!CA31/100)*ROUND((Source!AF31*Source!AV31)*Source!I31, 2), 2)</f>
        <v>1691.72</v>
      </c>
      <c r="U71">
        <f>Source!Y31</f>
        <v>1691.72</v>
      </c>
      <c r="V71">
        <f>ROUND((175/100)*ROUND((Source!AE31*Source!AV31)*Source!I31, 2), 2)</f>
        <v>3.52</v>
      </c>
      <c r="W71">
        <f>ROUND((108/100)*ROUND(Source!CS31*Source!I31, 2), 2)</f>
        <v>2.17</v>
      </c>
    </row>
    <row r="72" spans="1:23" ht="14.25" x14ac:dyDescent="0.2">
      <c r="A72" s="22"/>
      <c r="B72" s="22"/>
      <c r="C72" s="22"/>
      <c r="D72" s="22" t="s">
        <v>825</v>
      </c>
      <c r="E72" s="23"/>
      <c r="F72" s="68"/>
      <c r="G72" s="66">
        <f>Source!AO31</f>
        <v>5639.07</v>
      </c>
      <c r="H72" s="24" t="str">
        <f>Source!DG31</f>
        <v/>
      </c>
      <c r="I72" s="68">
        <f>Source!AV31</f>
        <v>1</v>
      </c>
      <c r="J72" s="68">
        <f>IF(Source!BA31&lt;&gt; 0, Source!BA31, 1)</f>
        <v>1</v>
      </c>
      <c r="K72" s="66">
        <f>Source!S31</f>
        <v>16917.21</v>
      </c>
      <c r="L72" s="66"/>
    </row>
    <row r="73" spans="1:23" ht="14.25" x14ac:dyDescent="0.2">
      <c r="A73" s="22"/>
      <c r="B73" s="22"/>
      <c r="C73" s="22"/>
      <c r="D73" s="22" t="s">
        <v>826</v>
      </c>
      <c r="E73" s="23"/>
      <c r="F73" s="68"/>
      <c r="G73" s="66">
        <f>Source!AM31</f>
        <v>4.66</v>
      </c>
      <c r="H73" s="24" t="str">
        <f>Source!DE31</f>
        <v/>
      </c>
      <c r="I73" s="68">
        <f>Source!AV31</f>
        <v>1</v>
      </c>
      <c r="J73" s="68">
        <f>IF(Source!BB31&lt;&gt; 0, Source!BB31, 1)</f>
        <v>1</v>
      </c>
      <c r="K73" s="66">
        <f>Source!Q31</f>
        <v>13.98</v>
      </c>
      <c r="L73" s="66"/>
    </row>
    <row r="74" spans="1:23" ht="14.25" x14ac:dyDescent="0.2">
      <c r="A74" s="22"/>
      <c r="B74" s="22"/>
      <c r="C74" s="22"/>
      <c r="D74" s="22" t="s">
        <v>827</v>
      </c>
      <c r="E74" s="23"/>
      <c r="F74" s="68"/>
      <c r="G74" s="66">
        <f>Source!AN31</f>
        <v>0.67</v>
      </c>
      <c r="H74" s="24" t="str">
        <f>Source!DF31</f>
        <v/>
      </c>
      <c r="I74" s="68">
        <f>Source!AV31</f>
        <v>1</v>
      </c>
      <c r="J74" s="68">
        <f>IF(Source!BS31&lt;&gt; 0, Source!BS31, 1)</f>
        <v>1</v>
      </c>
      <c r="K74" s="26">
        <f>Source!R31</f>
        <v>2.0099999999999998</v>
      </c>
      <c r="L74" s="66"/>
    </row>
    <row r="75" spans="1:23" ht="14.25" x14ac:dyDescent="0.2">
      <c r="A75" s="22"/>
      <c r="B75" s="22"/>
      <c r="C75" s="22"/>
      <c r="D75" s="22" t="s">
        <v>828</v>
      </c>
      <c r="E75" s="23"/>
      <c r="F75" s="68"/>
      <c r="G75" s="66">
        <f>Source!AL31</f>
        <v>631.24</v>
      </c>
      <c r="H75" s="24" t="str">
        <f>Source!DD31</f>
        <v/>
      </c>
      <c r="I75" s="68">
        <f>Source!AW31</f>
        <v>1</v>
      </c>
      <c r="J75" s="68">
        <f>IF(Source!BC31&lt;&gt; 0, Source!BC31, 1)</f>
        <v>1</v>
      </c>
      <c r="K75" s="66">
        <f>Source!P31</f>
        <v>1893.72</v>
      </c>
      <c r="L75" s="66"/>
    </row>
    <row r="76" spans="1:23" ht="55.5" x14ac:dyDescent="0.2">
      <c r="A76" s="22" t="s">
        <v>52</v>
      </c>
      <c r="B76" s="22" t="s">
        <v>52</v>
      </c>
      <c r="C76" s="22" t="str">
        <f>Source!F32</f>
        <v>Цена поставщика</v>
      </c>
      <c r="D76" s="22" t="s">
        <v>837</v>
      </c>
      <c r="E76" s="23" t="str">
        <f>Source!H32</f>
        <v>шт.</v>
      </c>
      <c r="F76" s="68">
        <f>Source!I32</f>
        <v>3</v>
      </c>
      <c r="G76" s="66">
        <f>Source!AK32</f>
        <v>115375</v>
      </c>
      <c r="H76" s="31" t="s">
        <v>3</v>
      </c>
      <c r="I76" s="68">
        <f>Source!AW32</f>
        <v>1</v>
      </c>
      <c r="J76" s="68">
        <f>IF(Source!BC32&lt;&gt; 0, Source!BC32, 1)</f>
        <v>1</v>
      </c>
      <c r="K76" s="66">
        <f>Source!O32</f>
        <v>346125</v>
      </c>
      <c r="L76" s="66"/>
      <c r="R76">
        <f>ROUND((Source!BZ32/100)*ROUND((Source!AF32*Source!AV32)*Source!I32, 2), 2)</f>
        <v>0</v>
      </c>
      <c r="S76">
        <f>Source!X32</f>
        <v>0</v>
      </c>
      <c r="T76">
        <f>ROUND((Source!CA32/100)*ROUND((Source!AF32*Source!AV32)*Source!I32, 2), 2)</f>
        <v>0</v>
      </c>
      <c r="U76">
        <f>Source!Y32</f>
        <v>0</v>
      </c>
      <c r="V76">
        <f>ROUND((175/100)*ROUND((Source!AE32*Source!AV32)*Source!I32, 2), 2)</f>
        <v>0</v>
      </c>
      <c r="W76">
        <f>ROUND((108/100)*ROUND(Source!CS32*Source!I32, 2), 2)</f>
        <v>0</v>
      </c>
    </row>
    <row r="77" spans="1:23" ht="42.75" x14ac:dyDescent="0.2">
      <c r="A77" s="22" t="s">
        <v>55</v>
      </c>
      <c r="B77" s="22" t="s">
        <v>55</v>
      </c>
      <c r="C77" s="22" t="str">
        <f>Source!F33</f>
        <v>21.19-12-33</v>
      </c>
      <c r="D77" s="22" t="str">
        <f>Source!G33</f>
        <v>Средства крепления - кронштейн и подставка под оборудование из сортовой стали</v>
      </c>
      <c r="E77" s="23" t="str">
        <f>Source!H33</f>
        <v>кг</v>
      </c>
      <c r="F77" s="68">
        <f>Source!I33</f>
        <v>15</v>
      </c>
      <c r="G77" s="66">
        <f>Source!AK33</f>
        <v>156.56</v>
      </c>
      <c r="H77" s="31" t="s">
        <v>3</v>
      </c>
      <c r="I77" s="68">
        <f>Source!AW33</f>
        <v>1</v>
      </c>
      <c r="J77" s="68">
        <f>IF(Source!BC33&lt;&gt; 0, Source!BC33, 1)</f>
        <v>1</v>
      </c>
      <c r="K77" s="66">
        <f>Source!O33</f>
        <v>2348.4</v>
      </c>
      <c r="L77" s="66"/>
      <c r="R77">
        <f>ROUND((Source!BZ33/100)*ROUND((Source!AF33*Source!AV33)*Source!I33, 2), 2)</f>
        <v>0</v>
      </c>
      <c r="S77">
        <f>Source!X33</f>
        <v>0</v>
      </c>
      <c r="T77">
        <f>ROUND((Source!CA33/100)*ROUND((Source!AF33*Source!AV33)*Source!I33, 2), 2)</f>
        <v>0</v>
      </c>
      <c r="U77">
        <f>Source!Y33</f>
        <v>0</v>
      </c>
      <c r="V77">
        <f>ROUND((175/100)*ROUND((Source!AE33*Source!AV33)*Source!I33, 2), 2)</f>
        <v>0</v>
      </c>
      <c r="W77">
        <f>ROUND((108/100)*ROUND(Source!CS33*Source!I33, 2), 2)</f>
        <v>0</v>
      </c>
    </row>
    <row r="78" spans="1:23" ht="14.25" x14ac:dyDescent="0.2">
      <c r="A78" s="22"/>
      <c r="B78" s="22"/>
      <c r="C78" s="22"/>
      <c r="D78" s="22" t="s">
        <v>829</v>
      </c>
      <c r="E78" s="23" t="s">
        <v>830</v>
      </c>
      <c r="F78" s="68">
        <f>Source!AT31</f>
        <v>70</v>
      </c>
      <c r="G78" s="66"/>
      <c r="H78" s="24"/>
      <c r="I78" s="68"/>
      <c r="J78" s="68"/>
      <c r="K78" s="66">
        <f>SUM(S71:S77)</f>
        <v>11842.05</v>
      </c>
      <c r="L78" s="66"/>
    </row>
    <row r="79" spans="1:23" ht="14.25" x14ac:dyDescent="0.2">
      <c r="A79" s="22"/>
      <c r="B79" s="22"/>
      <c r="C79" s="22"/>
      <c r="D79" s="22" t="s">
        <v>831</v>
      </c>
      <c r="E79" s="23" t="s">
        <v>830</v>
      </c>
      <c r="F79" s="68">
        <f>Source!AU31</f>
        <v>10</v>
      </c>
      <c r="G79" s="66"/>
      <c r="H79" s="24"/>
      <c r="I79" s="68"/>
      <c r="J79" s="68"/>
      <c r="K79" s="66">
        <f>SUM(U71:U78)</f>
        <v>1691.72</v>
      </c>
      <c r="L79" s="66"/>
    </row>
    <row r="80" spans="1:23" ht="14.25" x14ac:dyDescent="0.2">
      <c r="A80" s="22"/>
      <c r="B80" s="22"/>
      <c r="C80" s="22"/>
      <c r="D80" s="22" t="s">
        <v>832</v>
      </c>
      <c r="E80" s="23" t="s">
        <v>830</v>
      </c>
      <c r="F80" s="68">
        <f>108</f>
        <v>108</v>
      </c>
      <c r="G80" s="66"/>
      <c r="H80" s="24"/>
      <c r="I80" s="68"/>
      <c r="J80" s="68"/>
      <c r="K80" s="66">
        <f>SUM(W71:W79)</f>
        <v>2.17</v>
      </c>
      <c r="L80" s="66"/>
    </row>
    <row r="81" spans="1:23" ht="14.25" x14ac:dyDescent="0.2">
      <c r="A81" s="22"/>
      <c r="B81" s="22"/>
      <c r="C81" s="22"/>
      <c r="D81" s="22" t="s">
        <v>833</v>
      </c>
      <c r="E81" s="23" t="s">
        <v>834</v>
      </c>
      <c r="F81" s="68">
        <f>Source!AQ31</f>
        <v>22.01</v>
      </c>
      <c r="G81" s="66"/>
      <c r="H81" s="24" t="str">
        <f>Source!DI31</f>
        <v/>
      </c>
      <c r="I81" s="68">
        <f>Source!AV31</f>
        <v>1</v>
      </c>
      <c r="J81" s="68"/>
      <c r="K81" s="66"/>
      <c r="L81" s="66">
        <f>Source!U31</f>
        <v>66.03</v>
      </c>
    </row>
    <row r="82" spans="1:23" ht="15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104">
        <f>K72+K73+K75+K78+K79+K80+SUM(K76:K77)</f>
        <v>380834.25</v>
      </c>
      <c r="K82" s="104"/>
      <c r="L82" s="67">
        <f>IF(Source!I31&lt;&gt;0, ROUND(J82/Source!I31, 2), 0)</f>
        <v>126944.75</v>
      </c>
      <c r="Q82" s="27">
        <f>J82</f>
        <v>380834.25</v>
      </c>
    </row>
    <row r="83" spans="1:23" ht="57" x14ac:dyDescent="0.2">
      <c r="A83" s="22">
        <v>5</v>
      </c>
      <c r="B83" s="22">
        <v>5</v>
      </c>
      <c r="C83" s="22" t="str">
        <f>Source!F34</f>
        <v>1.24-3203-1-1/1</v>
      </c>
      <c r="D83" s="22" t="str">
        <f>Source!G34</f>
        <v>Прокладка трубопроводов из медных труб на условное давление до 2,5 МПа: наружный диаметр труб 18 мм (без стоимости труб)</v>
      </c>
      <c r="E83" s="23" t="str">
        <f>Source!H34</f>
        <v>10 м</v>
      </c>
      <c r="F83" s="68">
        <f>Source!I34</f>
        <v>28.8</v>
      </c>
      <c r="G83" s="66"/>
      <c r="H83" s="24"/>
      <c r="I83" s="68"/>
      <c r="J83" s="68"/>
      <c r="K83" s="66"/>
      <c r="L83" s="66"/>
      <c r="R83">
        <f>ROUND((Source!BZ34/100)*ROUND((Source!AF34*Source!AV34)*Source!I34, 2), 2)</f>
        <v>47964.88</v>
      </c>
      <c r="S83">
        <f>Source!X34</f>
        <v>47964.88</v>
      </c>
      <c r="T83">
        <f>ROUND((Source!CA34/100)*ROUND((Source!AF34*Source!AV34)*Source!I34, 2), 2)</f>
        <v>6852.13</v>
      </c>
      <c r="U83">
        <f>Source!Y34</f>
        <v>6852.13</v>
      </c>
      <c r="V83">
        <f>ROUND((175/100)*ROUND((Source!AE34*Source!AV34)*Source!I34, 2), 2)</f>
        <v>2953.44</v>
      </c>
      <c r="W83">
        <f>ROUND((108/100)*ROUND(Source!CS34*Source!I34, 2), 2)</f>
        <v>1822.69</v>
      </c>
    </row>
    <row r="84" spans="1:23" x14ac:dyDescent="0.2">
      <c r="D84" s="32" t="str">
        <f>"Объем: "&amp;Source!I34&amp;"=288/"&amp;"10"</f>
        <v>Объем: 28,8=288/10</v>
      </c>
    </row>
    <row r="85" spans="1:23" ht="14.25" x14ac:dyDescent="0.2">
      <c r="A85" s="22"/>
      <c r="B85" s="22"/>
      <c r="C85" s="22"/>
      <c r="D85" s="22" t="s">
        <v>825</v>
      </c>
      <c r="E85" s="23"/>
      <c r="F85" s="68"/>
      <c r="G85" s="66">
        <f>Source!AO34</f>
        <v>2379.21</v>
      </c>
      <c r="H85" s="24" t="str">
        <f>Source!DG34</f>
        <v/>
      </c>
      <c r="I85" s="68">
        <f>Source!AV34</f>
        <v>1</v>
      </c>
      <c r="J85" s="68">
        <f>IF(Source!BA34&lt;&gt; 0, Source!BA34, 1)</f>
        <v>1</v>
      </c>
      <c r="K85" s="66">
        <f>Source!S34</f>
        <v>68521.25</v>
      </c>
      <c r="L85" s="66"/>
    </row>
    <row r="86" spans="1:23" ht="14.25" x14ac:dyDescent="0.2">
      <c r="A86" s="22"/>
      <c r="B86" s="22"/>
      <c r="C86" s="22"/>
      <c r="D86" s="22" t="s">
        <v>826</v>
      </c>
      <c r="E86" s="23"/>
      <c r="F86" s="68"/>
      <c r="G86" s="66">
        <f>Source!AM34</f>
        <v>165.35</v>
      </c>
      <c r="H86" s="24" t="str">
        <f>Source!DE34</f>
        <v/>
      </c>
      <c r="I86" s="68">
        <f>Source!AV34</f>
        <v>1</v>
      </c>
      <c r="J86" s="68">
        <f>IF(Source!BB34&lt;&gt; 0, Source!BB34, 1)</f>
        <v>1</v>
      </c>
      <c r="K86" s="66">
        <f>Source!Q34</f>
        <v>4762.08</v>
      </c>
      <c r="L86" s="66"/>
    </row>
    <row r="87" spans="1:23" ht="14.25" x14ac:dyDescent="0.2">
      <c r="A87" s="22"/>
      <c r="B87" s="22"/>
      <c r="C87" s="22"/>
      <c r="D87" s="22" t="s">
        <v>827</v>
      </c>
      <c r="E87" s="23"/>
      <c r="F87" s="68"/>
      <c r="G87" s="66">
        <f>Source!AN34</f>
        <v>58.6</v>
      </c>
      <c r="H87" s="24" t="str">
        <f>Source!DF34</f>
        <v/>
      </c>
      <c r="I87" s="68">
        <f>Source!AV34</f>
        <v>1</v>
      </c>
      <c r="J87" s="68">
        <f>IF(Source!BS34&lt;&gt; 0, Source!BS34, 1)</f>
        <v>1</v>
      </c>
      <c r="K87" s="26">
        <f>Source!R34</f>
        <v>1687.68</v>
      </c>
      <c r="L87" s="66"/>
    </row>
    <row r="88" spans="1:23" ht="14.25" x14ac:dyDescent="0.2">
      <c r="A88" s="22"/>
      <c r="B88" s="22"/>
      <c r="C88" s="22"/>
      <c r="D88" s="22" t="s">
        <v>828</v>
      </c>
      <c r="E88" s="23"/>
      <c r="F88" s="68"/>
      <c r="G88" s="66">
        <f>Source!AL34</f>
        <v>53.71</v>
      </c>
      <c r="H88" s="24" t="str">
        <f>Source!DD34</f>
        <v/>
      </c>
      <c r="I88" s="68">
        <f>Source!AW34</f>
        <v>1</v>
      </c>
      <c r="J88" s="68">
        <f>IF(Source!BC34&lt;&gt; 0, Source!BC34, 1)</f>
        <v>1</v>
      </c>
      <c r="K88" s="66">
        <f>Source!P34</f>
        <v>1546.85</v>
      </c>
      <c r="L88" s="66"/>
    </row>
    <row r="89" spans="1:23" ht="57" x14ac:dyDescent="0.2">
      <c r="A89" s="22" t="s">
        <v>61</v>
      </c>
      <c r="B89" s="22" t="s">
        <v>61</v>
      </c>
      <c r="C89" s="22" t="str">
        <f>Source!F35</f>
        <v>21.12-7-37</v>
      </c>
      <c r="D89" s="22" t="str">
        <f>Source!G35</f>
        <v>Трубы медные для систем кондиционирования, наружный диаметр (толщина стенки), мм, 6,35 (0,76)</v>
      </c>
      <c r="E89" s="23" t="str">
        <f>Source!H35</f>
        <v>м</v>
      </c>
      <c r="F89" s="68">
        <f>Source!I35</f>
        <v>122.56999999999998</v>
      </c>
      <c r="G89" s="66">
        <f>Source!AK35</f>
        <v>128.81</v>
      </c>
      <c r="H89" s="31" t="s">
        <v>3</v>
      </c>
      <c r="I89" s="68">
        <f>Source!AW35</f>
        <v>1</v>
      </c>
      <c r="J89" s="68">
        <f>IF(Source!BC35&lt;&gt; 0, Source!BC35, 1)</f>
        <v>1</v>
      </c>
      <c r="K89" s="66">
        <f>Source!O35</f>
        <v>15788.24</v>
      </c>
      <c r="L89" s="66"/>
      <c r="R89">
        <f>ROUND((Source!BZ35/100)*ROUND((Source!AF35*Source!AV35)*Source!I35, 2), 2)</f>
        <v>0</v>
      </c>
      <c r="S89">
        <f>Source!X35</f>
        <v>0</v>
      </c>
      <c r="T89">
        <f>ROUND((Source!CA35/100)*ROUND((Source!AF35*Source!AV35)*Source!I35, 2), 2)</f>
        <v>0</v>
      </c>
      <c r="U89">
        <f>Source!Y35</f>
        <v>0</v>
      </c>
      <c r="V89">
        <f>ROUND((175/100)*ROUND((Source!AE35*Source!AV35)*Source!I35, 2), 2)</f>
        <v>0</v>
      </c>
      <c r="W89">
        <f>ROUND((108/100)*ROUND(Source!CS35*Source!I35, 2), 2)</f>
        <v>0</v>
      </c>
    </row>
    <row r="90" spans="1:23" ht="57" x14ac:dyDescent="0.2">
      <c r="A90" s="22" t="s">
        <v>66</v>
      </c>
      <c r="B90" s="22" t="s">
        <v>66</v>
      </c>
      <c r="C90" s="22" t="str">
        <f>Source!F36</f>
        <v>21.12-7-31</v>
      </c>
      <c r="D90" s="22" t="str">
        <f>Source!G36</f>
        <v>Трубы медные для систем кондиционирования, наружный диаметр (толщина стенки), мм, 9,52 (0,81)</v>
      </c>
      <c r="E90" s="23" t="str">
        <f>Source!H36</f>
        <v>м</v>
      </c>
      <c r="F90" s="68">
        <f>Source!I36</f>
        <v>112.27</v>
      </c>
      <c r="G90" s="66">
        <f>Source!AK36</f>
        <v>230.24</v>
      </c>
      <c r="H90" s="31" t="s">
        <v>3</v>
      </c>
      <c r="I90" s="68">
        <f>Source!AW36</f>
        <v>1</v>
      </c>
      <c r="J90" s="68">
        <f>IF(Source!BC36&lt;&gt; 0, Source!BC36, 1)</f>
        <v>1</v>
      </c>
      <c r="K90" s="66">
        <f>Source!O36</f>
        <v>25849.040000000001</v>
      </c>
      <c r="L90" s="66"/>
      <c r="R90">
        <f>ROUND((Source!BZ36/100)*ROUND((Source!AF36*Source!AV36)*Source!I36, 2), 2)</f>
        <v>0</v>
      </c>
      <c r="S90">
        <f>Source!X36</f>
        <v>0</v>
      </c>
      <c r="T90">
        <f>ROUND((Source!CA36/100)*ROUND((Source!AF36*Source!AV36)*Source!I36, 2), 2)</f>
        <v>0</v>
      </c>
      <c r="U90">
        <f>Source!Y36</f>
        <v>0</v>
      </c>
      <c r="V90">
        <f>ROUND((175/100)*ROUND((Source!AE36*Source!AV36)*Source!I36, 2), 2)</f>
        <v>0</v>
      </c>
      <c r="W90">
        <f>ROUND((108/100)*ROUND(Source!CS36*Source!I36, 2), 2)</f>
        <v>0</v>
      </c>
    </row>
    <row r="91" spans="1:23" ht="57" x14ac:dyDescent="0.2">
      <c r="A91" s="22" t="s">
        <v>70</v>
      </c>
      <c r="B91" s="22" t="s">
        <v>70</v>
      </c>
      <c r="C91" s="22" t="str">
        <f>Source!F37</f>
        <v>21.12-7-32</v>
      </c>
      <c r="D91" s="22" t="str">
        <f>Source!G37</f>
        <v>Трубы медные для систем кондиционирования, наружный диаметр (толщина стенки), мм, 12,7 (0,81)</v>
      </c>
      <c r="E91" s="23" t="str">
        <f>Source!H37</f>
        <v>м</v>
      </c>
      <c r="F91" s="68">
        <f>Source!I37</f>
        <v>36.049999999999997</v>
      </c>
      <c r="G91" s="66">
        <f>Source!AK37</f>
        <v>314.05</v>
      </c>
      <c r="H91" s="31" t="s">
        <v>3</v>
      </c>
      <c r="I91" s="68">
        <f>Source!AW37</f>
        <v>1</v>
      </c>
      <c r="J91" s="68">
        <f>IF(Source!BC37&lt;&gt; 0, Source!BC37, 1)</f>
        <v>1</v>
      </c>
      <c r="K91" s="66">
        <f>Source!O37</f>
        <v>11321.5</v>
      </c>
      <c r="L91" s="66"/>
      <c r="R91">
        <f>ROUND((Source!BZ37/100)*ROUND((Source!AF37*Source!AV37)*Source!I37, 2), 2)</f>
        <v>0</v>
      </c>
      <c r="S91">
        <f>Source!X37</f>
        <v>0</v>
      </c>
      <c r="T91">
        <f>ROUND((Source!CA37/100)*ROUND((Source!AF37*Source!AV37)*Source!I37, 2), 2)</f>
        <v>0</v>
      </c>
      <c r="U91">
        <f>Source!Y37</f>
        <v>0</v>
      </c>
      <c r="V91">
        <f>ROUND((175/100)*ROUND((Source!AE37*Source!AV37)*Source!I37, 2), 2)</f>
        <v>0</v>
      </c>
      <c r="W91">
        <f>ROUND((108/100)*ROUND(Source!CS37*Source!I37, 2), 2)</f>
        <v>0</v>
      </c>
    </row>
    <row r="92" spans="1:23" ht="57" x14ac:dyDescent="0.2">
      <c r="A92" s="22" t="s">
        <v>74</v>
      </c>
      <c r="B92" s="22" t="s">
        <v>74</v>
      </c>
      <c r="C92" s="22" t="str">
        <f>Source!F38</f>
        <v>21.12-7-36</v>
      </c>
      <c r="D92" s="22" t="str">
        <f>Source!G38</f>
        <v>Трубы медные для систем кондиционирования, наружный диаметр (толщина стенки), мм, 15,9 (0,89)</v>
      </c>
      <c r="E92" s="23" t="str">
        <f>Source!H38</f>
        <v>м</v>
      </c>
      <c r="F92" s="68">
        <f>Source!I38</f>
        <v>25.75</v>
      </c>
      <c r="G92" s="66">
        <f>Source!AK38</f>
        <v>423.43</v>
      </c>
      <c r="H92" s="31" t="s">
        <v>3</v>
      </c>
      <c r="I92" s="68">
        <f>Source!AW38</f>
        <v>1</v>
      </c>
      <c r="J92" s="68">
        <f>IF(Source!BC38&lt;&gt; 0, Source!BC38, 1)</f>
        <v>1</v>
      </c>
      <c r="K92" s="66">
        <f>Source!O38</f>
        <v>10903.32</v>
      </c>
      <c r="L92" s="66"/>
      <c r="R92">
        <f>ROUND((Source!BZ38/100)*ROUND((Source!AF38*Source!AV38)*Source!I38, 2), 2)</f>
        <v>0</v>
      </c>
      <c r="S92">
        <f>Source!X38</f>
        <v>0</v>
      </c>
      <c r="T92">
        <f>ROUND((Source!CA38/100)*ROUND((Source!AF38*Source!AV38)*Source!I38, 2), 2)</f>
        <v>0</v>
      </c>
      <c r="U92">
        <f>Source!Y38</f>
        <v>0</v>
      </c>
      <c r="V92">
        <f>ROUND((175/100)*ROUND((Source!AE38*Source!AV38)*Source!I38, 2), 2)</f>
        <v>0</v>
      </c>
      <c r="W92">
        <f>ROUND((108/100)*ROUND(Source!CS38*Source!I38, 2), 2)</f>
        <v>0</v>
      </c>
    </row>
    <row r="93" spans="1:23" ht="14.25" x14ac:dyDescent="0.2">
      <c r="A93" s="22" t="s">
        <v>78</v>
      </c>
      <c r="B93" s="22" t="s">
        <v>78</v>
      </c>
      <c r="C93" s="22" t="str">
        <f>Source!F39</f>
        <v>21.1-25-13</v>
      </c>
      <c r="D93" s="22" t="str">
        <f>Source!G39</f>
        <v>Вода</v>
      </c>
      <c r="E93" s="23" t="str">
        <f>Source!H39</f>
        <v>м3</v>
      </c>
      <c r="F93" s="68">
        <f>Source!I39</f>
        <v>-2.3328000000000002</v>
      </c>
      <c r="G93" s="66">
        <f>Source!AK39</f>
        <v>36.31</v>
      </c>
      <c r="H93" s="31" t="s">
        <v>3</v>
      </c>
      <c r="I93" s="68">
        <f>Source!AW39</f>
        <v>1</v>
      </c>
      <c r="J93" s="68">
        <f>IF(Source!BC39&lt;&gt; 0, Source!BC39, 1)</f>
        <v>1</v>
      </c>
      <c r="K93" s="66">
        <f>Source!O39</f>
        <v>-84.7</v>
      </c>
      <c r="L93" s="66"/>
      <c r="R93">
        <f>ROUND((Source!BZ39/100)*ROUND((Source!AF39*Source!AV39)*Source!I39, 2), 2)</f>
        <v>0</v>
      </c>
      <c r="S93">
        <f>Source!X39</f>
        <v>0</v>
      </c>
      <c r="T93">
        <f>ROUND((Source!CA39/100)*ROUND((Source!AF39*Source!AV39)*Source!I39, 2), 2)</f>
        <v>0</v>
      </c>
      <c r="U93">
        <f>Source!Y39</f>
        <v>0</v>
      </c>
      <c r="V93">
        <f>ROUND((175/100)*ROUND((Source!AE39*Source!AV39)*Source!I39, 2), 2)</f>
        <v>0</v>
      </c>
      <c r="W93">
        <f>ROUND((108/100)*ROUND(Source!CS39*Source!I39, 2), 2)</f>
        <v>0</v>
      </c>
    </row>
    <row r="94" spans="1:23" ht="14.25" x14ac:dyDescent="0.2">
      <c r="A94" s="22"/>
      <c r="B94" s="22"/>
      <c r="C94" s="22"/>
      <c r="D94" s="22" t="s">
        <v>829</v>
      </c>
      <c r="E94" s="23" t="s">
        <v>830</v>
      </c>
      <c r="F94" s="68">
        <f>Source!AT34</f>
        <v>70</v>
      </c>
      <c r="G94" s="66"/>
      <c r="H94" s="24"/>
      <c r="I94" s="68"/>
      <c r="J94" s="68"/>
      <c r="K94" s="66">
        <f>SUM(S83:S93)</f>
        <v>47964.88</v>
      </c>
      <c r="L94" s="66"/>
    </row>
    <row r="95" spans="1:23" ht="14.25" x14ac:dyDescent="0.2">
      <c r="A95" s="22"/>
      <c r="B95" s="22"/>
      <c r="C95" s="22"/>
      <c r="D95" s="22" t="s">
        <v>831</v>
      </c>
      <c r="E95" s="23" t="s">
        <v>830</v>
      </c>
      <c r="F95" s="68">
        <f>Source!AU34</f>
        <v>10</v>
      </c>
      <c r="G95" s="66"/>
      <c r="H95" s="24"/>
      <c r="I95" s="68"/>
      <c r="J95" s="68"/>
      <c r="K95" s="66">
        <f>SUM(U83:U94)</f>
        <v>6852.13</v>
      </c>
      <c r="L95" s="66"/>
    </row>
    <row r="96" spans="1:23" ht="14.25" x14ac:dyDescent="0.2">
      <c r="A96" s="22"/>
      <c r="B96" s="22"/>
      <c r="C96" s="22"/>
      <c r="D96" s="22" t="s">
        <v>832</v>
      </c>
      <c r="E96" s="23" t="s">
        <v>830</v>
      </c>
      <c r="F96" s="68">
        <f>108</f>
        <v>108</v>
      </c>
      <c r="G96" s="66"/>
      <c r="H96" s="24"/>
      <c r="I96" s="68"/>
      <c r="J96" s="68"/>
      <c r="K96" s="66">
        <f>SUM(W83:W95)</f>
        <v>1822.69</v>
      </c>
      <c r="L96" s="66"/>
    </row>
    <row r="97" spans="1:23" ht="14.25" x14ac:dyDescent="0.2">
      <c r="A97" s="22"/>
      <c r="B97" s="22"/>
      <c r="C97" s="22"/>
      <c r="D97" s="22" t="s">
        <v>833</v>
      </c>
      <c r="E97" s="23" t="s">
        <v>834</v>
      </c>
      <c r="F97" s="68">
        <f>Source!AQ34</f>
        <v>9.1999999999999993</v>
      </c>
      <c r="G97" s="66"/>
      <c r="H97" s="24" t="str">
        <f>Source!DI34</f>
        <v/>
      </c>
      <c r="I97" s="68">
        <f>Source!AV34</f>
        <v>1</v>
      </c>
      <c r="J97" s="68"/>
      <c r="K97" s="66"/>
      <c r="L97" s="66">
        <f>Source!U34</f>
        <v>264.95999999999998</v>
      </c>
    </row>
    <row r="98" spans="1:23" ht="15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104">
        <f>K85+K86+K88+K94+K95+K96+SUM(K89:K93)</f>
        <v>195247.28</v>
      </c>
      <c r="K98" s="104"/>
      <c r="L98" s="67">
        <f>IF(Source!I34&lt;&gt;0, ROUND(J98/Source!I34, 2), 0)</f>
        <v>6779.42</v>
      </c>
      <c r="Q98" s="27">
        <f>J98</f>
        <v>195247.28</v>
      </c>
    </row>
    <row r="99" spans="1:23" ht="85.5" x14ac:dyDescent="0.2">
      <c r="A99" s="22">
        <v>6</v>
      </c>
      <c r="B99" s="22">
        <v>6</v>
      </c>
      <c r="C99" s="22" t="str">
        <f>Source!F40</f>
        <v>1.17-3703-23-1/1</v>
      </c>
      <c r="D99" s="22" t="str">
        <f>Source!G40</f>
        <v>Изоляция трубопроводов изделиями из вспененного каучука, вспененного полиэтилена, трубками без нанесения на поверхность изоляции защитной окраски (без стоимости трубок, клея, листов, лент изоляционных)</v>
      </c>
      <c r="E99" s="23" t="str">
        <f>Source!H40</f>
        <v>10 м</v>
      </c>
      <c r="F99" s="68">
        <f>Source!I40</f>
        <v>28.8</v>
      </c>
      <c r="G99" s="66"/>
      <c r="H99" s="24"/>
      <c r="I99" s="68"/>
      <c r="J99" s="68"/>
      <c r="K99" s="66"/>
      <c r="L99" s="66"/>
      <c r="R99">
        <f>ROUND((Source!BZ40/100)*ROUND((Source!AF40*Source!AV40)*Source!I40, 2), 2)</f>
        <v>11543.82</v>
      </c>
      <c r="S99">
        <f>Source!X40</f>
        <v>11543.82</v>
      </c>
      <c r="T99">
        <f>ROUND((Source!CA40/100)*ROUND((Source!AF40*Source!AV40)*Source!I40, 2), 2)</f>
        <v>1649.12</v>
      </c>
      <c r="U99">
        <f>Source!Y40</f>
        <v>1649.12</v>
      </c>
      <c r="V99">
        <f>ROUND((175/100)*ROUND((Source!AE40*Source!AV40)*Source!I40, 2), 2)</f>
        <v>0</v>
      </c>
      <c r="W99">
        <f>ROUND((108/100)*ROUND(Source!CS40*Source!I40, 2), 2)</f>
        <v>0</v>
      </c>
    </row>
    <row r="100" spans="1:23" x14ac:dyDescent="0.2">
      <c r="D100" s="32" t="str">
        <f>"Объем: "&amp;Source!I40&amp;"=288/"&amp;"10"</f>
        <v>Объем: 28,8=288/10</v>
      </c>
    </row>
    <row r="101" spans="1:23" ht="14.25" x14ac:dyDescent="0.2">
      <c r="A101" s="22"/>
      <c r="B101" s="22"/>
      <c r="C101" s="22"/>
      <c r="D101" s="22" t="s">
        <v>825</v>
      </c>
      <c r="E101" s="23"/>
      <c r="F101" s="68"/>
      <c r="G101" s="66">
        <f>Source!AO40</f>
        <v>572.61</v>
      </c>
      <c r="H101" s="24" t="str">
        <f>Source!DG40</f>
        <v/>
      </c>
      <c r="I101" s="68">
        <f>Source!AV40</f>
        <v>1</v>
      </c>
      <c r="J101" s="68">
        <f>IF(Source!BA40&lt;&gt; 0, Source!BA40, 1)</f>
        <v>1</v>
      </c>
      <c r="K101" s="66">
        <f>Source!S40</f>
        <v>16491.169999999998</v>
      </c>
      <c r="L101" s="66"/>
    </row>
    <row r="102" spans="1:23" ht="14.25" x14ac:dyDescent="0.2">
      <c r="A102" s="22"/>
      <c r="B102" s="22"/>
      <c r="C102" s="22"/>
      <c r="D102" s="22" t="s">
        <v>828</v>
      </c>
      <c r="E102" s="23"/>
      <c r="F102" s="68"/>
      <c r="G102" s="66">
        <f>Source!AL40</f>
        <v>6.75</v>
      </c>
      <c r="H102" s="24" t="str">
        <f>Source!DD40</f>
        <v/>
      </c>
      <c r="I102" s="68">
        <f>Source!AW40</f>
        <v>1</v>
      </c>
      <c r="J102" s="68">
        <f>IF(Source!BC40&lt;&gt; 0, Source!BC40, 1)</f>
        <v>1</v>
      </c>
      <c r="K102" s="66">
        <f>Source!P40</f>
        <v>194.4</v>
      </c>
      <c r="L102" s="66"/>
    </row>
    <row r="103" spans="1:23" ht="28.5" x14ac:dyDescent="0.2">
      <c r="A103" s="22" t="s">
        <v>87</v>
      </c>
      <c r="B103" s="22" t="s">
        <v>87</v>
      </c>
      <c r="C103" s="22" t="str">
        <f>Source!F41</f>
        <v>21.1-25-623</v>
      </c>
      <c r="D103" s="22" t="str">
        <f>Source!G41</f>
        <v>Лента самоклеящаяся, ширина 50 мм, толщина 3 мм, тип "K-Flex ST"</v>
      </c>
      <c r="E103" s="23" t="str">
        <f>Source!H41</f>
        <v>м</v>
      </c>
      <c r="F103" s="68">
        <f>Source!I41</f>
        <v>302.39999999999998</v>
      </c>
      <c r="G103" s="66">
        <f>Source!AK41</f>
        <v>44.3</v>
      </c>
      <c r="H103" s="31" t="s">
        <v>3</v>
      </c>
      <c r="I103" s="68">
        <f>Source!AW41</f>
        <v>1</v>
      </c>
      <c r="J103" s="68">
        <f>IF(Source!BC41&lt;&gt; 0, Source!BC41, 1)</f>
        <v>1</v>
      </c>
      <c r="K103" s="66">
        <f>Source!O41</f>
        <v>13396.32</v>
      </c>
      <c r="L103" s="66"/>
      <c r="R103">
        <f>ROUND((Source!BZ41/100)*ROUND((Source!AF41*Source!AV41)*Source!I41, 2), 2)</f>
        <v>0</v>
      </c>
      <c r="S103">
        <f>Source!X41</f>
        <v>0</v>
      </c>
      <c r="T103">
        <f>ROUND((Source!CA41/100)*ROUND((Source!AF41*Source!AV41)*Source!I41, 2), 2)</f>
        <v>0</v>
      </c>
      <c r="U103">
        <f>Source!Y41</f>
        <v>0</v>
      </c>
      <c r="V103">
        <f>ROUND((175/100)*ROUND((Source!AE41*Source!AV41)*Source!I41, 2), 2)</f>
        <v>0</v>
      </c>
      <c r="W103">
        <f>ROUND((108/100)*ROUND(Source!CS41*Source!I41, 2), 2)</f>
        <v>0</v>
      </c>
    </row>
    <row r="104" spans="1:23" ht="71.25" x14ac:dyDescent="0.2">
      <c r="A104" s="22" t="s">
        <v>95</v>
      </c>
      <c r="B104" s="22" t="s">
        <v>95</v>
      </c>
      <c r="C104" s="22" t="str">
        <f>Source!F43</f>
        <v>21.1-14-83</v>
      </c>
      <c r="D104" s="22" t="str">
        <f>Source!G43</f>
        <v>Трубки теплоизоляционные из вспененного каучука типа "К-Flex ST" для поверхностей с температурой от -40°C до +105°С, внутренний диаметр (толщина) 6 (9) мм</v>
      </c>
      <c r="E104" s="23" t="str">
        <f>Source!H43</f>
        <v>м</v>
      </c>
      <c r="F104" s="68">
        <f>Source!I43</f>
        <v>124.95000000000002</v>
      </c>
      <c r="G104" s="66">
        <f>Source!AK43</f>
        <v>28.54</v>
      </c>
      <c r="H104" s="31" t="s">
        <v>3</v>
      </c>
      <c r="I104" s="68">
        <f>Source!AW43</f>
        <v>1</v>
      </c>
      <c r="J104" s="68">
        <f>IF(Source!BC43&lt;&gt; 0, Source!BC43, 1)</f>
        <v>1</v>
      </c>
      <c r="K104" s="66">
        <f>Source!O43</f>
        <v>3566.07</v>
      </c>
      <c r="L104" s="66"/>
      <c r="R104">
        <f>ROUND((Source!BZ43/100)*ROUND((Source!AF43*Source!AV43)*Source!I43, 2), 2)</f>
        <v>0</v>
      </c>
      <c r="S104">
        <f>Source!X43</f>
        <v>0</v>
      </c>
      <c r="T104">
        <f>ROUND((Source!CA43/100)*ROUND((Source!AF43*Source!AV43)*Source!I43, 2), 2)</f>
        <v>0</v>
      </c>
      <c r="U104">
        <f>Source!Y43</f>
        <v>0</v>
      </c>
      <c r="V104">
        <f>ROUND((175/100)*ROUND((Source!AE43*Source!AV43)*Source!I43, 2), 2)</f>
        <v>0</v>
      </c>
      <c r="W104">
        <f>ROUND((108/100)*ROUND(Source!CS43*Source!I43, 2), 2)</f>
        <v>0</v>
      </c>
    </row>
    <row r="105" spans="1:23" ht="71.25" x14ac:dyDescent="0.2">
      <c r="A105" s="22" t="s">
        <v>99</v>
      </c>
      <c r="B105" s="22" t="s">
        <v>99</v>
      </c>
      <c r="C105" s="22" t="str">
        <f>Source!F44</f>
        <v>21.1-14-84</v>
      </c>
      <c r="D105" s="22" t="str">
        <f>Source!G44</f>
        <v>Трубки теплоизоляционные из вспененного каучука типа "К-Flex ST" для поверхностей с температурой от -40°C до +105°С, внутренний диаметр (толщина) 10 (13) мм</v>
      </c>
      <c r="E105" s="23" t="str">
        <f>Source!H44</f>
        <v>м</v>
      </c>
      <c r="F105" s="68">
        <f>Source!I44</f>
        <v>14.45</v>
      </c>
      <c r="G105" s="66">
        <f>Source!AK44</f>
        <v>49.21</v>
      </c>
      <c r="H105" s="31" t="s">
        <v>3</v>
      </c>
      <c r="I105" s="68">
        <f>Source!AW44</f>
        <v>1</v>
      </c>
      <c r="J105" s="68">
        <f>IF(Source!BC44&lt;&gt; 0, Source!BC44, 1)</f>
        <v>1</v>
      </c>
      <c r="K105" s="66">
        <f>Source!O44</f>
        <v>711.08</v>
      </c>
      <c r="L105" s="66"/>
      <c r="R105">
        <f>ROUND((Source!BZ44/100)*ROUND((Source!AF44*Source!AV44)*Source!I44, 2), 2)</f>
        <v>0</v>
      </c>
      <c r="S105">
        <f>Source!X44</f>
        <v>0</v>
      </c>
      <c r="T105">
        <f>ROUND((Source!CA44/100)*ROUND((Source!AF44*Source!AV44)*Source!I44, 2), 2)</f>
        <v>0</v>
      </c>
      <c r="U105">
        <f>Source!Y44</f>
        <v>0</v>
      </c>
      <c r="V105">
        <f>ROUND((175/100)*ROUND((Source!AE44*Source!AV44)*Source!I44, 2), 2)</f>
        <v>0</v>
      </c>
      <c r="W105">
        <f>ROUND((108/100)*ROUND(Source!CS44*Source!I44, 2), 2)</f>
        <v>0</v>
      </c>
    </row>
    <row r="106" spans="1:23" ht="71.25" x14ac:dyDescent="0.2">
      <c r="A106" s="22" t="s">
        <v>103</v>
      </c>
      <c r="B106" s="22" t="s">
        <v>103</v>
      </c>
      <c r="C106" s="22" t="str">
        <f>Source!F45</f>
        <v>21.1-14-86</v>
      </c>
      <c r="D106" s="22" t="str">
        <f>Source!G45</f>
        <v>Трубки теплоизоляционные из вспененного каучука типа "К-Flex ST" для поверхностей с температурой от -40°C до +105°С, внутренний диаметр (толщина) 15 (13) мм</v>
      </c>
      <c r="E106" s="23" t="str">
        <f>Source!H45</f>
        <v>м</v>
      </c>
      <c r="F106" s="68">
        <f>Source!I45</f>
        <v>36.75</v>
      </c>
      <c r="G106" s="66">
        <f>Source!AK45</f>
        <v>53.95</v>
      </c>
      <c r="H106" s="31" t="s">
        <v>3</v>
      </c>
      <c r="I106" s="68">
        <f>Source!AW45</f>
        <v>1</v>
      </c>
      <c r="J106" s="68">
        <f>IF(Source!BC45&lt;&gt; 0, Source!BC45, 1)</f>
        <v>1</v>
      </c>
      <c r="K106" s="66">
        <f>Source!O45</f>
        <v>1982.66</v>
      </c>
      <c r="L106" s="66"/>
      <c r="R106">
        <f>ROUND((Source!BZ45/100)*ROUND((Source!AF45*Source!AV45)*Source!I45, 2), 2)</f>
        <v>0</v>
      </c>
      <c r="S106">
        <f>Source!X45</f>
        <v>0</v>
      </c>
      <c r="T106">
        <f>ROUND((Source!CA45/100)*ROUND((Source!AF45*Source!AV45)*Source!I45, 2), 2)</f>
        <v>0</v>
      </c>
      <c r="U106">
        <f>Source!Y45</f>
        <v>0</v>
      </c>
      <c r="V106">
        <f>ROUND((175/100)*ROUND((Source!AE45*Source!AV45)*Source!I45, 2), 2)</f>
        <v>0</v>
      </c>
      <c r="W106">
        <f>ROUND((108/100)*ROUND(Source!CS45*Source!I45, 2), 2)</f>
        <v>0</v>
      </c>
    </row>
    <row r="107" spans="1:23" ht="71.25" x14ac:dyDescent="0.2">
      <c r="A107" s="22" t="s">
        <v>107</v>
      </c>
      <c r="B107" s="22" t="s">
        <v>107</v>
      </c>
      <c r="C107" s="22" t="str">
        <f>Source!F46</f>
        <v>21.1-14-87</v>
      </c>
      <c r="D107" s="22" t="str">
        <f>Source!G46</f>
        <v>Трубки теплоизоляционные из вспененного каучука типа "К-Flex ST" для поверхностей с температурой от -40°C до +105°С, внутренний диаметр (толщина) 18 (13) мм</v>
      </c>
      <c r="E107" s="23" t="str">
        <f>Source!H46</f>
        <v>м</v>
      </c>
      <c r="F107" s="68">
        <f>Source!I46</f>
        <v>26.25</v>
      </c>
      <c r="G107" s="66">
        <f>Source!AK46</f>
        <v>56.87</v>
      </c>
      <c r="H107" s="31" t="s">
        <v>3</v>
      </c>
      <c r="I107" s="68">
        <f>Source!AW46</f>
        <v>1</v>
      </c>
      <c r="J107" s="68">
        <f>IF(Source!BC46&lt;&gt; 0, Source!BC46, 1)</f>
        <v>1</v>
      </c>
      <c r="K107" s="66">
        <f>Source!O46</f>
        <v>1492.84</v>
      </c>
      <c r="L107" s="66"/>
      <c r="R107">
        <f>ROUND((Source!BZ46/100)*ROUND((Source!AF46*Source!AV46)*Source!I46, 2), 2)</f>
        <v>0</v>
      </c>
      <c r="S107">
        <f>Source!X46</f>
        <v>0</v>
      </c>
      <c r="T107">
        <f>ROUND((Source!CA46/100)*ROUND((Source!AF46*Source!AV46)*Source!I46, 2), 2)</f>
        <v>0</v>
      </c>
      <c r="U107">
        <f>Source!Y46</f>
        <v>0</v>
      </c>
      <c r="V107">
        <f>ROUND((175/100)*ROUND((Source!AE46*Source!AV46)*Source!I46, 2), 2)</f>
        <v>0</v>
      </c>
      <c r="W107">
        <f>ROUND((108/100)*ROUND(Source!CS46*Source!I46, 2), 2)</f>
        <v>0</v>
      </c>
    </row>
    <row r="108" spans="1:23" ht="14.25" x14ac:dyDescent="0.2">
      <c r="A108" s="22"/>
      <c r="B108" s="22"/>
      <c r="C108" s="22"/>
      <c r="D108" s="22" t="s">
        <v>829</v>
      </c>
      <c r="E108" s="23" t="s">
        <v>830</v>
      </c>
      <c r="F108" s="68">
        <f>Source!AT40</f>
        <v>70</v>
      </c>
      <c r="G108" s="66"/>
      <c r="H108" s="24"/>
      <c r="I108" s="68"/>
      <c r="J108" s="68"/>
      <c r="K108" s="66">
        <f>SUM(S99:S107)</f>
        <v>11543.82</v>
      </c>
      <c r="L108" s="66"/>
    </row>
    <row r="109" spans="1:23" ht="14.25" x14ac:dyDescent="0.2">
      <c r="A109" s="22"/>
      <c r="B109" s="22"/>
      <c r="C109" s="22"/>
      <c r="D109" s="22" t="s">
        <v>831</v>
      </c>
      <c r="E109" s="23" t="s">
        <v>830</v>
      </c>
      <c r="F109" s="68">
        <f>Source!AU40</f>
        <v>10</v>
      </c>
      <c r="G109" s="66"/>
      <c r="H109" s="24"/>
      <c r="I109" s="68"/>
      <c r="J109" s="68"/>
      <c r="K109" s="66">
        <f>SUM(U99:U108)</f>
        <v>1649.12</v>
      </c>
      <c r="L109" s="66"/>
    </row>
    <row r="110" spans="1:23" ht="14.25" x14ac:dyDescent="0.2">
      <c r="A110" s="22"/>
      <c r="B110" s="22"/>
      <c r="C110" s="22"/>
      <c r="D110" s="22" t="s">
        <v>833</v>
      </c>
      <c r="E110" s="23" t="s">
        <v>834</v>
      </c>
      <c r="F110" s="68">
        <f>Source!AQ40</f>
        <v>2.15</v>
      </c>
      <c r="G110" s="66"/>
      <c r="H110" s="24" t="str">
        <f>Source!DI40</f>
        <v/>
      </c>
      <c r="I110" s="68">
        <f>Source!AV40</f>
        <v>1</v>
      </c>
      <c r="J110" s="68"/>
      <c r="K110" s="66"/>
      <c r="L110" s="66">
        <f>Source!U40</f>
        <v>61.92</v>
      </c>
    </row>
    <row r="111" spans="1:23" ht="15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104">
        <f>K101+K102+K108+K109+SUM(K103:K107)</f>
        <v>51027.479999999996</v>
      </c>
      <c r="K111" s="104"/>
      <c r="L111" s="67">
        <f>IF(Source!I40&lt;&gt;0, ROUND(J111/Source!I40, 2), 0)</f>
        <v>1771.79</v>
      </c>
      <c r="Q111" s="27">
        <f>J111</f>
        <v>51027.479999999996</v>
      </c>
    </row>
    <row r="112" spans="1:23" ht="71.25" x14ac:dyDescent="0.2">
      <c r="A112" s="22">
        <v>9</v>
      </c>
      <c r="B112" s="22">
        <v>9</v>
      </c>
      <c r="C112" s="22" t="str">
        <f>Source!F55</f>
        <v>1.23-3103-5-1/1</v>
      </c>
      <c r="D112" s="22" t="str">
        <f>Source!G55</f>
        <v>Установка сосуда влагоотделительного, разделительного, конденсационного, уравнительного (без стоимости материалов)</v>
      </c>
      <c r="E112" s="23" t="str">
        <f>Source!H55</f>
        <v>шт.</v>
      </c>
      <c r="F112" s="68">
        <f>Source!I55</f>
        <v>5</v>
      </c>
      <c r="G112" s="66"/>
      <c r="H112" s="24"/>
      <c r="I112" s="68"/>
      <c r="J112" s="68"/>
      <c r="K112" s="66"/>
      <c r="L112" s="66"/>
      <c r="R112">
        <f>ROUND((Source!BZ55/100)*ROUND((Source!AF55*Source!AV55)*Source!I55, 2), 2)</f>
        <v>1289.6500000000001</v>
      </c>
      <c r="S112">
        <f>Source!X55</f>
        <v>1289.6500000000001</v>
      </c>
      <c r="T112">
        <f>ROUND((Source!CA55/100)*ROUND((Source!AF55*Source!AV55)*Source!I55, 2), 2)</f>
        <v>184.24</v>
      </c>
      <c r="U112">
        <f>Source!Y55</f>
        <v>184.24</v>
      </c>
      <c r="V112">
        <f>ROUND((175/100)*ROUND((Source!AE55*Source!AV55)*Source!I55, 2), 2)</f>
        <v>3424.58</v>
      </c>
      <c r="W112">
        <f>ROUND((108/100)*ROUND(Source!CS55*Source!I55, 2), 2)</f>
        <v>2113.4499999999998</v>
      </c>
    </row>
    <row r="113" spans="1:23" ht="14.25" x14ac:dyDescent="0.2">
      <c r="A113" s="22"/>
      <c r="B113" s="22"/>
      <c r="C113" s="22"/>
      <c r="D113" s="22" t="s">
        <v>825</v>
      </c>
      <c r="E113" s="23"/>
      <c r="F113" s="68"/>
      <c r="G113" s="66">
        <f>Source!AO55</f>
        <v>368.47</v>
      </c>
      <c r="H113" s="24" t="str">
        <f>Source!DG55</f>
        <v/>
      </c>
      <c r="I113" s="68">
        <f>Source!AV55</f>
        <v>1</v>
      </c>
      <c r="J113" s="68">
        <f>IF(Source!BA55&lt;&gt; 0, Source!BA55, 1)</f>
        <v>1</v>
      </c>
      <c r="K113" s="66">
        <f>Source!S55</f>
        <v>1842.35</v>
      </c>
      <c r="L113" s="66"/>
    </row>
    <row r="114" spans="1:23" ht="14.25" x14ac:dyDescent="0.2">
      <c r="A114" s="22"/>
      <c r="B114" s="22"/>
      <c r="C114" s="22"/>
      <c r="D114" s="22" t="s">
        <v>826</v>
      </c>
      <c r="E114" s="23"/>
      <c r="F114" s="68"/>
      <c r="G114" s="66">
        <f>Source!AM55</f>
        <v>721.22</v>
      </c>
      <c r="H114" s="24" t="str">
        <f>Source!DE55</f>
        <v/>
      </c>
      <c r="I114" s="68">
        <f>Source!AV55</f>
        <v>1</v>
      </c>
      <c r="J114" s="68">
        <f>IF(Source!BB55&lt;&gt; 0, Source!BB55, 1)</f>
        <v>1</v>
      </c>
      <c r="K114" s="66">
        <f>Source!Q55</f>
        <v>3606.1</v>
      </c>
      <c r="L114" s="66"/>
    </row>
    <row r="115" spans="1:23" ht="14.25" x14ac:dyDescent="0.2">
      <c r="A115" s="22"/>
      <c r="B115" s="22"/>
      <c r="C115" s="22"/>
      <c r="D115" s="22" t="s">
        <v>827</v>
      </c>
      <c r="E115" s="23"/>
      <c r="F115" s="68"/>
      <c r="G115" s="66">
        <f>Source!AN55</f>
        <v>391.38</v>
      </c>
      <c r="H115" s="24" t="str">
        <f>Source!DF55</f>
        <v/>
      </c>
      <c r="I115" s="68">
        <f>Source!AV55</f>
        <v>1</v>
      </c>
      <c r="J115" s="68">
        <f>IF(Source!BS55&lt;&gt; 0, Source!BS55, 1)</f>
        <v>1</v>
      </c>
      <c r="K115" s="26">
        <f>Source!R55</f>
        <v>1956.9</v>
      </c>
      <c r="L115" s="66"/>
    </row>
    <row r="116" spans="1:23" ht="41.25" x14ac:dyDescent="0.2">
      <c r="A116" s="22" t="s">
        <v>135</v>
      </c>
      <c r="B116" s="22" t="s">
        <v>135</v>
      </c>
      <c r="C116" s="22" t="str">
        <f>Source!F56</f>
        <v>Цена поставщика</v>
      </c>
      <c r="D116" s="22" t="s">
        <v>838</v>
      </c>
      <c r="E116" s="23" t="str">
        <f>Source!H56</f>
        <v>шт.</v>
      </c>
      <c r="F116" s="68">
        <f>Source!I56</f>
        <v>5</v>
      </c>
      <c r="G116" s="66">
        <f>Source!AK56</f>
        <v>8120.67</v>
      </c>
      <c r="H116" s="31" t="s">
        <v>3</v>
      </c>
      <c r="I116" s="68">
        <f>Source!AW56</f>
        <v>1</v>
      </c>
      <c r="J116" s="68">
        <f>IF(Source!BC56&lt;&gt; 0, Source!BC56, 1)</f>
        <v>1</v>
      </c>
      <c r="K116" s="66">
        <f>Source!O56</f>
        <v>40603.35</v>
      </c>
      <c r="L116" s="66"/>
      <c r="R116">
        <f>ROUND((Source!BZ56/100)*ROUND((Source!AF56*Source!AV56)*Source!I56, 2), 2)</f>
        <v>0</v>
      </c>
      <c r="S116">
        <f>Source!X56</f>
        <v>0</v>
      </c>
      <c r="T116">
        <f>ROUND((Source!CA56/100)*ROUND((Source!AF56*Source!AV56)*Source!I56, 2), 2)</f>
        <v>0</v>
      </c>
      <c r="U116">
        <f>Source!Y56</f>
        <v>0</v>
      </c>
      <c r="V116">
        <f>ROUND((175/100)*ROUND((Source!AE56*Source!AV56)*Source!I56, 2), 2)</f>
        <v>0</v>
      </c>
      <c r="W116">
        <f>ROUND((108/100)*ROUND(Source!CS56*Source!I56, 2), 2)</f>
        <v>0</v>
      </c>
    </row>
    <row r="117" spans="1:23" ht="14.25" x14ac:dyDescent="0.2">
      <c r="A117" s="22"/>
      <c r="B117" s="22"/>
      <c r="C117" s="22"/>
      <c r="D117" s="22" t="s">
        <v>829</v>
      </c>
      <c r="E117" s="23" t="s">
        <v>830</v>
      </c>
      <c r="F117" s="68">
        <f>Source!AT55</f>
        <v>70</v>
      </c>
      <c r="G117" s="66"/>
      <c r="H117" s="24"/>
      <c r="I117" s="68"/>
      <c r="J117" s="68"/>
      <c r="K117" s="66">
        <f>SUM(S112:S116)</f>
        <v>1289.6500000000001</v>
      </c>
      <c r="L117" s="66"/>
    </row>
    <row r="118" spans="1:23" ht="14.25" x14ac:dyDescent="0.2">
      <c r="A118" s="22"/>
      <c r="B118" s="22"/>
      <c r="C118" s="22"/>
      <c r="D118" s="22" t="s">
        <v>831</v>
      </c>
      <c r="E118" s="23" t="s">
        <v>830</v>
      </c>
      <c r="F118" s="68">
        <f>Source!AU55</f>
        <v>10</v>
      </c>
      <c r="G118" s="66"/>
      <c r="H118" s="24"/>
      <c r="I118" s="68"/>
      <c r="J118" s="68"/>
      <c r="K118" s="66">
        <f>SUM(U112:U117)</f>
        <v>184.24</v>
      </c>
      <c r="L118" s="66"/>
    </row>
    <row r="119" spans="1:23" ht="14.25" x14ac:dyDescent="0.2">
      <c r="A119" s="22"/>
      <c r="B119" s="22"/>
      <c r="C119" s="22"/>
      <c r="D119" s="22" t="s">
        <v>832</v>
      </c>
      <c r="E119" s="23" t="s">
        <v>830</v>
      </c>
      <c r="F119" s="68">
        <f>108</f>
        <v>108</v>
      </c>
      <c r="G119" s="66"/>
      <c r="H119" s="24"/>
      <c r="I119" s="68"/>
      <c r="J119" s="68"/>
      <c r="K119" s="66">
        <f>SUM(W112:W118)</f>
        <v>2113.4499999999998</v>
      </c>
      <c r="L119" s="66"/>
    </row>
    <row r="120" spans="1:23" ht="14.25" x14ac:dyDescent="0.2">
      <c r="A120" s="22"/>
      <c r="B120" s="22"/>
      <c r="C120" s="22"/>
      <c r="D120" s="22" t="s">
        <v>833</v>
      </c>
      <c r="E120" s="23" t="s">
        <v>834</v>
      </c>
      <c r="F120" s="68">
        <f>Source!AQ55</f>
        <v>1.18</v>
      </c>
      <c r="G120" s="66"/>
      <c r="H120" s="24" t="str">
        <f>Source!DI55</f>
        <v/>
      </c>
      <c r="I120" s="68">
        <f>Source!AV55</f>
        <v>1</v>
      </c>
      <c r="J120" s="68"/>
      <c r="K120" s="66"/>
      <c r="L120" s="66">
        <f>Source!U55</f>
        <v>5.8999999999999995</v>
      </c>
    </row>
    <row r="121" spans="1:23" ht="15" x14ac:dyDescent="0.25">
      <c r="A121" s="29"/>
      <c r="B121" s="29"/>
      <c r="C121" s="29"/>
      <c r="D121" s="29"/>
      <c r="E121" s="29"/>
      <c r="F121" s="29"/>
      <c r="G121" s="29"/>
      <c r="H121" s="29"/>
      <c r="I121" s="29"/>
      <c r="J121" s="104">
        <f>K113+K114+K117+K118+K119+SUM(K116:K116)</f>
        <v>49639.14</v>
      </c>
      <c r="K121" s="104"/>
      <c r="L121" s="67">
        <f>IF(Source!I55&lt;&gt;0, ROUND(J121/Source!I55, 2), 0)</f>
        <v>9927.83</v>
      </c>
      <c r="Q121" s="27">
        <f>J121</f>
        <v>49639.14</v>
      </c>
    </row>
    <row r="122" spans="1:23" ht="42.75" x14ac:dyDescent="0.2">
      <c r="A122" s="22">
        <v>10</v>
      </c>
      <c r="B122" s="22">
        <v>10</v>
      </c>
      <c r="C122" s="22" t="str">
        <f>Source!F58</f>
        <v>1.23-3103-4-1/1</v>
      </c>
      <c r="D122" s="22" t="str">
        <f>Source!G58</f>
        <v>Установка механизма исполнительного массой до 20 кг (без стоимости материалов)</v>
      </c>
      <c r="E122" s="23" t="str">
        <f>Source!H58</f>
        <v>шт.</v>
      </c>
      <c r="F122" s="68">
        <f>Source!I58</f>
        <v>23</v>
      </c>
      <c r="G122" s="66"/>
      <c r="H122" s="24"/>
      <c r="I122" s="68"/>
      <c r="J122" s="68"/>
      <c r="K122" s="66"/>
      <c r="L122" s="66"/>
      <c r="R122">
        <f>ROUND((Source!BZ58/100)*ROUND((Source!AF58*Source!AV58)*Source!I58, 2), 2)</f>
        <v>2050.5</v>
      </c>
      <c r="S122">
        <f>Source!X58</f>
        <v>2050.5</v>
      </c>
      <c r="T122">
        <f>ROUND((Source!CA58/100)*ROUND((Source!AF58*Source!AV58)*Source!I58, 2), 2)</f>
        <v>292.93</v>
      </c>
      <c r="U122">
        <f>Source!Y58</f>
        <v>292.93</v>
      </c>
      <c r="V122">
        <f>ROUND((175/100)*ROUND((Source!AE58*Source!AV58)*Source!I58, 2), 2)</f>
        <v>0</v>
      </c>
      <c r="W122">
        <f>ROUND((108/100)*ROUND(Source!CS58*Source!I58, 2), 2)</f>
        <v>0</v>
      </c>
    </row>
    <row r="123" spans="1:23" ht="14.25" x14ac:dyDescent="0.2">
      <c r="A123" s="22"/>
      <c r="B123" s="22"/>
      <c r="C123" s="22"/>
      <c r="D123" s="22" t="s">
        <v>825</v>
      </c>
      <c r="E123" s="23"/>
      <c r="F123" s="68"/>
      <c r="G123" s="66">
        <f>Source!AO58</f>
        <v>127.36</v>
      </c>
      <c r="H123" s="24" t="str">
        <f>Source!DG58</f>
        <v/>
      </c>
      <c r="I123" s="68">
        <f>Source!AV58</f>
        <v>1</v>
      </c>
      <c r="J123" s="68">
        <f>IF(Source!BA58&lt;&gt; 0, Source!BA58, 1)</f>
        <v>1</v>
      </c>
      <c r="K123" s="66">
        <f>Source!S58</f>
        <v>2929.28</v>
      </c>
      <c r="L123" s="66"/>
    </row>
    <row r="124" spans="1:23" ht="41.25" x14ac:dyDescent="0.2">
      <c r="A124" s="22" t="s">
        <v>144</v>
      </c>
      <c r="B124" s="22" t="s">
        <v>144</v>
      </c>
      <c r="C124" s="22" t="str">
        <f>Source!F59</f>
        <v>Цена поставщика</v>
      </c>
      <c r="D124" s="22" t="s">
        <v>839</v>
      </c>
      <c r="E124" s="23" t="str">
        <f>Source!H59</f>
        <v>шт.</v>
      </c>
      <c r="F124" s="68">
        <f>Source!I59</f>
        <v>23</v>
      </c>
      <c r="G124" s="66">
        <f>Source!AK59</f>
        <v>7895.33</v>
      </c>
      <c r="H124" s="31" t="s">
        <v>3</v>
      </c>
      <c r="I124" s="68">
        <f>Source!AW59</f>
        <v>1</v>
      </c>
      <c r="J124" s="68">
        <f>IF(Source!BC59&lt;&gt; 0, Source!BC59, 1)</f>
        <v>1</v>
      </c>
      <c r="K124" s="66">
        <f>Source!O59</f>
        <v>181592.59</v>
      </c>
      <c r="L124" s="66"/>
      <c r="R124">
        <f>ROUND((Source!BZ59/100)*ROUND((Source!AF59*Source!AV59)*Source!I59, 2), 2)</f>
        <v>0</v>
      </c>
      <c r="S124">
        <f>Source!X59</f>
        <v>0</v>
      </c>
      <c r="T124">
        <f>ROUND((Source!CA59/100)*ROUND((Source!AF59*Source!AV59)*Source!I59, 2), 2)</f>
        <v>0</v>
      </c>
      <c r="U124">
        <f>Source!Y59</f>
        <v>0</v>
      </c>
      <c r="V124">
        <f>ROUND((175/100)*ROUND((Source!AE59*Source!AV59)*Source!I59, 2), 2)</f>
        <v>0</v>
      </c>
      <c r="W124">
        <f>ROUND((108/100)*ROUND(Source!CS59*Source!I59, 2), 2)</f>
        <v>0</v>
      </c>
    </row>
    <row r="125" spans="1:23" ht="14.25" x14ac:dyDescent="0.2">
      <c r="A125" s="22"/>
      <c r="B125" s="22"/>
      <c r="C125" s="22"/>
      <c r="D125" s="22" t="s">
        <v>829</v>
      </c>
      <c r="E125" s="23" t="s">
        <v>830</v>
      </c>
      <c r="F125" s="68">
        <f>Source!AT58</f>
        <v>70</v>
      </c>
      <c r="G125" s="66"/>
      <c r="H125" s="24"/>
      <c r="I125" s="68"/>
      <c r="J125" s="68"/>
      <c r="K125" s="66">
        <f>SUM(S122:S124)</f>
        <v>2050.5</v>
      </c>
      <c r="L125" s="66"/>
    </row>
    <row r="126" spans="1:23" ht="14.25" x14ac:dyDescent="0.2">
      <c r="A126" s="22"/>
      <c r="B126" s="22"/>
      <c r="C126" s="22"/>
      <c r="D126" s="22" t="s">
        <v>831</v>
      </c>
      <c r="E126" s="23" t="s">
        <v>830</v>
      </c>
      <c r="F126" s="68">
        <f>Source!AU58</f>
        <v>10</v>
      </c>
      <c r="G126" s="66"/>
      <c r="H126" s="24"/>
      <c r="I126" s="68"/>
      <c r="J126" s="68"/>
      <c r="K126" s="66">
        <f>SUM(U122:U125)</f>
        <v>292.93</v>
      </c>
      <c r="L126" s="66"/>
    </row>
    <row r="127" spans="1:23" ht="14.25" x14ac:dyDescent="0.2">
      <c r="A127" s="22"/>
      <c r="B127" s="22"/>
      <c r="C127" s="22"/>
      <c r="D127" s="22" t="s">
        <v>833</v>
      </c>
      <c r="E127" s="23" t="s">
        <v>834</v>
      </c>
      <c r="F127" s="68">
        <f>Source!AQ58</f>
        <v>0.6</v>
      </c>
      <c r="G127" s="66"/>
      <c r="H127" s="24" t="str">
        <f>Source!DI58</f>
        <v/>
      </c>
      <c r="I127" s="68">
        <f>Source!AV58</f>
        <v>1</v>
      </c>
      <c r="J127" s="68"/>
      <c r="K127" s="66"/>
      <c r="L127" s="66">
        <f>Source!U58</f>
        <v>13.799999999999999</v>
      </c>
    </row>
    <row r="128" spans="1:23" ht="15" x14ac:dyDescent="0.25">
      <c r="A128" s="29"/>
      <c r="B128" s="29"/>
      <c r="C128" s="29"/>
      <c r="D128" s="29"/>
      <c r="E128" s="29"/>
      <c r="F128" s="29"/>
      <c r="G128" s="29"/>
      <c r="H128" s="29"/>
      <c r="I128" s="29"/>
      <c r="J128" s="104">
        <f>K123+K125+K126+SUM(K124:K124)</f>
        <v>186865.3</v>
      </c>
      <c r="K128" s="104"/>
      <c r="L128" s="67">
        <f>IF(Source!I58&lt;&gt;0, ROUND(J128/Source!I58, 2), 0)</f>
        <v>8124.58</v>
      </c>
      <c r="Q128" s="27">
        <f>J128</f>
        <v>186865.3</v>
      </c>
    </row>
    <row r="129" spans="1:23" ht="71.25" x14ac:dyDescent="0.2">
      <c r="A129" s="22">
        <v>11</v>
      </c>
      <c r="B129" s="22">
        <v>11</v>
      </c>
      <c r="C129" s="22" t="str">
        <f>Source!F60</f>
        <v>1.21-3103-33-2/1</v>
      </c>
      <c r="D129" s="22" t="str">
        <f>Source!G60</f>
        <v>Прокладка труб гофрированных поливинилхлоридных наружным диаметром 20 мм открыто по стенам и потолкам с установкой соединительных коробок</v>
      </c>
      <c r="E129" s="23" t="str">
        <f>Source!H60</f>
        <v>100 м</v>
      </c>
      <c r="F129" s="68">
        <f>Source!I60</f>
        <v>0.22</v>
      </c>
      <c r="G129" s="66"/>
      <c r="H129" s="24"/>
      <c r="I129" s="68"/>
      <c r="J129" s="68"/>
      <c r="K129" s="66"/>
      <c r="L129" s="66"/>
      <c r="R129">
        <f>ROUND((Source!BZ60/100)*ROUND((Source!AF60*Source!AV60)*Source!I60, 2), 2)</f>
        <v>679.2</v>
      </c>
      <c r="S129">
        <f>Source!X60</f>
        <v>679.2</v>
      </c>
      <c r="T129">
        <f>ROUND((Source!CA60/100)*ROUND((Source!AF60*Source!AV60)*Source!I60, 2), 2)</f>
        <v>97.03</v>
      </c>
      <c r="U129">
        <f>Source!Y60</f>
        <v>97.03</v>
      </c>
      <c r="V129">
        <f>ROUND((175/100)*ROUND((Source!AE60*Source!AV60)*Source!I60, 2), 2)</f>
        <v>1.93</v>
      </c>
      <c r="W129">
        <f>ROUND((108/100)*ROUND(Source!CS60*Source!I60, 2), 2)</f>
        <v>1.19</v>
      </c>
    </row>
    <row r="130" spans="1:23" x14ac:dyDescent="0.2">
      <c r="D130" s="32" t="str">
        <f>"Объем: "&amp;Source!I60&amp;"=22/"&amp;"100"</f>
        <v>Объем: 0,22=22/100</v>
      </c>
    </row>
    <row r="131" spans="1:23" ht="14.25" x14ac:dyDescent="0.2">
      <c r="A131" s="22"/>
      <c r="B131" s="22"/>
      <c r="C131" s="22"/>
      <c r="D131" s="22" t="s">
        <v>825</v>
      </c>
      <c r="E131" s="23"/>
      <c r="F131" s="68"/>
      <c r="G131" s="66">
        <f>Source!AO60</f>
        <v>4410.37</v>
      </c>
      <c r="H131" s="24" t="str">
        <f>Source!DG60</f>
        <v/>
      </c>
      <c r="I131" s="68">
        <f>Source!AV60</f>
        <v>1</v>
      </c>
      <c r="J131" s="68">
        <f>IF(Source!BA60&lt;&gt; 0, Source!BA60, 1)</f>
        <v>1</v>
      </c>
      <c r="K131" s="66">
        <f>Source!S60</f>
        <v>970.28</v>
      </c>
      <c r="L131" s="66"/>
    </row>
    <row r="132" spans="1:23" ht="14.25" x14ac:dyDescent="0.2">
      <c r="A132" s="22"/>
      <c r="B132" s="22"/>
      <c r="C132" s="22"/>
      <c r="D132" s="22" t="s">
        <v>826</v>
      </c>
      <c r="E132" s="23"/>
      <c r="F132" s="68"/>
      <c r="G132" s="66">
        <f>Source!AM60</f>
        <v>41.77</v>
      </c>
      <c r="H132" s="24" t="str">
        <f>Source!DE60</f>
        <v/>
      </c>
      <c r="I132" s="68">
        <f>Source!AV60</f>
        <v>1</v>
      </c>
      <c r="J132" s="68">
        <f>IF(Source!BB60&lt;&gt; 0, Source!BB60, 1)</f>
        <v>1</v>
      </c>
      <c r="K132" s="66">
        <f>Source!Q60</f>
        <v>9.19</v>
      </c>
      <c r="L132" s="66"/>
    </row>
    <row r="133" spans="1:23" ht="14.25" x14ac:dyDescent="0.2">
      <c r="A133" s="22"/>
      <c r="B133" s="22"/>
      <c r="C133" s="22"/>
      <c r="D133" s="22" t="s">
        <v>827</v>
      </c>
      <c r="E133" s="23"/>
      <c r="F133" s="68"/>
      <c r="G133" s="66">
        <f>Source!AN60</f>
        <v>5</v>
      </c>
      <c r="H133" s="24" t="str">
        <f>Source!DF60</f>
        <v/>
      </c>
      <c r="I133" s="68">
        <f>Source!AV60</f>
        <v>1</v>
      </c>
      <c r="J133" s="68">
        <f>IF(Source!BS60&lt;&gt; 0, Source!BS60, 1)</f>
        <v>1</v>
      </c>
      <c r="K133" s="26">
        <f>Source!R60</f>
        <v>1.1000000000000001</v>
      </c>
      <c r="L133" s="66"/>
    </row>
    <row r="134" spans="1:23" ht="14.25" x14ac:dyDescent="0.2">
      <c r="A134" s="22"/>
      <c r="B134" s="22"/>
      <c r="C134" s="22"/>
      <c r="D134" s="22" t="s">
        <v>828</v>
      </c>
      <c r="E134" s="23"/>
      <c r="F134" s="68"/>
      <c r="G134" s="66">
        <f>Source!AL60</f>
        <v>2915.8</v>
      </c>
      <c r="H134" s="24" t="str">
        <f>Source!DD60</f>
        <v/>
      </c>
      <c r="I134" s="68">
        <f>Source!AW60</f>
        <v>1</v>
      </c>
      <c r="J134" s="68">
        <f>IF(Source!BC60&lt;&gt; 0, Source!BC60, 1)</f>
        <v>1</v>
      </c>
      <c r="K134" s="66">
        <f>Source!P60</f>
        <v>641.48</v>
      </c>
      <c r="L134" s="66"/>
    </row>
    <row r="135" spans="1:23" ht="71.25" x14ac:dyDescent="0.2">
      <c r="A135" s="22" t="s">
        <v>151</v>
      </c>
      <c r="B135" s="22" t="s">
        <v>151</v>
      </c>
      <c r="C135" s="22" t="str">
        <f>Source!F61</f>
        <v>21.21-5-61</v>
      </c>
      <c r="D135" s="22" t="str">
        <f>Source!G61</f>
        <v>Коробки для выполнения соединений и ответвлений электрических кабелей и проводов сечением до 4 мм2, прокладываемых в неметаллических трубах, тип КОР-73 УЗ</v>
      </c>
      <c r="E135" s="23" t="str">
        <f>Source!H61</f>
        <v>шт.</v>
      </c>
      <c r="F135" s="68">
        <f>Source!I61</f>
        <v>-1.1000000000000001</v>
      </c>
      <c r="G135" s="66">
        <f>Source!AK61</f>
        <v>30.24</v>
      </c>
      <c r="H135" s="31" t="s">
        <v>3</v>
      </c>
      <c r="I135" s="68">
        <f>Source!AW61</f>
        <v>1</v>
      </c>
      <c r="J135" s="68">
        <f>IF(Source!BC61&lt;&gt; 0, Source!BC61, 1)</f>
        <v>1</v>
      </c>
      <c r="K135" s="66">
        <f>Source!O61</f>
        <v>-33.26</v>
      </c>
      <c r="L135" s="66"/>
      <c r="R135">
        <f>ROUND((Source!BZ61/100)*ROUND((Source!AF61*Source!AV61)*Source!I61, 2), 2)</f>
        <v>0</v>
      </c>
      <c r="S135">
        <f>Source!X61</f>
        <v>0</v>
      </c>
      <c r="T135">
        <f>ROUND((Source!CA61/100)*ROUND((Source!AF61*Source!AV61)*Source!I61, 2), 2)</f>
        <v>0</v>
      </c>
      <c r="U135">
        <f>Source!Y61</f>
        <v>0</v>
      </c>
      <c r="V135">
        <f>ROUND((175/100)*ROUND((Source!AE61*Source!AV61)*Source!I61, 2), 2)</f>
        <v>0</v>
      </c>
      <c r="W135">
        <f>ROUND((108/100)*ROUND(Source!CS61*Source!I61, 2), 2)</f>
        <v>0</v>
      </c>
    </row>
    <row r="136" spans="1:23" ht="14.25" x14ac:dyDescent="0.2">
      <c r="A136" s="22"/>
      <c r="B136" s="22"/>
      <c r="C136" s="22"/>
      <c r="D136" s="22" t="s">
        <v>829</v>
      </c>
      <c r="E136" s="23" t="s">
        <v>830</v>
      </c>
      <c r="F136" s="68">
        <f>Source!AT60</f>
        <v>70</v>
      </c>
      <c r="G136" s="66"/>
      <c r="H136" s="24"/>
      <c r="I136" s="68"/>
      <c r="J136" s="68"/>
      <c r="K136" s="66">
        <f>SUM(S129:S135)</f>
        <v>679.2</v>
      </c>
      <c r="L136" s="66"/>
    </row>
    <row r="137" spans="1:23" ht="14.25" x14ac:dyDescent="0.2">
      <c r="A137" s="22"/>
      <c r="B137" s="22"/>
      <c r="C137" s="22"/>
      <c r="D137" s="22" t="s">
        <v>831</v>
      </c>
      <c r="E137" s="23" t="s">
        <v>830</v>
      </c>
      <c r="F137" s="68">
        <f>Source!AU60</f>
        <v>10</v>
      </c>
      <c r="G137" s="66"/>
      <c r="H137" s="24"/>
      <c r="I137" s="68"/>
      <c r="J137" s="68"/>
      <c r="K137" s="66">
        <f>SUM(U129:U136)</f>
        <v>97.03</v>
      </c>
      <c r="L137" s="66"/>
    </row>
    <row r="138" spans="1:23" ht="14.25" x14ac:dyDescent="0.2">
      <c r="A138" s="22"/>
      <c r="B138" s="22"/>
      <c r="C138" s="22"/>
      <c r="D138" s="22" t="s">
        <v>832</v>
      </c>
      <c r="E138" s="23" t="s">
        <v>830</v>
      </c>
      <c r="F138" s="68">
        <f>108</f>
        <v>108</v>
      </c>
      <c r="G138" s="66"/>
      <c r="H138" s="24"/>
      <c r="I138" s="68"/>
      <c r="J138" s="68"/>
      <c r="K138" s="66">
        <f>SUM(W129:W137)</f>
        <v>1.19</v>
      </c>
      <c r="L138" s="66"/>
    </row>
    <row r="139" spans="1:23" ht="14.25" x14ac:dyDescent="0.2">
      <c r="A139" s="22"/>
      <c r="B139" s="22"/>
      <c r="C139" s="22"/>
      <c r="D139" s="22" t="s">
        <v>833</v>
      </c>
      <c r="E139" s="23" t="s">
        <v>834</v>
      </c>
      <c r="F139" s="68">
        <f>Source!AQ60</f>
        <v>17.260000000000002</v>
      </c>
      <c r="G139" s="66"/>
      <c r="H139" s="24" t="str">
        <f>Source!DI60</f>
        <v/>
      </c>
      <c r="I139" s="68">
        <f>Source!AV60</f>
        <v>1</v>
      </c>
      <c r="J139" s="68"/>
      <c r="K139" s="66"/>
      <c r="L139" s="66">
        <f>Source!U60</f>
        <v>3.7972000000000006</v>
      </c>
    </row>
    <row r="140" spans="1:23" ht="15" x14ac:dyDescent="0.25">
      <c r="A140" s="29"/>
      <c r="B140" s="29"/>
      <c r="C140" s="29"/>
      <c r="D140" s="29"/>
      <c r="E140" s="29"/>
      <c r="F140" s="29"/>
      <c r="G140" s="29"/>
      <c r="H140" s="29"/>
      <c r="I140" s="29"/>
      <c r="J140" s="104">
        <f>K131+K132+K134+K136+K137+K138+SUM(K135:K135)</f>
        <v>2365.11</v>
      </c>
      <c r="K140" s="104"/>
      <c r="L140" s="67">
        <f>IF(Source!I60&lt;&gt;0, ROUND(J140/Source!I60, 2), 0)</f>
        <v>10750.5</v>
      </c>
      <c r="Q140" s="27">
        <f>J140</f>
        <v>2365.11</v>
      </c>
    </row>
    <row r="141" spans="1:23" ht="85.5" x14ac:dyDescent="0.2">
      <c r="A141" s="22">
        <v>12</v>
      </c>
      <c r="B141" s="22">
        <v>12</v>
      </c>
      <c r="C141" s="22" t="str">
        <f>Source!F62</f>
        <v>1.21-3103-21-3/1</v>
      </c>
      <c r="D141" s="22" t="str">
        <f>Source!G62</f>
        <v>Затягивание проводов и кабелей в проложенные трубы и металлические рукава, провод первый одножильный или многожильный в общей оплетке, суммарное сечение до 16 мм2 (без стоимости материалов)</v>
      </c>
      <c r="E141" s="23" t="str">
        <f>Source!H62</f>
        <v>100 м</v>
      </c>
      <c r="F141" s="68">
        <f>Source!I62</f>
        <v>0.22</v>
      </c>
      <c r="G141" s="66"/>
      <c r="H141" s="24"/>
      <c r="I141" s="68"/>
      <c r="J141" s="68"/>
      <c r="K141" s="66"/>
      <c r="L141" s="66"/>
      <c r="R141">
        <f>ROUND((Source!BZ62/100)*ROUND((Source!AF62*Source!AV62)*Source!I62, 2), 2)</f>
        <v>318.33</v>
      </c>
      <c r="S141">
        <f>Source!X62</f>
        <v>318.33</v>
      </c>
      <c r="T141">
        <f>ROUND((Source!CA62/100)*ROUND((Source!AF62*Source!AV62)*Source!I62, 2), 2)</f>
        <v>45.48</v>
      </c>
      <c r="U141">
        <f>Source!Y62</f>
        <v>45.48</v>
      </c>
      <c r="V141">
        <f>ROUND((175/100)*ROUND((Source!AE62*Source!AV62)*Source!I62, 2), 2)</f>
        <v>0</v>
      </c>
      <c r="W141">
        <f>ROUND((108/100)*ROUND(Source!CS62*Source!I62, 2), 2)</f>
        <v>0</v>
      </c>
    </row>
    <row r="142" spans="1:23" x14ac:dyDescent="0.2">
      <c r="D142" s="32" t="str">
        <f>"Объем: "&amp;Source!I62&amp;"=22/"&amp;"100"</f>
        <v>Объем: 0,22=22/100</v>
      </c>
    </row>
    <row r="143" spans="1:23" ht="14.25" x14ac:dyDescent="0.2">
      <c r="A143" s="22"/>
      <c r="B143" s="22"/>
      <c r="C143" s="22"/>
      <c r="D143" s="22" t="s">
        <v>825</v>
      </c>
      <c r="E143" s="23"/>
      <c r="F143" s="68"/>
      <c r="G143" s="66">
        <f>Source!AO62</f>
        <v>2067.0300000000002</v>
      </c>
      <c r="H143" s="24" t="str">
        <f>Source!DG62</f>
        <v/>
      </c>
      <c r="I143" s="68">
        <f>Source!AV62</f>
        <v>1</v>
      </c>
      <c r="J143" s="68">
        <f>IF(Source!BA62&lt;&gt; 0, Source!BA62, 1)</f>
        <v>1</v>
      </c>
      <c r="K143" s="66">
        <f>Source!S62</f>
        <v>454.75</v>
      </c>
      <c r="L143" s="66"/>
    </row>
    <row r="144" spans="1:23" ht="41.25" x14ac:dyDescent="0.2">
      <c r="A144" s="22" t="s">
        <v>161</v>
      </c>
      <c r="B144" s="22" t="s">
        <v>161</v>
      </c>
      <c r="C144" s="22" t="str">
        <f>Source!F64</f>
        <v>Цена поставщика</v>
      </c>
      <c r="D144" s="22" t="s">
        <v>840</v>
      </c>
      <c r="E144" s="23" t="str">
        <f>Source!H64</f>
        <v>шт.</v>
      </c>
      <c r="F144" s="68">
        <f>Source!I64</f>
        <v>22</v>
      </c>
      <c r="G144" s="66">
        <f>Source!AK64</f>
        <v>650</v>
      </c>
      <c r="H144" s="31" t="s">
        <v>3</v>
      </c>
      <c r="I144" s="68">
        <f>Source!AW64</f>
        <v>1</v>
      </c>
      <c r="J144" s="68">
        <f>IF(Source!BC64&lt;&gt; 0, Source!BC64, 1)</f>
        <v>1</v>
      </c>
      <c r="K144" s="66">
        <f>Source!O64</f>
        <v>14300</v>
      </c>
      <c r="L144" s="66"/>
      <c r="R144">
        <f>ROUND((Source!BZ64/100)*ROUND((Source!AF64*Source!AV64)*Source!I64, 2), 2)</f>
        <v>0</v>
      </c>
      <c r="S144">
        <f>Source!X64</f>
        <v>0</v>
      </c>
      <c r="T144">
        <f>ROUND((Source!CA64/100)*ROUND((Source!AF64*Source!AV64)*Source!I64, 2), 2)</f>
        <v>0</v>
      </c>
      <c r="U144">
        <f>Source!Y64</f>
        <v>0</v>
      </c>
      <c r="V144">
        <f>ROUND((175/100)*ROUND((Source!AE64*Source!AV64)*Source!I64, 2), 2)</f>
        <v>0</v>
      </c>
      <c r="W144">
        <f>ROUND((108/100)*ROUND(Source!CS64*Source!I64, 2), 2)</f>
        <v>0</v>
      </c>
    </row>
    <row r="145" spans="1:23" ht="14.25" x14ac:dyDescent="0.2">
      <c r="A145" s="22"/>
      <c r="B145" s="22"/>
      <c r="C145" s="22"/>
      <c r="D145" s="22" t="s">
        <v>829</v>
      </c>
      <c r="E145" s="23" t="s">
        <v>830</v>
      </c>
      <c r="F145" s="68">
        <f>Source!AT62</f>
        <v>70</v>
      </c>
      <c r="G145" s="66"/>
      <c r="H145" s="24"/>
      <c r="I145" s="68"/>
      <c r="J145" s="68"/>
      <c r="K145" s="66">
        <f>SUM(S141:S144)</f>
        <v>318.33</v>
      </c>
      <c r="L145" s="66"/>
    </row>
    <row r="146" spans="1:23" ht="14.25" x14ac:dyDescent="0.2">
      <c r="A146" s="22"/>
      <c r="B146" s="22"/>
      <c r="C146" s="22"/>
      <c r="D146" s="22" t="s">
        <v>831</v>
      </c>
      <c r="E146" s="23" t="s">
        <v>830</v>
      </c>
      <c r="F146" s="68">
        <f>Source!AU62</f>
        <v>10</v>
      </c>
      <c r="G146" s="66"/>
      <c r="H146" s="24"/>
      <c r="I146" s="68"/>
      <c r="J146" s="68"/>
      <c r="K146" s="66">
        <f>SUM(U141:U145)</f>
        <v>45.48</v>
      </c>
      <c r="L146" s="66"/>
    </row>
    <row r="147" spans="1:23" ht="14.25" x14ac:dyDescent="0.2">
      <c r="A147" s="22"/>
      <c r="B147" s="22"/>
      <c r="C147" s="22"/>
      <c r="D147" s="22" t="s">
        <v>833</v>
      </c>
      <c r="E147" s="23" t="s">
        <v>834</v>
      </c>
      <c r="F147" s="68">
        <f>Source!AQ62</f>
        <v>8.2899999999999991</v>
      </c>
      <c r="G147" s="66"/>
      <c r="H147" s="24" t="str">
        <f>Source!DI62</f>
        <v/>
      </c>
      <c r="I147" s="68">
        <f>Source!AV62</f>
        <v>1</v>
      </c>
      <c r="J147" s="68"/>
      <c r="K147" s="66"/>
      <c r="L147" s="66">
        <f>Source!U62</f>
        <v>1.8237999999999999</v>
      </c>
    </row>
    <row r="148" spans="1:23" ht="15" x14ac:dyDescent="0.25">
      <c r="A148" s="29"/>
      <c r="B148" s="29"/>
      <c r="C148" s="29"/>
      <c r="D148" s="29"/>
      <c r="E148" s="29"/>
      <c r="F148" s="29"/>
      <c r="G148" s="29"/>
      <c r="H148" s="29"/>
      <c r="I148" s="29"/>
      <c r="J148" s="104">
        <f>K143+K145+K146+SUM(K144:K144)</f>
        <v>15118.56</v>
      </c>
      <c r="K148" s="104"/>
      <c r="L148" s="67">
        <f>IF(Source!I62&lt;&gt;0, ROUND(J148/Source!I62, 2), 0)</f>
        <v>68720.73</v>
      </c>
      <c r="Q148" s="27">
        <f>J148</f>
        <v>15118.56</v>
      </c>
    </row>
    <row r="149" spans="1:23" ht="42.75" x14ac:dyDescent="0.2">
      <c r="A149" s="22">
        <v>13</v>
      </c>
      <c r="B149" s="22">
        <v>13</v>
      </c>
      <c r="C149" s="22" t="str">
        <f>Source!F65</f>
        <v>1.21-3103-31-2/3</v>
      </c>
      <c r="D149" s="22" t="str">
        <f>Source!G65</f>
        <v>Прокладка пластикового кабель-канала - по бетонному основанию / сечение 60х40 мм</v>
      </c>
      <c r="E149" s="23" t="str">
        <f>Source!H65</f>
        <v>100 м</v>
      </c>
      <c r="F149" s="68">
        <f>Source!I65</f>
        <v>0.91</v>
      </c>
      <c r="G149" s="66"/>
      <c r="H149" s="24"/>
      <c r="I149" s="68"/>
      <c r="J149" s="68"/>
      <c r="K149" s="66"/>
      <c r="L149" s="66"/>
      <c r="R149">
        <f>ROUND((Source!BZ65/100)*ROUND((Source!AF65*Source!AV65)*Source!I65, 2), 2)</f>
        <v>6924.82</v>
      </c>
      <c r="S149">
        <f>Source!X65</f>
        <v>6924.82</v>
      </c>
      <c r="T149">
        <f>ROUND((Source!CA65/100)*ROUND((Source!AF65*Source!AV65)*Source!I65, 2), 2)</f>
        <v>989.26</v>
      </c>
      <c r="U149">
        <f>Source!Y65</f>
        <v>989.26</v>
      </c>
      <c r="V149">
        <f>ROUND((175/100)*ROUND((Source!AE65*Source!AV65)*Source!I65, 2), 2)</f>
        <v>0.44</v>
      </c>
      <c r="W149">
        <f>ROUND((108/100)*ROUND(Source!CS65*Source!I65, 2), 2)</f>
        <v>0.27</v>
      </c>
    </row>
    <row r="150" spans="1:23" x14ac:dyDescent="0.2">
      <c r="D150" s="32" t="str">
        <f>"Объем: "&amp;Source!I65&amp;"=91/"&amp;"100"</f>
        <v>Объем: 0,91=91/100</v>
      </c>
    </row>
    <row r="151" spans="1:23" ht="14.25" x14ac:dyDescent="0.2">
      <c r="A151" s="22"/>
      <c r="B151" s="22"/>
      <c r="C151" s="22"/>
      <c r="D151" s="22" t="s">
        <v>825</v>
      </c>
      <c r="E151" s="23"/>
      <c r="F151" s="68"/>
      <c r="G151" s="66">
        <f>Source!AO65</f>
        <v>10870.99</v>
      </c>
      <c r="H151" s="24" t="str">
        <f>Source!DG65</f>
        <v/>
      </c>
      <c r="I151" s="68">
        <f>Source!AV65</f>
        <v>1</v>
      </c>
      <c r="J151" s="68">
        <f>IF(Source!BA65&lt;&gt; 0, Source!BA65, 1)</f>
        <v>1</v>
      </c>
      <c r="K151" s="66">
        <f>Source!S65</f>
        <v>9892.6</v>
      </c>
      <c r="L151" s="66"/>
    </row>
    <row r="152" spans="1:23" ht="14.25" x14ac:dyDescent="0.2">
      <c r="A152" s="22"/>
      <c r="B152" s="22"/>
      <c r="C152" s="22"/>
      <c r="D152" s="22" t="s">
        <v>826</v>
      </c>
      <c r="E152" s="23"/>
      <c r="F152" s="68"/>
      <c r="G152" s="66">
        <f>Source!AM65</f>
        <v>41.99</v>
      </c>
      <c r="H152" s="24" t="str">
        <f>Source!DE65</f>
        <v/>
      </c>
      <c r="I152" s="68">
        <f>Source!AV65</f>
        <v>1</v>
      </c>
      <c r="J152" s="68">
        <f>IF(Source!BB65&lt;&gt; 0, Source!BB65, 1)</f>
        <v>1</v>
      </c>
      <c r="K152" s="66">
        <f>Source!Q65</f>
        <v>38.21</v>
      </c>
      <c r="L152" s="66"/>
    </row>
    <row r="153" spans="1:23" ht="14.25" x14ac:dyDescent="0.2">
      <c r="A153" s="22"/>
      <c r="B153" s="22"/>
      <c r="C153" s="22"/>
      <c r="D153" s="22" t="s">
        <v>827</v>
      </c>
      <c r="E153" s="23"/>
      <c r="F153" s="68"/>
      <c r="G153" s="66">
        <f>Source!AN65</f>
        <v>0.28000000000000003</v>
      </c>
      <c r="H153" s="24" t="str">
        <f>Source!DF65</f>
        <v/>
      </c>
      <c r="I153" s="68">
        <f>Source!AV65</f>
        <v>1</v>
      </c>
      <c r="J153" s="68">
        <f>IF(Source!BS65&lt;&gt; 0, Source!BS65, 1)</f>
        <v>1</v>
      </c>
      <c r="K153" s="26">
        <f>Source!R65</f>
        <v>0.25</v>
      </c>
      <c r="L153" s="66"/>
    </row>
    <row r="154" spans="1:23" ht="14.25" x14ac:dyDescent="0.2">
      <c r="A154" s="22"/>
      <c r="B154" s="22"/>
      <c r="C154" s="22"/>
      <c r="D154" s="22" t="s">
        <v>828</v>
      </c>
      <c r="E154" s="23"/>
      <c r="F154" s="68"/>
      <c r="G154" s="66">
        <f>Source!AL65</f>
        <v>32327.86</v>
      </c>
      <c r="H154" s="24" t="str">
        <f>Source!DD65</f>
        <v/>
      </c>
      <c r="I154" s="68">
        <f>Source!AW65</f>
        <v>1</v>
      </c>
      <c r="J154" s="68">
        <f>IF(Source!BC65&lt;&gt; 0, Source!BC65, 1)</f>
        <v>1</v>
      </c>
      <c r="K154" s="66">
        <f>Source!P65</f>
        <v>29418.35</v>
      </c>
      <c r="L154" s="66"/>
    </row>
    <row r="155" spans="1:23" ht="41.25" x14ac:dyDescent="0.2">
      <c r="A155" s="22" t="s">
        <v>168</v>
      </c>
      <c r="B155" s="22" t="s">
        <v>168</v>
      </c>
      <c r="C155" s="22" t="str">
        <f>Source!F66</f>
        <v>Цена поставщика</v>
      </c>
      <c r="D155" s="22" t="s">
        <v>841</v>
      </c>
      <c r="E155" s="23" t="str">
        <f>Source!H66</f>
        <v>м</v>
      </c>
      <c r="F155" s="68">
        <f>Source!I66</f>
        <v>91</v>
      </c>
      <c r="G155" s="66">
        <f>Source!AK66</f>
        <v>238.33</v>
      </c>
      <c r="H155" s="31" t="s">
        <v>3</v>
      </c>
      <c r="I155" s="68">
        <f>Source!AW66</f>
        <v>1</v>
      </c>
      <c r="J155" s="68">
        <f>IF(Source!BC66&lt;&gt; 0, Source!BC66, 1)</f>
        <v>1</v>
      </c>
      <c r="K155" s="66">
        <f>Source!O66</f>
        <v>21688.03</v>
      </c>
      <c r="L155" s="66"/>
      <c r="R155">
        <f>ROUND((Source!BZ66/100)*ROUND((Source!AF66*Source!AV66)*Source!I66, 2), 2)</f>
        <v>0</v>
      </c>
      <c r="S155">
        <f>Source!X66</f>
        <v>0</v>
      </c>
      <c r="T155">
        <f>ROUND((Source!CA66/100)*ROUND((Source!AF66*Source!AV66)*Source!I66, 2), 2)</f>
        <v>0</v>
      </c>
      <c r="U155">
        <f>Source!Y66</f>
        <v>0</v>
      </c>
      <c r="V155">
        <f>ROUND((175/100)*ROUND((Source!AE66*Source!AV66)*Source!I66, 2), 2)</f>
        <v>0</v>
      </c>
      <c r="W155">
        <f>ROUND((108/100)*ROUND(Source!CS66*Source!I66, 2), 2)</f>
        <v>0</v>
      </c>
    </row>
    <row r="156" spans="1:23" ht="28.5" x14ac:dyDescent="0.2">
      <c r="A156" s="22" t="s">
        <v>183</v>
      </c>
      <c r="B156" s="22" t="s">
        <v>183</v>
      </c>
      <c r="C156" s="22" t="str">
        <f>Source!F71</f>
        <v>21.1-25-1027</v>
      </c>
      <c r="D156" s="22" t="str">
        <f>Source!G71</f>
        <v>Кабель-каналы, размер 60х40 мм: кабель-каналы</v>
      </c>
      <c r="E156" s="23" t="str">
        <f>Source!H71</f>
        <v>м</v>
      </c>
      <c r="F156" s="68">
        <f>Source!I71</f>
        <v>-91</v>
      </c>
      <c r="G156" s="66">
        <f>Source!AK71</f>
        <v>165.94</v>
      </c>
      <c r="H156" s="31" t="s">
        <v>3</v>
      </c>
      <c r="I156" s="68">
        <f>Source!AW71</f>
        <v>1</v>
      </c>
      <c r="J156" s="68">
        <f>IF(Source!BC71&lt;&gt; 0, Source!BC71, 1)</f>
        <v>1</v>
      </c>
      <c r="K156" s="66">
        <f>Source!O71</f>
        <v>-15100.54</v>
      </c>
      <c r="L156" s="66"/>
      <c r="R156">
        <f>ROUND((Source!BZ71/100)*ROUND((Source!AF71*Source!AV71)*Source!I71, 2), 2)</f>
        <v>0</v>
      </c>
      <c r="S156">
        <f>Source!X71</f>
        <v>0</v>
      </c>
      <c r="T156">
        <f>ROUND((Source!CA71/100)*ROUND((Source!AF71*Source!AV71)*Source!I71, 2), 2)</f>
        <v>0</v>
      </c>
      <c r="U156">
        <f>Source!Y71</f>
        <v>0</v>
      </c>
      <c r="V156">
        <f>ROUND((175/100)*ROUND((Source!AE71*Source!AV71)*Source!I71, 2), 2)</f>
        <v>0</v>
      </c>
      <c r="W156">
        <f>ROUND((108/100)*ROUND(Source!CS71*Source!I71, 2), 2)</f>
        <v>0</v>
      </c>
    </row>
    <row r="157" spans="1:23" ht="28.5" x14ac:dyDescent="0.2">
      <c r="A157" s="22" t="s">
        <v>187</v>
      </c>
      <c r="B157" s="22" t="s">
        <v>187</v>
      </c>
      <c r="C157" s="22" t="str">
        <f>Source!F72</f>
        <v>21.1-25-1028</v>
      </c>
      <c r="D157" s="22" t="str">
        <f>Source!G72</f>
        <v>Кабель-каналы, размер 60х40 мм: заглушки</v>
      </c>
      <c r="E157" s="23" t="str">
        <f>Source!H72</f>
        <v>шт.</v>
      </c>
      <c r="F157" s="68">
        <f>Source!I72</f>
        <v>-13.65</v>
      </c>
      <c r="G157" s="66">
        <f>Source!AK72</f>
        <v>86.79</v>
      </c>
      <c r="H157" s="31" t="s">
        <v>3</v>
      </c>
      <c r="I157" s="68">
        <f>Source!AW72</f>
        <v>1</v>
      </c>
      <c r="J157" s="68">
        <f>IF(Source!BC72&lt;&gt; 0, Source!BC72, 1)</f>
        <v>1</v>
      </c>
      <c r="K157" s="66">
        <f>Source!O72</f>
        <v>-1184.68</v>
      </c>
      <c r="L157" s="66"/>
      <c r="R157">
        <f>ROUND((Source!BZ72/100)*ROUND((Source!AF72*Source!AV72)*Source!I72, 2), 2)</f>
        <v>0</v>
      </c>
      <c r="S157">
        <f>Source!X72</f>
        <v>0</v>
      </c>
      <c r="T157">
        <f>ROUND((Source!CA72/100)*ROUND((Source!AF72*Source!AV72)*Source!I72, 2), 2)</f>
        <v>0</v>
      </c>
      <c r="U157">
        <f>Source!Y72</f>
        <v>0</v>
      </c>
      <c r="V157">
        <f>ROUND((175/100)*ROUND((Source!AE72*Source!AV72)*Source!I72, 2), 2)</f>
        <v>0</v>
      </c>
      <c r="W157">
        <f>ROUND((108/100)*ROUND(Source!CS72*Source!I72, 2), 2)</f>
        <v>0</v>
      </c>
    </row>
    <row r="158" spans="1:23" ht="28.5" x14ac:dyDescent="0.2">
      <c r="A158" s="22" t="s">
        <v>191</v>
      </c>
      <c r="B158" s="22" t="s">
        <v>191</v>
      </c>
      <c r="C158" s="22" t="str">
        <f>Source!F73</f>
        <v>21.1-25-1029</v>
      </c>
      <c r="D158" s="22" t="str">
        <f>Source!G73</f>
        <v>Кабель-каналы, размер 60х40 мм: накладки стыковые</v>
      </c>
      <c r="E158" s="23" t="str">
        <f>Source!H73</f>
        <v>шт.</v>
      </c>
      <c r="F158" s="68">
        <f>Source!I73</f>
        <v>-3.64</v>
      </c>
      <c r="G158" s="66">
        <f>Source!AK73</f>
        <v>74.03</v>
      </c>
      <c r="H158" s="31" t="s">
        <v>3</v>
      </c>
      <c r="I158" s="68">
        <f>Source!AW73</f>
        <v>1</v>
      </c>
      <c r="J158" s="68">
        <f>IF(Source!BC73&lt;&gt; 0, Source!BC73, 1)</f>
        <v>1</v>
      </c>
      <c r="K158" s="66">
        <f>Source!O73</f>
        <v>-269.47000000000003</v>
      </c>
      <c r="L158" s="66"/>
      <c r="R158">
        <f>ROUND((Source!BZ73/100)*ROUND((Source!AF73*Source!AV73)*Source!I73, 2), 2)</f>
        <v>0</v>
      </c>
      <c r="S158">
        <f>Source!X73</f>
        <v>0</v>
      </c>
      <c r="T158">
        <f>ROUND((Source!CA73/100)*ROUND((Source!AF73*Source!AV73)*Source!I73, 2), 2)</f>
        <v>0</v>
      </c>
      <c r="U158">
        <f>Source!Y73</f>
        <v>0</v>
      </c>
      <c r="V158">
        <f>ROUND((175/100)*ROUND((Source!AE73*Source!AV73)*Source!I73, 2), 2)</f>
        <v>0</v>
      </c>
      <c r="W158">
        <f>ROUND((108/100)*ROUND(Source!CS73*Source!I73, 2), 2)</f>
        <v>0</v>
      </c>
    </row>
    <row r="159" spans="1:23" ht="28.5" x14ac:dyDescent="0.2">
      <c r="A159" s="22" t="s">
        <v>195</v>
      </c>
      <c r="B159" s="22" t="s">
        <v>195</v>
      </c>
      <c r="C159" s="22" t="str">
        <f>Source!F74</f>
        <v>21.1-25-1031</v>
      </c>
      <c r="D159" s="22" t="str">
        <f>Source!G74</f>
        <v>Кабель-каналы, размер 60х40 мм: тройники</v>
      </c>
      <c r="E159" s="23" t="str">
        <f>Source!H74</f>
        <v>шт.</v>
      </c>
      <c r="F159" s="68">
        <f>Source!I74</f>
        <v>-1.82</v>
      </c>
      <c r="G159" s="66">
        <f>Source!AK74</f>
        <v>178.03</v>
      </c>
      <c r="H159" s="31" t="s">
        <v>3</v>
      </c>
      <c r="I159" s="68">
        <f>Source!AW74</f>
        <v>1</v>
      </c>
      <c r="J159" s="68">
        <f>IF(Source!BC74&lt;&gt; 0, Source!BC74, 1)</f>
        <v>1</v>
      </c>
      <c r="K159" s="66">
        <f>Source!O74</f>
        <v>-324.01</v>
      </c>
      <c r="L159" s="66"/>
      <c r="R159">
        <f>ROUND((Source!BZ74/100)*ROUND((Source!AF74*Source!AV74)*Source!I74, 2), 2)</f>
        <v>0</v>
      </c>
      <c r="S159">
        <f>Source!X74</f>
        <v>0</v>
      </c>
      <c r="T159">
        <f>ROUND((Source!CA74/100)*ROUND((Source!AF74*Source!AV74)*Source!I74, 2), 2)</f>
        <v>0</v>
      </c>
      <c r="U159">
        <f>Source!Y74</f>
        <v>0</v>
      </c>
      <c r="V159">
        <f>ROUND((175/100)*ROUND((Source!AE74*Source!AV74)*Source!I74, 2), 2)</f>
        <v>0</v>
      </c>
      <c r="W159">
        <f>ROUND((108/100)*ROUND(Source!CS74*Source!I74, 2), 2)</f>
        <v>0</v>
      </c>
    </row>
    <row r="160" spans="1:23" ht="28.5" x14ac:dyDescent="0.2">
      <c r="A160" s="22" t="s">
        <v>199</v>
      </c>
      <c r="B160" s="22" t="s">
        <v>199</v>
      </c>
      <c r="C160" s="22" t="str">
        <f>Source!F75</f>
        <v>21.1-25-1032</v>
      </c>
      <c r="D160" s="22" t="str">
        <f>Source!G75</f>
        <v>Кабель-каналы, размер 60х40 мм: углы внутренние</v>
      </c>
      <c r="E160" s="23" t="str">
        <f>Source!H75</f>
        <v>шт.</v>
      </c>
      <c r="F160" s="68">
        <f>Source!I75</f>
        <v>-1.82</v>
      </c>
      <c r="G160" s="66">
        <f>Source!AK75</f>
        <v>136.5</v>
      </c>
      <c r="H160" s="31" t="s">
        <v>3</v>
      </c>
      <c r="I160" s="68">
        <f>Source!AW75</f>
        <v>1</v>
      </c>
      <c r="J160" s="68">
        <f>IF(Source!BC75&lt;&gt; 0, Source!BC75, 1)</f>
        <v>1</v>
      </c>
      <c r="K160" s="66">
        <f>Source!O75</f>
        <v>-248.43</v>
      </c>
      <c r="L160" s="66"/>
      <c r="R160">
        <f>ROUND((Source!BZ75/100)*ROUND((Source!AF75*Source!AV75)*Source!I75, 2), 2)</f>
        <v>0</v>
      </c>
      <c r="S160">
        <f>Source!X75</f>
        <v>0</v>
      </c>
      <c r="T160">
        <f>ROUND((Source!CA75/100)*ROUND((Source!AF75*Source!AV75)*Source!I75, 2), 2)</f>
        <v>0</v>
      </c>
      <c r="U160">
        <f>Source!Y75</f>
        <v>0</v>
      </c>
      <c r="V160">
        <f>ROUND((175/100)*ROUND((Source!AE75*Source!AV75)*Source!I75, 2), 2)</f>
        <v>0</v>
      </c>
      <c r="W160">
        <f>ROUND((108/100)*ROUND(Source!CS75*Source!I75, 2), 2)</f>
        <v>0</v>
      </c>
    </row>
    <row r="161" spans="1:23" ht="28.5" x14ac:dyDescent="0.2">
      <c r="A161" s="22" t="s">
        <v>203</v>
      </c>
      <c r="B161" s="22" t="s">
        <v>203</v>
      </c>
      <c r="C161" s="22" t="str">
        <f>Source!F76</f>
        <v>21.1-25-1033</v>
      </c>
      <c r="D161" s="22" t="str">
        <f>Source!G76</f>
        <v>Кабель-каналы, размер 60х40 мм: углы наружные</v>
      </c>
      <c r="E161" s="23" t="str">
        <f>Source!H76</f>
        <v>шт.</v>
      </c>
      <c r="F161" s="68">
        <f>Source!I76</f>
        <v>-13.65</v>
      </c>
      <c r="G161" s="66">
        <f>Source!AK76</f>
        <v>141.79</v>
      </c>
      <c r="H161" s="31" t="s">
        <v>3</v>
      </c>
      <c r="I161" s="68">
        <f>Source!AW76</f>
        <v>1</v>
      </c>
      <c r="J161" s="68">
        <f>IF(Source!BC76&lt;&gt; 0, Source!BC76, 1)</f>
        <v>1</v>
      </c>
      <c r="K161" s="66">
        <f>Source!O76</f>
        <v>-1935.43</v>
      </c>
      <c r="L161" s="66"/>
      <c r="R161">
        <f>ROUND((Source!BZ76/100)*ROUND((Source!AF76*Source!AV76)*Source!I76, 2), 2)</f>
        <v>0</v>
      </c>
      <c r="S161">
        <f>Source!X76</f>
        <v>0</v>
      </c>
      <c r="T161">
        <f>ROUND((Source!CA76/100)*ROUND((Source!AF76*Source!AV76)*Source!I76, 2), 2)</f>
        <v>0</v>
      </c>
      <c r="U161">
        <f>Source!Y76</f>
        <v>0</v>
      </c>
      <c r="V161">
        <f>ROUND((175/100)*ROUND((Source!AE76*Source!AV76)*Source!I76, 2), 2)</f>
        <v>0</v>
      </c>
      <c r="W161">
        <f>ROUND((108/100)*ROUND(Source!CS76*Source!I76, 2), 2)</f>
        <v>0</v>
      </c>
    </row>
    <row r="162" spans="1:23" ht="28.5" x14ac:dyDescent="0.2">
      <c r="A162" s="22" t="s">
        <v>207</v>
      </c>
      <c r="B162" s="22" t="s">
        <v>207</v>
      </c>
      <c r="C162" s="22" t="str">
        <f>Source!F77</f>
        <v>21.1-25-1034</v>
      </c>
      <c r="D162" s="22" t="str">
        <f>Source!G77</f>
        <v>Кабель-каналы, размер 60х40 мм: углы плоские</v>
      </c>
      <c r="E162" s="23" t="str">
        <f>Source!H77</f>
        <v>шт.</v>
      </c>
      <c r="F162" s="68">
        <f>Source!I77</f>
        <v>-1.82</v>
      </c>
      <c r="G162" s="66">
        <f>Source!AK77</f>
        <v>192.42</v>
      </c>
      <c r="H162" s="31" t="s">
        <v>3</v>
      </c>
      <c r="I162" s="68">
        <f>Source!AW77</f>
        <v>1</v>
      </c>
      <c r="J162" s="68">
        <f>IF(Source!BC77&lt;&gt; 0, Source!BC77, 1)</f>
        <v>1</v>
      </c>
      <c r="K162" s="66">
        <f>Source!O77</f>
        <v>-350.2</v>
      </c>
      <c r="L162" s="66"/>
      <c r="R162">
        <f>ROUND((Source!BZ77/100)*ROUND((Source!AF77*Source!AV77)*Source!I77, 2), 2)</f>
        <v>0</v>
      </c>
      <c r="S162">
        <f>Source!X77</f>
        <v>0</v>
      </c>
      <c r="T162">
        <f>ROUND((Source!CA77/100)*ROUND((Source!AF77*Source!AV77)*Source!I77, 2), 2)</f>
        <v>0</v>
      </c>
      <c r="U162">
        <f>Source!Y77</f>
        <v>0</v>
      </c>
      <c r="V162">
        <f>ROUND((175/100)*ROUND((Source!AE77*Source!AV77)*Source!I77, 2), 2)</f>
        <v>0</v>
      </c>
      <c r="W162">
        <f>ROUND((108/100)*ROUND(Source!CS77*Source!I77, 2), 2)</f>
        <v>0</v>
      </c>
    </row>
    <row r="163" spans="1:23" ht="14.25" x14ac:dyDescent="0.2">
      <c r="A163" s="22"/>
      <c r="B163" s="22"/>
      <c r="C163" s="22"/>
      <c r="D163" s="22" t="s">
        <v>829</v>
      </c>
      <c r="E163" s="23" t="s">
        <v>830</v>
      </c>
      <c r="F163" s="68">
        <f>Source!AT65</f>
        <v>70</v>
      </c>
      <c r="G163" s="66"/>
      <c r="H163" s="24"/>
      <c r="I163" s="68"/>
      <c r="J163" s="68"/>
      <c r="K163" s="66">
        <f>SUM(S149:S162)</f>
        <v>6924.82</v>
      </c>
      <c r="L163" s="66"/>
    </row>
    <row r="164" spans="1:23" ht="14.25" x14ac:dyDescent="0.2">
      <c r="A164" s="22"/>
      <c r="B164" s="22"/>
      <c r="C164" s="22"/>
      <c r="D164" s="22" t="s">
        <v>831</v>
      </c>
      <c r="E164" s="23" t="s">
        <v>830</v>
      </c>
      <c r="F164" s="68">
        <f>Source!AU65</f>
        <v>10</v>
      </c>
      <c r="G164" s="66"/>
      <c r="H164" s="24"/>
      <c r="I164" s="68"/>
      <c r="J164" s="68"/>
      <c r="K164" s="66">
        <f>SUM(U149:U163)</f>
        <v>989.26</v>
      </c>
      <c r="L164" s="66"/>
    </row>
    <row r="165" spans="1:23" ht="14.25" x14ac:dyDescent="0.2">
      <c r="A165" s="22"/>
      <c r="B165" s="22"/>
      <c r="C165" s="22"/>
      <c r="D165" s="22" t="s">
        <v>832</v>
      </c>
      <c r="E165" s="23" t="s">
        <v>830</v>
      </c>
      <c r="F165" s="68">
        <f>108</f>
        <v>108</v>
      </c>
      <c r="G165" s="66"/>
      <c r="H165" s="24"/>
      <c r="I165" s="68"/>
      <c r="J165" s="68"/>
      <c r="K165" s="66">
        <f>SUM(W149:W164)</f>
        <v>0.27</v>
      </c>
      <c r="L165" s="66"/>
    </row>
    <row r="166" spans="1:23" ht="14.25" x14ac:dyDescent="0.2">
      <c r="A166" s="22"/>
      <c r="B166" s="22"/>
      <c r="C166" s="22"/>
      <c r="D166" s="22" t="s">
        <v>833</v>
      </c>
      <c r="E166" s="23" t="s">
        <v>834</v>
      </c>
      <c r="F166" s="68">
        <f>Source!AQ65</f>
        <v>46.78</v>
      </c>
      <c r="G166" s="66"/>
      <c r="H166" s="24" t="str">
        <f>Source!DI65</f>
        <v/>
      </c>
      <c r="I166" s="68">
        <f>Source!AV65</f>
        <v>1</v>
      </c>
      <c r="J166" s="68"/>
      <c r="K166" s="66"/>
      <c r="L166" s="66">
        <f>Source!U65</f>
        <v>42.569800000000001</v>
      </c>
    </row>
    <row r="167" spans="1:23" ht="15" x14ac:dyDescent="0.25">
      <c r="A167" s="29"/>
      <c r="B167" s="29"/>
      <c r="C167" s="29"/>
      <c r="D167" s="29"/>
      <c r="E167" s="29"/>
      <c r="F167" s="29"/>
      <c r="G167" s="29"/>
      <c r="H167" s="29"/>
      <c r="I167" s="29"/>
      <c r="J167" s="104">
        <f>K151+K152+K154+K163+K164+K165+SUM(K155:K162)</f>
        <v>49538.779999999992</v>
      </c>
      <c r="K167" s="104"/>
      <c r="L167" s="67">
        <f>IF(Source!I65&lt;&gt;0, ROUND(J167/Source!I65, 2), 0)</f>
        <v>54438.22</v>
      </c>
      <c r="Q167" s="27">
        <f>J167</f>
        <v>49538.779999999992</v>
      </c>
    </row>
    <row r="168" spans="1:23" ht="28.5" x14ac:dyDescent="0.2">
      <c r="A168" s="22">
        <v>14</v>
      </c>
      <c r="B168" s="22">
        <v>14</v>
      </c>
      <c r="C168" s="22" t="str">
        <f>Source!F78</f>
        <v>1.21-3103-8-2/1</v>
      </c>
      <c r="D168" s="22" t="str">
        <f>Source!G78</f>
        <v>Прокладка проводов и кабелей в коробах, провод сечением до 35 мм2</v>
      </c>
      <c r="E168" s="23" t="str">
        <f>Source!H78</f>
        <v>100 м</v>
      </c>
      <c r="F168" s="68">
        <f>Source!I78</f>
        <v>1.44</v>
      </c>
      <c r="G168" s="66"/>
      <c r="H168" s="24"/>
      <c r="I168" s="68"/>
      <c r="J168" s="68"/>
      <c r="K168" s="66"/>
      <c r="L168" s="66"/>
      <c r="R168">
        <f>ROUND((Source!BZ78/100)*ROUND((Source!AF78*Source!AV78)*Source!I78, 2), 2)</f>
        <v>1191.32</v>
      </c>
      <c r="S168">
        <f>Source!X78</f>
        <v>1191.32</v>
      </c>
      <c r="T168">
        <f>ROUND((Source!CA78/100)*ROUND((Source!AF78*Source!AV78)*Source!I78, 2), 2)</f>
        <v>170.19</v>
      </c>
      <c r="U168">
        <f>Source!Y78</f>
        <v>170.19</v>
      </c>
      <c r="V168">
        <f>ROUND((175/100)*ROUND((Source!AE78*Source!AV78)*Source!I78, 2), 2)</f>
        <v>0</v>
      </c>
      <c r="W168">
        <f>ROUND((108/100)*ROUND(Source!CS78*Source!I78, 2), 2)</f>
        <v>0</v>
      </c>
    </row>
    <row r="169" spans="1:23" x14ac:dyDescent="0.2">
      <c r="D169" s="32" t="str">
        <f>"Объем: "&amp;Source!I78&amp;"=144/"&amp;"100"</f>
        <v>Объем: 1,44=144/100</v>
      </c>
    </row>
    <row r="170" spans="1:23" ht="14.25" x14ac:dyDescent="0.2">
      <c r="A170" s="22"/>
      <c r="B170" s="22"/>
      <c r="C170" s="22"/>
      <c r="D170" s="22" t="s">
        <v>825</v>
      </c>
      <c r="E170" s="23"/>
      <c r="F170" s="68"/>
      <c r="G170" s="66">
        <f>Source!AO78</f>
        <v>1181.8699999999999</v>
      </c>
      <c r="H170" s="24" t="str">
        <f>Source!DG78</f>
        <v/>
      </c>
      <c r="I170" s="68">
        <f>Source!AV78</f>
        <v>1</v>
      </c>
      <c r="J170" s="68">
        <f>IF(Source!BA78&lt;&gt; 0, Source!BA78, 1)</f>
        <v>1</v>
      </c>
      <c r="K170" s="66">
        <f>Source!S78</f>
        <v>1701.89</v>
      </c>
      <c r="L170" s="66"/>
    </row>
    <row r="171" spans="1:23" ht="14.25" x14ac:dyDescent="0.2">
      <c r="A171" s="22"/>
      <c r="B171" s="22"/>
      <c r="C171" s="22"/>
      <c r="D171" s="22" t="s">
        <v>828</v>
      </c>
      <c r="E171" s="23"/>
      <c r="F171" s="68"/>
      <c r="G171" s="66">
        <f>Source!AL78</f>
        <v>16876.650000000001</v>
      </c>
      <c r="H171" s="24" t="str">
        <f>Source!DD78</f>
        <v/>
      </c>
      <c r="I171" s="68">
        <f>Source!AW78</f>
        <v>1</v>
      </c>
      <c r="J171" s="68">
        <f>IF(Source!BC78&lt;&gt; 0, Source!BC78, 1)</f>
        <v>1</v>
      </c>
      <c r="K171" s="66">
        <f>Source!P78</f>
        <v>24302.38</v>
      </c>
      <c r="L171" s="66"/>
    </row>
    <row r="172" spans="1:23" ht="41.25" x14ac:dyDescent="0.2">
      <c r="A172" s="22" t="s">
        <v>215</v>
      </c>
      <c r="B172" s="22" t="s">
        <v>215</v>
      </c>
      <c r="C172" s="22" t="str">
        <f>Source!F79</f>
        <v>Цена поставщика</v>
      </c>
      <c r="D172" s="22" t="s">
        <v>842</v>
      </c>
      <c r="E172" s="23" t="str">
        <f>Source!H79</f>
        <v>м</v>
      </c>
      <c r="F172" s="68">
        <f>Source!I79</f>
        <v>148.32</v>
      </c>
      <c r="G172" s="66">
        <f>Source!AK79</f>
        <v>154.24</v>
      </c>
      <c r="H172" s="31" t="s">
        <v>3</v>
      </c>
      <c r="I172" s="68">
        <f>Source!AW79</f>
        <v>1</v>
      </c>
      <c r="J172" s="68">
        <f>IF(Source!BC79&lt;&gt; 0, Source!BC79, 1)</f>
        <v>1</v>
      </c>
      <c r="K172" s="66">
        <f>Source!O79</f>
        <v>22876.880000000001</v>
      </c>
      <c r="L172" s="66"/>
      <c r="R172">
        <f>ROUND((Source!BZ79/100)*ROUND((Source!AF79*Source!AV79)*Source!I79, 2), 2)</f>
        <v>0</v>
      </c>
      <c r="S172">
        <f>Source!X79</f>
        <v>0</v>
      </c>
      <c r="T172">
        <f>ROUND((Source!CA79/100)*ROUND((Source!AF79*Source!AV79)*Source!I79, 2), 2)</f>
        <v>0</v>
      </c>
      <c r="U172">
        <f>Source!Y79</f>
        <v>0</v>
      </c>
      <c r="V172">
        <f>ROUND((175/100)*ROUND((Source!AE79*Source!AV79)*Source!I79, 2), 2)</f>
        <v>0</v>
      </c>
      <c r="W172">
        <f>ROUND((108/100)*ROUND(Source!CS79*Source!I79, 2), 2)</f>
        <v>0</v>
      </c>
    </row>
    <row r="173" spans="1:23" ht="57" x14ac:dyDescent="0.2">
      <c r="A173" s="22" t="s">
        <v>216</v>
      </c>
      <c r="B173" s="22" t="s">
        <v>216</v>
      </c>
      <c r="C173" s="22" t="str">
        <f>Source!F80</f>
        <v>21.23-13-15</v>
      </c>
      <c r="D173" s="22" t="str">
        <f>Source!G80</f>
        <v>Провода силовые с медными жилами в поливинилхлоридной изоляции, марка ПуГВ, номинальное напряжение до 450 В, число жил и сечение 1х10 мм2</v>
      </c>
      <c r="E173" s="23" t="str">
        <f>Source!H80</f>
        <v>км</v>
      </c>
      <c r="F173" s="68">
        <f>Source!I80</f>
        <v>-0.14832000000000001</v>
      </c>
      <c r="G173" s="66">
        <f>Source!AK80</f>
        <v>160962.20000000001</v>
      </c>
      <c r="H173" s="31" t="s">
        <v>3</v>
      </c>
      <c r="I173" s="68">
        <f>Source!AW80</f>
        <v>1</v>
      </c>
      <c r="J173" s="68">
        <f>IF(Source!BC80&lt;&gt; 0, Source!BC80, 1)</f>
        <v>1</v>
      </c>
      <c r="K173" s="66">
        <f>Source!O80</f>
        <v>-23873.91</v>
      </c>
      <c r="L173" s="66"/>
      <c r="R173">
        <f>ROUND((Source!BZ80/100)*ROUND((Source!AF80*Source!AV80)*Source!I80, 2), 2)</f>
        <v>0</v>
      </c>
      <c r="S173">
        <f>Source!X80</f>
        <v>0</v>
      </c>
      <c r="T173">
        <f>ROUND((Source!CA80/100)*ROUND((Source!AF80*Source!AV80)*Source!I80, 2), 2)</f>
        <v>0</v>
      </c>
      <c r="U173">
        <f>Source!Y80</f>
        <v>0</v>
      </c>
      <c r="V173">
        <f>ROUND((175/100)*ROUND((Source!AE80*Source!AV80)*Source!I80, 2), 2)</f>
        <v>0</v>
      </c>
      <c r="W173">
        <f>ROUND((108/100)*ROUND(Source!CS80*Source!I80, 2), 2)</f>
        <v>0</v>
      </c>
    </row>
    <row r="174" spans="1:23" ht="14.25" x14ac:dyDescent="0.2">
      <c r="A174" s="22"/>
      <c r="B174" s="22"/>
      <c r="C174" s="22"/>
      <c r="D174" s="22" t="s">
        <v>829</v>
      </c>
      <c r="E174" s="23" t="s">
        <v>830</v>
      </c>
      <c r="F174" s="68">
        <f>Source!AT78</f>
        <v>70</v>
      </c>
      <c r="G174" s="66"/>
      <c r="H174" s="24"/>
      <c r="I174" s="68"/>
      <c r="J174" s="68"/>
      <c r="K174" s="66">
        <f>SUM(S168:S173)</f>
        <v>1191.32</v>
      </c>
      <c r="L174" s="66"/>
    </row>
    <row r="175" spans="1:23" ht="14.25" x14ac:dyDescent="0.2">
      <c r="A175" s="22"/>
      <c r="B175" s="22"/>
      <c r="C175" s="22"/>
      <c r="D175" s="22" t="s">
        <v>831</v>
      </c>
      <c r="E175" s="23" t="s">
        <v>830</v>
      </c>
      <c r="F175" s="68">
        <f>Source!AU78</f>
        <v>10</v>
      </c>
      <c r="G175" s="66"/>
      <c r="H175" s="24"/>
      <c r="I175" s="68"/>
      <c r="J175" s="68"/>
      <c r="K175" s="66">
        <f>SUM(U168:U174)</f>
        <v>170.19</v>
      </c>
      <c r="L175" s="66"/>
    </row>
    <row r="176" spans="1:23" ht="14.25" x14ac:dyDescent="0.2">
      <c r="A176" s="22"/>
      <c r="B176" s="22"/>
      <c r="C176" s="22"/>
      <c r="D176" s="22" t="s">
        <v>833</v>
      </c>
      <c r="E176" s="23" t="s">
        <v>834</v>
      </c>
      <c r="F176" s="68">
        <f>Source!AQ78</f>
        <v>4.74</v>
      </c>
      <c r="G176" s="66"/>
      <c r="H176" s="24" t="str">
        <f>Source!DI78</f>
        <v/>
      </c>
      <c r="I176" s="68">
        <f>Source!AV78</f>
        <v>1</v>
      </c>
      <c r="J176" s="68"/>
      <c r="K176" s="66"/>
      <c r="L176" s="66">
        <f>Source!U78</f>
        <v>6.8255999999999997</v>
      </c>
    </row>
    <row r="177" spans="1:23" ht="15" x14ac:dyDescent="0.25">
      <c r="A177" s="29"/>
      <c r="B177" s="29"/>
      <c r="C177" s="29"/>
      <c r="D177" s="29"/>
      <c r="E177" s="29"/>
      <c r="F177" s="29"/>
      <c r="G177" s="29"/>
      <c r="H177" s="29"/>
      <c r="I177" s="29"/>
      <c r="J177" s="104">
        <f>K170+K171+K174+K175+SUM(K172:K173)</f>
        <v>26368.75</v>
      </c>
      <c r="K177" s="104"/>
      <c r="L177" s="67">
        <f>IF(Source!I78&lt;&gt;0, ROUND(J177/Source!I78, 2), 0)</f>
        <v>18311.63</v>
      </c>
      <c r="Q177" s="27">
        <f>J177</f>
        <v>26368.75</v>
      </c>
    </row>
    <row r="178" spans="1:23" ht="42.75" x14ac:dyDescent="0.2">
      <c r="A178" s="22">
        <v>15</v>
      </c>
      <c r="B178" s="22">
        <v>15</v>
      </c>
      <c r="C178" s="22" t="str">
        <f>Source!F81</f>
        <v>1.16-3103-4-1/1</v>
      </c>
      <c r="D178" s="22" t="str">
        <f>Source!G81</f>
        <v>Прокладка трубопроводов канализации из ПВХ труб диаметром до 50 мм (без стоимости арматуры)</v>
      </c>
      <c r="E178" s="23" t="str">
        <f>Source!H81</f>
        <v>100 м</v>
      </c>
      <c r="F178" s="68">
        <f>Source!I81</f>
        <v>1.61</v>
      </c>
      <c r="G178" s="66"/>
      <c r="H178" s="24"/>
      <c r="I178" s="68"/>
      <c r="J178" s="68"/>
      <c r="K178" s="66"/>
      <c r="L178" s="66"/>
      <c r="R178">
        <f>ROUND((Source!BZ81/100)*ROUND((Source!AF81*Source!AV81)*Source!I81, 2), 2)</f>
        <v>19866.18</v>
      </c>
      <c r="S178">
        <f>Source!X81</f>
        <v>19866.18</v>
      </c>
      <c r="T178">
        <f>ROUND((Source!CA81/100)*ROUND((Source!AF81*Source!AV81)*Source!I81, 2), 2)</f>
        <v>2838.03</v>
      </c>
      <c r="U178">
        <f>Source!Y81</f>
        <v>2838.03</v>
      </c>
      <c r="V178">
        <f>ROUND((175/100)*ROUND((Source!AE81*Source!AV81)*Source!I81, 2), 2)</f>
        <v>0</v>
      </c>
      <c r="W178">
        <f>ROUND((108/100)*ROUND(Source!CS81*Source!I81, 2), 2)</f>
        <v>0</v>
      </c>
    </row>
    <row r="179" spans="1:23" x14ac:dyDescent="0.2">
      <c r="D179" s="32" t="str">
        <f>"Объем: "&amp;Source!I81&amp;"=161/"&amp;"100"</f>
        <v>Объем: 1,61=161/100</v>
      </c>
    </row>
    <row r="180" spans="1:23" ht="14.25" x14ac:dyDescent="0.2">
      <c r="A180" s="22"/>
      <c r="B180" s="22"/>
      <c r="C180" s="22"/>
      <c r="D180" s="22" t="s">
        <v>825</v>
      </c>
      <c r="E180" s="23"/>
      <c r="F180" s="68"/>
      <c r="G180" s="66">
        <f>Source!AO81</f>
        <v>17627.490000000002</v>
      </c>
      <c r="H180" s="24" t="str">
        <f>Source!DG81</f>
        <v/>
      </c>
      <c r="I180" s="68">
        <f>Source!AV81</f>
        <v>1</v>
      </c>
      <c r="J180" s="68">
        <f>IF(Source!BA81&lt;&gt; 0, Source!BA81, 1)</f>
        <v>1</v>
      </c>
      <c r="K180" s="66">
        <f>Source!S81</f>
        <v>28380.26</v>
      </c>
      <c r="L180" s="66"/>
    </row>
    <row r="181" spans="1:23" ht="14.25" x14ac:dyDescent="0.2">
      <c r="A181" s="22"/>
      <c r="B181" s="22"/>
      <c r="C181" s="22"/>
      <c r="D181" s="22" t="s">
        <v>828</v>
      </c>
      <c r="E181" s="23"/>
      <c r="F181" s="68"/>
      <c r="G181" s="66">
        <f>Source!AL81</f>
        <v>22628.21</v>
      </c>
      <c r="H181" s="24" t="str">
        <f>Source!DD81</f>
        <v/>
      </c>
      <c r="I181" s="68">
        <f>Source!AW81</f>
        <v>1</v>
      </c>
      <c r="J181" s="68">
        <f>IF(Source!BC81&lt;&gt; 0, Source!BC81, 1)</f>
        <v>1</v>
      </c>
      <c r="K181" s="66">
        <f>Source!P81</f>
        <v>36431.42</v>
      </c>
      <c r="L181" s="66"/>
    </row>
    <row r="182" spans="1:23" ht="28.5" x14ac:dyDescent="0.2">
      <c r="A182" s="22" t="s">
        <v>225</v>
      </c>
      <c r="B182" s="22" t="s">
        <v>225</v>
      </c>
      <c r="C182" s="22" t="str">
        <f>Source!F82</f>
        <v>21.12-5-235</v>
      </c>
      <c r="D182" s="22" t="str">
        <f>Source!G82</f>
        <v>Трубки дренажные поливинилхлоридные, диаметр 16мм</v>
      </c>
      <c r="E182" s="23" t="str">
        <f>Source!H82</f>
        <v>м</v>
      </c>
      <c r="F182" s="68">
        <f>Source!I82</f>
        <v>161</v>
      </c>
      <c r="G182" s="66">
        <f>Source!AK82</f>
        <v>29.15</v>
      </c>
      <c r="H182" s="31" t="s">
        <v>3</v>
      </c>
      <c r="I182" s="68">
        <f>Source!AW82</f>
        <v>1</v>
      </c>
      <c r="J182" s="68">
        <f>IF(Source!BC82&lt;&gt; 0, Source!BC82, 1)</f>
        <v>1</v>
      </c>
      <c r="K182" s="66">
        <f>Source!O82</f>
        <v>4693.1499999999996</v>
      </c>
      <c r="L182" s="66"/>
      <c r="R182">
        <f>ROUND((Source!BZ82/100)*ROUND((Source!AF82*Source!AV82)*Source!I82, 2), 2)</f>
        <v>0</v>
      </c>
      <c r="S182">
        <f>Source!X82</f>
        <v>0</v>
      </c>
      <c r="T182">
        <f>ROUND((Source!CA82/100)*ROUND((Source!AF82*Source!AV82)*Source!I82, 2), 2)</f>
        <v>0</v>
      </c>
      <c r="U182">
        <f>Source!Y82</f>
        <v>0</v>
      </c>
      <c r="V182">
        <f>ROUND((175/100)*ROUND((Source!AE82*Source!AV82)*Source!I82, 2), 2)</f>
        <v>0</v>
      </c>
      <c r="W182">
        <f>ROUND((108/100)*ROUND(Source!CS82*Source!I82, 2), 2)</f>
        <v>0</v>
      </c>
    </row>
    <row r="183" spans="1:23" ht="41.25" x14ac:dyDescent="0.2">
      <c r="A183" s="22" t="s">
        <v>229</v>
      </c>
      <c r="B183" s="22" t="s">
        <v>229</v>
      </c>
      <c r="C183" s="22" t="str">
        <f>Source!F83</f>
        <v>Цена поставщика</v>
      </c>
      <c r="D183" s="22" t="s">
        <v>843</v>
      </c>
      <c r="E183" s="23" t="str">
        <f>Source!H83</f>
        <v>м</v>
      </c>
      <c r="F183" s="68">
        <f>Source!I83</f>
        <v>24</v>
      </c>
      <c r="G183" s="66">
        <f>Source!AK83</f>
        <v>43.33</v>
      </c>
      <c r="H183" s="31" t="s">
        <v>3</v>
      </c>
      <c r="I183" s="68">
        <f>Source!AW83</f>
        <v>1</v>
      </c>
      <c r="J183" s="68">
        <f>IF(Source!BC83&lt;&gt; 0, Source!BC83, 1)</f>
        <v>1</v>
      </c>
      <c r="K183" s="66">
        <f>Source!O83</f>
        <v>1039.92</v>
      </c>
      <c r="L183" s="66"/>
      <c r="R183">
        <f>ROUND((Source!BZ83/100)*ROUND((Source!AF83*Source!AV83)*Source!I83, 2), 2)</f>
        <v>0</v>
      </c>
      <c r="S183">
        <f>Source!X83</f>
        <v>0</v>
      </c>
      <c r="T183">
        <f>ROUND((Source!CA83/100)*ROUND((Source!AF83*Source!AV83)*Source!I83, 2), 2)</f>
        <v>0</v>
      </c>
      <c r="U183">
        <f>Source!Y83</f>
        <v>0</v>
      </c>
      <c r="V183">
        <f>ROUND((175/100)*ROUND((Source!AE83*Source!AV83)*Source!I83, 2), 2)</f>
        <v>0</v>
      </c>
      <c r="W183">
        <f>ROUND((108/100)*ROUND(Source!CS83*Source!I83, 2), 2)</f>
        <v>0</v>
      </c>
    </row>
    <row r="184" spans="1:23" ht="14.25" x14ac:dyDescent="0.2">
      <c r="A184" s="22" t="s">
        <v>238</v>
      </c>
      <c r="B184" s="22" t="s">
        <v>238</v>
      </c>
      <c r="C184" s="22" t="str">
        <f>Source!F86</f>
        <v>21.1-25-13</v>
      </c>
      <c r="D184" s="22" t="str">
        <f>Source!G86</f>
        <v>Вода</v>
      </c>
      <c r="E184" s="23" t="str">
        <f>Source!H86</f>
        <v>м3</v>
      </c>
      <c r="F184" s="68">
        <f>Source!I86</f>
        <v>-0.31717000000000001</v>
      </c>
      <c r="G184" s="66">
        <f>Source!AK86</f>
        <v>36.31</v>
      </c>
      <c r="H184" s="31" t="s">
        <v>3</v>
      </c>
      <c r="I184" s="68">
        <f>Source!AW86</f>
        <v>1</v>
      </c>
      <c r="J184" s="68">
        <f>IF(Source!BC86&lt;&gt; 0, Source!BC86, 1)</f>
        <v>1</v>
      </c>
      <c r="K184" s="66">
        <f>Source!O86</f>
        <v>-11.52</v>
      </c>
      <c r="L184" s="66"/>
      <c r="R184">
        <f>ROUND((Source!BZ86/100)*ROUND((Source!AF86*Source!AV86)*Source!I86, 2), 2)</f>
        <v>0</v>
      </c>
      <c r="S184">
        <f>Source!X86</f>
        <v>0</v>
      </c>
      <c r="T184">
        <f>ROUND((Source!CA86/100)*ROUND((Source!AF86*Source!AV86)*Source!I86, 2), 2)</f>
        <v>0</v>
      </c>
      <c r="U184">
        <f>Source!Y86</f>
        <v>0</v>
      </c>
      <c r="V184">
        <f>ROUND((175/100)*ROUND((Source!AE86*Source!AV86)*Source!I86, 2), 2)</f>
        <v>0</v>
      </c>
      <c r="W184">
        <f>ROUND((108/100)*ROUND(Source!CS86*Source!I86, 2), 2)</f>
        <v>0</v>
      </c>
    </row>
    <row r="185" spans="1:23" ht="57" x14ac:dyDescent="0.2">
      <c r="A185" s="22" t="s">
        <v>239</v>
      </c>
      <c r="B185" s="22" t="s">
        <v>239</v>
      </c>
      <c r="C185" s="22" t="str">
        <f>Source!F87</f>
        <v>21.12-1-21</v>
      </c>
      <c r="D185" s="22" t="str">
        <f>Source!G87</f>
        <v>Заготовки трубные поливинилхлоридные, внутренней канализации без средств крепления, диаметр 50 мм</v>
      </c>
      <c r="E185" s="23" t="str">
        <f>Source!H87</f>
        <v>м</v>
      </c>
      <c r="F185" s="68">
        <f>Source!I87</f>
        <v>-160.678</v>
      </c>
      <c r="G185" s="66">
        <f>Source!AK87</f>
        <v>224.03</v>
      </c>
      <c r="H185" s="31" t="s">
        <v>3</v>
      </c>
      <c r="I185" s="68">
        <f>Source!AW87</f>
        <v>1</v>
      </c>
      <c r="J185" s="68">
        <f>IF(Source!BC87&lt;&gt; 0, Source!BC87, 1)</f>
        <v>1</v>
      </c>
      <c r="K185" s="66">
        <f>Source!O87</f>
        <v>-35996.69</v>
      </c>
      <c r="L185" s="66"/>
      <c r="R185">
        <f>ROUND((Source!BZ87/100)*ROUND((Source!AF87*Source!AV87)*Source!I87, 2), 2)</f>
        <v>0</v>
      </c>
      <c r="S185">
        <f>Source!X87</f>
        <v>0</v>
      </c>
      <c r="T185">
        <f>ROUND((Source!CA87/100)*ROUND((Source!AF87*Source!AV87)*Source!I87, 2), 2)</f>
        <v>0</v>
      </c>
      <c r="U185">
        <f>Source!Y87</f>
        <v>0</v>
      </c>
      <c r="V185">
        <f>ROUND((175/100)*ROUND((Source!AE87*Source!AV87)*Source!I87, 2), 2)</f>
        <v>0</v>
      </c>
      <c r="W185">
        <f>ROUND((108/100)*ROUND(Source!CS87*Source!I87, 2), 2)</f>
        <v>0</v>
      </c>
    </row>
    <row r="186" spans="1:23" ht="57" x14ac:dyDescent="0.2">
      <c r="A186" s="22" t="s">
        <v>243</v>
      </c>
      <c r="B186" s="22" t="s">
        <v>243</v>
      </c>
      <c r="C186" s="22" t="str">
        <f>Source!F88</f>
        <v>21.12-5-292</v>
      </c>
      <c r="D186" s="22" t="str">
        <f>Source!G88</f>
        <v>Кольца резиновые уплотнительные для канализации из поливинилхлоридных труб, диаметр 110 мм</v>
      </c>
      <c r="E186" s="23" t="str">
        <f>Source!H88</f>
        <v>шт.</v>
      </c>
      <c r="F186" s="68">
        <f>Source!I88</f>
        <v>-19.32</v>
      </c>
      <c r="G186" s="66">
        <f>Source!AK88</f>
        <v>7.26</v>
      </c>
      <c r="H186" s="31" t="s">
        <v>3</v>
      </c>
      <c r="I186" s="68">
        <f>Source!AW88</f>
        <v>1</v>
      </c>
      <c r="J186" s="68">
        <f>IF(Source!BC88&lt;&gt; 0, Source!BC88, 1)</f>
        <v>1</v>
      </c>
      <c r="K186" s="66">
        <f>Source!O88</f>
        <v>-140.26</v>
      </c>
      <c r="L186" s="66"/>
      <c r="R186">
        <f>ROUND((Source!BZ88/100)*ROUND((Source!AF88*Source!AV88)*Source!I88, 2), 2)</f>
        <v>0</v>
      </c>
      <c r="S186">
        <f>Source!X88</f>
        <v>0</v>
      </c>
      <c r="T186">
        <f>ROUND((Source!CA88/100)*ROUND((Source!AF88*Source!AV88)*Source!I88, 2), 2)</f>
        <v>0</v>
      </c>
      <c r="U186">
        <f>Source!Y88</f>
        <v>0</v>
      </c>
      <c r="V186">
        <f>ROUND((175/100)*ROUND((Source!AE88*Source!AV88)*Source!I88, 2), 2)</f>
        <v>0</v>
      </c>
      <c r="W186">
        <f>ROUND((108/100)*ROUND(Source!CS88*Source!I88, 2), 2)</f>
        <v>0</v>
      </c>
    </row>
    <row r="187" spans="1:23" ht="14.25" x14ac:dyDescent="0.2">
      <c r="A187" s="22"/>
      <c r="B187" s="22"/>
      <c r="C187" s="22"/>
      <c r="D187" s="22" t="s">
        <v>829</v>
      </c>
      <c r="E187" s="23" t="s">
        <v>830</v>
      </c>
      <c r="F187" s="68">
        <f>Source!AT81</f>
        <v>70</v>
      </c>
      <c r="G187" s="66"/>
      <c r="H187" s="24"/>
      <c r="I187" s="68"/>
      <c r="J187" s="68"/>
      <c r="K187" s="66">
        <f>SUM(S178:S186)</f>
        <v>19866.18</v>
      </c>
      <c r="L187" s="66"/>
    </row>
    <row r="188" spans="1:23" ht="14.25" x14ac:dyDescent="0.2">
      <c r="A188" s="22"/>
      <c r="B188" s="22"/>
      <c r="C188" s="22"/>
      <c r="D188" s="22" t="s">
        <v>831</v>
      </c>
      <c r="E188" s="23" t="s">
        <v>830</v>
      </c>
      <c r="F188" s="68">
        <f>Source!AU81</f>
        <v>10</v>
      </c>
      <c r="G188" s="66"/>
      <c r="H188" s="24"/>
      <c r="I188" s="68"/>
      <c r="J188" s="68"/>
      <c r="K188" s="66">
        <f>SUM(U178:U187)</f>
        <v>2838.03</v>
      </c>
      <c r="L188" s="66"/>
    </row>
    <row r="189" spans="1:23" ht="14.25" x14ac:dyDescent="0.2">
      <c r="A189" s="22"/>
      <c r="B189" s="22"/>
      <c r="C189" s="22"/>
      <c r="D189" s="22" t="s">
        <v>833</v>
      </c>
      <c r="E189" s="23" t="s">
        <v>834</v>
      </c>
      <c r="F189" s="68">
        <f>Source!AQ81</f>
        <v>67.16</v>
      </c>
      <c r="G189" s="66"/>
      <c r="H189" s="24" t="str">
        <f>Source!DI81</f>
        <v/>
      </c>
      <c r="I189" s="68">
        <f>Source!AV81</f>
        <v>1</v>
      </c>
      <c r="J189" s="68"/>
      <c r="K189" s="66"/>
      <c r="L189" s="66">
        <f>Source!U81</f>
        <v>108.1276</v>
      </c>
    </row>
    <row r="190" spans="1:23" ht="15" x14ac:dyDescent="0.25">
      <c r="A190" s="29"/>
      <c r="B190" s="29"/>
      <c r="C190" s="29"/>
      <c r="D190" s="29"/>
      <c r="E190" s="29"/>
      <c r="F190" s="29"/>
      <c r="G190" s="29"/>
      <c r="H190" s="29"/>
      <c r="I190" s="29"/>
      <c r="J190" s="104">
        <f>K180+K181+K187+K188+SUM(K182:K186)</f>
        <v>57100.489999999983</v>
      </c>
      <c r="K190" s="104"/>
      <c r="L190" s="67">
        <f>IF(Source!I81&lt;&gt;0, ROUND(J190/Source!I81, 2), 0)</f>
        <v>35466.14</v>
      </c>
      <c r="Q190" s="27">
        <f>J190</f>
        <v>57100.489999999983</v>
      </c>
    </row>
    <row r="191" spans="1:23" ht="42.75" x14ac:dyDescent="0.2">
      <c r="A191" s="22">
        <v>17</v>
      </c>
      <c r="B191" s="22">
        <v>17</v>
      </c>
      <c r="C191" s="22" t="str">
        <f>Source!F90</f>
        <v>1.20-3203-1-9/1</v>
      </c>
      <c r="D191" s="22" t="str">
        <f>Source!G90</f>
        <v>Установка щитков осветительных на стене распорными дюбелями, масса щитка до 6 кг (без стоимости щитков)</v>
      </c>
      <c r="E191" s="23" t="str">
        <f>Source!H90</f>
        <v>шт.</v>
      </c>
      <c r="F191" s="68">
        <f>Source!I90</f>
        <v>27</v>
      </c>
      <c r="G191" s="66"/>
      <c r="H191" s="24"/>
      <c r="I191" s="68"/>
      <c r="J191" s="68"/>
      <c r="K191" s="66"/>
      <c r="L191" s="66"/>
      <c r="R191">
        <f>ROUND((Source!BZ90/100)*ROUND((Source!AF90*Source!AV90)*Source!I90, 2), 2)</f>
        <v>16812.310000000001</v>
      </c>
      <c r="S191">
        <f>Source!X90</f>
        <v>16812.310000000001</v>
      </c>
      <c r="T191">
        <f>ROUND((Source!CA90/100)*ROUND((Source!AF90*Source!AV90)*Source!I90, 2), 2)</f>
        <v>2401.7600000000002</v>
      </c>
      <c r="U191">
        <f>Source!Y90</f>
        <v>2401.7600000000002</v>
      </c>
      <c r="V191">
        <f>ROUND((175/100)*ROUND((Source!AE90*Source!AV90)*Source!I90, 2), 2)</f>
        <v>0.47</v>
      </c>
      <c r="W191">
        <f>ROUND((108/100)*ROUND(Source!CS90*Source!I90, 2), 2)</f>
        <v>0.28999999999999998</v>
      </c>
    </row>
    <row r="192" spans="1:23" ht="14.25" x14ac:dyDescent="0.2">
      <c r="A192" s="22"/>
      <c r="B192" s="22"/>
      <c r="C192" s="22"/>
      <c r="D192" s="22" t="s">
        <v>825</v>
      </c>
      <c r="E192" s="23"/>
      <c r="F192" s="68"/>
      <c r="G192" s="66">
        <f>Source!AO90</f>
        <v>889.54</v>
      </c>
      <c r="H192" s="24" t="str">
        <f>Source!DG90</f>
        <v/>
      </c>
      <c r="I192" s="68">
        <f>Source!AV90</f>
        <v>1</v>
      </c>
      <c r="J192" s="68">
        <f>IF(Source!BA90&lt;&gt; 0, Source!BA90, 1)</f>
        <v>1</v>
      </c>
      <c r="K192" s="66">
        <f>Source!S90</f>
        <v>24017.58</v>
      </c>
      <c r="L192" s="66"/>
    </row>
    <row r="193" spans="1:23" ht="14.25" x14ac:dyDescent="0.2">
      <c r="A193" s="22"/>
      <c r="B193" s="22"/>
      <c r="C193" s="22"/>
      <c r="D193" s="22" t="s">
        <v>826</v>
      </c>
      <c r="E193" s="23"/>
      <c r="F193" s="68"/>
      <c r="G193" s="66">
        <f>Source!AM90</f>
        <v>1.73</v>
      </c>
      <c r="H193" s="24" t="str">
        <f>Source!DE90</f>
        <v/>
      </c>
      <c r="I193" s="68">
        <f>Source!AV90</f>
        <v>1</v>
      </c>
      <c r="J193" s="68">
        <f>IF(Source!BB90&lt;&gt; 0, Source!BB90, 1)</f>
        <v>1</v>
      </c>
      <c r="K193" s="66">
        <f>Source!Q90</f>
        <v>46.71</v>
      </c>
      <c r="L193" s="66"/>
    </row>
    <row r="194" spans="1:23" ht="14.25" x14ac:dyDescent="0.2">
      <c r="A194" s="22"/>
      <c r="B194" s="22"/>
      <c r="C194" s="22"/>
      <c r="D194" s="22" t="s">
        <v>827</v>
      </c>
      <c r="E194" s="23"/>
      <c r="F194" s="68"/>
      <c r="G194" s="66">
        <f>Source!AN90</f>
        <v>0.01</v>
      </c>
      <c r="H194" s="24" t="str">
        <f>Source!DF90</f>
        <v/>
      </c>
      <c r="I194" s="68">
        <f>Source!AV90</f>
        <v>1</v>
      </c>
      <c r="J194" s="68">
        <f>IF(Source!BS90&lt;&gt; 0, Source!BS90, 1)</f>
        <v>1</v>
      </c>
      <c r="K194" s="26">
        <f>Source!R90</f>
        <v>0.27</v>
      </c>
      <c r="L194" s="66"/>
    </row>
    <row r="195" spans="1:23" ht="55.5" x14ac:dyDescent="0.2">
      <c r="A195" s="22" t="s">
        <v>255</v>
      </c>
      <c r="B195" s="22" t="s">
        <v>255</v>
      </c>
      <c r="C195" s="22" t="str">
        <f>Source!F91</f>
        <v>Цена поставщика</v>
      </c>
      <c r="D195" s="22" t="s">
        <v>844</v>
      </c>
      <c r="E195" s="23" t="str">
        <f>Source!H91</f>
        <v>шт.</v>
      </c>
      <c r="F195" s="68">
        <f>Source!I91</f>
        <v>27</v>
      </c>
      <c r="G195" s="66">
        <f>Source!AK91</f>
        <v>313.04000000000002</v>
      </c>
      <c r="H195" s="31" t="s">
        <v>3</v>
      </c>
      <c r="I195" s="68">
        <f>Source!AW91</f>
        <v>1</v>
      </c>
      <c r="J195" s="68">
        <f>IF(Source!BC91&lt;&gt; 0, Source!BC91, 1)</f>
        <v>1</v>
      </c>
      <c r="K195" s="66">
        <f>Source!O91</f>
        <v>8452.08</v>
      </c>
      <c r="L195" s="66"/>
      <c r="R195">
        <f>ROUND((Source!BZ91/100)*ROUND((Source!AF91*Source!AV91)*Source!I91, 2), 2)</f>
        <v>0</v>
      </c>
      <c r="S195">
        <f>Source!X91</f>
        <v>0</v>
      </c>
      <c r="T195">
        <f>ROUND((Source!CA91/100)*ROUND((Source!AF91*Source!AV91)*Source!I91, 2), 2)</f>
        <v>0</v>
      </c>
      <c r="U195">
        <f>Source!Y91</f>
        <v>0</v>
      </c>
      <c r="V195">
        <f>ROUND((175/100)*ROUND((Source!AE91*Source!AV91)*Source!I91, 2), 2)</f>
        <v>0</v>
      </c>
      <c r="W195">
        <f>ROUND((108/100)*ROUND(Source!CS91*Source!I91, 2), 2)</f>
        <v>0</v>
      </c>
    </row>
    <row r="196" spans="1:23" ht="14.25" x14ac:dyDescent="0.2">
      <c r="A196" s="22"/>
      <c r="B196" s="22"/>
      <c r="C196" s="22"/>
      <c r="D196" s="22" t="s">
        <v>829</v>
      </c>
      <c r="E196" s="23" t="s">
        <v>830</v>
      </c>
      <c r="F196" s="68">
        <f>Source!AT90</f>
        <v>70</v>
      </c>
      <c r="G196" s="66"/>
      <c r="H196" s="24"/>
      <c r="I196" s="68"/>
      <c r="J196" s="68"/>
      <c r="K196" s="66">
        <f>SUM(S191:S195)</f>
        <v>16812.310000000001</v>
      </c>
      <c r="L196" s="66"/>
    </row>
    <row r="197" spans="1:23" ht="14.25" x14ac:dyDescent="0.2">
      <c r="A197" s="22"/>
      <c r="B197" s="22"/>
      <c r="C197" s="22"/>
      <c r="D197" s="22" t="s">
        <v>831</v>
      </c>
      <c r="E197" s="23" t="s">
        <v>830</v>
      </c>
      <c r="F197" s="68">
        <f>Source!AU90</f>
        <v>10</v>
      </c>
      <c r="G197" s="66"/>
      <c r="H197" s="24"/>
      <c r="I197" s="68"/>
      <c r="J197" s="68"/>
      <c r="K197" s="66">
        <f>SUM(U191:U196)</f>
        <v>2401.7600000000002</v>
      </c>
      <c r="L197" s="66"/>
    </row>
    <row r="198" spans="1:23" ht="14.25" x14ac:dyDescent="0.2">
      <c r="A198" s="22"/>
      <c r="B198" s="22"/>
      <c r="C198" s="22"/>
      <c r="D198" s="22" t="s">
        <v>832</v>
      </c>
      <c r="E198" s="23" t="s">
        <v>830</v>
      </c>
      <c r="F198" s="68">
        <f>108</f>
        <v>108</v>
      </c>
      <c r="G198" s="66"/>
      <c r="H198" s="24"/>
      <c r="I198" s="68"/>
      <c r="J198" s="68"/>
      <c r="K198" s="66">
        <f>SUM(W191:W197)</f>
        <v>0.28999999999999998</v>
      </c>
      <c r="L198" s="66"/>
    </row>
    <row r="199" spans="1:23" ht="14.25" x14ac:dyDescent="0.2">
      <c r="A199" s="22"/>
      <c r="B199" s="22"/>
      <c r="C199" s="22"/>
      <c r="D199" s="22" t="s">
        <v>833</v>
      </c>
      <c r="E199" s="23" t="s">
        <v>834</v>
      </c>
      <c r="F199" s="68">
        <f>Source!AQ90</f>
        <v>3.34</v>
      </c>
      <c r="G199" s="66"/>
      <c r="H199" s="24" t="str">
        <f>Source!DI90</f>
        <v/>
      </c>
      <c r="I199" s="68">
        <f>Source!AV90</f>
        <v>1</v>
      </c>
      <c r="J199" s="68"/>
      <c r="K199" s="66"/>
      <c r="L199" s="66">
        <f>Source!U90</f>
        <v>90.179999999999993</v>
      </c>
    </row>
    <row r="200" spans="1:23" ht="15" x14ac:dyDescent="0.25">
      <c r="A200" s="29"/>
      <c r="B200" s="29"/>
      <c r="C200" s="29"/>
      <c r="D200" s="29"/>
      <c r="E200" s="29"/>
      <c r="F200" s="29"/>
      <c r="G200" s="29"/>
      <c r="H200" s="29"/>
      <c r="I200" s="29"/>
      <c r="J200" s="104">
        <f>K192+K193+K196+K197+K198+SUM(K195:K195)</f>
        <v>51730.73000000001</v>
      </c>
      <c r="K200" s="104"/>
      <c r="L200" s="67">
        <f>IF(Source!I90&lt;&gt;0, ROUND(J200/Source!I90, 2), 0)</f>
        <v>1915.95</v>
      </c>
      <c r="Q200" s="27">
        <f>J200</f>
        <v>51730.73000000001</v>
      </c>
    </row>
    <row r="201" spans="1:23" ht="28.5" x14ac:dyDescent="0.2">
      <c r="A201" s="22">
        <v>18</v>
      </c>
      <c r="B201" s="22">
        <v>18</v>
      </c>
      <c r="C201" s="22" t="str">
        <f>Source!F92</f>
        <v>1.21-3203-3-1/1</v>
      </c>
      <c r="D201" s="22" t="str">
        <f>Source!G92</f>
        <v>Установка DIN-рейки (без стоимости DIN-рейки)</v>
      </c>
      <c r="E201" s="23" t="str">
        <f>Source!H92</f>
        <v>100 м</v>
      </c>
      <c r="F201" s="68">
        <f>Source!I92</f>
        <v>2.0250000000000001E-2</v>
      </c>
      <c r="G201" s="66"/>
      <c r="H201" s="24"/>
      <c r="I201" s="68"/>
      <c r="J201" s="68"/>
      <c r="K201" s="66"/>
      <c r="L201" s="66"/>
      <c r="R201">
        <f>ROUND((Source!BZ92/100)*ROUND((Source!AF92*Source!AV92)*Source!I92, 2), 2)</f>
        <v>104.92</v>
      </c>
      <c r="S201">
        <f>Source!X92</f>
        <v>104.92</v>
      </c>
      <c r="T201">
        <f>ROUND((Source!CA92/100)*ROUND((Source!AF92*Source!AV92)*Source!I92, 2), 2)</f>
        <v>14.99</v>
      </c>
      <c r="U201">
        <f>Source!Y92</f>
        <v>14.99</v>
      </c>
      <c r="V201">
        <f>ROUND((175/100)*ROUND((Source!AE92*Source!AV92)*Source!I92, 2), 2)</f>
        <v>6.44</v>
      </c>
      <c r="W201">
        <f>ROUND((108/100)*ROUND(Source!CS92*Source!I92, 2), 2)</f>
        <v>3.97</v>
      </c>
    </row>
    <row r="202" spans="1:23" x14ac:dyDescent="0.2">
      <c r="D202" s="32" t="str">
        <f>"Объем: "&amp;Source!I92&amp;"=2,025/"&amp;"100"</f>
        <v>Объем: 0,02025=2,025/100</v>
      </c>
    </row>
    <row r="203" spans="1:23" ht="14.25" x14ac:dyDescent="0.2">
      <c r="A203" s="22"/>
      <c r="B203" s="22"/>
      <c r="C203" s="22"/>
      <c r="D203" s="22" t="s">
        <v>825</v>
      </c>
      <c r="E203" s="23"/>
      <c r="F203" s="68"/>
      <c r="G203" s="66">
        <f>Source!AO92</f>
        <v>7401.48</v>
      </c>
      <c r="H203" s="24" t="str">
        <f>Source!DG92</f>
        <v/>
      </c>
      <c r="I203" s="68">
        <f>Source!AV92</f>
        <v>1</v>
      </c>
      <c r="J203" s="68">
        <f>IF(Source!BA92&lt;&gt; 0, Source!BA92, 1)</f>
        <v>1</v>
      </c>
      <c r="K203" s="66">
        <f>Source!S92</f>
        <v>149.88</v>
      </c>
      <c r="L203" s="66"/>
    </row>
    <row r="204" spans="1:23" ht="14.25" x14ac:dyDescent="0.2">
      <c r="A204" s="22"/>
      <c r="B204" s="22"/>
      <c r="C204" s="22"/>
      <c r="D204" s="22" t="s">
        <v>826</v>
      </c>
      <c r="E204" s="23"/>
      <c r="F204" s="68"/>
      <c r="G204" s="66">
        <f>Source!AM92</f>
        <v>448.81</v>
      </c>
      <c r="H204" s="24" t="str">
        <f>Source!DE92</f>
        <v/>
      </c>
      <c r="I204" s="68">
        <f>Source!AV92</f>
        <v>1</v>
      </c>
      <c r="J204" s="68">
        <f>IF(Source!BB92&lt;&gt; 0, Source!BB92, 1)</f>
        <v>1</v>
      </c>
      <c r="K204" s="66">
        <f>Source!Q92</f>
        <v>9.09</v>
      </c>
      <c r="L204" s="66"/>
    </row>
    <row r="205" spans="1:23" ht="14.25" x14ac:dyDescent="0.2">
      <c r="A205" s="22"/>
      <c r="B205" s="22"/>
      <c r="C205" s="22"/>
      <c r="D205" s="22" t="s">
        <v>827</v>
      </c>
      <c r="E205" s="23"/>
      <c r="F205" s="68"/>
      <c r="G205" s="66">
        <f>Source!AN92</f>
        <v>181.97</v>
      </c>
      <c r="H205" s="24" t="str">
        <f>Source!DF92</f>
        <v/>
      </c>
      <c r="I205" s="68">
        <f>Source!AV92</f>
        <v>1</v>
      </c>
      <c r="J205" s="68">
        <f>IF(Source!BS92&lt;&gt; 0, Source!BS92, 1)</f>
        <v>1</v>
      </c>
      <c r="K205" s="26">
        <f>Source!R92</f>
        <v>3.68</v>
      </c>
      <c r="L205" s="66"/>
    </row>
    <row r="206" spans="1:23" ht="14.25" x14ac:dyDescent="0.2">
      <c r="A206" s="22"/>
      <c r="B206" s="22"/>
      <c r="C206" s="22"/>
      <c r="D206" s="22" t="s">
        <v>828</v>
      </c>
      <c r="E206" s="23"/>
      <c r="F206" s="68"/>
      <c r="G206" s="66">
        <f>Source!AL92</f>
        <v>201.8</v>
      </c>
      <c r="H206" s="24" t="str">
        <f>Source!DD92</f>
        <v/>
      </c>
      <c r="I206" s="68">
        <f>Source!AW92</f>
        <v>1</v>
      </c>
      <c r="J206" s="68">
        <f>IF(Source!BC92&lt;&gt; 0, Source!BC92, 1)</f>
        <v>1</v>
      </c>
      <c r="K206" s="66">
        <f>Source!P92</f>
        <v>4.09</v>
      </c>
      <c r="L206" s="66"/>
    </row>
    <row r="207" spans="1:23" ht="69.75" x14ac:dyDescent="0.2">
      <c r="A207" s="22" t="s">
        <v>262</v>
      </c>
      <c r="B207" s="22" t="s">
        <v>262</v>
      </c>
      <c r="C207" s="22" t="str">
        <f>Source!F93</f>
        <v>Цена поставщика</v>
      </c>
      <c r="D207" s="22" t="s">
        <v>845</v>
      </c>
      <c r="E207" s="23" t="str">
        <f>Source!H93</f>
        <v>шт.</v>
      </c>
      <c r="F207" s="68">
        <f>Source!I93</f>
        <v>27</v>
      </c>
      <c r="G207" s="66">
        <f>Source!AK93</f>
        <v>16.510000000000002</v>
      </c>
      <c r="H207" s="31" t="s">
        <v>3</v>
      </c>
      <c r="I207" s="68">
        <f>Source!AW93</f>
        <v>1</v>
      </c>
      <c r="J207" s="68">
        <f>IF(Source!BC93&lt;&gt; 0, Source!BC93, 1)</f>
        <v>1</v>
      </c>
      <c r="K207" s="66">
        <f>Source!O93</f>
        <v>445.77</v>
      </c>
      <c r="L207" s="66"/>
      <c r="R207">
        <f>ROUND((Source!BZ93/100)*ROUND((Source!AF93*Source!AV93)*Source!I93, 2), 2)</f>
        <v>0</v>
      </c>
      <c r="S207">
        <f>Source!X93</f>
        <v>0</v>
      </c>
      <c r="T207">
        <f>ROUND((Source!CA93/100)*ROUND((Source!AF93*Source!AV93)*Source!I93, 2), 2)</f>
        <v>0</v>
      </c>
      <c r="U207">
        <f>Source!Y93</f>
        <v>0</v>
      </c>
      <c r="V207">
        <f>ROUND((175/100)*ROUND((Source!AE93*Source!AV93)*Source!I93, 2), 2)</f>
        <v>0</v>
      </c>
      <c r="W207">
        <f>ROUND((108/100)*ROUND(Source!CS93*Source!I93, 2), 2)</f>
        <v>0</v>
      </c>
    </row>
    <row r="208" spans="1:23" ht="14.25" x14ac:dyDescent="0.2">
      <c r="A208" s="22"/>
      <c r="B208" s="22"/>
      <c r="C208" s="22"/>
      <c r="D208" s="22" t="s">
        <v>829</v>
      </c>
      <c r="E208" s="23" t="s">
        <v>830</v>
      </c>
      <c r="F208" s="68">
        <f>Source!AT92</f>
        <v>70</v>
      </c>
      <c r="G208" s="66"/>
      <c r="H208" s="24"/>
      <c r="I208" s="68"/>
      <c r="J208" s="68"/>
      <c r="K208" s="66">
        <f>SUM(S201:S207)</f>
        <v>104.92</v>
      </c>
      <c r="L208" s="66"/>
    </row>
    <row r="209" spans="1:23" ht="14.25" x14ac:dyDescent="0.2">
      <c r="A209" s="22"/>
      <c r="B209" s="22"/>
      <c r="C209" s="22"/>
      <c r="D209" s="22" t="s">
        <v>831</v>
      </c>
      <c r="E209" s="23" t="s">
        <v>830</v>
      </c>
      <c r="F209" s="68">
        <f>Source!AU92</f>
        <v>10</v>
      </c>
      <c r="G209" s="66"/>
      <c r="H209" s="24"/>
      <c r="I209" s="68"/>
      <c r="J209" s="68"/>
      <c r="K209" s="66">
        <f>SUM(U201:U208)</f>
        <v>14.99</v>
      </c>
      <c r="L209" s="66"/>
    </row>
    <row r="210" spans="1:23" ht="14.25" x14ac:dyDescent="0.2">
      <c r="A210" s="22"/>
      <c r="B210" s="22"/>
      <c r="C210" s="22"/>
      <c r="D210" s="22" t="s">
        <v>832</v>
      </c>
      <c r="E210" s="23" t="s">
        <v>830</v>
      </c>
      <c r="F210" s="68">
        <f>108</f>
        <v>108</v>
      </c>
      <c r="G210" s="66"/>
      <c r="H210" s="24"/>
      <c r="I210" s="68"/>
      <c r="J210" s="68"/>
      <c r="K210" s="66">
        <f>SUM(W201:W209)</f>
        <v>3.97</v>
      </c>
      <c r="L210" s="66"/>
    </row>
    <row r="211" spans="1:23" ht="14.25" x14ac:dyDescent="0.2">
      <c r="A211" s="22"/>
      <c r="B211" s="22"/>
      <c r="C211" s="22"/>
      <c r="D211" s="22" t="s">
        <v>833</v>
      </c>
      <c r="E211" s="23" t="s">
        <v>834</v>
      </c>
      <c r="F211" s="68">
        <f>Source!AQ92</f>
        <v>31.59</v>
      </c>
      <c r="G211" s="66"/>
      <c r="H211" s="24" t="str">
        <f>Source!DI92</f>
        <v/>
      </c>
      <c r="I211" s="68">
        <f>Source!AV92</f>
        <v>1</v>
      </c>
      <c r="J211" s="68"/>
      <c r="K211" s="66"/>
      <c r="L211" s="66">
        <f>Source!U92</f>
        <v>0.63969750000000003</v>
      </c>
    </row>
    <row r="212" spans="1:23" ht="15" x14ac:dyDescent="0.25">
      <c r="A212" s="29"/>
      <c r="B212" s="29"/>
      <c r="C212" s="29"/>
      <c r="D212" s="29"/>
      <c r="E212" s="29"/>
      <c r="F212" s="29"/>
      <c r="G212" s="29"/>
      <c r="H212" s="29"/>
      <c r="I212" s="29"/>
      <c r="J212" s="104">
        <f>K203+K204+K206+K208+K209+K210+SUM(K207:K207)</f>
        <v>732.71</v>
      </c>
      <c r="K212" s="104"/>
      <c r="L212" s="67">
        <f>IF(Source!I92&lt;&gt;0, ROUND(J212/Source!I92, 2), 0)</f>
        <v>36183.21</v>
      </c>
      <c r="Q212" s="27">
        <f>J212</f>
        <v>732.71</v>
      </c>
    </row>
    <row r="213" spans="1:23" ht="135" x14ac:dyDescent="0.2">
      <c r="A213" s="22">
        <v>19</v>
      </c>
      <c r="B213" s="22">
        <v>19</v>
      </c>
      <c r="C213" s="22" t="s">
        <v>846</v>
      </c>
      <c r="D213" s="22" t="s">
        <v>847</v>
      </c>
      <c r="E213" s="23" t="str">
        <f>Source!H94</f>
        <v>шт.</v>
      </c>
      <c r="F213" s="68">
        <f>Source!I94</f>
        <v>49</v>
      </c>
      <c r="G213" s="66"/>
      <c r="H213" s="24"/>
      <c r="I213" s="68"/>
      <c r="J213" s="68"/>
      <c r="K213" s="66"/>
      <c r="L213" s="66"/>
      <c r="R213">
        <f>ROUND((Source!BZ94/100)*ROUND((Source!AF94*Source!AV94)*Source!I94, 2), 2)</f>
        <v>10732.61</v>
      </c>
      <c r="S213">
        <f>Source!X94</f>
        <v>10732.61</v>
      </c>
      <c r="T213">
        <f>ROUND((Source!CA94/100)*ROUND((Source!AF94*Source!AV94)*Source!I94, 2), 2)</f>
        <v>1533.23</v>
      </c>
      <c r="U213">
        <f>Source!Y94</f>
        <v>1533.23</v>
      </c>
      <c r="V213">
        <f>ROUND((175/100)*ROUND((Source!AE94*Source!AV94)*Source!I94, 2), 2)</f>
        <v>73.400000000000006</v>
      </c>
      <c r="W213">
        <f>ROUND((108/100)*ROUND(Source!CS94*Source!I94, 2), 2)</f>
        <v>45.3</v>
      </c>
    </row>
    <row r="214" spans="1:23" ht="14.25" x14ac:dyDescent="0.2">
      <c r="A214" s="22"/>
      <c r="B214" s="22"/>
      <c r="C214" s="22"/>
      <c r="D214" s="22" t="s">
        <v>825</v>
      </c>
      <c r="E214" s="23"/>
      <c r="F214" s="68"/>
      <c r="G214" s="66">
        <f>Source!AO94</f>
        <v>391.13</v>
      </c>
      <c r="H214" s="24" t="str">
        <f>Source!DG94</f>
        <v>)*0,8</v>
      </c>
      <c r="I214" s="68">
        <f>Source!AV94</f>
        <v>1</v>
      </c>
      <c r="J214" s="68">
        <f>IF(Source!BA94&lt;&gt; 0, Source!BA94, 1)</f>
        <v>1</v>
      </c>
      <c r="K214" s="66">
        <f>Source!S94</f>
        <v>15332.3</v>
      </c>
      <c r="L214" s="66"/>
    </row>
    <row r="215" spans="1:23" ht="14.25" x14ac:dyDescent="0.2">
      <c r="A215" s="22"/>
      <c r="B215" s="22"/>
      <c r="C215" s="22"/>
      <c r="D215" s="22" t="s">
        <v>826</v>
      </c>
      <c r="E215" s="23"/>
      <c r="F215" s="68"/>
      <c r="G215" s="66">
        <f>Source!AM94</f>
        <v>51.58</v>
      </c>
      <c r="H215" s="24" t="str">
        <f>Source!DE94</f>
        <v>)*0,8</v>
      </c>
      <c r="I215" s="68">
        <f>Source!AV94</f>
        <v>1</v>
      </c>
      <c r="J215" s="68">
        <f>IF(Source!BB94&lt;&gt; 0, Source!BB94, 1)</f>
        <v>1</v>
      </c>
      <c r="K215" s="66">
        <f>Source!Q94</f>
        <v>2021.94</v>
      </c>
      <c r="L215" s="66"/>
    </row>
    <row r="216" spans="1:23" ht="14.25" x14ac:dyDescent="0.2">
      <c r="A216" s="22"/>
      <c r="B216" s="22"/>
      <c r="C216" s="22"/>
      <c r="D216" s="22" t="s">
        <v>827</v>
      </c>
      <c r="E216" s="23"/>
      <c r="F216" s="68"/>
      <c r="G216" s="66">
        <f>Source!AN94</f>
        <v>1.07</v>
      </c>
      <c r="H216" s="24" t="str">
        <f>Source!DF94</f>
        <v>)*0,8</v>
      </c>
      <c r="I216" s="68">
        <f>Source!AV94</f>
        <v>1</v>
      </c>
      <c r="J216" s="68">
        <f>IF(Source!BS94&lt;&gt; 0, Source!BS94, 1)</f>
        <v>1</v>
      </c>
      <c r="K216" s="26">
        <f>Source!R94</f>
        <v>41.94</v>
      </c>
      <c r="L216" s="66"/>
    </row>
    <row r="217" spans="1:23" ht="14.25" x14ac:dyDescent="0.2">
      <c r="A217" s="22"/>
      <c r="B217" s="22"/>
      <c r="C217" s="22"/>
      <c r="D217" s="22" t="s">
        <v>828</v>
      </c>
      <c r="E217" s="23"/>
      <c r="F217" s="68"/>
      <c r="G217" s="66">
        <f>Source!AL94</f>
        <v>281.12</v>
      </c>
      <c r="H217" s="24" t="str">
        <f>Source!DD94</f>
        <v/>
      </c>
      <c r="I217" s="68">
        <f>Source!AW94</f>
        <v>1</v>
      </c>
      <c r="J217" s="68">
        <f>IF(Source!BC94&lt;&gt; 0, Source!BC94, 1)</f>
        <v>1</v>
      </c>
      <c r="K217" s="66">
        <f>Source!P94</f>
        <v>13774.88</v>
      </c>
      <c r="L217" s="66"/>
    </row>
    <row r="218" spans="1:23" ht="14.25" x14ac:dyDescent="0.2">
      <c r="A218" s="22"/>
      <c r="B218" s="22"/>
      <c r="C218" s="22"/>
      <c r="D218" s="22" t="s">
        <v>829</v>
      </c>
      <c r="E218" s="23" t="s">
        <v>830</v>
      </c>
      <c r="F218" s="68">
        <f>Source!AT94</f>
        <v>70</v>
      </c>
      <c r="G218" s="66"/>
      <c r="H218" s="24"/>
      <c r="I218" s="68"/>
      <c r="J218" s="68"/>
      <c r="K218" s="66">
        <f>SUM(S213:S217)</f>
        <v>10732.61</v>
      </c>
      <c r="L218" s="66"/>
    </row>
    <row r="219" spans="1:23" ht="14.25" x14ac:dyDescent="0.2">
      <c r="A219" s="22"/>
      <c r="B219" s="22"/>
      <c r="C219" s="22"/>
      <c r="D219" s="22" t="s">
        <v>831</v>
      </c>
      <c r="E219" s="23" t="s">
        <v>830</v>
      </c>
      <c r="F219" s="68">
        <f>Source!AU94</f>
        <v>10</v>
      </c>
      <c r="G219" s="66"/>
      <c r="H219" s="24"/>
      <c r="I219" s="68"/>
      <c r="J219" s="68"/>
      <c r="K219" s="66">
        <f>SUM(U213:U218)</f>
        <v>1533.23</v>
      </c>
      <c r="L219" s="66"/>
    </row>
    <row r="220" spans="1:23" ht="14.25" x14ac:dyDescent="0.2">
      <c r="A220" s="22"/>
      <c r="B220" s="22"/>
      <c r="C220" s="22"/>
      <c r="D220" s="22" t="s">
        <v>832</v>
      </c>
      <c r="E220" s="23" t="s">
        <v>830</v>
      </c>
      <c r="F220" s="68">
        <f>108</f>
        <v>108</v>
      </c>
      <c r="G220" s="66"/>
      <c r="H220" s="24"/>
      <c r="I220" s="68"/>
      <c r="J220" s="68"/>
      <c r="K220" s="66">
        <f>SUM(W213:W219)</f>
        <v>45.3</v>
      </c>
      <c r="L220" s="66"/>
    </row>
    <row r="221" spans="1:23" ht="14.25" x14ac:dyDescent="0.2">
      <c r="A221" s="22"/>
      <c r="B221" s="22"/>
      <c r="C221" s="22"/>
      <c r="D221" s="22" t="s">
        <v>833</v>
      </c>
      <c r="E221" s="23" t="s">
        <v>834</v>
      </c>
      <c r="F221" s="68">
        <f>Source!AQ94</f>
        <v>1.54</v>
      </c>
      <c r="G221" s="66"/>
      <c r="H221" s="24" t="str">
        <f>Source!DI94</f>
        <v>)*0,8</v>
      </c>
      <c r="I221" s="68">
        <f>Source!AV94</f>
        <v>1</v>
      </c>
      <c r="J221" s="68"/>
      <c r="K221" s="66"/>
      <c r="L221" s="66">
        <f>Source!U94</f>
        <v>60.368000000000009</v>
      </c>
    </row>
    <row r="222" spans="1:23" ht="15" x14ac:dyDescent="0.25">
      <c r="A222" s="29"/>
      <c r="B222" s="29"/>
      <c r="C222" s="29"/>
      <c r="D222" s="29"/>
      <c r="E222" s="29"/>
      <c r="F222" s="29"/>
      <c r="G222" s="29"/>
      <c r="H222" s="29"/>
      <c r="I222" s="29"/>
      <c r="J222" s="104">
        <f>K214+K215+K217+K218+K219+K220</f>
        <v>43440.26</v>
      </c>
      <c r="K222" s="104"/>
      <c r="L222" s="67">
        <f>IF(Source!I94&lt;&gt;0, ROUND(J222/Source!I94, 2), 0)</f>
        <v>886.54</v>
      </c>
      <c r="Q222" s="27">
        <f>J222</f>
        <v>43440.26</v>
      </c>
    </row>
    <row r="223" spans="1:23" ht="71.25" x14ac:dyDescent="0.2">
      <c r="A223" s="22">
        <v>20</v>
      </c>
      <c r="B223" s="22">
        <v>20</v>
      </c>
      <c r="C223" s="22" t="str">
        <f>Source!F95</f>
        <v>1.21-3103-33-2/1</v>
      </c>
      <c r="D223" s="22" t="str">
        <f>Source!G95</f>
        <v>Прокладка труб гофрированных поливинилхлоридных наружным диаметром 20 мм открыто по стенам и потолкам с установкой соединительных коробок</v>
      </c>
      <c r="E223" s="23" t="str">
        <f>Source!H95</f>
        <v>100 м</v>
      </c>
      <c r="F223" s="68">
        <f>Source!I95</f>
        <v>0.27</v>
      </c>
      <c r="G223" s="66"/>
      <c r="H223" s="24"/>
      <c r="I223" s="68"/>
      <c r="J223" s="68"/>
      <c r="K223" s="66"/>
      <c r="L223" s="66"/>
      <c r="R223">
        <f>ROUND((Source!BZ95/100)*ROUND((Source!AF95*Source!AV95)*Source!I95, 2), 2)</f>
        <v>833.56</v>
      </c>
      <c r="S223">
        <f>Source!X95</f>
        <v>833.56</v>
      </c>
      <c r="T223">
        <f>ROUND((Source!CA95/100)*ROUND((Source!AF95*Source!AV95)*Source!I95, 2), 2)</f>
        <v>119.08</v>
      </c>
      <c r="U223">
        <f>Source!Y95</f>
        <v>119.08</v>
      </c>
      <c r="V223">
        <f>ROUND((175/100)*ROUND((Source!AE95*Source!AV95)*Source!I95, 2), 2)</f>
        <v>2.36</v>
      </c>
      <c r="W223">
        <f>ROUND((108/100)*ROUND(Source!CS95*Source!I95, 2), 2)</f>
        <v>1.46</v>
      </c>
    </row>
    <row r="224" spans="1:23" x14ac:dyDescent="0.2">
      <c r="D224" s="32" t="str">
        <f>"Объем: "&amp;Source!I95&amp;"=27/"&amp;"100"</f>
        <v>Объем: 0,27=27/100</v>
      </c>
    </row>
    <row r="225" spans="1:23" ht="14.25" x14ac:dyDescent="0.2">
      <c r="A225" s="22"/>
      <c r="B225" s="22"/>
      <c r="C225" s="22"/>
      <c r="D225" s="22" t="s">
        <v>825</v>
      </c>
      <c r="E225" s="23"/>
      <c r="F225" s="68"/>
      <c r="G225" s="66">
        <f>Source!AO95</f>
        <v>4410.37</v>
      </c>
      <c r="H225" s="24" t="str">
        <f>Source!DG95</f>
        <v/>
      </c>
      <c r="I225" s="68">
        <f>Source!AV95</f>
        <v>1</v>
      </c>
      <c r="J225" s="68">
        <f>IF(Source!BA95&lt;&gt; 0, Source!BA95, 1)</f>
        <v>1</v>
      </c>
      <c r="K225" s="66">
        <f>Source!S95</f>
        <v>1190.8</v>
      </c>
      <c r="L225" s="66"/>
    </row>
    <row r="226" spans="1:23" ht="14.25" x14ac:dyDescent="0.2">
      <c r="A226" s="22"/>
      <c r="B226" s="22"/>
      <c r="C226" s="22"/>
      <c r="D226" s="22" t="s">
        <v>826</v>
      </c>
      <c r="E226" s="23"/>
      <c r="F226" s="68"/>
      <c r="G226" s="66">
        <f>Source!AM95</f>
        <v>41.77</v>
      </c>
      <c r="H226" s="24" t="str">
        <f>Source!DE95</f>
        <v/>
      </c>
      <c r="I226" s="68">
        <f>Source!AV95</f>
        <v>1</v>
      </c>
      <c r="J226" s="68">
        <f>IF(Source!BB95&lt;&gt; 0, Source!BB95, 1)</f>
        <v>1</v>
      </c>
      <c r="K226" s="66">
        <f>Source!Q95</f>
        <v>11.28</v>
      </c>
      <c r="L226" s="66"/>
    </row>
    <row r="227" spans="1:23" ht="14.25" x14ac:dyDescent="0.2">
      <c r="A227" s="22"/>
      <c r="B227" s="22"/>
      <c r="C227" s="22"/>
      <c r="D227" s="22" t="s">
        <v>827</v>
      </c>
      <c r="E227" s="23"/>
      <c r="F227" s="68"/>
      <c r="G227" s="66">
        <f>Source!AN95</f>
        <v>5</v>
      </c>
      <c r="H227" s="24" t="str">
        <f>Source!DF95</f>
        <v/>
      </c>
      <c r="I227" s="68">
        <f>Source!AV95</f>
        <v>1</v>
      </c>
      <c r="J227" s="68">
        <f>IF(Source!BS95&lt;&gt; 0, Source!BS95, 1)</f>
        <v>1</v>
      </c>
      <c r="K227" s="26">
        <f>Source!R95</f>
        <v>1.35</v>
      </c>
      <c r="L227" s="66"/>
    </row>
    <row r="228" spans="1:23" ht="14.25" x14ac:dyDescent="0.2">
      <c r="A228" s="22"/>
      <c r="B228" s="22"/>
      <c r="C228" s="22"/>
      <c r="D228" s="22" t="s">
        <v>828</v>
      </c>
      <c r="E228" s="23"/>
      <c r="F228" s="68"/>
      <c r="G228" s="66">
        <f>Source!AL95</f>
        <v>2915.8</v>
      </c>
      <c r="H228" s="24" t="str">
        <f>Source!DD95</f>
        <v/>
      </c>
      <c r="I228" s="68">
        <f>Source!AW95</f>
        <v>1</v>
      </c>
      <c r="J228" s="68">
        <f>IF(Source!BC95&lt;&gt; 0, Source!BC95, 1)</f>
        <v>1</v>
      </c>
      <c r="K228" s="66">
        <f>Source!P95</f>
        <v>787.27</v>
      </c>
      <c r="L228" s="66"/>
    </row>
    <row r="229" spans="1:23" ht="71.25" x14ac:dyDescent="0.2">
      <c r="A229" s="22" t="s">
        <v>273</v>
      </c>
      <c r="B229" s="22" t="s">
        <v>273</v>
      </c>
      <c r="C229" s="22" t="str">
        <f>Source!F96</f>
        <v>21.21-5-61</v>
      </c>
      <c r="D229" s="22" t="str">
        <f>Source!G96</f>
        <v>Коробки для выполнения соединений и ответвлений электрических кабелей и проводов сечением до 4 мм2, прокладываемых в неметаллических трубах, тип КОР-73 УЗ</v>
      </c>
      <c r="E229" s="23" t="str">
        <f>Source!H96</f>
        <v>шт.</v>
      </c>
      <c r="F229" s="68">
        <f>Source!I96</f>
        <v>-1.35</v>
      </c>
      <c r="G229" s="66">
        <f>Source!AK96</f>
        <v>30.24</v>
      </c>
      <c r="H229" s="31" t="s">
        <v>3</v>
      </c>
      <c r="I229" s="68">
        <f>Source!AW96</f>
        <v>1</v>
      </c>
      <c r="J229" s="68">
        <f>IF(Source!BC96&lt;&gt; 0, Source!BC96, 1)</f>
        <v>1</v>
      </c>
      <c r="K229" s="66">
        <f>Source!O96</f>
        <v>-40.82</v>
      </c>
      <c r="L229" s="66"/>
      <c r="R229">
        <f>ROUND((Source!BZ96/100)*ROUND((Source!AF96*Source!AV96)*Source!I96, 2), 2)</f>
        <v>0</v>
      </c>
      <c r="S229">
        <f>Source!X96</f>
        <v>0</v>
      </c>
      <c r="T229">
        <f>ROUND((Source!CA96/100)*ROUND((Source!AF96*Source!AV96)*Source!I96, 2), 2)</f>
        <v>0</v>
      </c>
      <c r="U229">
        <f>Source!Y96</f>
        <v>0</v>
      </c>
      <c r="V229">
        <f>ROUND((175/100)*ROUND((Source!AE96*Source!AV96)*Source!I96, 2), 2)</f>
        <v>0</v>
      </c>
      <c r="W229">
        <f>ROUND((108/100)*ROUND(Source!CS96*Source!I96, 2), 2)</f>
        <v>0</v>
      </c>
    </row>
    <row r="230" spans="1:23" ht="14.25" x14ac:dyDescent="0.2">
      <c r="A230" s="22"/>
      <c r="B230" s="22"/>
      <c r="C230" s="22"/>
      <c r="D230" s="22" t="s">
        <v>829</v>
      </c>
      <c r="E230" s="23" t="s">
        <v>830</v>
      </c>
      <c r="F230" s="68">
        <f>Source!AT95</f>
        <v>70</v>
      </c>
      <c r="G230" s="66"/>
      <c r="H230" s="24"/>
      <c r="I230" s="68"/>
      <c r="J230" s="68"/>
      <c r="K230" s="66">
        <f>SUM(S223:S229)</f>
        <v>833.56</v>
      </c>
      <c r="L230" s="66"/>
    </row>
    <row r="231" spans="1:23" ht="14.25" x14ac:dyDescent="0.2">
      <c r="A231" s="22"/>
      <c r="B231" s="22"/>
      <c r="C231" s="22"/>
      <c r="D231" s="22" t="s">
        <v>831</v>
      </c>
      <c r="E231" s="23" t="s">
        <v>830</v>
      </c>
      <c r="F231" s="68">
        <f>Source!AU95</f>
        <v>10</v>
      </c>
      <c r="G231" s="66"/>
      <c r="H231" s="24"/>
      <c r="I231" s="68"/>
      <c r="J231" s="68"/>
      <c r="K231" s="66">
        <f>SUM(U223:U230)</f>
        <v>119.08</v>
      </c>
      <c r="L231" s="66"/>
    </row>
    <row r="232" spans="1:23" ht="14.25" x14ac:dyDescent="0.2">
      <c r="A232" s="22"/>
      <c r="B232" s="22"/>
      <c r="C232" s="22"/>
      <c r="D232" s="22" t="s">
        <v>832</v>
      </c>
      <c r="E232" s="23" t="s">
        <v>830</v>
      </c>
      <c r="F232" s="68">
        <f>108</f>
        <v>108</v>
      </c>
      <c r="G232" s="66"/>
      <c r="H232" s="24"/>
      <c r="I232" s="68"/>
      <c r="J232" s="68"/>
      <c r="K232" s="66">
        <f>SUM(W223:W231)</f>
        <v>1.46</v>
      </c>
      <c r="L232" s="66"/>
    </row>
    <row r="233" spans="1:23" ht="14.25" x14ac:dyDescent="0.2">
      <c r="A233" s="22"/>
      <c r="B233" s="22"/>
      <c r="C233" s="22"/>
      <c r="D233" s="22" t="s">
        <v>833</v>
      </c>
      <c r="E233" s="23" t="s">
        <v>834</v>
      </c>
      <c r="F233" s="68">
        <f>Source!AQ95</f>
        <v>17.260000000000002</v>
      </c>
      <c r="G233" s="66"/>
      <c r="H233" s="24" t="str">
        <f>Source!DI95</f>
        <v/>
      </c>
      <c r="I233" s="68">
        <f>Source!AV95</f>
        <v>1</v>
      </c>
      <c r="J233" s="68"/>
      <c r="K233" s="66"/>
      <c r="L233" s="66">
        <f>Source!U95</f>
        <v>4.6602000000000006</v>
      </c>
    </row>
    <row r="234" spans="1:23" ht="15" x14ac:dyDescent="0.25">
      <c r="A234" s="29"/>
      <c r="B234" s="29"/>
      <c r="C234" s="29"/>
      <c r="D234" s="29"/>
      <c r="E234" s="29"/>
      <c r="F234" s="29"/>
      <c r="G234" s="29"/>
      <c r="H234" s="29"/>
      <c r="I234" s="29"/>
      <c r="J234" s="104">
        <f>K225+K226+K228+K230+K231+K232+SUM(K229:K229)</f>
        <v>2902.6299999999997</v>
      </c>
      <c r="K234" s="104"/>
      <c r="L234" s="67">
        <f>IF(Source!I95&lt;&gt;0, ROUND(J234/Source!I95, 2), 0)</f>
        <v>10750.48</v>
      </c>
      <c r="Q234" s="27">
        <f>J234</f>
        <v>2902.6299999999997</v>
      </c>
    </row>
    <row r="235" spans="1:23" ht="42.75" x14ac:dyDescent="0.2">
      <c r="A235" s="22">
        <v>22</v>
      </c>
      <c r="B235" s="22">
        <v>22</v>
      </c>
      <c r="C235" s="22" t="str">
        <f>Source!F105</f>
        <v>1.21-3103-31-2/2</v>
      </c>
      <c r="D235" s="22" t="str">
        <f>Source!G105</f>
        <v>Прокладка пластикового кабель-канала - по бетонному основанию / сечение 40х20 мм</v>
      </c>
      <c r="E235" s="23" t="str">
        <f>Source!H105</f>
        <v>100 м</v>
      </c>
      <c r="F235" s="68">
        <f>Source!I105</f>
        <v>0.74</v>
      </c>
      <c r="G235" s="66"/>
      <c r="H235" s="24"/>
      <c r="I235" s="68"/>
      <c r="J235" s="68"/>
      <c r="K235" s="66"/>
      <c r="L235" s="66"/>
      <c r="R235">
        <f>ROUND((Source!BZ105/100)*ROUND((Source!AF105*Source!AV105)*Source!I105, 2), 2)</f>
        <v>5631.17</v>
      </c>
      <c r="S235">
        <f>Source!X105</f>
        <v>5631.17</v>
      </c>
      <c r="T235">
        <f>ROUND((Source!CA105/100)*ROUND((Source!AF105*Source!AV105)*Source!I105, 2), 2)</f>
        <v>804.45</v>
      </c>
      <c r="U235">
        <f>Source!Y105</f>
        <v>804.45</v>
      </c>
      <c r="V235">
        <f>ROUND((175/100)*ROUND((Source!AE105*Source!AV105)*Source!I105, 2), 2)</f>
        <v>0.37</v>
      </c>
      <c r="W235">
        <f>ROUND((108/100)*ROUND(Source!CS105*Source!I105, 2), 2)</f>
        <v>0.23</v>
      </c>
    </row>
    <row r="236" spans="1:23" x14ac:dyDescent="0.2">
      <c r="D236" s="32" t="str">
        <f>"Объем: "&amp;Source!I105&amp;"=74/"&amp;"100"</f>
        <v>Объем: 0,74=74/100</v>
      </c>
    </row>
    <row r="237" spans="1:23" ht="14.25" x14ac:dyDescent="0.2">
      <c r="A237" s="22"/>
      <c r="B237" s="22"/>
      <c r="C237" s="22"/>
      <c r="D237" s="22" t="s">
        <v>825</v>
      </c>
      <c r="E237" s="23"/>
      <c r="F237" s="68"/>
      <c r="G237" s="66">
        <f>Source!AO105</f>
        <v>10870.99</v>
      </c>
      <c r="H237" s="24" t="str">
        <f>Source!DG105</f>
        <v/>
      </c>
      <c r="I237" s="68">
        <f>Source!AV105</f>
        <v>1</v>
      </c>
      <c r="J237" s="68">
        <f>IF(Source!BA105&lt;&gt; 0, Source!BA105, 1)</f>
        <v>1</v>
      </c>
      <c r="K237" s="66">
        <f>Source!S105</f>
        <v>8044.53</v>
      </c>
      <c r="L237" s="66"/>
    </row>
    <row r="238" spans="1:23" ht="14.25" x14ac:dyDescent="0.2">
      <c r="A238" s="22"/>
      <c r="B238" s="22"/>
      <c r="C238" s="22"/>
      <c r="D238" s="22" t="s">
        <v>826</v>
      </c>
      <c r="E238" s="23"/>
      <c r="F238" s="68"/>
      <c r="G238" s="66">
        <f>Source!AM105</f>
        <v>41.99</v>
      </c>
      <c r="H238" s="24" t="str">
        <f>Source!DE105</f>
        <v/>
      </c>
      <c r="I238" s="68">
        <f>Source!AV105</f>
        <v>1</v>
      </c>
      <c r="J238" s="68">
        <f>IF(Source!BB105&lt;&gt; 0, Source!BB105, 1)</f>
        <v>1</v>
      </c>
      <c r="K238" s="66">
        <f>Source!Q105</f>
        <v>31.07</v>
      </c>
      <c r="L238" s="66"/>
    </row>
    <row r="239" spans="1:23" ht="14.25" x14ac:dyDescent="0.2">
      <c r="A239" s="22"/>
      <c r="B239" s="22"/>
      <c r="C239" s="22"/>
      <c r="D239" s="22" t="s">
        <v>827</v>
      </c>
      <c r="E239" s="23"/>
      <c r="F239" s="68"/>
      <c r="G239" s="66">
        <f>Source!AN105</f>
        <v>0.28000000000000003</v>
      </c>
      <c r="H239" s="24" t="str">
        <f>Source!DF105</f>
        <v/>
      </c>
      <c r="I239" s="68">
        <f>Source!AV105</f>
        <v>1</v>
      </c>
      <c r="J239" s="68">
        <f>IF(Source!BS105&lt;&gt; 0, Source!BS105, 1)</f>
        <v>1</v>
      </c>
      <c r="K239" s="26">
        <f>Source!R105</f>
        <v>0.21</v>
      </c>
      <c r="L239" s="66"/>
    </row>
    <row r="240" spans="1:23" ht="14.25" x14ac:dyDescent="0.2">
      <c r="A240" s="22"/>
      <c r="B240" s="22"/>
      <c r="C240" s="22"/>
      <c r="D240" s="22" t="s">
        <v>828</v>
      </c>
      <c r="E240" s="23"/>
      <c r="F240" s="68"/>
      <c r="G240" s="66">
        <f>Source!AL105</f>
        <v>30535.43</v>
      </c>
      <c r="H240" s="24" t="str">
        <f>Source!DD105</f>
        <v/>
      </c>
      <c r="I240" s="68">
        <f>Source!AW105</f>
        <v>1</v>
      </c>
      <c r="J240" s="68">
        <f>IF(Source!BC105&lt;&gt; 0, Source!BC105, 1)</f>
        <v>1</v>
      </c>
      <c r="K240" s="66">
        <f>Source!P105</f>
        <v>22596.22</v>
      </c>
      <c r="L240" s="66"/>
    </row>
    <row r="241" spans="1:23" ht="28.5" x14ac:dyDescent="0.2">
      <c r="A241" s="22" t="s">
        <v>311</v>
      </c>
      <c r="B241" s="22" t="s">
        <v>311</v>
      </c>
      <c r="C241" s="22" t="str">
        <f>Source!F106</f>
        <v>21.1-25-1022</v>
      </c>
      <c r="D241" s="22" t="str">
        <f>Source!G106</f>
        <v>Кабель-каналы, размер 40х20 мм: заглушки</v>
      </c>
      <c r="E241" s="23" t="str">
        <f>Source!H106</f>
        <v>шт.</v>
      </c>
      <c r="F241" s="68">
        <f>Source!I106</f>
        <v>-11.1</v>
      </c>
      <c r="G241" s="66">
        <f>Source!AK106</f>
        <v>67.209999999999994</v>
      </c>
      <c r="H241" s="31" t="s">
        <v>3</v>
      </c>
      <c r="I241" s="68">
        <f>Source!AW106</f>
        <v>1</v>
      </c>
      <c r="J241" s="68">
        <f>IF(Source!BC106&lt;&gt; 0, Source!BC106, 1)</f>
        <v>1</v>
      </c>
      <c r="K241" s="66">
        <f>Source!O106</f>
        <v>-746.03</v>
      </c>
      <c r="L241" s="66"/>
      <c r="R241">
        <f>ROUND((Source!BZ106/100)*ROUND((Source!AF106*Source!AV106)*Source!I106, 2), 2)</f>
        <v>0</v>
      </c>
      <c r="S241">
        <f>Source!X106</f>
        <v>0</v>
      </c>
      <c r="T241">
        <f>ROUND((Source!CA106/100)*ROUND((Source!AF106*Source!AV106)*Source!I106, 2), 2)</f>
        <v>0</v>
      </c>
      <c r="U241">
        <f>Source!Y106</f>
        <v>0</v>
      </c>
      <c r="V241">
        <f>ROUND((175/100)*ROUND((Source!AE106*Source!AV106)*Source!I106, 2), 2)</f>
        <v>0</v>
      </c>
      <c r="W241">
        <f>ROUND((108/100)*ROUND(Source!CS106*Source!I106, 2), 2)</f>
        <v>0</v>
      </c>
    </row>
    <row r="242" spans="1:23" ht="28.5" x14ac:dyDescent="0.2">
      <c r="A242" s="22" t="s">
        <v>315</v>
      </c>
      <c r="B242" s="22" t="s">
        <v>315</v>
      </c>
      <c r="C242" s="22" t="str">
        <f>Source!F107</f>
        <v>21.1-25-1023</v>
      </c>
      <c r="D242" s="22" t="str">
        <f>Source!G107</f>
        <v>Кабель-каналы, размер 40х20 мм: накладки стыковые</v>
      </c>
      <c r="E242" s="23" t="str">
        <f>Source!H107</f>
        <v>шт.</v>
      </c>
      <c r="F242" s="68">
        <f>Source!I107</f>
        <v>-2.96</v>
      </c>
      <c r="G242" s="66">
        <f>Source!AK107</f>
        <v>41.66</v>
      </c>
      <c r="H242" s="31" t="s">
        <v>3</v>
      </c>
      <c r="I242" s="68">
        <f>Source!AW107</f>
        <v>1</v>
      </c>
      <c r="J242" s="68">
        <f>IF(Source!BC107&lt;&gt; 0, Source!BC107, 1)</f>
        <v>1</v>
      </c>
      <c r="K242" s="66">
        <f>Source!O107</f>
        <v>-123.31</v>
      </c>
      <c r="L242" s="66"/>
      <c r="R242">
        <f>ROUND((Source!BZ107/100)*ROUND((Source!AF107*Source!AV107)*Source!I107, 2), 2)</f>
        <v>0</v>
      </c>
      <c r="S242">
        <f>Source!X107</f>
        <v>0</v>
      </c>
      <c r="T242">
        <f>ROUND((Source!CA107/100)*ROUND((Source!AF107*Source!AV107)*Source!I107, 2), 2)</f>
        <v>0</v>
      </c>
      <c r="U242">
        <f>Source!Y107</f>
        <v>0</v>
      </c>
      <c r="V242">
        <f>ROUND((175/100)*ROUND((Source!AE107*Source!AV107)*Source!I107, 2), 2)</f>
        <v>0</v>
      </c>
      <c r="W242">
        <f>ROUND((108/100)*ROUND(Source!CS107*Source!I107, 2), 2)</f>
        <v>0</v>
      </c>
    </row>
    <row r="243" spans="1:23" ht="28.5" x14ac:dyDescent="0.2">
      <c r="A243" s="22" t="s">
        <v>319</v>
      </c>
      <c r="B243" s="22" t="s">
        <v>319</v>
      </c>
      <c r="C243" s="22" t="str">
        <f>Source!F108</f>
        <v>21.1-25-1024</v>
      </c>
      <c r="D243" s="22" t="str">
        <f>Source!G108</f>
        <v>Кабель-каналы, размер 40х20 мм: углы внутренние</v>
      </c>
      <c r="E243" s="23" t="str">
        <f>Source!H108</f>
        <v>шт.</v>
      </c>
      <c r="F243" s="68">
        <f>Source!I108</f>
        <v>-1.48</v>
      </c>
      <c r="G243" s="66">
        <f>Source!AK108</f>
        <v>89.44</v>
      </c>
      <c r="H243" s="31" t="s">
        <v>3</v>
      </c>
      <c r="I243" s="68">
        <f>Source!AW108</f>
        <v>1</v>
      </c>
      <c r="J243" s="68">
        <f>IF(Source!BC108&lt;&gt; 0, Source!BC108, 1)</f>
        <v>1</v>
      </c>
      <c r="K243" s="66">
        <f>Source!O108</f>
        <v>-132.37</v>
      </c>
      <c r="L243" s="66"/>
      <c r="R243">
        <f>ROUND((Source!BZ108/100)*ROUND((Source!AF108*Source!AV108)*Source!I108, 2), 2)</f>
        <v>0</v>
      </c>
      <c r="S243">
        <f>Source!X108</f>
        <v>0</v>
      </c>
      <c r="T243">
        <f>ROUND((Source!CA108/100)*ROUND((Source!AF108*Source!AV108)*Source!I108, 2), 2)</f>
        <v>0</v>
      </c>
      <c r="U243">
        <f>Source!Y108</f>
        <v>0</v>
      </c>
      <c r="V243">
        <f>ROUND((175/100)*ROUND((Source!AE108*Source!AV108)*Source!I108, 2), 2)</f>
        <v>0</v>
      </c>
      <c r="W243">
        <f>ROUND((108/100)*ROUND(Source!CS108*Source!I108, 2), 2)</f>
        <v>0</v>
      </c>
    </row>
    <row r="244" spans="1:23" ht="28.5" x14ac:dyDescent="0.2">
      <c r="A244" s="22" t="s">
        <v>323</v>
      </c>
      <c r="B244" s="22" t="s">
        <v>323</v>
      </c>
      <c r="C244" s="22" t="str">
        <f>Source!F109</f>
        <v>21.1-25-1025</v>
      </c>
      <c r="D244" s="22" t="str">
        <f>Source!G109</f>
        <v>Кабель-каналы, размер 40х20 мм: углы наружные</v>
      </c>
      <c r="E244" s="23" t="str">
        <f>Source!H109</f>
        <v>шт.</v>
      </c>
      <c r="F244" s="68">
        <f>Source!I109</f>
        <v>-11.1</v>
      </c>
      <c r="G244" s="66">
        <f>Source!AK109</f>
        <v>89.44</v>
      </c>
      <c r="H244" s="31" t="s">
        <v>3</v>
      </c>
      <c r="I244" s="68">
        <f>Source!AW109</f>
        <v>1</v>
      </c>
      <c r="J244" s="68">
        <f>IF(Source!BC109&lt;&gt; 0, Source!BC109, 1)</f>
        <v>1</v>
      </c>
      <c r="K244" s="66">
        <f>Source!O109</f>
        <v>-992.78</v>
      </c>
      <c r="L244" s="66"/>
      <c r="R244">
        <f>ROUND((Source!BZ109/100)*ROUND((Source!AF109*Source!AV109)*Source!I109, 2), 2)</f>
        <v>0</v>
      </c>
      <c r="S244">
        <f>Source!X109</f>
        <v>0</v>
      </c>
      <c r="T244">
        <f>ROUND((Source!CA109/100)*ROUND((Source!AF109*Source!AV109)*Source!I109, 2), 2)</f>
        <v>0</v>
      </c>
      <c r="U244">
        <f>Source!Y109</f>
        <v>0</v>
      </c>
      <c r="V244">
        <f>ROUND((175/100)*ROUND((Source!AE109*Source!AV109)*Source!I109, 2), 2)</f>
        <v>0</v>
      </c>
      <c r="W244">
        <f>ROUND((108/100)*ROUND(Source!CS109*Source!I109, 2), 2)</f>
        <v>0</v>
      </c>
    </row>
    <row r="245" spans="1:23" ht="28.5" x14ac:dyDescent="0.2">
      <c r="A245" s="22" t="s">
        <v>327</v>
      </c>
      <c r="B245" s="22" t="s">
        <v>327</v>
      </c>
      <c r="C245" s="22" t="str">
        <f>Source!F110</f>
        <v>21.1-25-1026</v>
      </c>
      <c r="D245" s="22" t="str">
        <f>Source!G110</f>
        <v>Кабель-каналы, размер 40х20 мм: углы плоские</v>
      </c>
      <c r="E245" s="23" t="str">
        <f>Source!H110</f>
        <v>шт.</v>
      </c>
      <c r="F245" s="68">
        <f>Source!I110</f>
        <v>-1.48</v>
      </c>
      <c r="G245" s="66">
        <f>Source!AK110</f>
        <v>101.51</v>
      </c>
      <c r="H245" s="31" t="s">
        <v>3</v>
      </c>
      <c r="I245" s="68">
        <f>Source!AW110</f>
        <v>1</v>
      </c>
      <c r="J245" s="68">
        <f>IF(Source!BC110&lt;&gt; 0, Source!BC110, 1)</f>
        <v>1</v>
      </c>
      <c r="K245" s="66">
        <f>Source!O110</f>
        <v>-150.22999999999999</v>
      </c>
      <c r="L245" s="66"/>
      <c r="R245">
        <f>ROUND((Source!BZ110/100)*ROUND((Source!AF110*Source!AV110)*Source!I110, 2), 2)</f>
        <v>0</v>
      </c>
      <c r="S245">
        <f>Source!X110</f>
        <v>0</v>
      </c>
      <c r="T245">
        <f>ROUND((Source!CA110/100)*ROUND((Source!AF110*Source!AV110)*Source!I110, 2), 2)</f>
        <v>0</v>
      </c>
      <c r="U245">
        <f>Source!Y110</f>
        <v>0</v>
      </c>
      <c r="V245">
        <f>ROUND((175/100)*ROUND((Source!AE110*Source!AV110)*Source!I110, 2), 2)</f>
        <v>0</v>
      </c>
      <c r="W245">
        <f>ROUND((108/100)*ROUND(Source!CS110*Source!I110, 2), 2)</f>
        <v>0</v>
      </c>
    </row>
    <row r="246" spans="1:23" ht="14.25" x14ac:dyDescent="0.2">
      <c r="A246" s="22"/>
      <c r="B246" s="22"/>
      <c r="C246" s="22"/>
      <c r="D246" s="22" t="s">
        <v>829</v>
      </c>
      <c r="E246" s="23" t="s">
        <v>830</v>
      </c>
      <c r="F246" s="68">
        <f>Source!AT105</f>
        <v>70</v>
      </c>
      <c r="G246" s="66"/>
      <c r="H246" s="24"/>
      <c r="I246" s="68"/>
      <c r="J246" s="68"/>
      <c r="K246" s="66">
        <f>SUM(S235:S245)</f>
        <v>5631.17</v>
      </c>
      <c r="L246" s="66"/>
    </row>
    <row r="247" spans="1:23" ht="14.25" x14ac:dyDescent="0.2">
      <c r="A247" s="22"/>
      <c r="B247" s="22"/>
      <c r="C247" s="22"/>
      <c r="D247" s="22" t="s">
        <v>831</v>
      </c>
      <c r="E247" s="23" t="s">
        <v>830</v>
      </c>
      <c r="F247" s="68">
        <f>Source!AU105</f>
        <v>10</v>
      </c>
      <c r="G247" s="66"/>
      <c r="H247" s="24"/>
      <c r="I247" s="68"/>
      <c r="J247" s="68"/>
      <c r="K247" s="66">
        <f>SUM(U235:U246)</f>
        <v>804.45</v>
      </c>
      <c r="L247" s="66"/>
    </row>
    <row r="248" spans="1:23" ht="14.25" x14ac:dyDescent="0.2">
      <c r="A248" s="22"/>
      <c r="B248" s="22"/>
      <c r="C248" s="22"/>
      <c r="D248" s="22" t="s">
        <v>832</v>
      </c>
      <c r="E248" s="23" t="s">
        <v>830</v>
      </c>
      <c r="F248" s="68">
        <f>108</f>
        <v>108</v>
      </c>
      <c r="G248" s="66"/>
      <c r="H248" s="24"/>
      <c r="I248" s="68"/>
      <c r="J248" s="68"/>
      <c r="K248" s="66">
        <f>SUM(W235:W247)</f>
        <v>0.23</v>
      </c>
      <c r="L248" s="66"/>
    </row>
    <row r="249" spans="1:23" ht="14.25" x14ac:dyDescent="0.2">
      <c r="A249" s="22"/>
      <c r="B249" s="22"/>
      <c r="C249" s="22"/>
      <c r="D249" s="22" t="s">
        <v>833</v>
      </c>
      <c r="E249" s="23" t="s">
        <v>834</v>
      </c>
      <c r="F249" s="68">
        <f>Source!AQ105</f>
        <v>46.78</v>
      </c>
      <c r="G249" s="66"/>
      <c r="H249" s="24" t="str">
        <f>Source!DI105</f>
        <v/>
      </c>
      <c r="I249" s="68">
        <f>Source!AV105</f>
        <v>1</v>
      </c>
      <c r="J249" s="68"/>
      <c r="K249" s="66"/>
      <c r="L249" s="66">
        <f>Source!U105</f>
        <v>34.617200000000004</v>
      </c>
    </row>
    <row r="250" spans="1:23" ht="15" x14ac:dyDescent="0.25">
      <c r="A250" s="29"/>
      <c r="B250" s="29"/>
      <c r="C250" s="29"/>
      <c r="D250" s="29"/>
      <c r="E250" s="29"/>
      <c r="F250" s="29"/>
      <c r="G250" s="29"/>
      <c r="H250" s="29"/>
      <c r="I250" s="29"/>
      <c r="J250" s="104">
        <f>K237+K238+K240+K246+K247+K248+SUM(K241:K245)</f>
        <v>34962.949999999997</v>
      </c>
      <c r="K250" s="104"/>
      <c r="L250" s="67">
        <f>IF(Source!I105&lt;&gt;0, ROUND(J250/Source!I105, 2), 0)</f>
        <v>47247.23</v>
      </c>
      <c r="Q250" s="27">
        <f>J250</f>
        <v>34962.949999999997</v>
      </c>
    </row>
    <row r="251" spans="1:23" ht="85.5" x14ac:dyDescent="0.2">
      <c r="A251" s="22">
        <v>23</v>
      </c>
      <c r="B251" s="22">
        <v>23</v>
      </c>
      <c r="C251" s="22" t="str">
        <f>Source!F111</f>
        <v>1.21-3103-21-3/1</v>
      </c>
      <c r="D251" s="22" t="str">
        <f>Source!G111</f>
        <v>Затягивание проводов и кабелей в проложенные трубы и металлические рукава, провод первый одножильный или многожильный в общей оплетке, суммарное сечение до 16 мм2 (без стоимости материалов)</v>
      </c>
      <c r="E251" s="23" t="str">
        <f>Source!H111</f>
        <v>100 м</v>
      </c>
      <c r="F251" s="68">
        <f>Source!I111</f>
        <v>0.33</v>
      </c>
      <c r="G251" s="66"/>
      <c r="H251" s="24"/>
      <c r="I251" s="68"/>
      <c r="J251" s="68"/>
      <c r="K251" s="66"/>
      <c r="L251" s="66"/>
      <c r="R251">
        <f>ROUND((Source!BZ111/100)*ROUND((Source!AF111*Source!AV111)*Source!I111, 2), 2)</f>
        <v>477.48</v>
      </c>
      <c r="S251">
        <f>Source!X111</f>
        <v>477.48</v>
      </c>
      <c r="T251">
        <f>ROUND((Source!CA111/100)*ROUND((Source!AF111*Source!AV111)*Source!I111, 2), 2)</f>
        <v>68.209999999999994</v>
      </c>
      <c r="U251">
        <f>Source!Y111</f>
        <v>68.209999999999994</v>
      </c>
      <c r="V251">
        <f>ROUND((175/100)*ROUND((Source!AE111*Source!AV111)*Source!I111, 2), 2)</f>
        <v>0</v>
      </c>
      <c r="W251">
        <f>ROUND((108/100)*ROUND(Source!CS111*Source!I111, 2), 2)</f>
        <v>0</v>
      </c>
    </row>
    <row r="252" spans="1:23" x14ac:dyDescent="0.2">
      <c r="D252" s="32" t="str">
        <f>"Объем: "&amp;Source!I111&amp;"=33/"&amp;"100"</f>
        <v>Объем: 0,33=33/100</v>
      </c>
    </row>
    <row r="253" spans="1:23" ht="14.25" x14ac:dyDescent="0.2">
      <c r="A253" s="22"/>
      <c r="B253" s="22"/>
      <c r="C253" s="22"/>
      <c r="D253" s="22" t="s">
        <v>825</v>
      </c>
      <c r="E253" s="23"/>
      <c r="F253" s="68"/>
      <c r="G253" s="66">
        <f>Source!AO111</f>
        <v>2067.0300000000002</v>
      </c>
      <c r="H253" s="24" t="str">
        <f>Source!DG111</f>
        <v/>
      </c>
      <c r="I253" s="68">
        <f>Source!AV111</f>
        <v>1</v>
      </c>
      <c r="J253" s="68">
        <f>IF(Source!BA111&lt;&gt; 0, Source!BA111, 1)</f>
        <v>1</v>
      </c>
      <c r="K253" s="66">
        <f>Source!S111</f>
        <v>682.12</v>
      </c>
      <c r="L253" s="66"/>
    </row>
    <row r="254" spans="1:23" ht="114" x14ac:dyDescent="0.2">
      <c r="A254" s="22" t="s">
        <v>332</v>
      </c>
      <c r="B254" s="22" t="s">
        <v>332</v>
      </c>
      <c r="C254" s="22" t="str">
        <f>Source!F112</f>
        <v>21.23-8-270</v>
      </c>
      <c r="D254" s="22" t="str">
        <f>Source!G112</f>
        <v>Кабели силовые, с медными жилами, с изоляц. и оболоч.из ПВХ пластиката пониж.пожар.опасности, не распростр.горение, с пониж.дымо- и газовыделением и с низк.токсич-тью продуктов горения, напряж.1000 В, марка ВВГнг(А)-LSLTx, число жил и сечение, мм2: 3х2,5</v>
      </c>
      <c r="E254" s="23" t="str">
        <f>Source!H112</f>
        <v>км</v>
      </c>
      <c r="F254" s="68">
        <f>Source!I112</f>
        <v>3.3660000000000002E-2</v>
      </c>
      <c r="G254" s="66">
        <f>Source!AK112</f>
        <v>180898.67</v>
      </c>
      <c r="H254" s="31" t="s">
        <v>3</v>
      </c>
      <c r="I254" s="68">
        <f>Source!AW112</f>
        <v>1</v>
      </c>
      <c r="J254" s="68">
        <f>IF(Source!BC112&lt;&gt; 0, Source!BC112, 1)</f>
        <v>1</v>
      </c>
      <c r="K254" s="66">
        <f>Source!O112</f>
        <v>6089.05</v>
      </c>
      <c r="L254" s="66"/>
      <c r="R254">
        <f>ROUND((Source!BZ112/100)*ROUND((Source!AF112*Source!AV112)*Source!I112, 2), 2)</f>
        <v>0</v>
      </c>
      <c r="S254">
        <f>Source!X112</f>
        <v>0</v>
      </c>
      <c r="T254">
        <f>ROUND((Source!CA112/100)*ROUND((Source!AF112*Source!AV112)*Source!I112, 2), 2)</f>
        <v>0</v>
      </c>
      <c r="U254">
        <f>Source!Y112</f>
        <v>0</v>
      </c>
      <c r="V254">
        <f>ROUND((175/100)*ROUND((Source!AE112*Source!AV112)*Source!I112, 2), 2)</f>
        <v>0</v>
      </c>
      <c r="W254">
        <f>ROUND((108/100)*ROUND(Source!CS112*Source!I112, 2), 2)</f>
        <v>0</v>
      </c>
    </row>
    <row r="255" spans="1:23" ht="14.25" x14ac:dyDescent="0.2">
      <c r="A255" s="22"/>
      <c r="B255" s="22"/>
      <c r="C255" s="22"/>
      <c r="D255" s="22" t="s">
        <v>829</v>
      </c>
      <c r="E255" s="23" t="s">
        <v>830</v>
      </c>
      <c r="F255" s="68">
        <f>Source!AT111</f>
        <v>70</v>
      </c>
      <c r="G255" s="66"/>
      <c r="H255" s="24"/>
      <c r="I255" s="68"/>
      <c r="J255" s="68"/>
      <c r="K255" s="66">
        <f>SUM(S251:S254)</f>
        <v>477.48</v>
      </c>
      <c r="L255" s="66"/>
    </row>
    <row r="256" spans="1:23" ht="14.25" x14ac:dyDescent="0.2">
      <c r="A256" s="22"/>
      <c r="B256" s="22"/>
      <c r="C256" s="22"/>
      <c r="D256" s="22" t="s">
        <v>831</v>
      </c>
      <c r="E256" s="23" t="s">
        <v>830</v>
      </c>
      <c r="F256" s="68">
        <f>Source!AU111</f>
        <v>10</v>
      </c>
      <c r="G256" s="66"/>
      <c r="H256" s="24"/>
      <c r="I256" s="68"/>
      <c r="J256" s="68"/>
      <c r="K256" s="66">
        <f>SUM(U251:U255)</f>
        <v>68.209999999999994</v>
      </c>
      <c r="L256" s="66"/>
    </row>
    <row r="257" spans="1:23" ht="14.25" x14ac:dyDescent="0.2">
      <c r="A257" s="22"/>
      <c r="B257" s="22"/>
      <c r="C257" s="22"/>
      <c r="D257" s="22" t="s">
        <v>833</v>
      </c>
      <c r="E257" s="23" t="s">
        <v>834</v>
      </c>
      <c r="F257" s="68">
        <f>Source!AQ111</f>
        <v>8.2899999999999991</v>
      </c>
      <c r="G257" s="66"/>
      <c r="H257" s="24" t="str">
        <f>Source!DI111</f>
        <v/>
      </c>
      <c r="I257" s="68">
        <f>Source!AV111</f>
        <v>1</v>
      </c>
      <c r="J257" s="68"/>
      <c r="K257" s="66"/>
      <c r="L257" s="66">
        <f>Source!U111</f>
        <v>2.7357</v>
      </c>
    </row>
    <row r="258" spans="1:23" ht="15" x14ac:dyDescent="0.25">
      <c r="A258" s="29"/>
      <c r="B258" s="29"/>
      <c r="C258" s="29"/>
      <c r="D258" s="29"/>
      <c r="E258" s="29"/>
      <c r="F258" s="29"/>
      <c r="G258" s="29"/>
      <c r="H258" s="29"/>
      <c r="I258" s="29"/>
      <c r="J258" s="104">
        <f>K253+K255+K256+SUM(K254:K254)</f>
        <v>7316.8600000000006</v>
      </c>
      <c r="K258" s="104"/>
      <c r="L258" s="67">
        <f>IF(Source!I111&lt;&gt;0, ROUND(J258/Source!I111, 2), 0)</f>
        <v>22172.3</v>
      </c>
      <c r="Q258" s="27">
        <f>J258</f>
        <v>7316.8600000000006</v>
      </c>
    </row>
    <row r="259" spans="1:23" ht="28.5" x14ac:dyDescent="0.2">
      <c r="A259" s="22">
        <v>24</v>
      </c>
      <c r="B259" s="22">
        <v>24</v>
      </c>
      <c r="C259" s="22" t="str">
        <f>Source!F113</f>
        <v>1.21-3103-8-2/1</v>
      </c>
      <c r="D259" s="22" t="str">
        <f>Source!G113</f>
        <v>Прокладка проводов и кабелей в коробах, провод сечением до 35 мм2</v>
      </c>
      <c r="E259" s="23" t="str">
        <f>Source!H113</f>
        <v>100 м</v>
      </c>
      <c r="F259" s="68">
        <f>Source!I113</f>
        <v>4.8</v>
      </c>
      <c r="G259" s="66"/>
      <c r="H259" s="24"/>
      <c r="I259" s="68"/>
      <c r="J259" s="68"/>
      <c r="K259" s="66"/>
      <c r="L259" s="66"/>
      <c r="R259">
        <f>ROUND((Source!BZ113/100)*ROUND((Source!AF113*Source!AV113)*Source!I113, 2), 2)</f>
        <v>3971.09</v>
      </c>
      <c r="S259">
        <f>Source!X113</f>
        <v>3971.09</v>
      </c>
      <c r="T259">
        <f>ROUND((Source!CA113/100)*ROUND((Source!AF113*Source!AV113)*Source!I113, 2), 2)</f>
        <v>567.29999999999995</v>
      </c>
      <c r="U259">
        <f>Source!Y113</f>
        <v>567.29999999999995</v>
      </c>
      <c r="V259">
        <f>ROUND((175/100)*ROUND((Source!AE113*Source!AV113)*Source!I113, 2), 2)</f>
        <v>0</v>
      </c>
      <c r="W259">
        <f>ROUND((108/100)*ROUND(Source!CS113*Source!I113, 2), 2)</f>
        <v>0</v>
      </c>
    </row>
    <row r="260" spans="1:23" x14ac:dyDescent="0.2">
      <c r="D260" s="32" t="str">
        <f>"Объем: "&amp;Source!I113&amp;"=480/"&amp;"100"</f>
        <v>Объем: 4,8=480/100</v>
      </c>
    </row>
    <row r="261" spans="1:23" ht="14.25" x14ac:dyDescent="0.2">
      <c r="A261" s="22"/>
      <c r="B261" s="22"/>
      <c r="C261" s="22"/>
      <c r="D261" s="22" t="s">
        <v>825</v>
      </c>
      <c r="E261" s="23"/>
      <c r="F261" s="68"/>
      <c r="G261" s="66">
        <f>Source!AO113</f>
        <v>1181.8699999999999</v>
      </c>
      <c r="H261" s="24" t="str">
        <f>Source!DG113</f>
        <v/>
      </c>
      <c r="I261" s="68">
        <f>Source!AV113</f>
        <v>1</v>
      </c>
      <c r="J261" s="68">
        <f>IF(Source!BA113&lt;&gt; 0, Source!BA113, 1)</f>
        <v>1</v>
      </c>
      <c r="K261" s="66">
        <f>Source!S113</f>
        <v>5672.98</v>
      </c>
      <c r="L261" s="66"/>
    </row>
    <row r="262" spans="1:23" ht="14.25" x14ac:dyDescent="0.2">
      <c r="A262" s="22"/>
      <c r="B262" s="22"/>
      <c r="C262" s="22"/>
      <c r="D262" s="22" t="s">
        <v>828</v>
      </c>
      <c r="E262" s="23"/>
      <c r="F262" s="68"/>
      <c r="G262" s="66">
        <f>Source!AL113</f>
        <v>16876.650000000001</v>
      </c>
      <c r="H262" s="24" t="str">
        <f>Source!DD113</f>
        <v/>
      </c>
      <c r="I262" s="68">
        <f>Source!AW113</f>
        <v>1</v>
      </c>
      <c r="J262" s="68">
        <f>IF(Source!BC113&lt;&gt; 0, Source!BC113, 1)</f>
        <v>1</v>
      </c>
      <c r="K262" s="66">
        <f>Source!P113</f>
        <v>81007.92</v>
      </c>
      <c r="L262" s="66"/>
    </row>
    <row r="263" spans="1:23" ht="114" x14ac:dyDescent="0.2">
      <c r="A263" s="22" t="s">
        <v>337</v>
      </c>
      <c r="B263" s="22" t="s">
        <v>337</v>
      </c>
      <c r="C263" s="22" t="str">
        <f>Source!F114</f>
        <v>21.23-8-270</v>
      </c>
      <c r="D263" s="22" t="str">
        <f>Source!G114</f>
        <v>Кабели силовые, с медными жилами, с изоляц. и оболоч.из ПВХ пластиката пониж.пожар.опасности, не распростр.горение, с пониж.дымо- и газовыделением и с низк.токсич-тью продуктов горения, напряж.1000 В, марка ВВГнг(А)-LSLTx, число жил и сечение, мм2: 3х2,5</v>
      </c>
      <c r="E263" s="23" t="str">
        <f>Source!H114</f>
        <v>км</v>
      </c>
      <c r="F263" s="68">
        <f>Source!I114</f>
        <v>0.48959999999999992</v>
      </c>
      <c r="G263" s="66">
        <f>Source!AK114</f>
        <v>180898.67</v>
      </c>
      <c r="H263" s="31" t="s">
        <v>3</v>
      </c>
      <c r="I263" s="68">
        <f>Source!AW114</f>
        <v>1</v>
      </c>
      <c r="J263" s="68">
        <f>IF(Source!BC114&lt;&gt; 0, Source!BC114, 1)</f>
        <v>1</v>
      </c>
      <c r="K263" s="66">
        <f>Source!O114</f>
        <v>88567.99</v>
      </c>
      <c r="L263" s="66"/>
      <c r="R263">
        <f>ROUND((Source!BZ114/100)*ROUND((Source!AF114*Source!AV114)*Source!I114, 2), 2)</f>
        <v>0</v>
      </c>
      <c r="S263">
        <f>Source!X114</f>
        <v>0</v>
      </c>
      <c r="T263">
        <f>ROUND((Source!CA114/100)*ROUND((Source!AF114*Source!AV114)*Source!I114, 2), 2)</f>
        <v>0</v>
      </c>
      <c r="U263">
        <f>Source!Y114</f>
        <v>0</v>
      </c>
      <c r="V263">
        <f>ROUND((175/100)*ROUND((Source!AE114*Source!AV114)*Source!I114, 2), 2)</f>
        <v>0</v>
      </c>
      <c r="W263">
        <f>ROUND((108/100)*ROUND(Source!CS114*Source!I114, 2), 2)</f>
        <v>0</v>
      </c>
    </row>
    <row r="264" spans="1:23" ht="57" x14ac:dyDescent="0.2">
      <c r="A264" s="22" t="s">
        <v>338</v>
      </c>
      <c r="B264" s="22" t="s">
        <v>338</v>
      </c>
      <c r="C264" s="22" t="str">
        <f>Source!F115</f>
        <v>21.23-13-15</v>
      </c>
      <c r="D264" s="22" t="str">
        <f>Source!G115</f>
        <v>Провода силовые с медными жилами в поливинилхлоридной изоляции, марка ПуГВ, номинальное напряжение до 450 В, число жил и сечение 1х10 мм2</v>
      </c>
      <c r="E264" s="23" t="str">
        <f>Source!H115</f>
        <v>км</v>
      </c>
      <c r="F264" s="68">
        <f>Source!I115</f>
        <v>-0.49440000000000001</v>
      </c>
      <c r="G264" s="66">
        <f>Source!AK115</f>
        <v>160962.20000000001</v>
      </c>
      <c r="H264" s="31" t="s">
        <v>3</v>
      </c>
      <c r="I264" s="68">
        <f>Source!AW115</f>
        <v>1</v>
      </c>
      <c r="J264" s="68">
        <f>IF(Source!BC115&lt;&gt; 0, Source!BC115, 1)</f>
        <v>1</v>
      </c>
      <c r="K264" s="66">
        <f>Source!O115</f>
        <v>-79579.710000000006</v>
      </c>
      <c r="L264" s="66"/>
      <c r="R264">
        <f>ROUND((Source!BZ115/100)*ROUND((Source!AF115*Source!AV115)*Source!I115, 2), 2)</f>
        <v>0</v>
      </c>
      <c r="S264">
        <f>Source!X115</f>
        <v>0</v>
      </c>
      <c r="T264">
        <f>ROUND((Source!CA115/100)*ROUND((Source!AF115*Source!AV115)*Source!I115, 2), 2)</f>
        <v>0</v>
      </c>
      <c r="U264">
        <f>Source!Y115</f>
        <v>0</v>
      </c>
      <c r="V264">
        <f>ROUND((175/100)*ROUND((Source!AE115*Source!AV115)*Source!I115, 2), 2)</f>
        <v>0</v>
      </c>
      <c r="W264">
        <f>ROUND((108/100)*ROUND(Source!CS115*Source!I115, 2), 2)</f>
        <v>0</v>
      </c>
    </row>
    <row r="265" spans="1:23" ht="14.25" x14ac:dyDescent="0.2">
      <c r="A265" s="22"/>
      <c r="B265" s="22"/>
      <c r="C265" s="22"/>
      <c r="D265" s="22" t="s">
        <v>829</v>
      </c>
      <c r="E265" s="23" t="s">
        <v>830</v>
      </c>
      <c r="F265" s="68">
        <f>Source!AT113</f>
        <v>70</v>
      </c>
      <c r="G265" s="66"/>
      <c r="H265" s="24"/>
      <c r="I265" s="68"/>
      <c r="J265" s="68"/>
      <c r="K265" s="66">
        <f>SUM(S259:S264)</f>
        <v>3971.09</v>
      </c>
      <c r="L265" s="66"/>
    </row>
    <row r="266" spans="1:23" ht="14.25" x14ac:dyDescent="0.2">
      <c r="A266" s="22"/>
      <c r="B266" s="22"/>
      <c r="C266" s="22"/>
      <c r="D266" s="22" t="s">
        <v>831</v>
      </c>
      <c r="E266" s="23" t="s">
        <v>830</v>
      </c>
      <c r="F266" s="68">
        <f>Source!AU113</f>
        <v>10</v>
      </c>
      <c r="G266" s="66"/>
      <c r="H266" s="24"/>
      <c r="I266" s="68"/>
      <c r="J266" s="68"/>
      <c r="K266" s="66">
        <f>SUM(U259:U265)</f>
        <v>567.29999999999995</v>
      </c>
      <c r="L266" s="66"/>
    </row>
    <row r="267" spans="1:23" ht="14.25" x14ac:dyDescent="0.2">
      <c r="A267" s="22"/>
      <c r="B267" s="22"/>
      <c r="C267" s="22"/>
      <c r="D267" s="22" t="s">
        <v>833</v>
      </c>
      <c r="E267" s="23" t="s">
        <v>834</v>
      </c>
      <c r="F267" s="68">
        <f>Source!AQ113</f>
        <v>4.74</v>
      </c>
      <c r="G267" s="66"/>
      <c r="H267" s="24" t="str">
        <f>Source!DI113</f>
        <v/>
      </c>
      <c r="I267" s="68">
        <f>Source!AV113</f>
        <v>1</v>
      </c>
      <c r="J267" s="68"/>
      <c r="K267" s="66"/>
      <c r="L267" s="66">
        <f>Source!U113</f>
        <v>22.751999999999999</v>
      </c>
    </row>
    <row r="268" spans="1:23" ht="15" x14ac:dyDescent="0.25">
      <c r="A268" s="29"/>
      <c r="B268" s="29"/>
      <c r="C268" s="29"/>
      <c r="D268" s="29"/>
      <c r="E268" s="29"/>
      <c r="F268" s="29"/>
      <c r="G268" s="29"/>
      <c r="H268" s="29"/>
      <c r="I268" s="29"/>
      <c r="J268" s="104">
        <f>K261+K262+K265+K266+SUM(K263:K264)</f>
        <v>100207.56999999999</v>
      </c>
      <c r="K268" s="104"/>
      <c r="L268" s="67">
        <f>IF(Source!I113&lt;&gt;0, ROUND(J268/Source!I113, 2), 0)</f>
        <v>20876.580000000002</v>
      </c>
      <c r="Q268" s="27">
        <f>J268</f>
        <v>100207.56999999999</v>
      </c>
    </row>
    <row r="269" spans="1:23" ht="71.25" x14ac:dyDescent="0.2">
      <c r="A269" s="22">
        <v>29</v>
      </c>
      <c r="B269" s="22">
        <v>29</v>
      </c>
      <c r="C269" s="22" t="str">
        <f>Source!F120</f>
        <v>1.50-3204-11-9/1</v>
      </c>
      <c r="D269" s="22" t="str">
        <f>Source!G120</f>
        <v>Сверление сквозных отверстий в бетонных стенах и полах электроперфоратором, диаметр отверстия до 30 мм, глубина сверления 100 мм</v>
      </c>
      <c r="E269" s="23" t="str">
        <f>Source!H120</f>
        <v>100 отверстий</v>
      </c>
      <c r="F269" s="68">
        <f>Source!I120</f>
        <v>0.05</v>
      </c>
      <c r="G269" s="66"/>
      <c r="H269" s="24"/>
      <c r="I269" s="68"/>
      <c r="J269" s="68"/>
      <c r="K269" s="66"/>
      <c r="L269" s="66"/>
      <c r="R269">
        <f>ROUND((Source!BZ120/100)*ROUND((Source!AF120*Source!AV120)*Source!I120, 2), 2)</f>
        <v>81.73</v>
      </c>
      <c r="S269">
        <f>Source!X120</f>
        <v>81.73</v>
      </c>
      <c r="T269">
        <f>ROUND((Source!CA120/100)*ROUND((Source!AF120*Source!AV120)*Source!I120, 2), 2)</f>
        <v>11.68</v>
      </c>
      <c r="U269">
        <f>Source!Y120</f>
        <v>11.68</v>
      </c>
      <c r="V269">
        <f>ROUND((175/100)*ROUND((Source!AE120*Source!AV120)*Source!I120, 2), 2)</f>
        <v>0.02</v>
      </c>
      <c r="W269">
        <f>ROUND((108/100)*ROUND(Source!CS120*Source!I120, 2), 2)</f>
        <v>0.01</v>
      </c>
    </row>
    <row r="270" spans="1:23" x14ac:dyDescent="0.2">
      <c r="D270" s="32" t="str">
        <f>"Объем: "&amp;Source!I120&amp;"=5/"&amp;"100"</f>
        <v>Объем: 0,05=5/100</v>
      </c>
    </row>
    <row r="271" spans="1:23" ht="14.25" x14ac:dyDescent="0.2">
      <c r="A271" s="22"/>
      <c r="B271" s="22"/>
      <c r="C271" s="22"/>
      <c r="D271" s="22" t="s">
        <v>825</v>
      </c>
      <c r="E271" s="23"/>
      <c r="F271" s="68"/>
      <c r="G271" s="66">
        <f>Source!AO120</f>
        <v>2334.9699999999998</v>
      </c>
      <c r="H271" s="24" t="str">
        <f>Source!DG120</f>
        <v/>
      </c>
      <c r="I271" s="68">
        <f>Source!AV120</f>
        <v>1</v>
      </c>
      <c r="J271" s="68">
        <f>IF(Source!BA120&lt;&gt; 0, Source!BA120, 1)</f>
        <v>1</v>
      </c>
      <c r="K271" s="66">
        <f>Source!S120</f>
        <v>116.75</v>
      </c>
      <c r="L271" s="66"/>
    </row>
    <row r="272" spans="1:23" ht="14.25" x14ac:dyDescent="0.2">
      <c r="A272" s="22"/>
      <c r="B272" s="22"/>
      <c r="C272" s="22"/>
      <c r="D272" s="22" t="s">
        <v>826</v>
      </c>
      <c r="E272" s="23"/>
      <c r="F272" s="68"/>
      <c r="G272" s="66">
        <f>Source!AM120</f>
        <v>34.54</v>
      </c>
      <c r="H272" s="24" t="str">
        <f>Source!DE120</f>
        <v/>
      </c>
      <c r="I272" s="68">
        <f>Source!AV120</f>
        <v>1</v>
      </c>
      <c r="J272" s="68">
        <f>IF(Source!BB120&lt;&gt; 0, Source!BB120, 1)</f>
        <v>1</v>
      </c>
      <c r="K272" s="66">
        <f>Source!Q120</f>
        <v>1.73</v>
      </c>
      <c r="L272" s="66"/>
    </row>
    <row r="273" spans="1:23" ht="14.25" x14ac:dyDescent="0.2">
      <c r="A273" s="22"/>
      <c r="B273" s="22"/>
      <c r="C273" s="22"/>
      <c r="D273" s="22" t="s">
        <v>827</v>
      </c>
      <c r="E273" s="23"/>
      <c r="F273" s="68"/>
      <c r="G273" s="66">
        <f>Source!AN120</f>
        <v>0.11</v>
      </c>
      <c r="H273" s="24" t="str">
        <f>Source!DF120</f>
        <v/>
      </c>
      <c r="I273" s="68">
        <f>Source!AV120</f>
        <v>1</v>
      </c>
      <c r="J273" s="68">
        <f>IF(Source!BS120&lt;&gt; 0, Source!BS120, 1)</f>
        <v>1</v>
      </c>
      <c r="K273" s="26">
        <f>Source!R120</f>
        <v>0.01</v>
      </c>
      <c r="L273" s="66"/>
    </row>
    <row r="274" spans="1:23" ht="14.25" x14ac:dyDescent="0.2">
      <c r="A274" s="22"/>
      <c r="B274" s="22"/>
      <c r="C274" s="22"/>
      <c r="D274" s="22" t="s">
        <v>828</v>
      </c>
      <c r="E274" s="23"/>
      <c r="F274" s="68"/>
      <c r="G274" s="66">
        <f>Source!AL120</f>
        <v>23705.4</v>
      </c>
      <c r="H274" s="24" t="str">
        <f>Source!DD120</f>
        <v/>
      </c>
      <c r="I274" s="68">
        <f>Source!AW120</f>
        <v>1</v>
      </c>
      <c r="J274" s="68">
        <f>IF(Source!BC120&lt;&gt; 0, Source!BC120, 1)</f>
        <v>1</v>
      </c>
      <c r="K274" s="66">
        <f>Source!P120</f>
        <v>1185.27</v>
      </c>
      <c r="L274" s="66"/>
    </row>
    <row r="275" spans="1:23" ht="14.25" x14ac:dyDescent="0.2">
      <c r="A275" s="22"/>
      <c r="B275" s="22"/>
      <c r="C275" s="22"/>
      <c r="D275" s="22" t="s">
        <v>829</v>
      </c>
      <c r="E275" s="23" t="s">
        <v>830</v>
      </c>
      <c r="F275" s="68">
        <f>Source!AT120</f>
        <v>70</v>
      </c>
      <c r="G275" s="66"/>
      <c r="H275" s="24"/>
      <c r="I275" s="68"/>
      <c r="J275" s="68"/>
      <c r="K275" s="66">
        <f>SUM(S269:S274)</f>
        <v>81.73</v>
      </c>
      <c r="L275" s="66"/>
    </row>
    <row r="276" spans="1:23" ht="14.25" x14ac:dyDescent="0.2">
      <c r="A276" s="22"/>
      <c r="B276" s="22"/>
      <c r="C276" s="22"/>
      <c r="D276" s="22" t="s">
        <v>831</v>
      </c>
      <c r="E276" s="23" t="s">
        <v>830</v>
      </c>
      <c r="F276" s="68">
        <f>Source!AU120</f>
        <v>10</v>
      </c>
      <c r="G276" s="66"/>
      <c r="H276" s="24"/>
      <c r="I276" s="68"/>
      <c r="J276" s="68"/>
      <c r="K276" s="66">
        <f>SUM(U269:U275)</f>
        <v>11.68</v>
      </c>
      <c r="L276" s="66"/>
    </row>
    <row r="277" spans="1:23" ht="14.25" x14ac:dyDescent="0.2">
      <c r="A277" s="22"/>
      <c r="B277" s="22"/>
      <c r="C277" s="22"/>
      <c r="D277" s="22" t="s">
        <v>832</v>
      </c>
      <c r="E277" s="23" t="s">
        <v>830</v>
      </c>
      <c r="F277" s="68">
        <f>108</f>
        <v>108</v>
      </c>
      <c r="G277" s="66"/>
      <c r="H277" s="24"/>
      <c r="I277" s="68"/>
      <c r="J277" s="68"/>
      <c r="K277" s="66">
        <f>SUM(W269:W276)</f>
        <v>0.01</v>
      </c>
      <c r="L277" s="66"/>
    </row>
    <row r="278" spans="1:23" ht="14.25" x14ac:dyDescent="0.2">
      <c r="A278" s="22"/>
      <c r="B278" s="22"/>
      <c r="C278" s="22"/>
      <c r="D278" s="22" t="s">
        <v>833</v>
      </c>
      <c r="E278" s="23" t="s">
        <v>834</v>
      </c>
      <c r="F278" s="68">
        <f>Source!AQ120</f>
        <v>11</v>
      </c>
      <c r="G278" s="66"/>
      <c r="H278" s="24" t="str">
        <f>Source!DI120</f>
        <v/>
      </c>
      <c r="I278" s="68">
        <f>Source!AV120</f>
        <v>1</v>
      </c>
      <c r="J278" s="68"/>
      <c r="K278" s="66"/>
      <c r="L278" s="66">
        <f>Source!U120</f>
        <v>0.55000000000000004</v>
      </c>
    </row>
    <row r="279" spans="1:23" ht="15" x14ac:dyDescent="0.25">
      <c r="A279" s="29"/>
      <c r="B279" s="29"/>
      <c r="C279" s="29"/>
      <c r="D279" s="29"/>
      <c r="E279" s="29"/>
      <c r="F279" s="29"/>
      <c r="G279" s="29"/>
      <c r="H279" s="29"/>
      <c r="I279" s="29"/>
      <c r="J279" s="104">
        <f>K271+K272+K274+K275+K276+K277</f>
        <v>1397.17</v>
      </c>
      <c r="K279" s="104"/>
      <c r="L279" s="67">
        <f>IF(Source!I120&lt;&gt;0, ROUND(J279/Source!I120, 2), 0)</f>
        <v>27943.4</v>
      </c>
      <c r="Q279" s="27">
        <f>J279</f>
        <v>1397.17</v>
      </c>
    </row>
    <row r="280" spans="1:23" ht="42.75" x14ac:dyDescent="0.2">
      <c r="A280" s="22">
        <v>30</v>
      </c>
      <c r="B280" s="22">
        <v>30</v>
      </c>
      <c r="C280" s="22" t="str">
        <f>Source!F121</f>
        <v>1.50-3204-11-10/1</v>
      </c>
      <c r="D280" s="22" t="str">
        <f>Source!G121</f>
        <v>Добавлять на каждые 50 мм глубины сверления сверх 100 мм к поз. 50-3204-11-9</v>
      </c>
      <c r="E280" s="23" t="str">
        <f>Source!H121</f>
        <v>100 отверстий</v>
      </c>
      <c r="F280" s="68">
        <f>Source!I121</f>
        <v>0.05</v>
      </c>
      <c r="G280" s="66"/>
      <c r="H280" s="24"/>
      <c r="I280" s="68"/>
      <c r="J280" s="68"/>
      <c r="K280" s="66"/>
      <c r="L280" s="66"/>
      <c r="R280">
        <f>ROUND((Source!BZ121/100)*ROUND((Source!AF121*Source!AV121)*Source!I121, 2), 2)</f>
        <v>27.49</v>
      </c>
      <c r="S280">
        <f>Source!X121</f>
        <v>27.49</v>
      </c>
      <c r="T280">
        <f>ROUND((Source!CA121/100)*ROUND((Source!AF121*Source!AV121)*Source!I121, 2), 2)</f>
        <v>3.93</v>
      </c>
      <c r="U280">
        <f>Source!Y121</f>
        <v>3.93</v>
      </c>
      <c r="V280">
        <f>ROUND((175/100)*ROUND((Source!AE121*Source!AV121)*Source!I121, 2), 2)</f>
        <v>0</v>
      </c>
      <c r="W280">
        <f>ROUND((108/100)*ROUND(Source!CS121*Source!I121, 2), 2)</f>
        <v>0</v>
      </c>
    </row>
    <row r="281" spans="1:23" x14ac:dyDescent="0.2">
      <c r="D281" s="32" t="str">
        <f>"Объем: "&amp;Source!I121&amp;"=5/"&amp;"100"</f>
        <v>Объем: 0,05=5/100</v>
      </c>
    </row>
    <row r="282" spans="1:23" ht="14.25" x14ac:dyDescent="0.2">
      <c r="A282" s="22"/>
      <c r="B282" s="22"/>
      <c r="C282" s="22"/>
      <c r="D282" s="22" t="s">
        <v>825</v>
      </c>
      <c r="E282" s="23"/>
      <c r="F282" s="68"/>
      <c r="G282" s="66">
        <f>Source!AO121</f>
        <v>785.4</v>
      </c>
      <c r="H282" s="24" t="str">
        <f>Source!DG121</f>
        <v/>
      </c>
      <c r="I282" s="68">
        <f>Source!AV121</f>
        <v>1</v>
      </c>
      <c r="J282" s="68">
        <f>IF(Source!BA121&lt;&gt; 0, Source!BA121, 1)</f>
        <v>1</v>
      </c>
      <c r="K282" s="66">
        <f>Source!S121</f>
        <v>39.270000000000003</v>
      </c>
      <c r="L282" s="66"/>
    </row>
    <row r="283" spans="1:23" ht="14.25" x14ac:dyDescent="0.2">
      <c r="A283" s="22"/>
      <c r="B283" s="22"/>
      <c r="C283" s="22"/>
      <c r="D283" s="22" t="s">
        <v>826</v>
      </c>
      <c r="E283" s="23"/>
      <c r="F283" s="68"/>
      <c r="G283" s="66">
        <f>Source!AM121</f>
        <v>11.62</v>
      </c>
      <c r="H283" s="24" t="str">
        <f>Source!DE121</f>
        <v/>
      </c>
      <c r="I283" s="68">
        <f>Source!AV121</f>
        <v>1</v>
      </c>
      <c r="J283" s="68">
        <f>IF(Source!BB121&lt;&gt; 0, Source!BB121, 1)</f>
        <v>1</v>
      </c>
      <c r="K283" s="66">
        <f>Source!Q121</f>
        <v>0.57999999999999996</v>
      </c>
      <c r="L283" s="66"/>
    </row>
    <row r="284" spans="1:23" ht="14.25" x14ac:dyDescent="0.2">
      <c r="A284" s="22"/>
      <c r="B284" s="22"/>
      <c r="C284" s="22"/>
      <c r="D284" s="22" t="s">
        <v>829</v>
      </c>
      <c r="E284" s="23" t="s">
        <v>830</v>
      </c>
      <c r="F284" s="68">
        <f>Source!AT121</f>
        <v>70</v>
      </c>
      <c r="G284" s="66"/>
      <c r="H284" s="24"/>
      <c r="I284" s="68"/>
      <c r="J284" s="68"/>
      <c r="K284" s="66">
        <f>SUM(S280:S283)</f>
        <v>27.49</v>
      </c>
      <c r="L284" s="66"/>
    </row>
    <row r="285" spans="1:23" ht="14.25" x14ac:dyDescent="0.2">
      <c r="A285" s="22"/>
      <c r="B285" s="22"/>
      <c r="C285" s="22"/>
      <c r="D285" s="22" t="s">
        <v>831</v>
      </c>
      <c r="E285" s="23" t="s">
        <v>830</v>
      </c>
      <c r="F285" s="68">
        <f>Source!AU121</f>
        <v>10</v>
      </c>
      <c r="G285" s="66"/>
      <c r="H285" s="24"/>
      <c r="I285" s="68"/>
      <c r="J285" s="68"/>
      <c r="K285" s="66">
        <f>SUM(U280:U284)</f>
        <v>3.93</v>
      </c>
      <c r="L285" s="66"/>
    </row>
    <row r="286" spans="1:23" ht="14.25" x14ac:dyDescent="0.2">
      <c r="A286" s="22"/>
      <c r="B286" s="22"/>
      <c r="C286" s="22"/>
      <c r="D286" s="22" t="s">
        <v>833</v>
      </c>
      <c r="E286" s="23" t="s">
        <v>834</v>
      </c>
      <c r="F286" s="68">
        <f>Source!AQ121</f>
        <v>3.7</v>
      </c>
      <c r="G286" s="66"/>
      <c r="H286" s="24" t="str">
        <f>Source!DI121</f>
        <v/>
      </c>
      <c r="I286" s="68">
        <f>Source!AV121</f>
        <v>1</v>
      </c>
      <c r="J286" s="68"/>
      <c r="K286" s="66"/>
      <c r="L286" s="66">
        <f>Source!U121</f>
        <v>0.18500000000000003</v>
      </c>
    </row>
    <row r="287" spans="1:23" ht="15" x14ac:dyDescent="0.25">
      <c r="A287" s="29"/>
      <c r="B287" s="29"/>
      <c r="C287" s="29"/>
      <c r="D287" s="29"/>
      <c r="E287" s="29"/>
      <c r="F287" s="29"/>
      <c r="G287" s="29"/>
      <c r="H287" s="29"/>
      <c r="I287" s="29"/>
      <c r="J287" s="104">
        <f>K282+K283+K284+K285</f>
        <v>71.27000000000001</v>
      </c>
      <c r="K287" s="104"/>
      <c r="L287" s="67">
        <f>IF(Source!I121&lt;&gt;0, ROUND(J287/Source!I121, 2), 0)</f>
        <v>1425.4</v>
      </c>
      <c r="Q287" s="27">
        <f>J287</f>
        <v>71.27000000000001</v>
      </c>
    </row>
    <row r="288" spans="1:23" ht="28.5" x14ac:dyDescent="0.2">
      <c r="A288" s="22">
        <v>35</v>
      </c>
      <c r="B288" s="22">
        <v>35</v>
      </c>
      <c r="C288" s="22" t="str">
        <f>Source!F126</f>
        <v>1.50-3201-1-1/1</v>
      </c>
      <c r="D288" s="22" t="str">
        <f>Source!G126</f>
        <v>Заделка отверстий и гнезд в стенах бетонных, площадь заделки 0,1 м2</v>
      </c>
      <c r="E288" s="23" t="str">
        <f>Source!H126</f>
        <v>м3</v>
      </c>
      <c r="F288" s="68">
        <f>Source!I126</f>
        <v>2.9500000000000001E-4</v>
      </c>
      <c r="G288" s="66"/>
      <c r="H288" s="24"/>
      <c r="I288" s="68"/>
      <c r="J288" s="68"/>
      <c r="K288" s="66"/>
      <c r="L288" s="66"/>
      <c r="R288">
        <f>ROUND((Source!BZ126/100)*ROUND((Source!AF126*Source!AV126)*Source!I126, 2), 2)</f>
        <v>4.47</v>
      </c>
      <c r="S288">
        <f>Source!X126</f>
        <v>4.47</v>
      </c>
      <c r="T288">
        <f>ROUND((Source!CA126/100)*ROUND((Source!AF126*Source!AV126)*Source!I126, 2), 2)</f>
        <v>0.64</v>
      </c>
      <c r="U288">
        <f>Source!Y126</f>
        <v>0.64</v>
      </c>
      <c r="V288">
        <f>ROUND((175/100)*ROUND((Source!AE126*Source!AV126)*Source!I126, 2), 2)</f>
        <v>0</v>
      </c>
      <c r="W288">
        <f>ROUND((108/100)*ROUND(Source!CS126*Source!I126, 2), 2)</f>
        <v>0</v>
      </c>
    </row>
    <row r="289" spans="1:23" ht="14.25" x14ac:dyDescent="0.2">
      <c r="A289" s="22"/>
      <c r="B289" s="22"/>
      <c r="C289" s="22"/>
      <c r="D289" s="22" t="s">
        <v>825</v>
      </c>
      <c r="E289" s="23"/>
      <c r="F289" s="68"/>
      <c r="G289" s="66">
        <f>Source!AO126</f>
        <v>21676.13</v>
      </c>
      <c r="H289" s="24" t="str">
        <f>Source!DG126</f>
        <v/>
      </c>
      <c r="I289" s="68">
        <f>Source!AV126</f>
        <v>1</v>
      </c>
      <c r="J289" s="68">
        <f>IF(Source!BA126&lt;&gt; 0, Source!BA126, 1)</f>
        <v>1</v>
      </c>
      <c r="K289" s="66">
        <f>Source!S126</f>
        <v>6.39</v>
      </c>
      <c r="L289" s="66"/>
    </row>
    <row r="290" spans="1:23" ht="14.25" x14ac:dyDescent="0.2">
      <c r="A290" s="22"/>
      <c r="B290" s="22"/>
      <c r="C290" s="22"/>
      <c r="D290" s="22" t="s">
        <v>828</v>
      </c>
      <c r="E290" s="23"/>
      <c r="F290" s="68"/>
      <c r="G290" s="66">
        <f>Source!AL126</f>
        <v>8198.49</v>
      </c>
      <c r="H290" s="24" t="str">
        <f>Source!DD126</f>
        <v/>
      </c>
      <c r="I290" s="68">
        <f>Source!AW126</f>
        <v>1</v>
      </c>
      <c r="J290" s="68">
        <f>IF(Source!BC126&lt;&gt; 0, Source!BC126, 1)</f>
        <v>1</v>
      </c>
      <c r="K290" s="66">
        <f>Source!P126</f>
        <v>2.42</v>
      </c>
      <c r="L290" s="66"/>
    </row>
    <row r="291" spans="1:23" ht="14.25" x14ac:dyDescent="0.2">
      <c r="A291" s="22"/>
      <c r="B291" s="22"/>
      <c r="C291" s="22"/>
      <c r="D291" s="22" t="s">
        <v>829</v>
      </c>
      <c r="E291" s="23" t="s">
        <v>830</v>
      </c>
      <c r="F291" s="68">
        <f>Source!AT126</f>
        <v>70</v>
      </c>
      <c r="G291" s="66"/>
      <c r="H291" s="24"/>
      <c r="I291" s="68"/>
      <c r="J291" s="68"/>
      <c r="K291" s="66">
        <f>SUM(S288:S290)</f>
        <v>4.47</v>
      </c>
      <c r="L291" s="66"/>
    </row>
    <row r="292" spans="1:23" ht="14.25" x14ac:dyDescent="0.2">
      <c r="A292" s="22"/>
      <c r="B292" s="22"/>
      <c r="C292" s="22"/>
      <c r="D292" s="22" t="s">
        <v>831</v>
      </c>
      <c r="E292" s="23" t="s">
        <v>830</v>
      </c>
      <c r="F292" s="68">
        <f>Source!AU126</f>
        <v>10</v>
      </c>
      <c r="G292" s="66"/>
      <c r="H292" s="24"/>
      <c r="I292" s="68"/>
      <c r="J292" s="68"/>
      <c r="K292" s="66">
        <f>SUM(U288:U291)</f>
        <v>0.64</v>
      </c>
      <c r="L292" s="66"/>
    </row>
    <row r="293" spans="1:23" ht="14.25" x14ac:dyDescent="0.2">
      <c r="A293" s="22"/>
      <c r="B293" s="22"/>
      <c r="C293" s="22"/>
      <c r="D293" s="22" t="s">
        <v>833</v>
      </c>
      <c r="E293" s="23" t="s">
        <v>834</v>
      </c>
      <c r="F293" s="68">
        <f>Source!AQ126</f>
        <v>95.84</v>
      </c>
      <c r="G293" s="66"/>
      <c r="H293" s="24" t="str">
        <f>Source!DI126</f>
        <v/>
      </c>
      <c r="I293" s="68">
        <f>Source!AV126</f>
        <v>1</v>
      </c>
      <c r="J293" s="68"/>
      <c r="K293" s="66"/>
      <c r="L293" s="66">
        <f>Source!U126</f>
        <v>2.8272800000000001E-2</v>
      </c>
    </row>
    <row r="294" spans="1:23" ht="15" x14ac:dyDescent="0.25">
      <c r="A294" s="29"/>
      <c r="B294" s="29"/>
      <c r="C294" s="29"/>
      <c r="D294" s="29"/>
      <c r="E294" s="29"/>
      <c r="F294" s="29"/>
      <c r="G294" s="29"/>
      <c r="H294" s="29"/>
      <c r="I294" s="29"/>
      <c r="J294" s="104">
        <f>K289+K290+K291+K292</f>
        <v>13.919999999999998</v>
      </c>
      <c r="K294" s="104"/>
      <c r="L294" s="67">
        <f>IF(Source!I126&lt;&gt;0, ROUND(J294/Source!I126, 2), 0)</f>
        <v>47186.44</v>
      </c>
      <c r="Q294" s="27">
        <f>J294</f>
        <v>13.919999999999998</v>
      </c>
    </row>
    <row r="295" spans="1:23" ht="28.5" x14ac:dyDescent="0.2">
      <c r="A295" s="22">
        <v>38</v>
      </c>
      <c r="B295" s="22">
        <v>38</v>
      </c>
      <c r="C295" s="22" t="str">
        <f>Source!F129</f>
        <v>1.50-3203-4-1/1</v>
      </c>
      <c r="D295" s="22" t="str">
        <f>Source!G129</f>
        <v>Установка химических анкеров в готовые отверстия</v>
      </c>
      <c r="E295" s="23" t="str">
        <f>Source!H129</f>
        <v>100 компл.</v>
      </c>
      <c r="F295" s="68">
        <f>Source!I129</f>
        <v>0.02</v>
      </c>
      <c r="G295" s="66"/>
      <c r="H295" s="24"/>
      <c r="I295" s="68"/>
      <c r="J295" s="68"/>
      <c r="K295" s="66"/>
      <c r="L295" s="66"/>
      <c r="R295">
        <f>ROUND((Source!BZ129/100)*ROUND((Source!AF129*Source!AV129)*Source!I129, 2), 2)</f>
        <v>79.11</v>
      </c>
      <c r="S295">
        <f>Source!X129</f>
        <v>79.11</v>
      </c>
      <c r="T295">
        <f>ROUND((Source!CA129/100)*ROUND((Source!AF129*Source!AV129)*Source!I129, 2), 2)</f>
        <v>11.3</v>
      </c>
      <c r="U295">
        <f>Source!Y129</f>
        <v>11.3</v>
      </c>
      <c r="V295">
        <f>ROUND((175/100)*ROUND((Source!AE129*Source!AV129)*Source!I129, 2), 2)</f>
        <v>0</v>
      </c>
      <c r="W295">
        <f>ROUND((108/100)*ROUND(Source!CS129*Source!I129, 2), 2)</f>
        <v>0</v>
      </c>
    </row>
    <row r="296" spans="1:23" x14ac:dyDescent="0.2">
      <c r="D296" s="32" t="str">
        <f>"Объем: "&amp;Source!I129&amp;"=2/"&amp;"100"</f>
        <v>Объем: 0,02=2/100</v>
      </c>
    </row>
    <row r="297" spans="1:23" ht="14.25" x14ac:dyDescent="0.2">
      <c r="A297" s="22"/>
      <c r="B297" s="22"/>
      <c r="C297" s="22"/>
      <c r="D297" s="22" t="s">
        <v>825</v>
      </c>
      <c r="E297" s="23"/>
      <c r="F297" s="68"/>
      <c r="G297" s="66">
        <f>Source!AO129</f>
        <v>5651.11</v>
      </c>
      <c r="H297" s="24" t="str">
        <f>Source!DG129</f>
        <v/>
      </c>
      <c r="I297" s="68">
        <f>Source!AV129</f>
        <v>1</v>
      </c>
      <c r="J297" s="68">
        <f>IF(Source!BA129&lt;&gt; 0, Source!BA129, 1)</f>
        <v>1</v>
      </c>
      <c r="K297" s="66">
        <f>Source!S129</f>
        <v>113.02</v>
      </c>
      <c r="L297" s="66"/>
    </row>
    <row r="298" spans="1:23" ht="14.25" x14ac:dyDescent="0.2">
      <c r="A298" s="22"/>
      <c r="B298" s="22"/>
      <c r="C298" s="22"/>
      <c r="D298" s="22" t="s">
        <v>828</v>
      </c>
      <c r="E298" s="23"/>
      <c r="F298" s="68"/>
      <c r="G298" s="66">
        <f>Source!AL129</f>
        <v>17169</v>
      </c>
      <c r="H298" s="24" t="str">
        <f>Source!DD129</f>
        <v/>
      </c>
      <c r="I298" s="68">
        <f>Source!AW129</f>
        <v>1</v>
      </c>
      <c r="J298" s="68">
        <f>IF(Source!BC129&lt;&gt; 0, Source!BC129, 1)</f>
        <v>1</v>
      </c>
      <c r="K298" s="66">
        <f>Source!P129</f>
        <v>343.38</v>
      </c>
      <c r="L298" s="66"/>
    </row>
    <row r="299" spans="1:23" ht="14.25" x14ac:dyDescent="0.2">
      <c r="A299" s="22"/>
      <c r="B299" s="22"/>
      <c r="C299" s="22"/>
      <c r="D299" s="22" t="s">
        <v>829</v>
      </c>
      <c r="E299" s="23" t="s">
        <v>830</v>
      </c>
      <c r="F299" s="68">
        <f>Source!AT129</f>
        <v>70</v>
      </c>
      <c r="G299" s="66"/>
      <c r="H299" s="24"/>
      <c r="I299" s="68"/>
      <c r="J299" s="68"/>
      <c r="K299" s="66">
        <f>SUM(S295:S298)</f>
        <v>79.11</v>
      </c>
      <c r="L299" s="66"/>
    </row>
    <row r="300" spans="1:23" ht="14.25" x14ac:dyDescent="0.2">
      <c r="A300" s="22"/>
      <c r="B300" s="22"/>
      <c r="C300" s="22"/>
      <c r="D300" s="22" t="s">
        <v>831</v>
      </c>
      <c r="E300" s="23" t="s">
        <v>830</v>
      </c>
      <c r="F300" s="68">
        <f>Source!AU129</f>
        <v>10</v>
      </c>
      <c r="G300" s="66"/>
      <c r="H300" s="24"/>
      <c r="I300" s="68"/>
      <c r="J300" s="68"/>
      <c r="K300" s="66">
        <f>SUM(U295:U299)</f>
        <v>11.3</v>
      </c>
      <c r="L300" s="66"/>
    </row>
    <row r="301" spans="1:23" ht="14.25" x14ac:dyDescent="0.2">
      <c r="A301" s="22"/>
      <c r="B301" s="22"/>
      <c r="C301" s="22"/>
      <c r="D301" s="22" t="s">
        <v>833</v>
      </c>
      <c r="E301" s="23" t="s">
        <v>834</v>
      </c>
      <c r="F301" s="68">
        <f>Source!AQ129</f>
        <v>19.05</v>
      </c>
      <c r="G301" s="66"/>
      <c r="H301" s="24" t="str">
        <f>Source!DI129</f>
        <v/>
      </c>
      <c r="I301" s="68">
        <f>Source!AV129</f>
        <v>1</v>
      </c>
      <c r="J301" s="68"/>
      <c r="K301" s="66"/>
      <c r="L301" s="66">
        <f>Source!U129</f>
        <v>0.38100000000000001</v>
      </c>
    </row>
    <row r="302" spans="1:23" ht="15" x14ac:dyDescent="0.25">
      <c r="A302" s="29"/>
      <c r="B302" s="29"/>
      <c r="C302" s="29"/>
      <c r="D302" s="29"/>
      <c r="E302" s="29"/>
      <c r="F302" s="29"/>
      <c r="G302" s="29"/>
      <c r="H302" s="29"/>
      <c r="I302" s="29"/>
      <c r="J302" s="104">
        <f>K297+K298+K299+K300</f>
        <v>546.80999999999995</v>
      </c>
      <c r="K302" s="104"/>
      <c r="L302" s="67">
        <f>IF(Source!I129&lt;&gt;0, ROUND(J302/Source!I129, 2), 0)</f>
        <v>27340.5</v>
      </c>
      <c r="Q302" s="27">
        <f>J302</f>
        <v>546.80999999999995</v>
      </c>
    </row>
    <row r="303" spans="1:23" ht="57" x14ac:dyDescent="0.2">
      <c r="A303" s="22">
        <v>39</v>
      </c>
      <c r="B303" s="22">
        <v>39</v>
      </c>
      <c r="C303" s="22" t="str">
        <f>Source!F130</f>
        <v>1.21-3103-4-1/1</v>
      </c>
      <c r="D303" s="22" t="str">
        <f>Source!G130</f>
        <v>Прокладка лотков металлических штампованных по установленным конструкциям, ширина лотков до 200 мм (без стоимости лотков)</v>
      </c>
      <c r="E303" s="23" t="str">
        <f>Source!H130</f>
        <v>т</v>
      </c>
      <c r="F303" s="68">
        <f>Source!I130</f>
        <v>6.4799999999999996E-3</v>
      </c>
      <c r="G303" s="66"/>
      <c r="H303" s="24"/>
      <c r="I303" s="68"/>
      <c r="J303" s="68"/>
      <c r="K303" s="66"/>
      <c r="L303" s="66"/>
      <c r="R303">
        <f>ROUND((Source!BZ130/100)*ROUND((Source!AF130*Source!AV130)*Source!I130, 2), 2)</f>
        <v>76.34</v>
      </c>
      <c r="S303">
        <f>Source!X130</f>
        <v>76.34</v>
      </c>
      <c r="T303">
        <f>ROUND((Source!CA130/100)*ROUND((Source!AF130*Source!AV130)*Source!I130, 2), 2)</f>
        <v>10.91</v>
      </c>
      <c r="U303">
        <f>Source!Y130</f>
        <v>10.91</v>
      </c>
      <c r="V303">
        <f>ROUND((175/100)*ROUND((Source!AE130*Source!AV130)*Source!I130, 2), 2)</f>
        <v>1.17</v>
      </c>
      <c r="W303">
        <f>ROUND((108/100)*ROUND(Source!CS130*Source!I130, 2), 2)</f>
        <v>0.72</v>
      </c>
    </row>
    <row r="304" spans="1:23" ht="14.25" x14ac:dyDescent="0.2">
      <c r="A304" s="22"/>
      <c r="B304" s="22"/>
      <c r="C304" s="22"/>
      <c r="D304" s="22" t="s">
        <v>825</v>
      </c>
      <c r="E304" s="23"/>
      <c r="F304" s="68"/>
      <c r="G304" s="66">
        <f>Source!AO130</f>
        <v>16830.45</v>
      </c>
      <c r="H304" s="24" t="str">
        <f>Source!DG130</f>
        <v/>
      </c>
      <c r="I304" s="68">
        <f>Source!AV130</f>
        <v>1</v>
      </c>
      <c r="J304" s="68">
        <f>IF(Source!BA130&lt;&gt; 0, Source!BA130, 1)</f>
        <v>1</v>
      </c>
      <c r="K304" s="66">
        <f>Source!S130</f>
        <v>109.06</v>
      </c>
      <c r="L304" s="66"/>
    </row>
    <row r="305" spans="1:23" ht="14.25" x14ac:dyDescent="0.2">
      <c r="A305" s="22"/>
      <c r="B305" s="22"/>
      <c r="C305" s="22"/>
      <c r="D305" s="22" t="s">
        <v>826</v>
      </c>
      <c r="E305" s="23"/>
      <c r="F305" s="68"/>
      <c r="G305" s="66">
        <f>Source!AM130</f>
        <v>5170.6000000000004</v>
      </c>
      <c r="H305" s="24" t="str">
        <f>Source!DE130</f>
        <v/>
      </c>
      <c r="I305" s="68">
        <f>Source!AV130</f>
        <v>1</v>
      </c>
      <c r="J305" s="68">
        <f>IF(Source!BB130&lt;&gt; 0, Source!BB130, 1)</f>
        <v>1</v>
      </c>
      <c r="K305" s="66">
        <f>Source!Q130</f>
        <v>33.51</v>
      </c>
      <c r="L305" s="66"/>
    </row>
    <row r="306" spans="1:23" ht="14.25" x14ac:dyDescent="0.2">
      <c r="A306" s="22"/>
      <c r="B306" s="22"/>
      <c r="C306" s="22"/>
      <c r="D306" s="22" t="s">
        <v>827</v>
      </c>
      <c r="E306" s="23"/>
      <c r="F306" s="68"/>
      <c r="G306" s="66">
        <f>Source!AN130</f>
        <v>104.06</v>
      </c>
      <c r="H306" s="24" t="str">
        <f>Source!DF130</f>
        <v/>
      </c>
      <c r="I306" s="68">
        <f>Source!AV130</f>
        <v>1</v>
      </c>
      <c r="J306" s="68">
        <f>IF(Source!BS130&lt;&gt; 0, Source!BS130, 1)</f>
        <v>1</v>
      </c>
      <c r="K306" s="26">
        <f>Source!R130</f>
        <v>0.67</v>
      </c>
      <c r="L306" s="66"/>
    </row>
    <row r="307" spans="1:23" ht="14.25" x14ac:dyDescent="0.2">
      <c r="A307" s="22"/>
      <c r="B307" s="22"/>
      <c r="C307" s="22"/>
      <c r="D307" s="22" t="s">
        <v>828</v>
      </c>
      <c r="E307" s="23"/>
      <c r="F307" s="68"/>
      <c r="G307" s="66">
        <f>Source!AL130</f>
        <v>744.39</v>
      </c>
      <c r="H307" s="24" t="str">
        <f>Source!DD130</f>
        <v/>
      </c>
      <c r="I307" s="68">
        <f>Source!AW130</f>
        <v>1</v>
      </c>
      <c r="J307" s="68">
        <f>IF(Source!BC130&lt;&gt; 0, Source!BC130, 1)</f>
        <v>1</v>
      </c>
      <c r="K307" s="66">
        <f>Source!P130</f>
        <v>4.82</v>
      </c>
      <c r="L307" s="66"/>
    </row>
    <row r="308" spans="1:23" ht="55.5" x14ac:dyDescent="0.2">
      <c r="A308" s="22" t="s">
        <v>404</v>
      </c>
      <c r="B308" s="22" t="s">
        <v>404</v>
      </c>
      <c r="C308" s="22" t="str">
        <f>Source!F131</f>
        <v>Цена поставщика</v>
      </c>
      <c r="D308" s="22" t="s">
        <v>848</v>
      </c>
      <c r="E308" s="23" t="str">
        <f>Source!H131</f>
        <v>м</v>
      </c>
      <c r="F308" s="68">
        <f>Source!I131</f>
        <v>9</v>
      </c>
      <c r="G308" s="66">
        <f>Source!AK131</f>
        <v>488.8</v>
      </c>
      <c r="H308" s="31" t="s">
        <v>3</v>
      </c>
      <c r="I308" s="68">
        <f>Source!AW131</f>
        <v>1</v>
      </c>
      <c r="J308" s="68">
        <f>IF(Source!BC131&lt;&gt; 0, Source!BC131, 1)</f>
        <v>1</v>
      </c>
      <c r="K308" s="66">
        <f>Source!O131</f>
        <v>4399.2</v>
      </c>
      <c r="L308" s="66"/>
      <c r="R308">
        <f>ROUND((Source!BZ131/100)*ROUND((Source!AF131*Source!AV131)*Source!I131, 2), 2)</f>
        <v>0</v>
      </c>
      <c r="S308">
        <f>Source!X131</f>
        <v>0</v>
      </c>
      <c r="T308">
        <f>ROUND((Source!CA131/100)*ROUND((Source!AF131*Source!AV131)*Source!I131, 2), 2)</f>
        <v>0</v>
      </c>
      <c r="U308">
        <f>Source!Y131</f>
        <v>0</v>
      </c>
      <c r="V308">
        <f>ROUND((175/100)*ROUND((Source!AE131*Source!AV131)*Source!I131, 2), 2)</f>
        <v>0</v>
      </c>
      <c r="W308">
        <f>ROUND((108/100)*ROUND(Source!CS131*Source!I131, 2), 2)</f>
        <v>0</v>
      </c>
    </row>
    <row r="309" spans="1:23" ht="55.5" x14ac:dyDescent="0.2">
      <c r="A309" s="22" t="s">
        <v>407</v>
      </c>
      <c r="B309" s="22" t="s">
        <v>407</v>
      </c>
      <c r="C309" s="22" t="str">
        <f>Source!F132</f>
        <v>Цена поставщика</v>
      </c>
      <c r="D309" s="22" t="s">
        <v>849</v>
      </c>
      <c r="E309" s="23" t="str">
        <f>Source!H132</f>
        <v>м</v>
      </c>
      <c r="F309" s="68">
        <f>Source!I132</f>
        <v>9</v>
      </c>
      <c r="G309" s="66">
        <f>Source!AK132</f>
        <v>272.48</v>
      </c>
      <c r="H309" s="31" t="s">
        <v>3</v>
      </c>
      <c r="I309" s="68">
        <f>Source!AW132</f>
        <v>1</v>
      </c>
      <c r="J309" s="68">
        <f>IF(Source!BC132&lt;&gt; 0, Source!BC132, 1)</f>
        <v>1</v>
      </c>
      <c r="K309" s="66">
        <f>Source!O132</f>
        <v>2452.3200000000002</v>
      </c>
      <c r="L309" s="66"/>
      <c r="R309">
        <f>ROUND((Source!BZ132/100)*ROUND((Source!AF132*Source!AV132)*Source!I132, 2), 2)</f>
        <v>0</v>
      </c>
      <c r="S309">
        <f>Source!X132</f>
        <v>0</v>
      </c>
      <c r="T309">
        <f>ROUND((Source!CA132/100)*ROUND((Source!AF132*Source!AV132)*Source!I132, 2), 2)</f>
        <v>0</v>
      </c>
      <c r="U309">
        <f>Source!Y132</f>
        <v>0</v>
      </c>
      <c r="V309">
        <f>ROUND((175/100)*ROUND((Source!AE132*Source!AV132)*Source!I132, 2), 2)</f>
        <v>0</v>
      </c>
      <c r="W309">
        <f>ROUND((108/100)*ROUND(Source!CS132*Source!I132, 2), 2)</f>
        <v>0</v>
      </c>
    </row>
    <row r="310" spans="1:23" ht="55.5" x14ac:dyDescent="0.2">
      <c r="A310" s="22" t="s">
        <v>410</v>
      </c>
      <c r="B310" s="22" t="s">
        <v>410</v>
      </c>
      <c r="C310" s="22" t="str">
        <f>Source!F133</f>
        <v>Цена поставщика</v>
      </c>
      <c r="D310" s="22" t="s">
        <v>850</v>
      </c>
      <c r="E310" s="23" t="str">
        <f>Source!H133</f>
        <v>шт.</v>
      </c>
      <c r="F310" s="68">
        <f>Source!I133</f>
        <v>9</v>
      </c>
      <c r="G310" s="66">
        <f>Source!AK133</f>
        <v>482.11</v>
      </c>
      <c r="H310" s="31" t="s">
        <v>3</v>
      </c>
      <c r="I310" s="68">
        <f>Source!AW133</f>
        <v>1</v>
      </c>
      <c r="J310" s="68">
        <f>IF(Source!BC133&lt;&gt; 0, Source!BC133, 1)</f>
        <v>1</v>
      </c>
      <c r="K310" s="66">
        <f>Source!O133</f>
        <v>4338.99</v>
      </c>
      <c r="L310" s="66"/>
      <c r="R310">
        <f>ROUND((Source!BZ133/100)*ROUND((Source!AF133*Source!AV133)*Source!I133, 2), 2)</f>
        <v>0</v>
      </c>
      <c r="S310">
        <f>Source!X133</f>
        <v>0</v>
      </c>
      <c r="T310">
        <f>ROUND((Source!CA133/100)*ROUND((Source!AF133*Source!AV133)*Source!I133, 2), 2)</f>
        <v>0</v>
      </c>
      <c r="U310">
        <f>Source!Y133</f>
        <v>0</v>
      </c>
      <c r="V310">
        <f>ROUND((175/100)*ROUND((Source!AE133*Source!AV133)*Source!I133, 2), 2)</f>
        <v>0</v>
      </c>
      <c r="W310">
        <f>ROUND((108/100)*ROUND(Source!CS133*Source!I133, 2), 2)</f>
        <v>0</v>
      </c>
    </row>
    <row r="311" spans="1:23" ht="14.25" x14ac:dyDescent="0.2">
      <c r="A311" s="22"/>
      <c r="B311" s="22"/>
      <c r="C311" s="22"/>
      <c r="D311" s="22" t="s">
        <v>829</v>
      </c>
      <c r="E311" s="23" t="s">
        <v>830</v>
      </c>
      <c r="F311" s="68">
        <f>Source!AT130</f>
        <v>70</v>
      </c>
      <c r="G311" s="66"/>
      <c r="H311" s="24"/>
      <c r="I311" s="68"/>
      <c r="J311" s="68"/>
      <c r="K311" s="66">
        <f>SUM(S303:S310)</f>
        <v>76.34</v>
      </c>
      <c r="L311" s="66"/>
    </row>
    <row r="312" spans="1:23" ht="14.25" x14ac:dyDescent="0.2">
      <c r="A312" s="22"/>
      <c r="B312" s="22"/>
      <c r="C312" s="22"/>
      <c r="D312" s="22" t="s">
        <v>831</v>
      </c>
      <c r="E312" s="23" t="s">
        <v>830</v>
      </c>
      <c r="F312" s="68">
        <f>Source!AU130</f>
        <v>10</v>
      </c>
      <c r="G312" s="66"/>
      <c r="H312" s="24"/>
      <c r="I312" s="68"/>
      <c r="J312" s="68"/>
      <c r="K312" s="66">
        <f>SUM(U303:U311)</f>
        <v>10.91</v>
      </c>
      <c r="L312" s="66"/>
    </row>
    <row r="313" spans="1:23" ht="14.25" x14ac:dyDescent="0.2">
      <c r="A313" s="22"/>
      <c r="B313" s="22"/>
      <c r="C313" s="22"/>
      <c r="D313" s="22" t="s">
        <v>832</v>
      </c>
      <c r="E313" s="23" t="s">
        <v>830</v>
      </c>
      <c r="F313" s="68">
        <f>108</f>
        <v>108</v>
      </c>
      <c r="G313" s="66"/>
      <c r="H313" s="24"/>
      <c r="I313" s="68"/>
      <c r="J313" s="68"/>
      <c r="K313" s="66">
        <f>SUM(W303:W312)</f>
        <v>0.72</v>
      </c>
      <c r="L313" s="66"/>
    </row>
    <row r="314" spans="1:23" ht="14.25" x14ac:dyDescent="0.2">
      <c r="A314" s="22"/>
      <c r="B314" s="22"/>
      <c r="C314" s="22"/>
      <c r="D314" s="22" t="s">
        <v>833</v>
      </c>
      <c r="E314" s="23" t="s">
        <v>834</v>
      </c>
      <c r="F314" s="68">
        <f>Source!AQ130</f>
        <v>67.5</v>
      </c>
      <c r="G314" s="66"/>
      <c r="H314" s="24" t="str">
        <f>Source!DI130</f>
        <v/>
      </c>
      <c r="I314" s="68">
        <f>Source!AV130</f>
        <v>1</v>
      </c>
      <c r="J314" s="68"/>
      <c r="K314" s="66"/>
      <c r="L314" s="66">
        <f>Source!U130</f>
        <v>0.43739999999999996</v>
      </c>
    </row>
    <row r="315" spans="1:23" ht="15" x14ac:dyDescent="0.25">
      <c r="A315" s="29"/>
      <c r="B315" s="29"/>
      <c r="C315" s="29"/>
      <c r="D315" s="29"/>
      <c r="E315" s="29"/>
      <c r="F315" s="29"/>
      <c r="G315" s="29"/>
      <c r="H315" s="29"/>
      <c r="I315" s="29"/>
      <c r="J315" s="104">
        <f>K304+K305+K307+K311+K312+K313+SUM(K308:K310)</f>
        <v>11425.87</v>
      </c>
      <c r="K315" s="104"/>
      <c r="L315" s="67">
        <f>IF(Source!I130&lt;&gt;0, ROUND(J315/Source!I130, 2), 0)</f>
        <v>1763251.54</v>
      </c>
      <c r="Q315" s="27">
        <f>J315</f>
        <v>11425.87</v>
      </c>
    </row>
    <row r="316" spans="1:23" ht="42.75" x14ac:dyDescent="0.2">
      <c r="A316" s="22">
        <v>40</v>
      </c>
      <c r="B316" s="22">
        <v>40</v>
      </c>
      <c r="C316" s="22" t="str">
        <f>Source!F135</f>
        <v>1.21-3103-6-1/1</v>
      </c>
      <c r="D316" s="22" t="str">
        <f>Source!G135</f>
        <v>Прокладка профиля перфорированного монтажного длиной 2 м (без стоимости профиля)</v>
      </c>
      <c r="E316" s="23" t="str">
        <f>Source!H135</f>
        <v>100 шт.</v>
      </c>
      <c r="F316" s="68">
        <f>Source!I135</f>
        <v>0.11</v>
      </c>
      <c r="G316" s="66"/>
      <c r="H316" s="24"/>
      <c r="I316" s="68"/>
      <c r="J316" s="68"/>
      <c r="K316" s="66"/>
      <c r="L316" s="66"/>
      <c r="R316">
        <f>ROUND((Source!BZ135/100)*ROUND((Source!AF135*Source!AV135)*Source!I135, 2), 2)</f>
        <v>204.67</v>
      </c>
      <c r="S316">
        <f>Source!X135</f>
        <v>204.67</v>
      </c>
      <c r="T316">
        <f>ROUND((Source!CA135/100)*ROUND((Source!AF135*Source!AV135)*Source!I135, 2), 2)</f>
        <v>29.24</v>
      </c>
      <c r="U316">
        <f>Source!Y135</f>
        <v>29.24</v>
      </c>
      <c r="V316">
        <f>ROUND((175/100)*ROUND((Source!AE135*Source!AV135)*Source!I135, 2), 2)</f>
        <v>381.47</v>
      </c>
      <c r="W316">
        <f>ROUND((108/100)*ROUND(Source!CS135*Source!I135, 2), 2)</f>
        <v>235.42</v>
      </c>
    </row>
    <row r="317" spans="1:23" x14ac:dyDescent="0.2">
      <c r="D317" s="32" t="str">
        <f>"Объем: "&amp;Source!I135&amp;"=11/"&amp;"100"</f>
        <v>Объем: 0,11=11/100</v>
      </c>
    </row>
    <row r="318" spans="1:23" ht="14.25" x14ac:dyDescent="0.2">
      <c r="A318" s="22"/>
      <c r="B318" s="22"/>
      <c r="C318" s="22"/>
      <c r="D318" s="22" t="s">
        <v>825</v>
      </c>
      <c r="E318" s="23"/>
      <c r="F318" s="68"/>
      <c r="G318" s="66">
        <f>Source!AO135</f>
        <v>2657.96</v>
      </c>
      <c r="H318" s="24" t="str">
        <f>Source!DG135</f>
        <v/>
      </c>
      <c r="I318" s="68">
        <f>Source!AV135</f>
        <v>1</v>
      </c>
      <c r="J318" s="68">
        <f>IF(Source!BA135&lt;&gt; 0, Source!BA135, 1)</f>
        <v>1</v>
      </c>
      <c r="K318" s="66">
        <f>Source!S135</f>
        <v>292.38</v>
      </c>
      <c r="L318" s="66"/>
    </row>
    <row r="319" spans="1:23" ht="14.25" x14ac:dyDescent="0.2">
      <c r="A319" s="22"/>
      <c r="B319" s="22"/>
      <c r="C319" s="22"/>
      <c r="D319" s="22" t="s">
        <v>826</v>
      </c>
      <c r="E319" s="23"/>
      <c r="F319" s="68"/>
      <c r="G319" s="66">
        <f>Source!AM135</f>
        <v>5217.67</v>
      </c>
      <c r="H319" s="24" t="str">
        <f>Source!DE135</f>
        <v/>
      </c>
      <c r="I319" s="68">
        <f>Source!AV135</f>
        <v>1</v>
      </c>
      <c r="J319" s="68">
        <f>IF(Source!BB135&lt;&gt; 0, Source!BB135, 1)</f>
        <v>1</v>
      </c>
      <c r="K319" s="66">
        <f>Source!Q135</f>
        <v>573.94000000000005</v>
      </c>
      <c r="L319" s="66"/>
    </row>
    <row r="320" spans="1:23" ht="14.25" x14ac:dyDescent="0.2">
      <c r="A320" s="22"/>
      <c r="B320" s="22"/>
      <c r="C320" s="22"/>
      <c r="D320" s="22" t="s">
        <v>827</v>
      </c>
      <c r="E320" s="23"/>
      <c r="F320" s="68"/>
      <c r="G320" s="66">
        <f>Source!AN135</f>
        <v>1981.67</v>
      </c>
      <c r="H320" s="24" t="str">
        <f>Source!DF135</f>
        <v/>
      </c>
      <c r="I320" s="68">
        <f>Source!AV135</f>
        <v>1</v>
      </c>
      <c r="J320" s="68">
        <f>IF(Source!BS135&lt;&gt; 0, Source!BS135, 1)</f>
        <v>1</v>
      </c>
      <c r="K320" s="26">
        <f>Source!R135</f>
        <v>217.98</v>
      </c>
      <c r="L320" s="66"/>
    </row>
    <row r="321" spans="1:23" ht="14.25" x14ac:dyDescent="0.2">
      <c r="A321" s="22"/>
      <c r="B321" s="22"/>
      <c r="C321" s="22"/>
      <c r="D321" s="22" t="s">
        <v>828</v>
      </c>
      <c r="E321" s="23"/>
      <c r="F321" s="68"/>
      <c r="G321" s="66">
        <f>Source!AL135</f>
        <v>902.86</v>
      </c>
      <c r="H321" s="24" t="str">
        <f>Source!DD135</f>
        <v/>
      </c>
      <c r="I321" s="68">
        <f>Source!AW135</f>
        <v>1</v>
      </c>
      <c r="J321" s="68">
        <f>IF(Source!BC135&lt;&gt; 0, Source!BC135, 1)</f>
        <v>1</v>
      </c>
      <c r="K321" s="66">
        <f>Source!P135</f>
        <v>99.31</v>
      </c>
      <c r="L321" s="66"/>
    </row>
    <row r="322" spans="1:23" ht="69.75" x14ac:dyDescent="0.2">
      <c r="A322" s="22" t="s">
        <v>419</v>
      </c>
      <c r="B322" s="22" t="s">
        <v>419</v>
      </c>
      <c r="C322" s="22" t="str">
        <f>Source!F136</f>
        <v>Цена поставщика</v>
      </c>
      <c r="D322" s="22" t="s">
        <v>851</v>
      </c>
      <c r="E322" s="23" t="str">
        <f>Source!H136</f>
        <v>м</v>
      </c>
      <c r="F322" s="68">
        <f>Source!I136</f>
        <v>22</v>
      </c>
      <c r="G322" s="66">
        <f>Source!AK136</f>
        <v>562.38</v>
      </c>
      <c r="H322" s="31" t="s">
        <v>3</v>
      </c>
      <c r="I322" s="68">
        <f>Source!AW136</f>
        <v>1</v>
      </c>
      <c r="J322" s="68">
        <f>IF(Source!BC136&lt;&gt; 0, Source!BC136, 1)</f>
        <v>1</v>
      </c>
      <c r="K322" s="66">
        <f>Source!O136</f>
        <v>12372.36</v>
      </c>
      <c r="L322" s="66"/>
      <c r="R322">
        <f>ROUND((Source!BZ136/100)*ROUND((Source!AF136*Source!AV136)*Source!I136, 2), 2)</f>
        <v>0</v>
      </c>
      <c r="S322">
        <f>Source!X136</f>
        <v>0</v>
      </c>
      <c r="T322">
        <f>ROUND((Source!CA136/100)*ROUND((Source!AF136*Source!AV136)*Source!I136, 2), 2)</f>
        <v>0</v>
      </c>
      <c r="U322">
        <f>Source!Y136</f>
        <v>0</v>
      </c>
      <c r="V322">
        <f>ROUND((175/100)*ROUND((Source!AE136*Source!AV136)*Source!I136, 2), 2)</f>
        <v>0</v>
      </c>
      <c r="W322">
        <f>ROUND((108/100)*ROUND(Source!CS136*Source!I136, 2), 2)</f>
        <v>0</v>
      </c>
    </row>
    <row r="323" spans="1:23" ht="14.25" x14ac:dyDescent="0.2">
      <c r="A323" s="22"/>
      <c r="B323" s="22"/>
      <c r="C323" s="22"/>
      <c r="D323" s="22" t="s">
        <v>829</v>
      </c>
      <c r="E323" s="23" t="s">
        <v>830</v>
      </c>
      <c r="F323" s="68">
        <f>Source!AT135</f>
        <v>70</v>
      </c>
      <c r="G323" s="66"/>
      <c r="H323" s="24"/>
      <c r="I323" s="68"/>
      <c r="J323" s="68"/>
      <c r="K323" s="66">
        <f>SUM(S316:S322)</f>
        <v>204.67</v>
      </c>
      <c r="L323" s="66"/>
    </row>
    <row r="324" spans="1:23" ht="14.25" x14ac:dyDescent="0.2">
      <c r="A324" s="22"/>
      <c r="B324" s="22"/>
      <c r="C324" s="22"/>
      <c r="D324" s="22" t="s">
        <v>831</v>
      </c>
      <c r="E324" s="23" t="s">
        <v>830</v>
      </c>
      <c r="F324" s="68">
        <f>Source!AU135</f>
        <v>10</v>
      </c>
      <c r="G324" s="66"/>
      <c r="H324" s="24"/>
      <c r="I324" s="68"/>
      <c r="J324" s="68"/>
      <c r="K324" s="66">
        <f>SUM(U316:U323)</f>
        <v>29.24</v>
      </c>
      <c r="L324" s="66"/>
    </row>
    <row r="325" spans="1:23" ht="14.25" x14ac:dyDescent="0.2">
      <c r="A325" s="22"/>
      <c r="B325" s="22"/>
      <c r="C325" s="22"/>
      <c r="D325" s="22" t="s">
        <v>832</v>
      </c>
      <c r="E325" s="23" t="s">
        <v>830</v>
      </c>
      <c r="F325" s="68">
        <f>108</f>
        <v>108</v>
      </c>
      <c r="G325" s="66"/>
      <c r="H325" s="24"/>
      <c r="I325" s="68"/>
      <c r="J325" s="68"/>
      <c r="K325" s="66">
        <f>SUM(W316:W324)</f>
        <v>235.42</v>
      </c>
      <c r="L325" s="66"/>
    </row>
    <row r="326" spans="1:23" ht="14.25" x14ac:dyDescent="0.2">
      <c r="A326" s="22"/>
      <c r="B326" s="22"/>
      <c r="C326" s="22"/>
      <c r="D326" s="22" t="s">
        <v>833</v>
      </c>
      <c r="E326" s="23" t="s">
        <v>834</v>
      </c>
      <c r="F326" s="68">
        <f>Source!AQ135</f>
        <v>10.66</v>
      </c>
      <c r="G326" s="66"/>
      <c r="H326" s="24" t="str">
        <f>Source!DI135</f>
        <v/>
      </c>
      <c r="I326" s="68">
        <f>Source!AV135</f>
        <v>1</v>
      </c>
      <c r="J326" s="68"/>
      <c r="K326" s="66"/>
      <c r="L326" s="66">
        <f>Source!U135</f>
        <v>1.1726000000000001</v>
      </c>
    </row>
    <row r="327" spans="1:23" ht="15" x14ac:dyDescent="0.25">
      <c r="A327" s="29"/>
      <c r="B327" s="29"/>
      <c r="C327" s="29"/>
      <c r="D327" s="29"/>
      <c r="E327" s="29"/>
      <c r="F327" s="29"/>
      <c r="G327" s="29"/>
      <c r="H327" s="29"/>
      <c r="I327" s="29"/>
      <c r="J327" s="104">
        <f>K318+K319+K321+K323+K324+K325+SUM(K322:K322)</f>
        <v>13807.320000000002</v>
      </c>
      <c r="K327" s="104"/>
      <c r="L327" s="67">
        <f>IF(Source!I135&lt;&gt;0, ROUND(J327/Source!I135, 2), 0)</f>
        <v>125521.09</v>
      </c>
      <c r="Q327" s="27">
        <f>J327</f>
        <v>13807.320000000002</v>
      </c>
    </row>
    <row r="328" spans="1:23" ht="28.5" x14ac:dyDescent="0.2">
      <c r="A328" s="22">
        <v>45</v>
      </c>
      <c r="B328" s="22">
        <v>45</v>
      </c>
      <c r="C328" s="22" t="str">
        <f>Source!F151</f>
        <v>22.1-4-23</v>
      </c>
      <c r="D328" s="22" t="str">
        <f>Source!G151</f>
        <v>Вышки телескопические на автомобиле, высота до 25 м</v>
      </c>
      <c r="E328" s="23" t="str">
        <f>Source!H151</f>
        <v>маш.-ч</v>
      </c>
      <c r="F328" s="68">
        <f>Source!I151</f>
        <v>16</v>
      </c>
      <c r="G328" s="66"/>
      <c r="H328" s="24"/>
      <c r="I328" s="68"/>
      <c r="J328" s="68"/>
      <c r="K328" s="66"/>
      <c r="L328" s="66"/>
      <c r="R328">
        <f>ROUND((Source!BZ151/100)*ROUND((Source!AF151*Source!AV151)*Source!I151, 2), 2)</f>
        <v>0</v>
      </c>
      <c r="S328">
        <f>Source!X151</f>
        <v>0</v>
      </c>
      <c r="T328">
        <f>ROUND((Source!CA151/100)*ROUND((Source!AF151*Source!AV151)*Source!I151, 2), 2)</f>
        <v>0</v>
      </c>
      <c r="U328">
        <f>Source!Y151</f>
        <v>0</v>
      </c>
      <c r="V328">
        <f>ROUND((175/100)*ROUND((Source!AE151*Source!AV151)*Source!I151, 2), 2)</f>
        <v>22118.880000000001</v>
      </c>
      <c r="W328">
        <f>ROUND((108/100)*ROUND(Source!CS151*Source!I151, 2), 2)</f>
        <v>13650.51</v>
      </c>
    </row>
    <row r="329" spans="1:23" ht="14.25" x14ac:dyDescent="0.2">
      <c r="A329" s="22"/>
      <c r="B329" s="22"/>
      <c r="C329" s="22"/>
      <c r="D329" s="22" t="s">
        <v>826</v>
      </c>
      <c r="E329" s="23"/>
      <c r="F329" s="68"/>
      <c r="G329" s="66">
        <f>Source!AM151</f>
        <v>1070.02</v>
      </c>
      <c r="H329" s="24" t="str">
        <f>Source!DE151</f>
        <v/>
      </c>
      <c r="I329" s="68">
        <f>Source!AV151</f>
        <v>1</v>
      </c>
      <c r="J329" s="68">
        <f>IF(Source!BB151&lt;&gt; 0, Source!BB151, 1)</f>
        <v>1</v>
      </c>
      <c r="K329" s="66">
        <f>Source!Q151</f>
        <v>17120.32</v>
      </c>
      <c r="L329" s="66"/>
    </row>
    <row r="330" spans="1:23" ht="14.25" x14ac:dyDescent="0.2">
      <c r="A330" s="22"/>
      <c r="B330" s="22"/>
      <c r="C330" s="22"/>
      <c r="D330" s="22" t="s">
        <v>827</v>
      </c>
      <c r="E330" s="23"/>
      <c r="F330" s="68"/>
      <c r="G330" s="66">
        <f>Source!AN151</f>
        <v>789.96</v>
      </c>
      <c r="H330" s="24" t="str">
        <f>Source!DF151</f>
        <v/>
      </c>
      <c r="I330" s="68">
        <f>Source!AV151</f>
        <v>1</v>
      </c>
      <c r="J330" s="68">
        <f>IF(Source!BS151&lt;&gt; 0, Source!BS151, 1)</f>
        <v>1</v>
      </c>
      <c r="K330" s="26">
        <f>Source!R151</f>
        <v>12639.36</v>
      </c>
      <c r="L330" s="66"/>
    </row>
    <row r="331" spans="1:23" ht="14.25" x14ac:dyDescent="0.2">
      <c r="A331" s="22"/>
      <c r="B331" s="22"/>
      <c r="C331" s="22"/>
      <c r="D331" s="22" t="s">
        <v>832</v>
      </c>
      <c r="E331" s="23" t="s">
        <v>830</v>
      </c>
      <c r="F331" s="68">
        <f>108</f>
        <v>108</v>
      </c>
      <c r="G331" s="66"/>
      <c r="H331" s="24"/>
      <c r="I331" s="68"/>
      <c r="J331" s="68"/>
      <c r="K331" s="66">
        <f>SUM(W328:W330)</f>
        <v>13650.51</v>
      </c>
      <c r="L331" s="66"/>
    </row>
    <row r="332" spans="1:23" ht="15" x14ac:dyDescent="0.25">
      <c r="A332" s="29"/>
      <c r="B332" s="29"/>
      <c r="C332" s="29"/>
      <c r="D332" s="29"/>
      <c r="E332" s="29"/>
      <c r="F332" s="29"/>
      <c r="G332" s="29"/>
      <c r="H332" s="29"/>
      <c r="I332" s="29"/>
      <c r="J332" s="104">
        <f>K329+K331</f>
        <v>30770.83</v>
      </c>
      <c r="K332" s="104"/>
      <c r="L332" s="67">
        <f>IF(Source!I151&lt;&gt;0, ROUND(J332/Source!I151, 2), 0)</f>
        <v>1923.18</v>
      </c>
      <c r="Q332" s="27">
        <f>J332</f>
        <v>30770.83</v>
      </c>
    </row>
    <row r="334" spans="1:23" ht="15" x14ac:dyDescent="0.25">
      <c r="B334" s="100" t="str">
        <f>CONCATENATE("Итого по локальной смете: ",IF(Source!G156&lt;&gt;"Новая локальная смета", Source!G156, ""))</f>
        <v>Итого по локальной смете: Установка сплит-систем</v>
      </c>
      <c r="C334" s="100"/>
      <c r="D334" s="100"/>
      <c r="E334" s="100"/>
      <c r="F334" s="100"/>
      <c r="G334" s="100"/>
      <c r="H334" s="100"/>
      <c r="I334" s="100"/>
      <c r="J334" s="98">
        <f>SUM(Q37:Q333)</f>
        <v>2778148.8199999989</v>
      </c>
      <c r="K334" s="99"/>
      <c r="L334" s="33"/>
    </row>
    <row r="337" spans="1:33" ht="45" x14ac:dyDescent="0.25">
      <c r="B337" s="100" t="str">
        <f>CONCATENATE("Итого по смете: ",IF(Source!G186&lt;&gt;"Новый объект", Source!G186, ""))</f>
        <v xml:space="preserve">Итого по смете: Установка сплит-систем </v>
      </c>
      <c r="C337" s="100"/>
      <c r="D337" s="100"/>
      <c r="E337" s="100"/>
      <c r="F337" s="100"/>
      <c r="G337" s="100"/>
      <c r="H337" s="100"/>
      <c r="I337" s="100"/>
      <c r="J337" s="98">
        <f>SUM(Q1:Q336)</f>
        <v>2778148.8199999989</v>
      </c>
      <c r="K337" s="99"/>
      <c r="L337" s="33"/>
      <c r="AG337" s="65" t="str">
        <f>CONCATENATE("Итого по смете: ",IF(Source!G186&lt;&gt;"Новый объект", Source!G186, ""))</f>
        <v xml:space="preserve">Итого по смете: Установка сплит-систем </v>
      </c>
    </row>
    <row r="338" spans="1:33" ht="14.25" x14ac:dyDescent="0.2">
      <c r="D338" s="101" t="str">
        <f>Source!H215</f>
        <v>НДС 20%</v>
      </c>
      <c r="E338" s="101"/>
      <c r="F338" s="101"/>
      <c r="G338" s="101"/>
      <c r="H338" s="101"/>
      <c r="I338" s="101"/>
      <c r="J338" s="102">
        <f>IF(Source!F215=0, "", Source!F215)</f>
        <v>555629.76</v>
      </c>
      <c r="K338" s="102"/>
    </row>
    <row r="339" spans="1:33" ht="14.25" x14ac:dyDescent="0.2">
      <c r="D339" s="101" t="str">
        <f>Source!H216</f>
        <v>Итого с НДС</v>
      </c>
      <c r="E339" s="101"/>
      <c r="F339" s="101"/>
      <c r="G339" s="101"/>
      <c r="H339" s="101"/>
      <c r="I339" s="101"/>
      <c r="J339" s="102">
        <f>IF(Source!F216=0, "", Source!F216)</f>
        <v>3333778.58</v>
      </c>
      <c r="K339" s="102"/>
    </row>
    <row r="340" spans="1:33" ht="13.5" thickBot="1" x14ac:dyDescent="0.25"/>
    <row r="341" spans="1:33" x14ac:dyDescent="0.2">
      <c r="D341" s="115" t="s">
        <v>926</v>
      </c>
      <c r="E341" s="116"/>
      <c r="F341" s="116"/>
      <c r="G341" s="116"/>
      <c r="H341" s="117"/>
    </row>
    <row r="342" spans="1:33" x14ac:dyDescent="0.2">
      <c r="D342" s="118"/>
      <c r="E342" s="119"/>
      <c r="F342" s="119"/>
      <c r="G342" s="119"/>
      <c r="H342" s="120"/>
    </row>
    <row r="343" spans="1:33" x14ac:dyDescent="0.2">
      <c r="D343" s="118"/>
      <c r="E343" s="119"/>
      <c r="F343" s="119"/>
      <c r="G343" s="119"/>
      <c r="H343" s="120"/>
    </row>
    <row r="344" spans="1:33" ht="13.5" thickBot="1" x14ac:dyDescent="0.25">
      <c r="D344" s="121"/>
      <c r="E344" s="122"/>
      <c r="F344" s="122"/>
      <c r="G344" s="122"/>
      <c r="H344" s="123"/>
    </row>
    <row r="346" spans="1:33" ht="14.25" x14ac:dyDescent="0.2">
      <c r="B346" s="87" t="s">
        <v>977</v>
      </c>
      <c r="D346" s="129"/>
      <c r="E346" s="129"/>
      <c r="F346" s="129"/>
      <c r="G346" s="129"/>
      <c r="H346" s="130"/>
      <c r="I346" s="130"/>
      <c r="J346" s="92"/>
      <c r="K346" s="92"/>
      <c r="L346" s="96"/>
      <c r="M346" s="96"/>
      <c r="N346" s="96"/>
      <c r="O346" s="96"/>
      <c r="P346" s="92"/>
      <c r="Q346" s="92"/>
      <c r="R346" s="92"/>
      <c r="S346" s="92"/>
      <c r="T346" s="92"/>
      <c r="U346" s="92"/>
      <c r="V346" s="92"/>
      <c r="W346" s="92"/>
    </row>
    <row r="347" spans="1:33" x14ac:dyDescent="0.2">
      <c r="A347" s="88"/>
      <c r="B347" s="88"/>
      <c r="C347" s="88"/>
      <c r="D347" s="127" t="s">
        <v>978</v>
      </c>
      <c r="E347" s="127"/>
      <c r="F347" s="127"/>
      <c r="G347" s="127"/>
      <c r="H347" s="127" t="s">
        <v>979</v>
      </c>
      <c r="I347" s="127"/>
      <c r="J347" s="93" t="s">
        <v>980</v>
      </c>
      <c r="K347" s="93"/>
      <c r="L347" s="95"/>
      <c r="M347" s="95"/>
      <c r="N347" s="95"/>
      <c r="O347" s="95"/>
      <c r="P347" s="93"/>
      <c r="Q347" s="93"/>
      <c r="R347" s="93"/>
      <c r="S347" s="93"/>
      <c r="T347" s="93"/>
      <c r="U347" s="93"/>
      <c r="V347" s="93"/>
      <c r="W347" s="93"/>
    </row>
    <row r="348" spans="1:33" x14ac:dyDescent="0.2">
      <c r="A348" s="89"/>
      <c r="B348" s="89"/>
      <c r="C348" s="89"/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</row>
    <row r="349" spans="1:33" ht="15" x14ac:dyDescent="0.25">
      <c r="E349" s="91" t="s">
        <v>981</v>
      </c>
      <c r="J349" s="51"/>
    </row>
    <row r="350" spans="1:33" ht="14.25" x14ac:dyDescent="0.2">
      <c r="E350" s="87"/>
      <c r="J350" s="51"/>
    </row>
    <row r="351" spans="1:33" ht="51.75" customHeight="1" x14ac:dyDescent="0.25">
      <c r="B351" s="87" t="s">
        <v>982</v>
      </c>
      <c r="D351" s="128"/>
      <c r="E351" s="129"/>
      <c r="F351" s="129"/>
      <c r="G351" s="129"/>
      <c r="H351" s="130"/>
      <c r="I351" s="130"/>
      <c r="J351" s="94"/>
      <c r="K351" s="92"/>
      <c r="L351" s="96"/>
      <c r="M351" s="96"/>
      <c r="N351" s="96"/>
      <c r="O351" s="96"/>
      <c r="P351" s="92"/>
      <c r="Q351" s="92"/>
      <c r="R351" s="92"/>
      <c r="S351" s="92"/>
      <c r="T351" s="92"/>
      <c r="U351" s="92"/>
      <c r="V351" s="92"/>
      <c r="W351" s="92"/>
    </row>
    <row r="352" spans="1:33" x14ac:dyDescent="0.2">
      <c r="A352" s="88"/>
      <c r="B352" s="88"/>
      <c r="C352" s="127" t="s">
        <v>978</v>
      </c>
      <c r="D352" s="127"/>
      <c r="E352" s="127"/>
      <c r="F352" s="127"/>
      <c r="G352" s="88"/>
      <c r="H352" s="127" t="s">
        <v>979</v>
      </c>
      <c r="I352" s="127"/>
      <c r="J352" s="93" t="s">
        <v>980</v>
      </c>
      <c r="K352" s="93"/>
      <c r="L352" s="95"/>
      <c r="M352" s="95"/>
      <c r="N352" s="95"/>
      <c r="O352" s="95"/>
      <c r="P352" s="93"/>
      <c r="Q352" s="93"/>
      <c r="R352" s="93"/>
      <c r="S352" s="93"/>
      <c r="T352" s="93"/>
      <c r="U352" s="93"/>
      <c r="V352" s="93"/>
      <c r="W352" s="93"/>
    </row>
  </sheetData>
  <mergeCells count="92">
    <mergeCell ref="B37:L37"/>
    <mergeCell ref="J47:K47"/>
    <mergeCell ref="J57:K57"/>
    <mergeCell ref="J70:K70"/>
    <mergeCell ref="B32:B34"/>
    <mergeCell ref="C32:C34"/>
    <mergeCell ref="D32:D34"/>
    <mergeCell ref="E32:E34"/>
    <mergeCell ref="F32:F34"/>
    <mergeCell ref="G32:G34"/>
    <mergeCell ref="H32:H34"/>
    <mergeCell ref="I32:I34"/>
    <mergeCell ref="J212:K212"/>
    <mergeCell ref="J82:K82"/>
    <mergeCell ref="J98:K98"/>
    <mergeCell ref="J111:K111"/>
    <mergeCell ref="J121:K121"/>
    <mergeCell ref="J128:K128"/>
    <mergeCell ref="J140:K140"/>
    <mergeCell ref="J148:K148"/>
    <mergeCell ref="J167:K167"/>
    <mergeCell ref="J177:K177"/>
    <mergeCell ref="J190:K190"/>
    <mergeCell ref="J200:K200"/>
    <mergeCell ref="J332:K332"/>
    <mergeCell ref="J222:K222"/>
    <mergeCell ref="J234:K234"/>
    <mergeCell ref="J250:K250"/>
    <mergeCell ref="J258:K258"/>
    <mergeCell ref="J268:K268"/>
    <mergeCell ref="J279:K279"/>
    <mergeCell ref="J287:K287"/>
    <mergeCell ref="J294:K294"/>
    <mergeCell ref="J302:K302"/>
    <mergeCell ref="J315:K315"/>
    <mergeCell ref="J327:K327"/>
    <mergeCell ref="B334:I334"/>
    <mergeCell ref="J334:K334"/>
    <mergeCell ref="B337:I337"/>
    <mergeCell ref="J337:K337"/>
    <mergeCell ref="D338:I338"/>
    <mergeCell ref="J338:K338"/>
    <mergeCell ref="D339:I339"/>
    <mergeCell ref="J339:K339"/>
    <mergeCell ref="D341:H344"/>
    <mergeCell ref="D346:G346"/>
    <mergeCell ref="H346:I346"/>
    <mergeCell ref="A32:A34"/>
    <mergeCell ref="J2:M2"/>
    <mergeCell ref="I3:M3"/>
    <mergeCell ref="J4:M4"/>
    <mergeCell ref="K6:M6"/>
    <mergeCell ref="K7:M7"/>
    <mergeCell ref="K8:M9"/>
    <mergeCell ref="A9:B9"/>
    <mergeCell ref="C9:I9"/>
    <mergeCell ref="J32:J34"/>
    <mergeCell ref="K32:K34"/>
    <mergeCell ref="C10:I10"/>
    <mergeCell ref="K10:M11"/>
    <mergeCell ref="A11:B11"/>
    <mergeCell ref="C11:I11"/>
    <mergeCell ref="C12:I12"/>
    <mergeCell ref="K12:M13"/>
    <mergeCell ref="A13:B13"/>
    <mergeCell ref="C13:I13"/>
    <mergeCell ref="C14:I14"/>
    <mergeCell ref="K14:M15"/>
    <mergeCell ref="A15:B15"/>
    <mergeCell ref="C15:I15"/>
    <mergeCell ref="C16:I16"/>
    <mergeCell ref="K16:M17"/>
    <mergeCell ref="A17:B17"/>
    <mergeCell ref="C17:I17"/>
    <mergeCell ref="B29:M29"/>
    <mergeCell ref="C18:I18"/>
    <mergeCell ref="H19:J19"/>
    <mergeCell ref="K19:M19"/>
    <mergeCell ref="H20:I20"/>
    <mergeCell ref="K20:M20"/>
    <mergeCell ref="K21:M21"/>
    <mergeCell ref="K22:M22"/>
    <mergeCell ref="G24:G25"/>
    <mergeCell ref="H24:H25"/>
    <mergeCell ref="I24:J24"/>
    <mergeCell ref="B28:M28"/>
    <mergeCell ref="C352:F352"/>
    <mergeCell ref="H352:I352"/>
    <mergeCell ref="D347:G347"/>
    <mergeCell ref="H347:I347"/>
    <mergeCell ref="D351:G351"/>
    <mergeCell ref="H351:I351"/>
  </mergeCells>
  <pageMargins left="0.4" right="0.2" top="0.2" bottom="0.4" header="0.2" footer="0.2"/>
  <pageSetup paperSize="9" scale="64" fitToHeight="0" orientation="portrait" verticalDpi="0" r:id="rId1"/>
  <headerFooter>
    <oddHeader>&amp;L&amp;8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42" workbookViewId="0">
      <selection activeCell="J49" sqref="J49:L49"/>
    </sheetView>
  </sheetViews>
  <sheetFormatPr defaultRowHeight="15" x14ac:dyDescent="0.25"/>
  <cols>
    <col min="1" max="1" width="9.140625" style="79"/>
    <col min="2" max="2" width="33.140625" style="79" customWidth="1"/>
    <col min="3" max="3" width="9.140625" style="79"/>
    <col min="4" max="4" width="10.7109375" style="79" customWidth="1"/>
    <col min="5" max="5" width="12" style="79" customWidth="1"/>
    <col min="6" max="9" width="9.140625" style="79"/>
    <col min="10" max="10" width="11" style="79" customWidth="1"/>
    <col min="11" max="16384" width="9.140625" style="79"/>
  </cols>
  <sheetData>
    <row r="1" spans="1:12" x14ac:dyDescent="0.25">
      <c r="A1" s="202" t="str">
        <f>[2]Source!B1</f>
        <v>Smeta.RU  (495) 974-1589</v>
      </c>
      <c r="B1" s="202"/>
      <c r="C1" s="202"/>
      <c r="D1" s="202"/>
      <c r="E1" s="78"/>
      <c r="F1" s="78"/>
      <c r="G1" s="78"/>
      <c r="H1" s="203" t="s">
        <v>954</v>
      </c>
      <c r="I1" s="203"/>
      <c r="J1" s="203"/>
      <c r="K1" s="203"/>
      <c r="L1" s="203"/>
    </row>
    <row r="2" spans="1:12" x14ac:dyDescent="0.25">
      <c r="A2" s="78"/>
      <c r="B2" s="78"/>
      <c r="C2" s="78"/>
      <c r="D2" s="78"/>
      <c r="E2" s="78"/>
      <c r="F2" s="78"/>
      <c r="G2" s="78"/>
      <c r="H2" s="203" t="s">
        <v>929</v>
      </c>
      <c r="I2" s="203"/>
      <c r="J2" s="203"/>
      <c r="K2" s="203"/>
      <c r="L2" s="203"/>
    </row>
    <row r="3" spans="1:12" x14ac:dyDescent="0.25">
      <c r="A3" s="78"/>
      <c r="B3" s="78"/>
      <c r="C3" s="78"/>
      <c r="D3" s="78"/>
      <c r="E3" s="78"/>
      <c r="F3" s="78"/>
      <c r="G3" s="78"/>
      <c r="H3" s="203" t="s">
        <v>930</v>
      </c>
      <c r="I3" s="203"/>
      <c r="J3" s="203"/>
      <c r="K3" s="203"/>
      <c r="L3" s="203"/>
    </row>
    <row r="4" spans="1:12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161" t="s">
        <v>955</v>
      </c>
      <c r="L4" s="163"/>
    </row>
    <row r="5" spans="1:12" x14ac:dyDescent="0.25">
      <c r="A5" s="78"/>
      <c r="B5" s="78"/>
      <c r="C5" s="78"/>
      <c r="D5" s="78"/>
      <c r="E5" s="78"/>
      <c r="F5" s="78"/>
      <c r="G5" s="78"/>
      <c r="H5" s="78"/>
      <c r="I5" s="192" t="s">
        <v>932</v>
      </c>
      <c r="J5" s="192"/>
      <c r="K5" s="161">
        <v>322001</v>
      </c>
      <c r="L5" s="163"/>
    </row>
    <row r="6" spans="1:12" x14ac:dyDescent="0.25">
      <c r="A6" s="192" t="s">
        <v>956</v>
      </c>
      <c r="B6" s="192"/>
      <c r="C6" s="199"/>
      <c r="D6" s="199"/>
      <c r="E6" s="199"/>
      <c r="F6" s="199"/>
      <c r="G6" s="199"/>
      <c r="H6" s="199"/>
      <c r="I6" s="199"/>
      <c r="J6" s="80" t="s">
        <v>934</v>
      </c>
      <c r="K6" s="161"/>
      <c r="L6" s="163"/>
    </row>
    <row r="7" spans="1:12" x14ac:dyDescent="0.25">
      <c r="A7" s="78"/>
      <c r="B7" s="78"/>
      <c r="C7" s="191" t="s">
        <v>935</v>
      </c>
      <c r="D7" s="191"/>
      <c r="E7" s="191"/>
      <c r="F7" s="191"/>
      <c r="G7" s="191"/>
      <c r="H7" s="191"/>
      <c r="I7" s="191"/>
      <c r="J7" s="78"/>
      <c r="K7" s="81"/>
      <c r="L7" s="82"/>
    </row>
    <row r="8" spans="1:12" ht="88.5" customHeight="1" x14ac:dyDescent="0.25">
      <c r="A8" s="192" t="s">
        <v>957</v>
      </c>
      <c r="B8" s="192"/>
      <c r="C8" s="144"/>
      <c r="D8" s="144"/>
      <c r="E8" s="144"/>
      <c r="F8" s="144"/>
      <c r="G8" s="144"/>
      <c r="H8" s="144"/>
      <c r="I8" s="144"/>
      <c r="J8" s="80" t="s">
        <v>934</v>
      </c>
      <c r="K8" s="200">
        <f>'кс-2 СН-2012 по гл. 1-5 '!K10</f>
        <v>0</v>
      </c>
      <c r="L8" s="201"/>
    </row>
    <row r="9" spans="1:12" x14ac:dyDescent="0.25">
      <c r="A9" s="78"/>
      <c r="B9" s="78"/>
      <c r="C9" s="191" t="s">
        <v>935</v>
      </c>
      <c r="D9" s="191"/>
      <c r="E9" s="191"/>
      <c r="F9" s="191"/>
      <c r="G9" s="191"/>
      <c r="H9" s="191"/>
      <c r="I9" s="191"/>
      <c r="J9" s="78"/>
      <c r="K9" s="81"/>
      <c r="L9" s="82"/>
    </row>
    <row r="10" spans="1:12" ht="36.75" customHeight="1" x14ac:dyDescent="0.25">
      <c r="A10" s="192" t="s">
        <v>958</v>
      </c>
      <c r="B10" s="192"/>
      <c r="C10" s="196"/>
      <c r="D10" s="196"/>
      <c r="E10" s="196"/>
      <c r="F10" s="196"/>
      <c r="G10" s="196"/>
      <c r="H10" s="196"/>
      <c r="I10" s="196"/>
      <c r="J10" s="80" t="s">
        <v>934</v>
      </c>
      <c r="K10" s="197">
        <f>'кс-2 СН-2012 по гл. 1-5 '!K12</f>
        <v>45267383</v>
      </c>
      <c r="L10" s="198"/>
    </row>
    <row r="11" spans="1:12" x14ac:dyDescent="0.25">
      <c r="A11" s="78"/>
      <c r="B11" s="78"/>
      <c r="C11" s="191" t="s">
        <v>935</v>
      </c>
      <c r="D11" s="191"/>
      <c r="E11" s="191"/>
      <c r="F11" s="191"/>
      <c r="G11" s="191"/>
      <c r="H11" s="191"/>
      <c r="I11" s="191"/>
      <c r="J11" s="78"/>
      <c r="K11" s="81"/>
      <c r="L11" s="82"/>
    </row>
    <row r="12" spans="1:12" ht="62.25" customHeight="1" x14ac:dyDescent="0.25">
      <c r="A12" s="192" t="s">
        <v>959</v>
      </c>
      <c r="B12" s="192"/>
      <c r="C12" s="196"/>
      <c r="D12" s="196"/>
      <c r="E12" s="196"/>
      <c r="F12" s="196"/>
      <c r="G12" s="196"/>
      <c r="H12" s="196"/>
      <c r="I12" s="196"/>
      <c r="J12" s="80" t="s">
        <v>934</v>
      </c>
      <c r="K12" s="197"/>
      <c r="L12" s="198"/>
    </row>
    <row r="13" spans="1:12" x14ac:dyDescent="0.25">
      <c r="A13" s="78"/>
      <c r="B13" s="78"/>
      <c r="C13" s="191" t="s">
        <v>939</v>
      </c>
      <c r="D13" s="191"/>
      <c r="E13" s="191"/>
      <c r="F13" s="191"/>
      <c r="G13" s="191"/>
      <c r="H13" s="192" t="s">
        <v>960</v>
      </c>
      <c r="I13" s="192"/>
      <c r="J13" s="193"/>
      <c r="K13" s="161"/>
      <c r="L13" s="163"/>
    </row>
    <row r="14" spans="1:12" x14ac:dyDescent="0.25">
      <c r="A14" s="78"/>
      <c r="B14" s="78"/>
      <c r="C14" s="78"/>
      <c r="D14" s="78"/>
      <c r="E14" s="192" t="s">
        <v>961</v>
      </c>
      <c r="F14" s="192"/>
      <c r="G14" s="192"/>
      <c r="H14" s="192"/>
      <c r="I14" s="194" t="s">
        <v>944</v>
      </c>
      <c r="J14" s="158"/>
      <c r="K14" s="195"/>
      <c r="L14" s="163"/>
    </row>
    <row r="15" spans="1:12" x14ac:dyDescent="0.25">
      <c r="A15" s="78"/>
      <c r="B15" s="78"/>
      <c r="C15" s="78"/>
      <c r="D15" s="78"/>
      <c r="E15" s="78"/>
      <c r="F15" s="78"/>
      <c r="G15" s="78"/>
      <c r="H15" s="78"/>
      <c r="I15" s="176" t="s">
        <v>945</v>
      </c>
      <c r="J15" s="177"/>
      <c r="K15" s="178"/>
      <c r="L15" s="179"/>
    </row>
    <row r="16" spans="1:12" x14ac:dyDescent="0.25">
      <c r="A16" s="78"/>
      <c r="B16" s="78"/>
      <c r="C16" s="78"/>
      <c r="D16" s="78"/>
      <c r="E16" s="78"/>
      <c r="F16" s="78"/>
      <c r="G16" s="78"/>
      <c r="H16" s="78"/>
      <c r="I16" s="158" t="s">
        <v>946</v>
      </c>
      <c r="J16" s="158"/>
      <c r="K16" s="180"/>
      <c r="L16" s="181"/>
    </row>
    <row r="17" spans="1:12" x14ac:dyDescent="0.25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</row>
    <row r="18" spans="1:12" x14ac:dyDescent="0.25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</row>
    <row r="19" spans="1:12" x14ac:dyDescent="0.25">
      <c r="A19" s="78"/>
      <c r="B19" s="78"/>
      <c r="C19" s="182" t="s">
        <v>947</v>
      </c>
      <c r="D19" s="183"/>
      <c r="E19" s="182" t="s">
        <v>948</v>
      </c>
      <c r="F19" s="186"/>
      <c r="G19" s="78"/>
      <c r="H19" s="78"/>
      <c r="I19" s="182" t="s">
        <v>949</v>
      </c>
      <c r="J19" s="183"/>
      <c r="K19" s="183"/>
      <c r="L19" s="186"/>
    </row>
    <row r="20" spans="1:12" x14ac:dyDescent="0.25">
      <c r="A20" s="78"/>
      <c r="B20" s="78"/>
      <c r="C20" s="184"/>
      <c r="D20" s="185"/>
      <c r="E20" s="184"/>
      <c r="F20" s="187"/>
      <c r="G20" s="78"/>
      <c r="H20" s="78"/>
      <c r="I20" s="188" t="s">
        <v>950</v>
      </c>
      <c r="J20" s="189"/>
      <c r="K20" s="188" t="s">
        <v>951</v>
      </c>
      <c r="L20" s="190"/>
    </row>
    <row r="21" spans="1:12" x14ac:dyDescent="0.25">
      <c r="A21" s="78"/>
      <c r="B21" s="78"/>
      <c r="C21" s="170">
        <v>1</v>
      </c>
      <c r="D21" s="171"/>
      <c r="E21" s="172">
        <f>'кс-2 СН-2012 по гл. 1-5 '!H26</f>
        <v>44973</v>
      </c>
      <c r="F21" s="173"/>
      <c r="G21" s="83"/>
      <c r="H21" s="83"/>
      <c r="I21" s="172">
        <v>44852</v>
      </c>
      <c r="J21" s="174"/>
      <c r="K21" s="172">
        <f>E21</f>
        <v>44973</v>
      </c>
      <c r="L21" s="173"/>
    </row>
    <row r="22" spans="1:12" x14ac:dyDescent="0.25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</row>
    <row r="23" spans="1:12" x14ac:dyDescent="0.25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</row>
    <row r="24" spans="1:12" ht="18" x14ac:dyDescent="0.25">
      <c r="A24" s="175" t="s">
        <v>962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</row>
    <row r="25" spans="1:12" ht="18" x14ac:dyDescent="0.25">
      <c r="A25" s="175" t="s">
        <v>963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</row>
    <row r="26" spans="1:12" x14ac:dyDescent="0.25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</row>
    <row r="27" spans="1:12" x14ac:dyDescent="0.25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</row>
    <row r="28" spans="1:12" x14ac:dyDescent="0.25">
      <c r="A28" s="164" t="s">
        <v>860</v>
      </c>
      <c r="B28" s="164" t="s">
        <v>964</v>
      </c>
      <c r="C28" s="166"/>
      <c r="D28" s="166"/>
      <c r="E28" s="166"/>
      <c r="F28" s="164" t="s">
        <v>931</v>
      </c>
      <c r="G28" s="164" t="s">
        <v>965</v>
      </c>
      <c r="H28" s="166"/>
      <c r="I28" s="166"/>
      <c r="J28" s="166"/>
      <c r="K28" s="166"/>
      <c r="L28" s="168"/>
    </row>
    <row r="29" spans="1:12" x14ac:dyDescent="0.25">
      <c r="A29" s="165"/>
      <c r="B29" s="165"/>
      <c r="C29" s="167"/>
      <c r="D29" s="167"/>
      <c r="E29" s="167"/>
      <c r="F29" s="165"/>
      <c r="G29" s="164" t="s">
        <v>966</v>
      </c>
      <c r="H29" s="166"/>
      <c r="I29" s="164" t="s">
        <v>967</v>
      </c>
      <c r="J29" s="166"/>
      <c r="K29" s="164" t="s">
        <v>968</v>
      </c>
      <c r="L29" s="168"/>
    </row>
    <row r="30" spans="1:12" x14ac:dyDescent="0.25">
      <c r="A30" s="165"/>
      <c r="B30" s="165"/>
      <c r="C30" s="167"/>
      <c r="D30" s="167"/>
      <c r="E30" s="167"/>
      <c r="F30" s="165"/>
      <c r="G30" s="165"/>
      <c r="H30" s="167"/>
      <c r="I30" s="165"/>
      <c r="J30" s="167"/>
      <c r="K30" s="165"/>
      <c r="L30" s="169"/>
    </row>
    <row r="31" spans="1:12" x14ac:dyDescent="0.25">
      <c r="A31" s="165"/>
      <c r="B31" s="165"/>
      <c r="C31" s="167"/>
      <c r="D31" s="167"/>
      <c r="E31" s="167"/>
      <c r="F31" s="165"/>
      <c r="G31" s="165"/>
      <c r="H31" s="167"/>
      <c r="I31" s="165"/>
      <c r="J31" s="167"/>
      <c r="K31" s="165"/>
      <c r="L31" s="169"/>
    </row>
    <row r="32" spans="1:12" x14ac:dyDescent="0.25">
      <c r="A32" s="165"/>
      <c r="B32" s="165"/>
      <c r="C32" s="167"/>
      <c r="D32" s="167"/>
      <c r="E32" s="167"/>
      <c r="F32" s="165"/>
      <c r="G32" s="165"/>
      <c r="H32" s="167"/>
      <c r="I32" s="165"/>
      <c r="J32" s="167"/>
      <c r="K32" s="165"/>
      <c r="L32" s="169"/>
    </row>
    <row r="33" spans="1:12" x14ac:dyDescent="0.25">
      <c r="A33" s="81">
        <v>1</v>
      </c>
      <c r="B33" s="161">
        <v>2</v>
      </c>
      <c r="C33" s="162"/>
      <c r="D33" s="162"/>
      <c r="E33" s="162"/>
      <c r="F33" s="81">
        <v>3</v>
      </c>
      <c r="G33" s="161">
        <v>4</v>
      </c>
      <c r="H33" s="162"/>
      <c r="I33" s="161">
        <v>5</v>
      </c>
      <c r="J33" s="162"/>
      <c r="K33" s="161">
        <v>6</v>
      </c>
      <c r="L33" s="163"/>
    </row>
    <row r="34" spans="1:12" x14ac:dyDescent="0.25">
      <c r="A34" s="84"/>
      <c r="B34" s="153" t="s">
        <v>969</v>
      </c>
      <c r="C34" s="154"/>
      <c r="D34" s="154"/>
      <c r="E34" s="154"/>
      <c r="F34" s="85"/>
      <c r="G34" s="155">
        <f t="shared" ref="G34" si="0">G35</f>
        <v>777881.5166666666</v>
      </c>
      <c r="H34" s="157"/>
      <c r="I34" s="155">
        <f t="shared" ref="I34" si="1">I35</f>
        <v>777881.5166666666</v>
      </c>
      <c r="J34" s="157"/>
      <c r="K34" s="155">
        <f>K35</f>
        <v>777881.5166666666</v>
      </c>
      <c r="L34" s="157"/>
    </row>
    <row r="35" spans="1:12" x14ac:dyDescent="0.25">
      <c r="A35" s="84"/>
      <c r="B35" s="153" t="s">
        <v>970</v>
      </c>
      <c r="C35" s="154"/>
      <c r="D35" s="154"/>
      <c r="E35" s="154"/>
      <c r="F35" s="85"/>
      <c r="G35" s="155">
        <f>I35</f>
        <v>777881.5166666666</v>
      </c>
      <c r="H35" s="156"/>
      <c r="I35" s="155">
        <f>K35</f>
        <v>777881.5166666666</v>
      </c>
      <c r="J35" s="156"/>
      <c r="K35" s="155">
        <f>933457.82/1.2</f>
        <v>777881.5166666666</v>
      </c>
      <c r="L35" s="157"/>
    </row>
    <row r="36" spans="1:12" x14ac:dyDescent="0.25">
      <c r="A36" s="158" t="s">
        <v>971</v>
      </c>
      <c r="B36" s="158"/>
      <c r="C36" s="158"/>
      <c r="D36" s="158"/>
      <c r="E36" s="158"/>
      <c r="F36" s="158"/>
      <c r="G36" s="158"/>
      <c r="H36" s="158"/>
      <c r="I36" s="158"/>
      <c r="J36" s="159"/>
      <c r="K36" s="160">
        <f>K35</f>
        <v>777881.5166666666</v>
      </c>
      <c r="L36" s="159"/>
    </row>
    <row r="37" spans="1:12" x14ac:dyDescent="0.25">
      <c r="A37" s="148" t="s">
        <v>550</v>
      </c>
      <c r="B37" s="148"/>
      <c r="C37" s="148"/>
      <c r="D37" s="148"/>
      <c r="E37" s="148"/>
      <c r="F37" s="148"/>
      <c r="G37" s="148"/>
      <c r="H37" s="148"/>
      <c r="I37" s="148"/>
      <c r="J37" s="148"/>
      <c r="K37" s="149">
        <f>K36*0.2</f>
        <v>155576.30333333332</v>
      </c>
      <c r="L37" s="150"/>
    </row>
    <row r="38" spans="1:12" x14ac:dyDescent="0.25">
      <c r="A38" s="148" t="s">
        <v>972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51">
        <f>K36+K37</f>
        <v>933457.82</v>
      </c>
      <c r="L38" s="152"/>
    </row>
    <row r="39" spans="1:12" x14ac:dyDescent="0.25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</row>
    <row r="40" spans="1:12" x14ac:dyDescent="0.25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</row>
    <row r="41" spans="1:12" x14ac:dyDescent="0.25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</row>
    <row r="42" spans="1:12" ht="153" customHeight="1" x14ac:dyDescent="0.25">
      <c r="A42" s="145" t="s">
        <v>957</v>
      </c>
      <c r="B42" s="145"/>
      <c r="C42" s="146"/>
      <c r="D42" s="146"/>
      <c r="E42" s="146"/>
      <c r="F42" s="78"/>
      <c r="G42" s="147"/>
      <c r="H42" s="147"/>
      <c r="I42" s="78"/>
      <c r="J42" s="147"/>
      <c r="K42" s="147"/>
      <c r="L42" s="147"/>
    </row>
    <row r="43" spans="1:12" x14ac:dyDescent="0.25">
      <c r="A43" s="78"/>
      <c r="B43" s="78"/>
      <c r="C43" s="143" t="s">
        <v>973</v>
      </c>
      <c r="D43" s="143"/>
      <c r="E43" s="143"/>
      <c r="F43" s="78"/>
      <c r="G43" s="143" t="s">
        <v>974</v>
      </c>
      <c r="H43" s="143"/>
      <c r="I43" s="78"/>
      <c r="J43" s="143" t="s">
        <v>975</v>
      </c>
      <c r="K43" s="143"/>
      <c r="L43" s="143"/>
    </row>
    <row r="44" spans="1:12" x14ac:dyDescent="0.25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</row>
    <row r="45" spans="1:12" x14ac:dyDescent="0.25">
      <c r="A45" s="80" t="s">
        <v>976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</row>
    <row r="46" spans="1:12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</row>
    <row r="47" spans="1:12" x14ac:dyDescent="0.25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</row>
    <row r="48" spans="1:12" x14ac:dyDescent="0.25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</row>
    <row r="49" spans="1:12" ht="53.25" customHeight="1" x14ac:dyDescent="0.25">
      <c r="A49" s="145" t="s">
        <v>958</v>
      </c>
      <c r="B49" s="145"/>
      <c r="C49" s="146"/>
      <c r="D49" s="146"/>
      <c r="E49" s="146"/>
      <c r="F49" s="78"/>
      <c r="G49" s="147"/>
      <c r="H49" s="147"/>
      <c r="I49" s="78"/>
      <c r="J49" s="147"/>
      <c r="K49" s="147"/>
      <c r="L49" s="147"/>
    </row>
    <row r="50" spans="1:12" x14ac:dyDescent="0.25">
      <c r="A50" s="78"/>
      <c r="B50" s="78"/>
      <c r="C50" s="143" t="s">
        <v>973</v>
      </c>
      <c r="D50" s="143"/>
      <c r="E50" s="143"/>
      <c r="F50" s="78"/>
      <c r="G50" s="143" t="s">
        <v>974</v>
      </c>
      <c r="H50" s="143"/>
      <c r="I50" s="78"/>
      <c r="J50" s="143" t="s">
        <v>975</v>
      </c>
      <c r="K50" s="143"/>
      <c r="L50" s="143"/>
    </row>
    <row r="51" spans="1:12" x14ac:dyDescent="0.25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</row>
    <row r="52" spans="1:12" x14ac:dyDescent="0.25">
      <c r="A52" s="80" t="s">
        <v>976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</row>
    <row r="53" spans="1:12" x14ac:dyDescent="0.25">
      <c r="A53" s="8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</row>
    <row r="54" spans="1:12" x14ac:dyDescent="0.25">
      <c r="A54" s="8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</row>
    <row r="55" spans="1:12" x14ac:dyDescent="0.2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</row>
    <row r="56" spans="1:12" x14ac:dyDescent="0.25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</row>
    <row r="57" spans="1:12" x14ac:dyDescent="0.25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</row>
    <row r="58" spans="1:12" x14ac:dyDescent="0.25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</row>
    <row r="59" spans="1:12" x14ac:dyDescent="0.25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</row>
  </sheetData>
  <mergeCells count="82">
    <mergeCell ref="I5:J5"/>
    <mergeCell ref="K5:L5"/>
    <mergeCell ref="A1:D1"/>
    <mergeCell ref="H1:L1"/>
    <mergeCell ref="H2:L2"/>
    <mergeCell ref="H3:L3"/>
    <mergeCell ref="K4:L4"/>
    <mergeCell ref="A12:B12"/>
    <mergeCell ref="C12:I12"/>
    <mergeCell ref="K12:L12"/>
    <mergeCell ref="A6:B6"/>
    <mergeCell ref="C6:I6"/>
    <mergeCell ref="K6:L6"/>
    <mergeCell ref="C7:I7"/>
    <mergeCell ref="A8:B8"/>
    <mergeCell ref="K8:L8"/>
    <mergeCell ref="C9:I9"/>
    <mergeCell ref="A10:B10"/>
    <mergeCell ref="C10:I10"/>
    <mergeCell ref="K10:L10"/>
    <mergeCell ref="C11:I11"/>
    <mergeCell ref="C13:G13"/>
    <mergeCell ref="H13:J13"/>
    <mergeCell ref="K13:L13"/>
    <mergeCell ref="E14:H14"/>
    <mergeCell ref="I14:J14"/>
    <mergeCell ref="K14:L14"/>
    <mergeCell ref="A25:L25"/>
    <mergeCell ref="I15:J15"/>
    <mergeCell ref="K15:L15"/>
    <mergeCell ref="I16:J16"/>
    <mergeCell ref="K16:L16"/>
    <mergeCell ref="C19:D20"/>
    <mergeCell ref="E19:F20"/>
    <mergeCell ref="I19:L19"/>
    <mergeCell ref="I20:J20"/>
    <mergeCell ref="K20:L20"/>
    <mergeCell ref="C21:D21"/>
    <mergeCell ref="E21:F21"/>
    <mergeCell ref="I21:J21"/>
    <mergeCell ref="K21:L21"/>
    <mergeCell ref="A24:L24"/>
    <mergeCell ref="A28:A32"/>
    <mergeCell ref="B28:E32"/>
    <mergeCell ref="F28:F32"/>
    <mergeCell ref="G28:L28"/>
    <mergeCell ref="G29:H32"/>
    <mergeCell ref="I29:J32"/>
    <mergeCell ref="K29:L32"/>
    <mergeCell ref="K33:L33"/>
    <mergeCell ref="B34:E34"/>
    <mergeCell ref="G34:H34"/>
    <mergeCell ref="I34:J34"/>
    <mergeCell ref="K34:L34"/>
    <mergeCell ref="A49:B49"/>
    <mergeCell ref="C49:E49"/>
    <mergeCell ref="G49:H49"/>
    <mergeCell ref="J49:L49"/>
    <mergeCell ref="A37:J37"/>
    <mergeCell ref="K37:L37"/>
    <mergeCell ref="A38:J38"/>
    <mergeCell ref="K38:L38"/>
    <mergeCell ref="A42:B42"/>
    <mergeCell ref="C42:E42"/>
    <mergeCell ref="G42:H42"/>
    <mergeCell ref="J42:L42"/>
    <mergeCell ref="C50:E50"/>
    <mergeCell ref="G50:H50"/>
    <mergeCell ref="J50:L50"/>
    <mergeCell ref="C8:I8"/>
    <mergeCell ref="C43:E43"/>
    <mergeCell ref="G43:H43"/>
    <mergeCell ref="J43:L43"/>
    <mergeCell ref="B35:E35"/>
    <mergeCell ref="G35:H35"/>
    <mergeCell ref="I35:J35"/>
    <mergeCell ref="K35:L35"/>
    <mergeCell ref="A36:J36"/>
    <mergeCell ref="K36:L36"/>
    <mergeCell ref="B33:E33"/>
    <mergeCell ref="G33:H33"/>
    <mergeCell ref="I33:J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8"/>
  <sheetViews>
    <sheetView topLeftCell="A2" zoomScaleNormal="100" workbookViewId="0">
      <selection activeCell="A13" sqref="A13"/>
    </sheetView>
  </sheetViews>
  <sheetFormatPr defaultRowHeight="12.75" x14ac:dyDescent="0.2"/>
  <cols>
    <col min="1" max="1" width="6.7109375" customWidth="1"/>
    <col min="2" max="2" width="73.85546875" customWidth="1"/>
    <col min="3" max="4" width="15.7109375" customWidth="1"/>
    <col min="5" max="5" width="17.140625" customWidth="1"/>
    <col min="30" max="30" width="114.7109375" hidden="1" customWidth="1"/>
    <col min="31" max="32" width="0" hidden="1" customWidth="1"/>
  </cols>
  <sheetData>
    <row r="1" spans="1:30" x14ac:dyDescent="0.2">
      <c r="A1" s="9" t="str">
        <f>Source!B1</f>
        <v>Smeta.RU  (495) 974-1589</v>
      </c>
    </row>
    <row r="2" spans="1:30" ht="14.25" x14ac:dyDescent="0.2">
      <c r="C2" s="11"/>
      <c r="D2" s="11"/>
    </row>
    <row r="3" spans="1:30" ht="15" x14ac:dyDescent="0.25">
      <c r="C3" s="11"/>
      <c r="D3" s="28" t="s">
        <v>799</v>
      </c>
    </row>
    <row r="4" spans="1:30" x14ac:dyDescent="0.2">
      <c r="C4" s="205"/>
      <c r="D4" s="205"/>
      <c r="E4" s="205"/>
    </row>
    <row r="5" spans="1:30" ht="15" hidden="1" x14ac:dyDescent="0.25">
      <c r="C5" s="206" t="s">
        <v>855</v>
      </c>
      <c r="D5" s="206"/>
    </row>
    <row r="6" spans="1:30" ht="15" x14ac:dyDescent="0.25">
      <c r="C6" s="36"/>
      <c r="D6" s="36"/>
    </row>
    <row r="7" spans="1:30" ht="15" x14ac:dyDescent="0.25">
      <c r="C7" s="206" t="s">
        <v>855</v>
      </c>
      <c r="D7" s="206"/>
      <c r="E7" s="57"/>
    </row>
    <row r="8" spans="1:30" ht="15" x14ac:dyDescent="0.25">
      <c r="C8" s="36"/>
      <c r="D8" s="36"/>
    </row>
    <row r="9" spans="1:30" ht="15" x14ac:dyDescent="0.25">
      <c r="C9" s="28" t="s">
        <v>856</v>
      </c>
      <c r="D9" s="11"/>
    </row>
    <row r="10" spans="1:30" ht="14.25" x14ac:dyDescent="0.2">
      <c r="A10" s="11"/>
      <c r="B10" s="11"/>
      <c r="C10" s="11"/>
      <c r="D10" s="11"/>
      <c r="E10" s="11"/>
    </row>
    <row r="11" spans="1:30" ht="15.75" x14ac:dyDescent="0.25">
      <c r="A11" s="207" t="str">
        <f>CONCATENATE("Дефектный акт ", IF(Source!AN15&lt;&gt;"", Source!AN15," "))</f>
        <v xml:space="preserve">Дефектный акт  </v>
      </c>
      <c r="B11" s="207"/>
      <c r="C11" s="207"/>
      <c r="D11" s="207"/>
      <c r="E11" s="11"/>
    </row>
    <row r="12" spans="1:30" ht="45" customHeight="1" x14ac:dyDescent="0.25">
      <c r="A12" s="208" t="s">
        <v>985</v>
      </c>
      <c r="B12" s="208"/>
      <c r="C12" s="208"/>
      <c r="D12" s="208"/>
      <c r="E12" s="11"/>
      <c r="AD12" s="39" t="str">
        <f>CONCATENATE("На капитальный ремонт ", Source!F12, " ", Source!G12)</f>
        <v xml:space="preserve">На капитальный ремонт  Установка сплит-систем </v>
      </c>
    </row>
    <row r="13" spans="1:30" ht="14.25" x14ac:dyDescent="0.2">
      <c r="A13" s="11"/>
      <c r="B13" s="11"/>
      <c r="C13" s="11"/>
      <c r="D13" s="11"/>
      <c r="E13" s="11"/>
    </row>
    <row r="14" spans="1:30" ht="15" x14ac:dyDescent="0.2">
      <c r="A14" s="11"/>
      <c r="B14" s="37" t="s">
        <v>857</v>
      </c>
      <c r="C14" s="11"/>
      <c r="D14" s="11"/>
      <c r="E14" s="11"/>
    </row>
    <row r="15" spans="1:30" ht="15" x14ac:dyDescent="0.2">
      <c r="A15" s="11"/>
      <c r="B15" s="37" t="s">
        <v>858</v>
      </c>
      <c r="C15" s="11"/>
      <c r="D15" s="11"/>
      <c r="E15" s="11"/>
    </row>
    <row r="16" spans="1:30" ht="15" x14ac:dyDescent="0.2">
      <c r="A16" s="11"/>
      <c r="B16" s="37" t="s">
        <v>859</v>
      </c>
      <c r="C16" s="11"/>
      <c r="D16" s="11"/>
      <c r="E16" s="11"/>
    </row>
    <row r="17" spans="1:5" ht="28.5" x14ac:dyDescent="0.2">
      <c r="A17" s="20" t="s">
        <v>860</v>
      </c>
      <c r="B17" s="20" t="s">
        <v>813</v>
      </c>
      <c r="C17" s="20" t="s">
        <v>814</v>
      </c>
      <c r="D17" s="20" t="s">
        <v>861</v>
      </c>
      <c r="E17" s="38" t="s">
        <v>862</v>
      </c>
    </row>
    <row r="18" spans="1:5" ht="14.25" x14ac:dyDescent="0.2">
      <c r="A18" s="40">
        <v>1</v>
      </c>
      <c r="B18" s="40">
        <v>2</v>
      </c>
      <c r="C18" s="40">
        <v>3</v>
      </c>
      <c r="D18" s="40">
        <v>4</v>
      </c>
      <c r="E18" s="41">
        <v>5</v>
      </c>
    </row>
    <row r="19" spans="1:5" ht="16.5" x14ac:dyDescent="0.25">
      <c r="A19" s="204" t="str">
        <f>CONCATENATE(" ", Source!G20)</f>
        <v xml:space="preserve"> Установка сплит-систем</v>
      </c>
      <c r="B19" s="204"/>
      <c r="C19" s="204"/>
      <c r="D19" s="204"/>
      <c r="E19" s="204"/>
    </row>
    <row r="20" spans="1:5" ht="28.5" x14ac:dyDescent="0.2">
      <c r="A20" s="46">
        <v>1</v>
      </c>
      <c r="B20" s="47" t="str">
        <f>Source!G24</f>
        <v>Установка внутреннего блока сплит-системы весом до 10 кг (без стоимости блока)</v>
      </c>
      <c r="C20" s="48" t="str">
        <f>Source!H24</f>
        <v>шт.</v>
      </c>
      <c r="D20" s="49">
        <f>Source!I24</f>
        <v>23</v>
      </c>
      <c r="E20" s="47"/>
    </row>
    <row r="21" spans="1:5" ht="28.5" x14ac:dyDescent="0.2">
      <c r="A21" s="46">
        <v>2</v>
      </c>
      <c r="B21" s="47" t="str">
        <f>Source!G25</f>
        <v>Установка внутреннего блока сплит-системы весом до 15 кг (без стоимости блока)</v>
      </c>
      <c r="C21" s="48" t="str">
        <f>Source!H25</f>
        <v>шт.</v>
      </c>
      <c r="D21" s="49">
        <f>Source!I25</f>
        <v>3</v>
      </c>
      <c r="E21" s="47"/>
    </row>
    <row r="22" spans="1:5" ht="28.5" x14ac:dyDescent="0.2">
      <c r="A22" s="46">
        <v>3</v>
      </c>
      <c r="B22" s="47" t="str">
        <f>Source!G26</f>
        <v>Установка наружного блока сплит-системы весом до 30 кг (без стоимости блока и кронштейнов)</v>
      </c>
      <c r="C22" s="48" t="str">
        <f>Source!H26</f>
        <v>шт.</v>
      </c>
      <c r="D22" s="49">
        <f>Source!I26</f>
        <v>23</v>
      </c>
      <c r="E22" s="47"/>
    </row>
    <row r="23" spans="1:5" ht="28.5" x14ac:dyDescent="0.2">
      <c r="A23" s="46">
        <v>3.1</v>
      </c>
      <c r="B23" s="47" t="str">
        <f>Source!G27</f>
        <v>Сплит-система Hisense NEO Classic A  AS-09HR4SYCDC5 UPGRADE(или эквивалент)</v>
      </c>
      <c r="C23" s="48" t="str">
        <f>Source!H27</f>
        <v>шт.</v>
      </c>
      <c r="D23" s="49">
        <f>Source!I27</f>
        <v>16</v>
      </c>
      <c r="E23" s="47"/>
    </row>
    <row r="24" spans="1:5" ht="28.5" x14ac:dyDescent="0.2">
      <c r="A24" s="46">
        <v>3.2</v>
      </c>
      <c r="B24" s="47" t="str">
        <f>Source!G28</f>
        <v>Сплит-система Hisense NEO Classic A  AS-12HR4SVDDC15 UPGRADE (или эквивалент)</v>
      </c>
      <c r="C24" s="48" t="str">
        <f>Source!H28</f>
        <v>шт.</v>
      </c>
      <c r="D24" s="49">
        <f>Source!I28</f>
        <v>7</v>
      </c>
      <c r="E24" s="47"/>
    </row>
    <row r="25" spans="1:5" ht="28.5" x14ac:dyDescent="0.2">
      <c r="A25" s="46">
        <v>3.3</v>
      </c>
      <c r="B25" s="47" t="str">
        <f>Source!G30</f>
        <v>Средства крепления - кронштейн и подставка под оборудование из сортовой стали</v>
      </c>
      <c r="C25" s="48" t="str">
        <f>Source!H30</f>
        <v>кг</v>
      </c>
      <c r="D25" s="49">
        <f>Source!I30</f>
        <v>101.2</v>
      </c>
      <c r="E25" s="47"/>
    </row>
    <row r="26" spans="1:5" ht="28.5" x14ac:dyDescent="0.2">
      <c r="A26" s="46">
        <v>4</v>
      </c>
      <c r="B26" s="47" t="str">
        <f>Source!G31</f>
        <v>Установка наружного блока сплит-системы весом до 50 кг (без стоимости блока и кронштейнов)</v>
      </c>
      <c r="C26" s="48" t="str">
        <f>Source!H31</f>
        <v>шт.</v>
      </c>
      <c r="D26" s="49">
        <f>Source!I31</f>
        <v>3</v>
      </c>
      <c r="E26" s="47"/>
    </row>
    <row r="27" spans="1:5" ht="28.5" x14ac:dyDescent="0.2">
      <c r="A27" s="46">
        <v>4.0999999999999996</v>
      </c>
      <c r="B27" s="47" t="str">
        <f>Source!G32</f>
        <v>Сплит-система Hisense NEO Classic A  AS-24HR4SBADC005 UPGRADE (или эквивалент)</v>
      </c>
      <c r="C27" s="48" t="str">
        <f>Source!H32</f>
        <v>шт.</v>
      </c>
      <c r="D27" s="49">
        <f>Source!I32</f>
        <v>3</v>
      </c>
      <c r="E27" s="47"/>
    </row>
    <row r="28" spans="1:5" ht="28.5" x14ac:dyDescent="0.2">
      <c r="A28" s="46">
        <v>4.2</v>
      </c>
      <c r="B28" s="47" t="str">
        <f>Source!G33</f>
        <v>Средства крепления - кронштейн и подставка под оборудование из сортовой стали</v>
      </c>
      <c r="C28" s="48" t="str">
        <f>Source!H33</f>
        <v>кг</v>
      </c>
      <c r="D28" s="49">
        <f>Source!I33</f>
        <v>15</v>
      </c>
      <c r="E28" s="47"/>
    </row>
    <row r="29" spans="1:5" ht="28.5" x14ac:dyDescent="0.2">
      <c r="A29" s="46">
        <v>5</v>
      </c>
      <c r="B29" s="47" t="str">
        <f>Source!G34</f>
        <v>Прокладка трубопроводов из медных труб на условное давление до 2,5 МПа: наружный диаметр труб 18 мм (без стоимости труб)</v>
      </c>
      <c r="C29" s="48" t="str">
        <f>Source!H34</f>
        <v>10 м</v>
      </c>
      <c r="D29" s="49">
        <f>Source!I34</f>
        <v>28.8</v>
      </c>
      <c r="E29" s="47"/>
    </row>
    <row r="30" spans="1:5" ht="28.5" x14ac:dyDescent="0.2">
      <c r="A30" s="46">
        <v>5.0999999999999996</v>
      </c>
      <c r="B30" s="47" t="str">
        <f>Source!G35</f>
        <v>Трубы медные для систем кондиционирования, наружный диаметр (толщина стенки), мм, 6,35 (0,76)</v>
      </c>
      <c r="C30" s="48" t="str">
        <f>Source!H35</f>
        <v>м</v>
      </c>
      <c r="D30" s="49">
        <f>Source!I35</f>
        <v>122.56999999999998</v>
      </c>
      <c r="E30" s="47"/>
    </row>
    <row r="31" spans="1:5" ht="28.5" x14ac:dyDescent="0.2">
      <c r="A31" s="46">
        <v>5.2</v>
      </c>
      <c r="B31" s="47" t="str">
        <f>Source!G36</f>
        <v>Трубы медные для систем кондиционирования, наружный диаметр (толщина стенки), мм, 9,52 (0,81)</v>
      </c>
      <c r="C31" s="48" t="str">
        <f>Source!H36</f>
        <v>м</v>
      </c>
      <c r="D31" s="49">
        <f>Source!I36</f>
        <v>112.27</v>
      </c>
      <c r="E31" s="47"/>
    </row>
    <row r="32" spans="1:5" ht="28.5" x14ac:dyDescent="0.2">
      <c r="A32" s="46">
        <v>5.3</v>
      </c>
      <c r="B32" s="47" t="str">
        <f>Source!G37</f>
        <v>Трубы медные для систем кондиционирования, наружный диаметр (толщина стенки), мм, 12,7 (0,81)</v>
      </c>
      <c r="C32" s="48" t="str">
        <f>Source!H37</f>
        <v>м</v>
      </c>
      <c r="D32" s="49">
        <f>Source!I37</f>
        <v>36.049999999999997</v>
      </c>
      <c r="E32" s="47"/>
    </row>
    <row r="33" spans="1:5" ht="28.5" x14ac:dyDescent="0.2">
      <c r="A33" s="46">
        <v>5.4</v>
      </c>
      <c r="B33" s="47" t="str">
        <f>Source!G38</f>
        <v>Трубы медные для систем кондиционирования, наружный диаметр (толщина стенки), мм, 15,9 (0,89)</v>
      </c>
      <c r="C33" s="48" t="str">
        <f>Source!H38</f>
        <v>м</v>
      </c>
      <c r="D33" s="49">
        <f>Source!I38</f>
        <v>25.75</v>
      </c>
      <c r="E33" s="47"/>
    </row>
    <row r="34" spans="1:5" ht="14.25" x14ac:dyDescent="0.2">
      <c r="A34" s="46">
        <v>5.5</v>
      </c>
      <c r="B34" s="47" t="str">
        <f>Source!G39</f>
        <v>Вода</v>
      </c>
      <c r="C34" s="48" t="str">
        <f>Source!H39</f>
        <v>м3</v>
      </c>
      <c r="D34" s="49">
        <f>Source!I39</f>
        <v>-2.3328000000000002</v>
      </c>
      <c r="E34" s="47"/>
    </row>
    <row r="35" spans="1:5" ht="57" x14ac:dyDescent="0.2">
      <c r="A35" s="46">
        <v>6</v>
      </c>
      <c r="B35" s="47" t="str">
        <f>Source!G40</f>
        <v>Изоляция трубопроводов изделиями из вспененного каучука, вспененного полиэтилена, трубками без нанесения на поверхность изоляции защитной окраски (без стоимости трубок, клея, листов, лент изоляционных)</v>
      </c>
      <c r="C35" s="48" t="str">
        <f>Source!H40</f>
        <v>10 м</v>
      </c>
      <c r="D35" s="49">
        <f>Source!I40</f>
        <v>28.8</v>
      </c>
      <c r="E35" s="47"/>
    </row>
    <row r="36" spans="1:5" ht="14.25" x14ac:dyDescent="0.2">
      <c r="A36" s="46">
        <v>6.1</v>
      </c>
      <c r="B36" s="47" t="str">
        <f>Source!G41</f>
        <v>Лента самоклеящаяся, ширина 50 мм, толщина 3 мм, тип "K-Flex ST"</v>
      </c>
      <c r="C36" s="48" t="str">
        <f>Source!H41</f>
        <v>м</v>
      </c>
      <c r="D36" s="49">
        <f>Source!I41</f>
        <v>302.39999999999998</v>
      </c>
      <c r="E36" s="47"/>
    </row>
    <row r="37" spans="1:5" ht="42.75" x14ac:dyDescent="0.2">
      <c r="A37" s="46">
        <v>6.2</v>
      </c>
      <c r="B37" s="47" t="str">
        <f>Source!G43</f>
        <v>Трубки теплоизоляционные из вспененного каучука типа "К-Flex ST" для поверхностей с температурой от -40°C до +105°С, внутренний диаметр (толщина) 6 (9) мм</v>
      </c>
      <c r="C37" s="48" t="str">
        <f>Source!H43</f>
        <v>м</v>
      </c>
      <c r="D37" s="49">
        <f>Source!I43</f>
        <v>124.95000000000002</v>
      </c>
      <c r="E37" s="47"/>
    </row>
    <row r="38" spans="1:5" ht="42.75" x14ac:dyDescent="0.2">
      <c r="A38" s="46">
        <v>6.3</v>
      </c>
      <c r="B38" s="47" t="str">
        <f>Source!G44</f>
        <v>Трубки теплоизоляционные из вспененного каучука типа "К-Flex ST" для поверхностей с температурой от -40°C до +105°С, внутренний диаметр (толщина) 10 (13) мм</v>
      </c>
      <c r="C38" s="48" t="str">
        <f>Source!H44</f>
        <v>м</v>
      </c>
      <c r="D38" s="49">
        <f>Source!I44</f>
        <v>14.45</v>
      </c>
      <c r="E38" s="47"/>
    </row>
    <row r="39" spans="1:5" ht="42.75" x14ac:dyDescent="0.2">
      <c r="A39" s="46">
        <v>6.4</v>
      </c>
      <c r="B39" s="47" t="str">
        <f>Source!G45</f>
        <v>Трубки теплоизоляционные из вспененного каучука типа "К-Flex ST" для поверхностей с температурой от -40°C до +105°С, внутренний диаметр (толщина) 15 (13) мм</v>
      </c>
      <c r="C39" s="48" t="str">
        <f>Source!H45</f>
        <v>м</v>
      </c>
      <c r="D39" s="49">
        <f>Source!I45</f>
        <v>36.75</v>
      </c>
      <c r="E39" s="47"/>
    </row>
    <row r="40" spans="1:5" ht="42.75" x14ac:dyDescent="0.2">
      <c r="A40" s="46">
        <v>6.5</v>
      </c>
      <c r="B40" s="47" t="str">
        <f>Source!G46</f>
        <v>Трубки теплоизоляционные из вспененного каучука типа "К-Flex ST" для поверхностей с температурой от -40°C до +105°С, внутренний диаметр (толщина) 18 (13) мм</v>
      </c>
      <c r="C40" s="48" t="str">
        <f>Source!H46</f>
        <v>м</v>
      </c>
      <c r="D40" s="49">
        <f>Source!I46</f>
        <v>26.25</v>
      </c>
      <c r="E40" s="47"/>
    </row>
    <row r="41" spans="1:5" ht="28.5" x14ac:dyDescent="0.2">
      <c r="A41" s="46">
        <v>7</v>
      </c>
      <c r="B41" s="47" t="str">
        <f>Source!G55</f>
        <v>Установка сосуда влагоотделительного, разделительного, конденсационного, уравнительного (без стоимости материалов)</v>
      </c>
      <c r="C41" s="48" t="str">
        <f>Source!H55</f>
        <v>шт.</v>
      </c>
      <c r="D41" s="49">
        <f>Source!I55</f>
        <v>5</v>
      </c>
      <c r="E41" s="47"/>
    </row>
    <row r="42" spans="1:5" ht="14.25" x14ac:dyDescent="0.2">
      <c r="A42" s="46">
        <v>7.1</v>
      </c>
      <c r="B42" s="47" t="str">
        <f>Source!G56</f>
        <v>Дренажная ПОМПА ASPEN MINI AQUA SILENT+(или эквивалент)</v>
      </c>
      <c r="C42" s="48" t="str">
        <f>Source!H56</f>
        <v>шт.</v>
      </c>
      <c r="D42" s="49">
        <f>Source!I56</f>
        <v>5</v>
      </c>
      <c r="E42" s="47"/>
    </row>
    <row r="43" spans="1:5" ht="28.5" x14ac:dyDescent="0.2">
      <c r="A43" s="46">
        <v>8</v>
      </c>
      <c r="B43" s="47" t="str">
        <f>Source!G58</f>
        <v>Установка механизма исполнительного массой до 20 кг (без стоимости материалов)</v>
      </c>
      <c r="C43" s="48" t="str">
        <f>Source!H58</f>
        <v>шт.</v>
      </c>
      <c r="D43" s="49">
        <f>Source!I58</f>
        <v>23</v>
      </c>
      <c r="E43" s="47"/>
    </row>
    <row r="44" spans="1:5" ht="28.5" x14ac:dyDescent="0.2">
      <c r="A44" s="46">
        <v>8.1</v>
      </c>
      <c r="B44" s="47" t="str">
        <f>Source!G59</f>
        <v>Зимний комплект РДК 9,6 для NEO PREMIUM CLASSIC A (или эквивалент)</v>
      </c>
      <c r="C44" s="48" t="str">
        <f>Source!H59</f>
        <v>шт.</v>
      </c>
      <c r="D44" s="49">
        <f>Source!I59</f>
        <v>23</v>
      </c>
      <c r="E44" s="47"/>
    </row>
    <row r="45" spans="1:5" ht="42.75" x14ac:dyDescent="0.2">
      <c r="A45" s="46">
        <v>9</v>
      </c>
      <c r="B45" s="47" t="str">
        <f>Source!G60</f>
        <v>Прокладка труб гофрированных поливинилхлоридных наружным диаметром 20 мм открыто по стенам и потолкам с установкой соединительных коробок</v>
      </c>
      <c r="C45" s="48" t="str">
        <f>Source!H60</f>
        <v>100 м</v>
      </c>
      <c r="D45" s="49">
        <f>Source!I60</f>
        <v>0.22</v>
      </c>
      <c r="E45" s="47"/>
    </row>
    <row r="46" spans="1:5" ht="42.75" x14ac:dyDescent="0.2">
      <c r="A46" s="46">
        <v>9.1</v>
      </c>
      <c r="B46" s="47" t="str">
        <f>Source!G61</f>
        <v>Коробки для выполнения соединений и ответвлений электрических кабелей и проводов сечением до 4 мм2, прокладываемых в неметаллических трубах, тип КОР-73 УЗ</v>
      </c>
      <c r="C46" s="48" t="str">
        <f>Source!H61</f>
        <v>шт.</v>
      </c>
      <c r="D46" s="49">
        <f>Source!I61</f>
        <v>-1.1000000000000001</v>
      </c>
      <c r="E46" s="47"/>
    </row>
    <row r="47" spans="1:5" ht="57" x14ac:dyDescent="0.2">
      <c r="A47" s="46">
        <v>10</v>
      </c>
      <c r="B47" s="47" t="str">
        <f>Source!G62</f>
        <v>Затягивание проводов и кабелей в проложенные трубы и металлические рукава, провод первый одножильный или многожильный в общей оплетке, суммарное сечение до 16 мм2 (без стоимости материалов)</v>
      </c>
      <c r="C47" s="48" t="str">
        <f>Source!H62</f>
        <v>100 м</v>
      </c>
      <c r="D47" s="49">
        <f>Source!I62</f>
        <v>0.22</v>
      </c>
      <c r="E47" s="47"/>
    </row>
    <row r="48" spans="1:5" ht="14.25" x14ac:dyDescent="0.2">
      <c r="A48" s="46">
        <v>10.1</v>
      </c>
      <c r="B48" s="47" t="str">
        <f>Source!G64</f>
        <v>Нагреватель дренажа HD 110 (или эквивалент)</v>
      </c>
      <c r="C48" s="48" t="str">
        <f>Source!H64</f>
        <v>шт.</v>
      </c>
      <c r="D48" s="49">
        <f>Source!I64</f>
        <v>22</v>
      </c>
      <c r="E48" s="47"/>
    </row>
    <row r="49" spans="1:5" ht="28.5" x14ac:dyDescent="0.2">
      <c r="A49" s="46">
        <v>11</v>
      </c>
      <c r="B49" s="47" t="str">
        <f>Source!G65</f>
        <v>Прокладка пластикового кабель-канала - по бетонному основанию / сечение 60х40 мм</v>
      </c>
      <c r="C49" s="48" t="str">
        <f>Source!H65</f>
        <v>100 м</v>
      </c>
      <c r="D49" s="49">
        <f>Source!I65</f>
        <v>0.91</v>
      </c>
      <c r="E49" s="47"/>
    </row>
    <row r="50" spans="1:5" ht="14.25" x14ac:dyDescent="0.2">
      <c r="A50" s="46">
        <v>11.1</v>
      </c>
      <c r="B50" s="47" t="str">
        <f>Source!G66</f>
        <v>Кабель-канал, размер 60х60 2000 мм белый</v>
      </c>
      <c r="C50" s="48" t="str">
        <f>Source!H66</f>
        <v>м</v>
      </c>
      <c r="D50" s="49">
        <f>Source!I66</f>
        <v>91</v>
      </c>
      <c r="E50" s="47"/>
    </row>
    <row r="51" spans="1:5" ht="14.25" x14ac:dyDescent="0.2">
      <c r="A51" s="46">
        <v>11.2</v>
      </c>
      <c r="B51" s="47" t="str">
        <f>Source!G71</f>
        <v>Кабель-каналы, размер 60х40 мм: кабель-каналы</v>
      </c>
      <c r="C51" s="48" t="str">
        <f>Source!H71</f>
        <v>м</v>
      </c>
      <c r="D51" s="49">
        <f>Source!I71</f>
        <v>-91</v>
      </c>
      <c r="E51" s="47"/>
    </row>
    <row r="52" spans="1:5" ht="14.25" x14ac:dyDescent="0.2">
      <c r="A52" s="46">
        <v>11.3</v>
      </c>
      <c r="B52" s="47" t="str">
        <f>Source!G72</f>
        <v>Кабель-каналы, размер 60х40 мм: заглушки</v>
      </c>
      <c r="C52" s="48" t="str">
        <f>Source!H72</f>
        <v>шт.</v>
      </c>
      <c r="D52" s="49">
        <f>Source!I72</f>
        <v>-13.65</v>
      </c>
      <c r="E52" s="47"/>
    </row>
    <row r="53" spans="1:5" ht="14.25" x14ac:dyDescent="0.2">
      <c r="A53" s="46">
        <v>11.4</v>
      </c>
      <c r="B53" s="47" t="str">
        <f>Source!G73</f>
        <v>Кабель-каналы, размер 60х40 мм: накладки стыковые</v>
      </c>
      <c r="C53" s="48" t="str">
        <f>Source!H73</f>
        <v>шт.</v>
      </c>
      <c r="D53" s="49">
        <f>Source!I73</f>
        <v>-3.64</v>
      </c>
      <c r="E53" s="47"/>
    </row>
    <row r="54" spans="1:5" ht="14.25" x14ac:dyDescent="0.2">
      <c r="A54" s="46">
        <v>11.5</v>
      </c>
      <c r="B54" s="47" t="str">
        <f>Source!G74</f>
        <v>Кабель-каналы, размер 60х40 мм: тройники</v>
      </c>
      <c r="C54" s="48" t="str">
        <f>Source!H74</f>
        <v>шт.</v>
      </c>
      <c r="D54" s="49">
        <f>Source!I74</f>
        <v>-1.82</v>
      </c>
      <c r="E54" s="47"/>
    </row>
    <row r="55" spans="1:5" ht="14.25" x14ac:dyDescent="0.2">
      <c r="A55" s="46">
        <v>11.6</v>
      </c>
      <c r="B55" s="47" t="str">
        <f>Source!G75</f>
        <v>Кабель-каналы, размер 60х40 мм: углы внутренние</v>
      </c>
      <c r="C55" s="48" t="str">
        <f>Source!H75</f>
        <v>шт.</v>
      </c>
      <c r="D55" s="49">
        <f>Source!I75</f>
        <v>-1.82</v>
      </c>
      <c r="E55" s="47"/>
    </row>
    <row r="56" spans="1:5" ht="14.25" x14ac:dyDescent="0.2">
      <c r="A56" s="46">
        <v>11.7</v>
      </c>
      <c r="B56" s="47" t="str">
        <f>Source!G76</f>
        <v>Кабель-каналы, размер 60х40 мм: углы наружные</v>
      </c>
      <c r="C56" s="48" t="str">
        <f>Source!H76</f>
        <v>шт.</v>
      </c>
      <c r="D56" s="49">
        <f>Source!I76</f>
        <v>-13.65</v>
      </c>
      <c r="E56" s="47"/>
    </row>
    <row r="57" spans="1:5" ht="14.25" x14ac:dyDescent="0.2">
      <c r="A57" s="46">
        <v>11.8</v>
      </c>
      <c r="B57" s="47" t="str">
        <f>Source!G77</f>
        <v>Кабель-каналы, размер 60х40 мм: углы плоские</v>
      </c>
      <c r="C57" s="48" t="str">
        <f>Source!H77</f>
        <v>шт.</v>
      </c>
      <c r="D57" s="49">
        <f>Source!I77</f>
        <v>-1.82</v>
      </c>
      <c r="E57" s="47"/>
    </row>
    <row r="58" spans="1:5" ht="14.25" x14ac:dyDescent="0.2">
      <c r="A58" s="46">
        <v>12</v>
      </c>
      <c r="B58" s="47" t="str">
        <f>Source!G78</f>
        <v>Прокладка проводов и кабелей в коробах, провод сечением до 35 мм2</v>
      </c>
      <c r="C58" s="48" t="str">
        <f>Source!H78</f>
        <v>100 м</v>
      </c>
      <c r="D58" s="49">
        <f>Source!I78</f>
        <v>1.44</v>
      </c>
      <c r="E58" s="47"/>
    </row>
    <row r="59" spans="1:5" ht="28.5" x14ac:dyDescent="0.2">
      <c r="A59" s="46">
        <v>12.1</v>
      </c>
      <c r="B59" s="47" t="str">
        <f>Source!G79</f>
        <v>П2432. Провод ПВС 5х1,5 кв.мм белый ГОСТ (Брэкс Брянск)(или эквивалент)</v>
      </c>
      <c r="C59" s="48" t="str">
        <f>Source!H79</f>
        <v>м</v>
      </c>
      <c r="D59" s="49">
        <f>Source!I79</f>
        <v>148.32</v>
      </c>
      <c r="E59" s="47"/>
    </row>
    <row r="60" spans="1:5" ht="42.75" x14ac:dyDescent="0.2">
      <c r="A60" s="46">
        <v>12.2</v>
      </c>
      <c r="B60" s="47" t="str">
        <f>Source!G80</f>
        <v>Провода силовые с медными жилами в поливинилхлоридной изоляции, марка ПуГВ, номинальное напряжение до 450 В, число жил и сечение 1х10 мм2</v>
      </c>
      <c r="C60" s="48" t="str">
        <f>Source!H80</f>
        <v>км</v>
      </c>
      <c r="D60" s="49">
        <f>Source!I80</f>
        <v>-0.14832000000000001</v>
      </c>
      <c r="E60" s="47"/>
    </row>
    <row r="61" spans="1:5" ht="28.5" x14ac:dyDescent="0.2">
      <c r="A61" s="46">
        <v>13</v>
      </c>
      <c r="B61" s="47" t="str">
        <f>Source!G81</f>
        <v>Прокладка трубопроводов канализации из ПВХ труб диаметром до 50 мм (без стоимости арматуры)</v>
      </c>
      <c r="C61" s="48" t="str">
        <f>Source!H81</f>
        <v>100 м</v>
      </c>
      <c r="D61" s="49">
        <f>Source!I81</f>
        <v>1.61</v>
      </c>
      <c r="E61" s="47"/>
    </row>
    <row r="62" spans="1:5" ht="14.25" x14ac:dyDescent="0.2">
      <c r="A62" s="46">
        <v>13.1</v>
      </c>
      <c r="B62" s="47" t="str">
        <f>Source!G82</f>
        <v>Трубки дренажные поливинилхлоридные, диаметр 16мм</v>
      </c>
      <c r="C62" s="48" t="str">
        <f>Source!H82</f>
        <v>м</v>
      </c>
      <c r="D62" s="49">
        <f>Source!I82</f>
        <v>161</v>
      </c>
      <c r="E62" s="47"/>
    </row>
    <row r="63" spans="1:5" ht="14.25" x14ac:dyDescent="0.2">
      <c r="A63" s="46">
        <v>13.2</v>
      </c>
      <c r="B63" s="47" t="str">
        <f>Source!G83</f>
        <v>Капиллярная трубка 6 мм (или эквивалент)</v>
      </c>
      <c r="C63" s="48" t="str">
        <f>Source!H83</f>
        <v>м</v>
      </c>
      <c r="D63" s="49">
        <f>Source!I83</f>
        <v>24</v>
      </c>
      <c r="E63" s="47"/>
    </row>
    <row r="64" spans="1:5" ht="14.25" x14ac:dyDescent="0.2">
      <c r="A64" s="46">
        <v>13.3</v>
      </c>
      <c r="B64" s="47" t="str">
        <f>Source!G86</f>
        <v>Вода</v>
      </c>
      <c r="C64" s="48" t="str">
        <f>Source!H86</f>
        <v>м3</v>
      </c>
      <c r="D64" s="49">
        <f>Source!I86</f>
        <v>-0.31717000000000001</v>
      </c>
      <c r="E64" s="47"/>
    </row>
    <row r="65" spans="1:5" ht="28.5" x14ac:dyDescent="0.2">
      <c r="A65" s="46">
        <v>13.4</v>
      </c>
      <c r="B65" s="47" t="str">
        <f>Source!G87</f>
        <v>Заготовки трубные поливинилхлоридные, внутренней канализации без средств крепления, диаметр 50 мм</v>
      </c>
      <c r="C65" s="48" t="str">
        <f>Source!H87</f>
        <v>м</v>
      </c>
      <c r="D65" s="49">
        <f>Source!I87</f>
        <v>-160.678</v>
      </c>
      <c r="E65" s="47"/>
    </row>
    <row r="66" spans="1:5" ht="28.5" x14ac:dyDescent="0.2">
      <c r="A66" s="46">
        <v>13.5</v>
      </c>
      <c r="B66" s="47" t="str">
        <f>Source!G88</f>
        <v>Кольца резиновые уплотнительные для канализации из поливинилхлоридных труб, диаметр 110 мм</v>
      </c>
      <c r="C66" s="48" t="str">
        <f>Source!H88</f>
        <v>шт.</v>
      </c>
      <c r="D66" s="49">
        <f>Source!I88</f>
        <v>-19.32</v>
      </c>
      <c r="E66" s="47"/>
    </row>
    <row r="67" spans="1:5" ht="28.5" x14ac:dyDescent="0.2">
      <c r="A67" s="46">
        <v>14</v>
      </c>
      <c r="B67" s="47" t="str">
        <f>Source!G90</f>
        <v>Установка щитков осветительных на стене распорными дюбелями, масса щитка до 6 кг (без стоимости щитков)</v>
      </c>
      <c r="C67" s="48" t="str">
        <f>Source!H90</f>
        <v>шт.</v>
      </c>
      <c r="D67" s="49">
        <f>Source!I90</f>
        <v>27</v>
      </c>
      <c r="E67" s="47"/>
    </row>
    <row r="68" spans="1:5" ht="28.5" x14ac:dyDescent="0.2">
      <c r="A68" s="46">
        <v>14.1</v>
      </c>
      <c r="B68" s="47" t="str">
        <f>Source!G91</f>
        <v>Е0310. Бокс UNK40-02-2 белый на 2 модуля темная прозрачная дверь IP41 (Текфор Москва)(или эквивалент)</v>
      </c>
      <c r="C68" s="48" t="str">
        <f>Source!H91</f>
        <v>шт.</v>
      </c>
      <c r="D68" s="49">
        <f>Source!I91</f>
        <v>27</v>
      </c>
      <c r="E68" s="47"/>
    </row>
    <row r="69" spans="1:5" ht="14.25" x14ac:dyDescent="0.2">
      <c r="A69" s="46">
        <v>15</v>
      </c>
      <c r="B69" s="47" t="str">
        <f>Source!G92</f>
        <v>Установка DIN-рейки (без стоимости DIN-рейки)</v>
      </c>
      <c r="C69" s="48" t="str">
        <f>Source!H92</f>
        <v>100 м</v>
      </c>
      <c r="D69" s="49">
        <f>Source!I92</f>
        <v>2.0250000000000001E-2</v>
      </c>
      <c r="E69" s="47"/>
    </row>
    <row r="70" spans="1:5" ht="28.5" x14ac:dyDescent="0.2">
      <c r="A70" s="46">
        <v>15.1</v>
      </c>
      <c r="B70" s="47" t="str">
        <f>Source!G93</f>
        <v>Б2501. DIN-рейка 07-03-001 7,5х35х75мм оцинкованная металлическая (Текфор Москва)(или эквивалент)</v>
      </c>
      <c r="C70" s="48" t="str">
        <f>Source!H93</f>
        <v>шт.</v>
      </c>
      <c r="D70" s="49">
        <f>Source!I93</f>
        <v>27</v>
      </c>
      <c r="E70" s="47"/>
    </row>
    <row r="71" spans="1:5" ht="42.75" x14ac:dyDescent="0.2">
      <c r="A71" s="46">
        <v>16</v>
      </c>
      <c r="B71" s="47" t="str">
        <f>Source!G94</f>
        <v>Установка выключателя установочного автоматического (автомата) или неавтоматического одно-, двух-, трехполюсного на конструкции на стене или колонне на ток до 25 А</v>
      </c>
      <c r="C71" s="48" t="str">
        <f>Source!H94</f>
        <v>шт.</v>
      </c>
      <c r="D71" s="49">
        <f>Source!I94</f>
        <v>49</v>
      </c>
      <c r="E71" s="47"/>
    </row>
    <row r="72" spans="1:5" ht="42.75" x14ac:dyDescent="0.2">
      <c r="A72" s="46">
        <v>17</v>
      </c>
      <c r="B72" s="47" t="str">
        <f>Source!G95</f>
        <v>Прокладка труб гофрированных поливинилхлоридных наружным диаметром 20 мм открыто по стенам и потолкам с установкой соединительных коробок</v>
      </c>
      <c r="C72" s="48" t="str">
        <f>Source!H95</f>
        <v>100 м</v>
      </c>
      <c r="D72" s="49">
        <f>Source!I95</f>
        <v>0.27</v>
      </c>
      <c r="E72" s="47"/>
    </row>
    <row r="73" spans="1:5" ht="42.75" x14ac:dyDescent="0.2">
      <c r="A73" s="46">
        <v>17.100000000000001</v>
      </c>
      <c r="B73" s="47" t="str">
        <f>Source!G96</f>
        <v>Коробки для выполнения соединений и ответвлений электрических кабелей и проводов сечением до 4 мм2, прокладываемых в неметаллических трубах, тип КОР-73 УЗ</v>
      </c>
      <c r="C73" s="48" t="str">
        <f>Source!H96</f>
        <v>шт.</v>
      </c>
      <c r="D73" s="49">
        <f>Source!I96</f>
        <v>-1.35</v>
      </c>
      <c r="E73" s="47"/>
    </row>
    <row r="74" spans="1:5" ht="28.5" x14ac:dyDescent="0.2">
      <c r="A74" s="46">
        <v>18</v>
      </c>
      <c r="B74" s="47" t="str">
        <f>Source!G105</f>
        <v>Прокладка пластикового кабель-канала - по бетонному основанию / сечение 40х20 мм</v>
      </c>
      <c r="C74" s="48" t="str">
        <f>Source!H105</f>
        <v>100 м</v>
      </c>
      <c r="D74" s="49">
        <f>Source!I105</f>
        <v>0.74</v>
      </c>
      <c r="E74" s="47"/>
    </row>
    <row r="75" spans="1:5" ht="14.25" x14ac:dyDescent="0.2">
      <c r="A75" s="46">
        <v>18.100000000000001</v>
      </c>
      <c r="B75" s="47" t="str">
        <f>Source!G106</f>
        <v>Кабель-каналы, размер 40х20 мм: заглушки</v>
      </c>
      <c r="C75" s="48" t="str">
        <f>Source!H106</f>
        <v>шт.</v>
      </c>
      <c r="D75" s="49">
        <f>Source!I106</f>
        <v>-11.1</v>
      </c>
      <c r="E75" s="47"/>
    </row>
    <row r="76" spans="1:5" ht="14.25" x14ac:dyDescent="0.2">
      <c r="A76" s="46">
        <v>18.2</v>
      </c>
      <c r="B76" s="47" t="str">
        <f>Source!G107</f>
        <v>Кабель-каналы, размер 40х20 мм: накладки стыковые</v>
      </c>
      <c r="C76" s="48" t="str">
        <f>Source!H107</f>
        <v>шт.</v>
      </c>
      <c r="D76" s="49">
        <f>Source!I107</f>
        <v>-2.96</v>
      </c>
      <c r="E76" s="47"/>
    </row>
    <row r="77" spans="1:5" ht="14.25" x14ac:dyDescent="0.2">
      <c r="A77" s="46">
        <v>18.3</v>
      </c>
      <c r="B77" s="47" t="str">
        <f>Source!G108</f>
        <v>Кабель-каналы, размер 40х20 мм: углы внутренние</v>
      </c>
      <c r="C77" s="48" t="str">
        <f>Source!H108</f>
        <v>шт.</v>
      </c>
      <c r="D77" s="49">
        <f>Source!I108</f>
        <v>-1.48</v>
      </c>
      <c r="E77" s="47"/>
    </row>
    <row r="78" spans="1:5" ht="14.25" x14ac:dyDescent="0.2">
      <c r="A78" s="46">
        <v>18.399999999999999</v>
      </c>
      <c r="B78" s="47" t="str">
        <f>Source!G109</f>
        <v>Кабель-каналы, размер 40х20 мм: углы наружные</v>
      </c>
      <c r="C78" s="48" t="str">
        <f>Source!H109</f>
        <v>шт.</v>
      </c>
      <c r="D78" s="49">
        <f>Source!I109</f>
        <v>-11.1</v>
      </c>
      <c r="E78" s="47"/>
    </row>
    <row r="79" spans="1:5" ht="14.25" x14ac:dyDescent="0.2">
      <c r="A79" s="46">
        <v>18.5</v>
      </c>
      <c r="B79" s="47" t="str">
        <f>Source!G110</f>
        <v>Кабель-каналы, размер 40х20 мм: углы плоские</v>
      </c>
      <c r="C79" s="48" t="str">
        <f>Source!H110</f>
        <v>шт.</v>
      </c>
      <c r="D79" s="49">
        <f>Source!I110</f>
        <v>-1.48</v>
      </c>
      <c r="E79" s="47"/>
    </row>
    <row r="80" spans="1:5" ht="57" x14ac:dyDescent="0.2">
      <c r="A80" s="46">
        <v>19</v>
      </c>
      <c r="B80" s="47" t="str">
        <f>Source!G111</f>
        <v>Затягивание проводов и кабелей в проложенные трубы и металлические рукава, провод первый одножильный или многожильный в общей оплетке, суммарное сечение до 16 мм2 (без стоимости материалов)</v>
      </c>
      <c r="C80" s="48" t="str">
        <f>Source!H111</f>
        <v>100 м</v>
      </c>
      <c r="D80" s="49">
        <f>Source!I111</f>
        <v>0.33</v>
      </c>
      <c r="E80" s="47"/>
    </row>
    <row r="81" spans="1:5" ht="57" x14ac:dyDescent="0.2">
      <c r="A81" s="46">
        <v>19.100000000000001</v>
      </c>
      <c r="B81" s="47" t="str">
        <f>Source!G112</f>
        <v>Кабели силовые, с медными жилами, с изоляц. и оболоч.из ПВХ пластиката пониж.пожар.опасности, не распростр.горение, с пониж.дымо- и газовыделением и с низк.токсич-тью продуктов горения, напряж.1000 В, марка ВВГнг(А)-LSLTx, число жил и сечение, мм2: 3х2,5</v>
      </c>
      <c r="C81" s="48" t="str">
        <f>Source!H112</f>
        <v>км</v>
      </c>
      <c r="D81" s="49">
        <f>Source!I112</f>
        <v>3.3660000000000002E-2</v>
      </c>
      <c r="E81" s="47"/>
    </row>
    <row r="82" spans="1:5" ht="14.25" x14ac:dyDescent="0.2">
      <c r="A82" s="46">
        <v>20</v>
      </c>
      <c r="B82" s="47" t="str">
        <f>Source!G113</f>
        <v>Прокладка проводов и кабелей в коробах, провод сечением до 35 мм2</v>
      </c>
      <c r="C82" s="48" t="str">
        <f>Source!H113</f>
        <v>100 м</v>
      </c>
      <c r="D82" s="49">
        <f>Source!I113</f>
        <v>4.8</v>
      </c>
      <c r="E82" s="47"/>
    </row>
    <row r="83" spans="1:5" ht="57" x14ac:dyDescent="0.2">
      <c r="A83" s="46">
        <v>20.100000000000001</v>
      </c>
      <c r="B83" s="47" t="str">
        <f>Source!G114</f>
        <v>Кабели силовые, с медными жилами, с изоляц. и оболоч.из ПВХ пластиката пониж.пожар.опасности, не распростр.горение, с пониж.дымо- и газовыделением и с низк.токсич-тью продуктов горения, напряж.1000 В, марка ВВГнг(А)-LSLTx, число жил и сечение, мм2: 3х2,5</v>
      </c>
      <c r="C83" s="48" t="str">
        <f>Source!H114</f>
        <v>км</v>
      </c>
      <c r="D83" s="49">
        <f>Source!I114</f>
        <v>0.48959999999999992</v>
      </c>
      <c r="E83" s="47"/>
    </row>
    <row r="84" spans="1:5" ht="42.75" x14ac:dyDescent="0.2">
      <c r="A84" s="46">
        <v>20.2</v>
      </c>
      <c r="B84" s="47" t="str">
        <f>Source!G115</f>
        <v>Провода силовые с медными жилами в поливинилхлоридной изоляции, марка ПуГВ, номинальное напряжение до 450 В, число жил и сечение 1х10 мм2</v>
      </c>
      <c r="C84" s="48" t="str">
        <f>Source!H115</f>
        <v>км</v>
      </c>
      <c r="D84" s="49">
        <f>Source!I115</f>
        <v>-0.49440000000000001</v>
      </c>
      <c r="E84" s="47"/>
    </row>
    <row r="85" spans="1:5" ht="42.75" x14ac:dyDescent="0.2">
      <c r="A85" s="46">
        <v>21</v>
      </c>
      <c r="B85" s="47" t="str">
        <f>Source!G120</f>
        <v>Сверление сквозных отверстий в бетонных стенах и полах электроперфоратором, диаметр отверстия до 30 мм, глубина сверления 100 мм</v>
      </c>
      <c r="C85" s="48" t="str">
        <f>Source!H120</f>
        <v>100 отверстий</v>
      </c>
      <c r="D85" s="49">
        <f>Source!I120</f>
        <v>0.05</v>
      </c>
      <c r="E85" s="47"/>
    </row>
    <row r="86" spans="1:5" ht="28.5" x14ac:dyDescent="0.2">
      <c r="A86" s="46">
        <v>22</v>
      </c>
      <c r="B86" s="47" t="str">
        <f>Source!G121</f>
        <v>Добавлять на каждые 50 мм глубины сверления сверх 100 мм к поз. 50-3204-11-9</v>
      </c>
      <c r="C86" s="48" t="str">
        <f>Source!H121</f>
        <v>100 отверстий</v>
      </c>
      <c r="D86" s="49">
        <f>Source!I121</f>
        <v>0.05</v>
      </c>
      <c r="E86" s="47"/>
    </row>
    <row r="87" spans="1:5" ht="14.25" x14ac:dyDescent="0.2">
      <c r="A87" s="46">
        <v>23</v>
      </c>
      <c r="B87" s="47" t="str">
        <f>Source!G126</f>
        <v>Заделка отверстий и гнезд в стенах бетонных, площадь заделки 0,1 м2</v>
      </c>
      <c r="C87" s="48" t="str">
        <f>Source!H126</f>
        <v>м3</v>
      </c>
      <c r="D87" s="49">
        <f>Source!I126</f>
        <v>2.9500000000000001E-4</v>
      </c>
      <c r="E87" s="47"/>
    </row>
    <row r="88" spans="1:5" ht="14.25" x14ac:dyDescent="0.2">
      <c r="A88" s="46">
        <v>24</v>
      </c>
      <c r="B88" s="47" t="str">
        <f>Source!G129</f>
        <v>Установка химических анкеров в готовые отверстия</v>
      </c>
      <c r="C88" s="48" t="str">
        <f>Source!H129</f>
        <v>100 компл.</v>
      </c>
      <c r="D88" s="49">
        <f>Source!I129</f>
        <v>0.02</v>
      </c>
      <c r="E88" s="47"/>
    </row>
    <row r="89" spans="1:5" ht="28.5" x14ac:dyDescent="0.2">
      <c r="A89" s="46">
        <v>25</v>
      </c>
      <c r="B89" s="47" t="str">
        <f>Source!G130</f>
        <v>Прокладка лотков металлических штампованных по установленным конструкциям, ширина лотков до 200 мм (без стоимости лотков)</v>
      </c>
      <c r="C89" s="48" t="str">
        <f>Source!H130</f>
        <v>т</v>
      </c>
      <c r="D89" s="49">
        <f>Source!I130</f>
        <v>6.4799999999999996E-3</v>
      </c>
      <c r="E89" s="47"/>
    </row>
    <row r="90" spans="1:5" ht="28.5" x14ac:dyDescent="0.2">
      <c r="A90" s="46">
        <v>25.1</v>
      </c>
      <c r="B90" s="47" t="str">
        <f>Source!G131</f>
        <v>Лоток 35260 50х50х0,7 L=3000 перфорированный (ДКС)(или эквивалент)</v>
      </c>
      <c r="C90" s="48" t="str">
        <f>Source!H131</f>
        <v>м</v>
      </c>
      <c r="D90" s="49">
        <f>Source!I131</f>
        <v>9</v>
      </c>
      <c r="E90" s="47"/>
    </row>
    <row r="91" spans="1:5" ht="28.5" x14ac:dyDescent="0.2">
      <c r="A91" s="46">
        <v>25.2</v>
      </c>
      <c r="B91" s="47" t="str">
        <f>Source!G132</f>
        <v>М9404. Крышка 35520 L=3000 для лотков шириной 50мм (ДКС)(или эквивалент)</v>
      </c>
      <c r="C91" s="48" t="str">
        <f>Source!H132</f>
        <v>м</v>
      </c>
      <c r="D91" s="49">
        <f>Source!I132</f>
        <v>9</v>
      </c>
      <c r="E91" s="47"/>
    </row>
    <row r="92" spans="1:5" ht="28.5" x14ac:dyDescent="0.2">
      <c r="A92" s="46">
        <v>25.3</v>
      </c>
      <c r="B92" s="47" t="str">
        <f>Source!G133</f>
        <v>М9835. Консоль BBL4010 ML 100мм с опорой, облегченная (ДКС)(или эквивалент)</v>
      </c>
      <c r="C92" s="48" t="str">
        <f>Source!H133</f>
        <v>шт.</v>
      </c>
      <c r="D92" s="49">
        <f>Source!I133</f>
        <v>9</v>
      </c>
      <c r="E92" s="47"/>
    </row>
    <row r="93" spans="1:5" ht="28.5" x14ac:dyDescent="0.2">
      <c r="A93" s="46">
        <v>26</v>
      </c>
      <c r="B93" s="47" t="str">
        <f>Source!G135</f>
        <v>Прокладка профиля перфорированного монтажного длиной 2 м (без стоимости профиля)</v>
      </c>
      <c r="C93" s="48" t="str">
        <f>Source!H135</f>
        <v>100 шт.</v>
      </c>
      <c r="D93" s="49">
        <f>Source!I135</f>
        <v>0.11</v>
      </c>
      <c r="E93" s="47"/>
    </row>
    <row r="94" spans="1:5" ht="28.5" x14ac:dyDescent="0.2">
      <c r="A94" s="46">
        <v>26.1</v>
      </c>
      <c r="B94" s="47" t="str">
        <f>Source!G136</f>
        <v>М1914. Швеллер К347Ц перфорированный 32х20х2мм L=2м оцинкованный лист (КЗЭМИ Курган)(или эквивалент)</v>
      </c>
      <c r="C94" s="48" t="str">
        <f>Source!H136</f>
        <v>м</v>
      </c>
      <c r="D94" s="49">
        <f>Source!I136</f>
        <v>22</v>
      </c>
      <c r="E94" s="47"/>
    </row>
    <row r="95" spans="1:5" ht="14.25" x14ac:dyDescent="0.2">
      <c r="A95" s="42">
        <v>27</v>
      </c>
      <c r="B95" s="43" t="str">
        <f>Source!G151</f>
        <v>Вышки телескопические на автомобиле, высота до 25 м</v>
      </c>
      <c r="C95" s="44" t="str">
        <f>Source!H151</f>
        <v>маш.-ч</v>
      </c>
      <c r="D95" s="45">
        <f>Source!I151</f>
        <v>16</v>
      </c>
      <c r="E95" s="43"/>
    </row>
    <row r="98" spans="1:5" ht="15" x14ac:dyDescent="0.25">
      <c r="A98" s="33" t="s">
        <v>863</v>
      </c>
      <c r="B98" s="33"/>
      <c r="C98" s="33"/>
      <c r="D98" s="33"/>
      <c r="E98" s="33"/>
    </row>
  </sheetData>
  <mergeCells count="6">
    <mergeCell ref="A19:E19"/>
    <mergeCell ref="C4:E4"/>
    <mergeCell ref="C5:D5"/>
    <mergeCell ref="C7:D7"/>
    <mergeCell ref="A11:D11"/>
    <mergeCell ref="A12:D12"/>
  </mergeCells>
  <pageMargins left="0.4" right="0.2" top="0.2" bottom="0.4" header="0.2" footer="0.2"/>
  <pageSetup paperSize="9" scale="77" fitToHeight="0" orientation="portrait" verticalDpi="0" r:id="rId1"/>
  <headerFooter>
    <oddHeader>&amp;L&amp;8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7"/>
  <sheetViews>
    <sheetView workbookViewId="0"/>
  </sheetViews>
  <sheetFormatPr defaultRowHeight="12.75" x14ac:dyDescent="0.2"/>
  <sheetData>
    <row r="1" spans="1:27" x14ac:dyDescent="0.2">
      <c r="A1" t="s">
        <v>891</v>
      </c>
      <c r="B1" t="s">
        <v>892</v>
      </c>
      <c r="C1" t="s">
        <v>893</v>
      </c>
      <c r="D1" t="s">
        <v>894</v>
      </c>
      <c r="E1" t="s">
        <v>895</v>
      </c>
      <c r="F1" t="s">
        <v>896</v>
      </c>
      <c r="G1" t="s">
        <v>897</v>
      </c>
      <c r="H1" t="s">
        <v>898</v>
      </c>
      <c r="I1" t="s">
        <v>899</v>
      </c>
      <c r="J1" t="s">
        <v>900</v>
      </c>
      <c r="K1" t="s">
        <v>901</v>
      </c>
      <c r="L1" t="s">
        <v>902</v>
      </c>
      <c r="M1" t="s">
        <v>903</v>
      </c>
      <c r="N1" t="s">
        <v>904</v>
      </c>
    </row>
    <row r="2" spans="1:27" x14ac:dyDescent="0.2">
      <c r="A2">
        <v>1</v>
      </c>
      <c r="B2">
        <v>1</v>
      </c>
      <c r="C2">
        <v>1</v>
      </c>
      <c r="D2">
        <v>1</v>
      </c>
      <c r="E2">
        <v>1</v>
      </c>
      <c r="F2">
        <v>1</v>
      </c>
      <c r="G2">
        <v>1</v>
      </c>
      <c r="H2">
        <v>0</v>
      </c>
      <c r="I2">
        <v>1</v>
      </c>
      <c r="J2">
        <v>0</v>
      </c>
      <c r="K2">
        <v>1</v>
      </c>
      <c r="L2">
        <v>43095088</v>
      </c>
      <c r="M2">
        <v>0</v>
      </c>
      <c r="N2">
        <v>0</v>
      </c>
    </row>
    <row r="4" spans="1:27" x14ac:dyDescent="0.2">
      <c r="A4" t="s">
        <v>864</v>
      </c>
      <c r="B4" t="s">
        <v>865</v>
      </c>
      <c r="C4" t="s">
        <v>866</v>
      </c>
      <c r="D4" t="s">
        <v>867</v>
      </c>
      <c r="E4" t="s">
        <v>868</v>
      </c>
      <c r="F4" t="s">
        <v>869</v>
      </c>
      <c r="G4" t="s">
        <v>870</v>
      </c>
      <c r="H4" t="s">
        <v>871</v>
      </c>
      <c r="I4" t="s">
        <v>872</v>
      </c>
      <c r="J4" t="s">
        <v>873</v>
      </c>
      <c r="K4" t="s">
        <v>874</v>
      </c>
      <c r="L4" t="s">
        <v>875</v>
      </c>
      <c r="M4" t="s">
        <v>876</v>
      </c>
      <c r="N4" t="s">
        <v>877</v>
      </c>
      <c r="O4" t="s">
        <v>878</v>
      </c>
      <c r="P4" t="s">
        <v>879</v>
      </c>
      <c r="Q4" t="s">
        <v>880</v>
      </c>
      <c r="R4" t="s">
        <v>881</v>
      </c>
      <c r="S4" t="s">
        <v>882</v>
      </c>
      <c r="T4" t="s">
        <v>883</v>
      </c>
      <c r="U4" t="s">
        <v>887</v>
      </c>
      <c r="V4" t="s">
        <v>888</v>
      </c>
      <c r="W4" t="s">
        <v>889</v>
      </c>
      <c r="X4" t="s">
        <v>890</v>
      </c>
      <c r="Y4" t="s">
        <v>884</v>
      </c>
      <c r="Z4" t="s">
        <v>885</v>
      </c>
      <c r="AA4" t="s">
        <v>886</v>
      </c>
    </row>
    <row r="6" spans="1:27" x14ac:dyDescent="0.2">
      <c r="A6">
        <f>Source!A20</f>
        <v>3</v>
      </c>
      <c r="B6">
        <v>20</v>
      </c>
      <c r="G6" t="str">
        <f>Source!G20</f>
        <v>Установка сплит-систем</v>
      </c>
    </row>
    <row r="7" spans="1:27" x14ac:dyDescent="0.2">
      <c r="A7">
        <v>20</v>
      </c>
      <c r="B7">
        <v>5</v>
      </c>
      <c r="C7">
        <v>3</v>
      </c>
      <c r="D7">
        <v>0</v>
      </c>
      <c r="E7">
        <f>SmtRes!AV5</f>
        <v>0</v>
      </c>
      <c r="F7" t="str">
        <f>SmtRes!I5</f>
        <v>21.1-25-137</v>
      </c>
      <c r="G7" t="str">
        <f>SmtRes!K5</f>
        <v>Лента изоляционная ПВХ, размер 15х0,2 мм</v>
      </c>
      <c r="H7" t="str">
        <f>SmtRes!O5</f>
        <v>шт.</v>
      </c>
      <c r="I7">
        <f>SmtRes!Y5*Source!I24</f>
        <v>23</v>
      </c>
      <c r="J7">
        <f>SmtRes!AO5</f>
        <v>1</v>
      </c>
      <c r="K7">
        <f>SmtRes!AE5</f>
        <v>24.65</v>
      </c>
      <c r="L7">
        <f>SmtRes!DB5</f>
        <v>24.65</v>
      </c>
      <c r="M7">
        <f>ROUND(ROUND(L7*Source!I24, 6)*1, 2)</f>
        <v>566.95000000000005</v>
      </c>
      <c r="N7">
        <f>SmtRes!AA5</f>
        <v>24.65</v>
      </c>
      <c r="O7">
        <f>ROUND(ROUND(L7*Source!I24, 6)*SmtRes!DA5, 2)</f>
        <v>566.95000000000005</v>
      </c>
      <c r="P7">
        <f>SmtRes!AG5</f>
        <v>0</v>
      </c>
      <c r="Q7">
        <f>SmtRes!DC5</f>
        <v>0</v>
      </c>
      <c r="R7">
        <f>ROUND(ROUND(Q7*Source!I24, 6)*1, 2)</f>
        <v>0</v>
      </c>
      <c r="S7">
        <f>SmtRes!AC5</f>
        <v>0</v>
      </c>
      <c r="T7">
        <f>ROUND(ROUND(Q7*Source!I24, 6)*SmtRes!AK5, 2)</f>
        <v>0</v>
      </c>
      <c r="U7">
        <v>3</v>
      </c>
      <c r="Y7">
        <f>SmtRes!X5</f>
        <v>941169148</v>
      </c>
      <c r="Z7">
        <v>-138492900</v>
      </c>
      <c r="AA7">
        <v>-138492900</v>
      </c>
    </row>
    <row r="8" spans="1:27" x14ac:dyDescent="0.2">
      <c r="A8">
        <v>20</v>
      </c>
      <c r="B8">
        <v>4</v>
      </c>
      <c r="C8">
        <v>3</v>
      </c>
      <c r="D8">
        <v>0</v>
      </c>
      <c r="E8">
        <f>SmtRes!AV4</f>
        <v>0</v>
      </c>
      <c r="F8" t="str">
        <f>SmtRes!I4</f>
        <v>21.1-11-198</v>
      </c>
      <c r="G8" t="str">
        <f>SmtRes!K4</f>
        <v>Дюбели пластмассовые</v>
      </c>
      <c r="H8" t="str">
        <f>SmtRes!O4</f>
        <v>шт.</v>
      </c>
      <c r="I8">
        <f>SmtRes!Y4*Source!I24</f>
        <v>92</v>
      </c>
      <c r="J8">
        <f>SmtRes!AO4</f>
        <v>1</v>
      </c>
      <c r="K8">
        <f>SmtRes!AE4</f>
        <v>1.43</v>
      </c>
      <c r="L8">
        <f>SmtRes!DB4</f>
        <v>5.72</v>
      </c>
      <c r="M8">
        <f>ROUND(ROUND(L8*Source!I24, 6)*1, 2)</f>
        <v>131.56</v>
      </c>
      <c r="N8">
        <f>SmtRes!AA4</f>
        <v>1.43</v>
      </c>
      <c r="O8">
        <f>ROUND(ROUND(L8*Source!I24, 6)*SmtRes!DA4, 2)</f>
        <v>131.56</v>
      </c>
      <c r="P8">
        <f>SmtRes!AG4</f>
        <v>0</v>
      </c>
      <c r="Q8">
        <f>SmtRes!DC4</f>
        <v>0</v>
      </c>
      <c r="R8">
        <f>ROUND(ROUND(Q8*Source!I24, 6)*1, 2)</f>
        <v>0</v>
      </c>
      <c r="S8">
        <f>SmtRes!AC4</f>
        <v>0</v>
      </c>
      <c r="T8">
        <f>ROUND(ROUND(Q8*Source!I24, 6)*SmtRes!AK4, 2)</f>
        <v>0</v>
      </c>
      <c r="U8">
        <v>3</v>
      </c>
      <c r="Y8">
        <f>SmtRes!X4</f>
        <v>447429166</v>
      </c>
      <c r="Z8">
        <v>1963942266</v>
      </c>
      <c r="AA8">
        <v>1963942266</v>
      </c>
    </row>
    <row r="9" spans="1:27" x14ac:dyDescent="0.2">
      <c r="A9">
        <v>20</v>
      </c>
      <c r="B9">
        <v>3</v>
      </c>
      <c r="C9">
        <v>2</v>
      </c>
      <c r="D9">
        <v>0</v>
      </c>
      <c r="E9">
        <f>SmtRes!AV3</f>
        <v>0</v>
      </c>
      <c r="F9" t="str">
        <f>SmtRes!I3</f>
        <v>22.1-30-56</v>
      </c>
      <c r="G9" t="str">
        <f>SmtRes!K3</f>
        <v>Шуруповерты</v>
      </c>
      <c r="H9" t="str">
        <f>SmtRes!O3</f>
        <v>маш.-ч</v>
      </c>
      <c r="I9">
        <f>SmtRes!Y3*Source!I24</f>
        <v>3.22</v>
      </c>
      <c r="J9">
        <f>SmtRes!AO3</f>
        <v>1</v>
      </c>
      <c r="K9">
        <f>SmtRes!AF3</f>
        <v>5.17</v>
      </c>
      <c r="L9">
        <f>SmtRes!DB3</f>
        <v>0.72</v>
      </c>
      <c r="M9">
        <f>ROUND(ROUND(L9*Source!I24, 6)*1, 2)</f>
        <v>16.559999999999999</v>
      </c>
      <c r="N9">
        <f>SmtRes!AB3</f>
        <v>5.17</v>
      </c>
      <c r="O9">
        <f>ROUND(ROUND(L9*Source!I24, 6)*SmtRes!DA3, 2)</f>
        <v>16.559999999999999</v>
      </c>
      <c r="P9">
        <f>SmtRes!AG3</f>
        <v>0.01</v>
      </c>
      <c r="Q9">
        <f>SmtRes!DC3</f>
        <v>0</v>
      </c>
      <c r="R9">
        <f>ROUND(ROUND(Q9*Source!I24, 6)*1, 2)</f>
        <v>0</v>
      </c>
      <c r="S9">
        <f>SmtRes!AC3</f>
        <v>0.01</v>
      </c>
      <c r="T9">
        <f>ROUND(ROUND(Q9*Source!I24, 6)*SmtRes!AK3, 2)</f>
        <v>0</v>
      </c>
      <c r="U9">
        <v>2</v>
      </c>
      <c r="Y9">
        <f>SmtRes!X3</f>
        <v>1197532078</v>
      </c>
      <c r="Z9">
        <v>1866338156</v>
      </c>
      <c r="AA9">
        <v>1866338156</v>
      </c>
    </row>
    <row r="10" spans="1:27" x14ac:dyDescent="0.2">
      <c r="A10">
        <v>20</v>
      </c>
      <c r="B10">
        <v>2</v>
      </c>
      <c r="C10">
        <v>2</v>
      </c>
      <c r="D10">
        <v>0</v>
      </c>
      <c r="E10">
        <f>SmtRes!AV2</f>
        <v>0</v>
      </c>
      <c r="F10" t="str">
        <f>SmtRes!I2</f>
        <v>22.1-30-103</v>
      </c>
      <c r="G10" t="str">
        <f>SmtRes!K2</f>
        <v>Перфораторы электрические, мощность до 800 Вт</v>
      </c>
      <c r="H10" t="str">
        <f>SmtRes!O2</f>
        <v>маш.-ч</v>
      </c>
      <c r="I10">
        <f>SmtRes!Y2*Source!I24</f>
        <v>5.75</v>
      </c>
      <c r="J10">
        <f>SmtRes!AO2</f>
        <v>1</v>
      </c>
      <c r="K10">
        <f>SmtRes!AF2</f>
        <v>8.1</v>
      </c>
      <c r="L10">
        <f>SmtRes!DB2</f>
        <v>2.0299999999999998</v>
      </c>
      <c r="M10">
        <f>ROUND(ROUND(L10*Source!I24, 6)*1, 2)</f>
        <v>46.69</v>
      </c>
      <c r="N10">
        <f>SmtRes!AB2</f>
        <v>8.1</v>
      </c>
      <c r="O10">
        <f>ROUND(ROUND(L10*Source!I24, 6)*SmtRes!DA2, 2)</f>
        <v>46.69</v>
      </c>
      <c r="P10">
        <f>SmtRes!AG2</f>
        <v>1.03</v>
      </c>
      <c r="Q10">
        <f>SmtRes!DC2</f>
        <v>0.26</v>
      </c>
      <c r="R10">
        <f>ROUND(ROUND(Q10*Source!I24, 6)*1, 2)</f>
        <v>5.98</v>
      </c>
      <c r="S10">
        <f>SmtRes!AC2</f>
        <v>1.03</v>
      </c>
      <c r="T10">
        <f>ROUND(ROUND(Q10*Source!I24, 6)*SmtRes!AK2, 2)</f>
        <v>5.98</v>
      </c>
      <c r="U10">
        <v>2</v>
      </c>
      <c r="Y10">
        <f>SmtRes!X2</f>
        <v>259953263</v>
      </c>
      <c r="Z10">
        <v>921425808</v>
      </c>
      <c r="AA10">
        <v>921425808</v>
      </c>
    </row>
    <row r="11" spans="1:27" x14ac:dyDescent="0.2">
      <c r="A11">
        <v>20</v>
      </c>
      <c r="B11">
        <v>10</v>
      </c>
      <c r="C11">
        <v>3</v>
      </c>
      <c r="D11">
        <v>0</v>
      </c>
      <c r="E11">
        <f>SmtRes!AV10</f>
        <v>0</v>
      </c>
      <c r="F11" t="str">
        <f>SmtRes!I10</f>
        <v>21.1-25-137</v>
      </c>
      <c r="G11" t="str">
        <f>SmtRes!K10</f>
        <v>Лента изоляционная ПВХ, размер 15х0,2 мм</v>
      </c>
      <c r="H11" t="str">
        <f>SmtRes!O10</f>
        <v>шт.</v>
      </c>
      <c r="I11">
        <f>SmtRes!Y10*Source!I25</f>
        <v>3</v>
      </c>
      <c r="J11">
        <f>SmtRes!AO10</f>
        <v>1</v>
      </c>
      <c r="K11">
        <f>SmtRes!AE10</f>
        <v>24.65</v>
      </c>
      <c r="L11">
        <f>SmtRes!DB10</f>
        <v>24.65</v>
      </c>
      <c r="M11">
        <f>ROUND(ROUND(L11*Source!I25, 6)*1, 2)</f>
        <v>73.95</v>
      </c>
      <c r="N11">
        <f>SmtRes!AA10</f>
        <v>24.65</v>
      </c>
      <c r="O11">
        <f>ROUND(ROUND(L11*Source!I25, 6)*SmtRes!DA10, 2)</f>
        <v>73.95</v>
      </c>
      <c r="P11">
        <f>SmtRes!AG10</f>
        <v>0</v>
      </c>
      <c r="Q11">
        <f>SmtRes!DC10</f>
        <v>0</v>
      </c>
      <c r="R11">
        <f>ROUND(ROUND(Q11*Source!I25, 6)*1, 2)</f>
        <v>0</v>
      </c>
      <c r="S11">
        <f>SmtRes!AC10</f>
        <v>0</v>
      </c>
      <c r="T11">
        <f>ROUND(ROUND(Q11*Source!I25, 6)*SmtRes!AK10, 2)</f>
        <v>0</v>
      </c>
      <c r="U11">
        <v>3</v>
      </c>
      <c r="Y11">
        <f>SmtRes!X10</f>
        <v>941169148</v>
      </c>
      <c r="Z11">
        <v>-138492900</v>
      </c>
      <c r="AA11">
        <v>-138492900</v>
      </c>
    </row>
    <row r="12" spans="1:27" x14ac:dyDescent="0.2">
      <c r="A12">
        <v>20</v>
      </c>
      <c r="B12">
        <v>9</v>
      </c>
      <c r="C12">
        <v>3</v>
      </c>
      <c r="D12">
        <v>0</v>
      </c>
      <c r="E12">
        <f>SmtRes!AV9</f>
        <v>0</v>
      </c>
      <c r="F12" t="str">
        <f>SmtRes!I9</f>
        <v>21.1-11-198</v>
      </c>
      <c r="G12" t="str">
        <f>SmtRes!K9</f>
        <v>Дюбели пластмассовые</v>
      </c>
      <c r="H12" t="str">
        <f>SmtRes!O9</f>
        <v>шт.</v>
      </c>
      <c r="I12">
        <f>SmtRes!Y9*Source!I25</f>
        <v>12</v>
      </c>
      <c r="J12">
        <f>SmtRes!AO9</f>
        <v>1</v>
      </c>
      <c r="K12">
        <f>SmtRes!AE9</f>
        <v>1.43</v>
      </c>
      <c r="L12">
        <f>SmtRes!DB9</f>
        <v>5.72</v>
      </c>
      <c r="M12">
        <f>ROUND(ROUND(L12*Source!I25, 6)*1, 2)</f>
        <v>17.16</v>
      </c>
      <c r="N12">
        <f>SmtRes!AA9</f>
        <v>1.43</v>
      </c>
      <c r="O12">
        <f>ROUND(ROUND(L12*Source!I25, 6)*SmtRes!DA9, 2)</f>
        <v>17.16</v>
      </c>
      <c r="P12">
        <f>SmtRes!AG9</f>
        <v>0</v>
      </c>
      <c r="Q12">
        <f>SmtRes!DC9</f>
        <v>0</v>
      </c>
      <c r="R12">
        <f>ROUND(ROUND(Q12*Source!I25, 6)*1, 2)</f>
        <v>0</v>
      </c>
      <c r="S12">
        <f>SmtRes!AC9</f>
        <v>0</v>
      </c>
      <c r="T12">
        <f>ROUND(ROUND(Q12*Source!I25, 6)*SmtRes!AK9, 2)</f>
        <v>0</v>
      </c>
      <c r="U12">
        <v>3</v>
      </c>
      <c r="Y12">
        <f>SmtRes!X9</f>
        <v>447429166</v>
      </c>
      <c r="Z12">
        <v>1963942266</v>
      </c>
      <c r="AA12">
        <v>1963942266</v>
      </c>
    </row>
    <row r="13" spans="1:27" x14ac:dyDescent="0.2">
      <c r="A13">
        <v>20</v>
      </c>
      <c r="B13">
        <v>8</v>
      </c>
      <c r="C13">
        <v>2</v>
      </c>
      <c r="D13">
        <v>0</v>
      </c>
      <c r="E13">
        <f>SmtRes!AV8</f>
        <v>0</v>
      </c>
      <c r="F13" t="str">
        <f>SmtRes!I8</f>
        <v>22.1-30-56</v>
      </c>
      <c r="G13" t="str">
        <f>SmtRes!K8</f>
        <v>Шуруповерты</v>
      </c>
      <c r="H13" t="str">
        <f>SmtRes!O8</f>
        <v>маш.-ч</v>
      </c>
      <c r="I13">
        <f>SmtRes!Y8*Source!I25</f>
        <v>0.42000000000000004</v>
      </c>
      <c r="J13">
        <f>SmtRes!AO8</f>
        <v>1</v>
      </c>
      <c r="K13">
        <f>SmtRes!AF8</f>
        <v>5.17</v>
      </c>
      <c r="L13">
        <f>SmtRes!DB8</f>
        <v>0.72</v>
      </c>
      <c r="M13">
        <f>ROUND(ROUND(L13*Source!I25, 6)*1, 2)</f>
        <v>2.16</v>
      </c>
      <c r="N13">
        <f>SmtRes!AB8</f>
        <v>5.17</v>
      </c>
      <c r="O13">
        <f>ROUND(ROUND(L13*Source!I25, 6)*SmtRes!DA8, 2)</f>
        <v>2.16</v>
      </c>
      <c r="P13">
        <f>SmtRes!AG8</f>
        <v>0.01</v>
      </c>
      <c r="Q13">
        <f>SmtRes!DC8</f>
        <v>0</v>
      </c>
      <c r="R13">
        <f>ROUND(ROUND(Q13*Source!I25, 6)*1, 2)</f>
        <v>0</v>
      </c>
      <c r="S13">
        <f>SmtRes!AC8</f>
        <v>0.01</v>
      </c>
      <c r="T13">
        <f>ROUND(ROUND(Q13*Source!I25, 6)*SmtRes!AK8, 2)</f>
        <v>0</v>
      </c>
      <c r="U13">
        <v>2</v>
      </c>
      <c r="Y13">
        <f>SmtRes!X8</f>
        <v>1197532078</v>
      </c>
      <c r="Z13">
        <v>1866338156</v>
      </c>
      <c r="AA13">
        <v>1866338156</v>
      </c>
    </row>
    <row r="14" spans="1:27" x14ac:dyDescent="0.2">
      <c r="A14">
        <v>20</v>
      </c>
      <c r="B14">
        <v>7</v>
      </c>
      <c r="C14">
        <v>2</v>
      </c>
      <c r="D14">
        <v>0</v>
      </c>
      <c r="E14">
        <f>SmtRes!AV7</f>
        <v>0</v>
      </c>
      <c r="F14" t="str">
        <f>SmtRes!I7</f>
        <v>22.1-30-103</v>
      </c>
      <c r="G14" t="str">
        <f>SmtRes!K7</f>
        <v>Перфораторы электрические, мощность до 800 Вт</v>
      </c>
      <c r="H14" t="str">
        <f>SmtRes!O7</f>
        <v>маш.-ч</v>
      </c>
      <c r="I14">
        <f>SmtRes!Y7*Source!I25</f>
        <v>0.75</v>
      </c>
      <c r="J14">
        <f>SmtRes!AO7</f>
        <v>1</v>
      </c>
      <c r="K14">
        <f>SmtRes!AF7</f>
        <v>8.1</v>
      </c>
      <c r="L14">
        <f>SmtRes!DB7</f>
        <v>2.0299999999999998</v>
      </c>
      <c r="M14">
        <f>ROUND(ROUND(L14*Source!I25, 6)*1, 2)</f>
        <v>6.09</v>
      </c>
      <c r="N14">
        <f>SmtRes!AB7</f>
        <v>8.1</v>
      </c>
      <c r="O14">
        <f>ROUND(ROUND(L14*Source!I25, 6)*SmtRes!DA7, 2)</f>
        <v>6.09</v>
      </c>
      <c r="P14">
        <f>SmtRes!AG7</f>
        <v>1.03</v>
      </c>
      <c r="Q14">
        <f>SmtRes!DC7</f>
        <v>0.26</v>
      </c>
      <c r="R14">
        <f>ROUND(ROUND(Q14*Source!I25, 6)*1, 2)</f>
        <v>0.78</v>
      </c>
      <c r="S14">
        <f>SmtRes!AC7</f>
        <v>1.03</v>
      </c>
      <c r="T14">
        <f>ROUND(ROUND(Q14*Source!I25, 6)*SmtRes!AK7, 2)</f>
        <v>0.78</v>
      </c>
      <c r="U14">
        <v>2</v>
      </c>
      <c r="Y14">
        <f>SmtRes!X7</f>
        <v>259953263</v>
      </c>
      <c r="Z14">
        <v>921425808</v>
      </c>
      <c r="AA14">
        <v>921425808</v>
      </c>
    </row>
    <row r="15" spans="1:27" x14ac:dyDescent="0.2">
      <c r="A15">
        <v>20</v>
      </c>
      <c r="B15">
        <v>19</v>
      </c>
      <c r="C15">
        <v>3</v>
      </c>
      <c r="D15">
        <v>0</v>
      </c>
      <c r="E15">
        <f>SmtRes!AV19</f>
        <v>0</v>
      </c>
      <c r="F15" t="str">
        <f>SmtRes!I19</f>
        <v>21.1-25-303</v>
      </c>
      <c r="G15" t="str">
        <f>SmtRes!K19</f>
        <v>Резина листовая вулканизированная</v>
      </c>
      <c r="H15" t="str">
        <f>SmtRes!O19</f>
        <v>кг</v>
      </c>
      <c r="I15">
        <f>SmtRes!Y19*Source!I26</f>
        <v>18.400000000000002</v>
      </c>
      <c r="J15">
        <f>SmtRes!AO19</f>
        <v>1</v>
      </c>
      <c r="K15">
        <f>SmtRes!AE19</f>
        <v>332.92</v>
      </c>
      <c r="L15">
        <f>SmtRes!DB19</f>
        <v>266.33999999999997</v>
      </c>
      <c r="M15">
        <f>ROUND(ROUND(L15*Source!I26, 6)*1, 2)</f>
        <v>6125.82</v>
      </c>
      <c r="N15">
        <f>SmtRes!AA19</f>
        <v>332.92</v>
      </c>
      <c r="O15">
        <f>ROUND(ROUND(L15*Source!I26, 6)*SmtRes!DA19, 2)</f>
        <v>6125.82</v>
      </c>
      <c r="P15">
        <f>SmtRes!AG19</f>
        <v>0</v>
      </c>
      <c r="Q15">
        <f>SmtRes!DC19</f>
        <v>0</v>
      </c>
      <c r="R15">
        <f>ROUND(ROUND(Q15*Source!I26, 6)*1, 2)</f>
        <v>0</v>
      </c>
      <c r="S15">
        <f>SmtRes!AC19</f>
        <v>0</v>
      </c>
      <c r="T15">
        <f>ROUND(ROUND(Q15*Source!I26, 6)*SmtRes!AK19, 2)</f>
        <v>0</v>
      </c>
      <c r="U15">
        <v>3</v>
      </c>
      <c r="Y15">
        <f>SmtRes!X19</f>
        <v>-2022254214</v>
      </c>
      <c r="Z15">
        <v>974756046</v>
      </c>
      <c r="AA15">
        <v>974756046</v>
      </c>
    </row>
    <row r="16" spans="1:27" x14ac:dyDescent="0.2">
      <c r="A16">
        <v>20</v>
      </c>
      <c r="B16">
        <v>18</v>
      </c>
      <c r="C16">
        <v>3</v>
      </c>
      <c r="D16">
        <v>0</v>
      </c>
      <c r="E16">
        <f>SmtRes!AV18</f>
        <v>0</v>
      </c>
      <c r="F16" t="str">
        <f>SmtRes!I18</f>
        <v>21.1-25-219</v>
      </c>
      <c r="G16" t="str">
        <f>SmtRes!K18</f>
        <v>Пена монтажная</v>
      </c>
      <c r="H16" t="str">
        <f>SmtRes!O18</f>
        <v>л</v>
      </c>
      <c r="I16">
        <f>SmtRes!Y18*Source!I26</f>
        <v>17.25</v>
      </c>
      <c r="J16">
        <f>SmtRes!AO18</f>
        <v>1</v>
      </c>
      <c r="K16">
        <f>SmtRes!AE18</f>
        <v>265.52999999999997</v>
      </c>
      <c r="L16">
        <f>SmtRes!DB18</f>
        <v>199.15</v>
      </c>
      <c r="M16">
        <f>ROUND(ROUND(L16*Source!I26, 6)*1, 2)</f>
        <v>4580.45</v>
      </c>
      <c r="N16">
        <f>SmtRes!AA18</f>
        <v>265.52999999999997</v>
      </c>
      <c r="O16">
        <f>ROUND(ROUND(L16*Source!I26, 6)*SmtRes!DA18, 2)</f>
        <v>4580.45</v>
      </c>
      <c r="P16">
        <f>SmtRes!AG18</f>
        <v>0</v>
      </c>
      <c r="Q16">
        <f>SmtRes!DC18</f>
        <v>0</v>
      </c>
      <c r="R16">
        <f>ROUND(ROUND(Q16*Source!I26, 6)*1, 2)</f>
        <v>0</v>
      </c>
      <c r="S16">
        <f>SmtRes!AC18</f>
        <v>0</v>
      </c>
      <c r="T16">
        <f>ROUND(ROUND(Q16*Source!I26, 6)*SmtRes!AK18, 2)</f>
        <v>0</v>
      </c>
      <c r="U16">
        <v>3</v>
      </c>
      <c r="Y16">
        <f>SmtRes!X18</f>
        <v>766870025</v>
      </c>
      <c r="Z16">
        <v>-63983842</v>
      </c>
      <c r="AA16">
        <v>-63983842</v>
      </c>
    </row>
    <row r="17" spans="1:27" x14ac:dyDescent="0.2">
      <c r="A17">
        <v>20</v>
      </c>
      <c r="B17">
        <v>17</v>
      </c>
      <c r="C17">
        <v>3</v>
      </c>
      <c r="D17">
        <v>0</v>
      </c>
      <c r="E17">
        <f>SmtRes!AV17</f>
        <v>0</v>
      </c>
      <c r="F17" t="str">
        <f>SmtRes!I17</f>
        <v>21.1-25-137</v>
      </c>
      <c r="G17" t="str">
        <f>SmtRes!K17</f>
        <v>Лента изоляционная ПВХ, размер 15х0,2 мм</v>
      </c>
      <c r="H17" t="str">
        <f>SmtRes!O17</f>
        <v>шт.</v>
      </c>
      <c r="I17">
        <f>SmtRes!Y17*Source!I26</f>
        <v>23</v>
      </c>
      <c r="J17">
        <f>SmtRes!AO17</f>
        <v>1</v>
      </c>
      <c r="K17">
        <f>SmtRes!AE17</f>
        <v>24.65</v>
      </c>
      <c r="L17">
        <f>SmtRes!DB17</f>
        <v>24.65</v>
      </c>
      <c r="M17">
        <f>ROUND(ROUND(L17*Source!I26, 6)*1, 2)</f>
        <v>566.95000000000005</v>
      </c>
      <c r="N17">
        <f>SmtRes!AA17</f>
        <v>24.65</v>
      </c>
      <c r="O17">
        <f>ROUND(ROUND(L17*Source!I26, 6)*SmtRes!DA17, 2)</f>
        <v>566.95000000000005</v>
      </c>
      <c r="P17">
        <f>SmtRes!AG17</f>
        <v>0</v>
      </c>
      <c r="Q17">
        <f>SmtRes!DC17</f>
        <v>0</v>
      </c>
      <c r="R17">
        <f>ROUND(ROUND(Q17*Source!I26, 6)*1, 2)</f>
        <v>0</v>
      </c>
      <c r="S17">
        <f>SmtRes!AC17</f>
        <v>0</v>
      </c>
      <c r="T17">
        <f>ROUND(ROUND(Q17*Source!I26, 6)*SmtRes!AK17, 2)</f>
        <v>0</v>
      </c>
      <c r="U17">
        <v>3</v>
      </c>
      <c r="Y17">
        <f>SmtRes!X17</f>
        <v>941169148</v>
      </c>
      <c r="Z17">
        <v>-138492900</v>
      </c>
      <c r="AA17">
        <v>-138492900</v>
      </c>
    </row>
    <row r="18" spans="1:27" x14ac:dyDescent="0.2">
      <c r="A18">
        <v>20</v>
      </c>
      <c r="B18">
        <v>16</v>
      </c>
      <c r="C18">
        <v>3</v>
      </c>
      <c r="D18">
        <v>0</v>
      </c>
      <c r="E18">
        <f>SmtRes!AV16</f>
        <v>0</v>
      </c>
      <c r="F18" t="str">
        <f>SmtRes!I16</f>
        <v>21.1-11-198</v>
      </c>
      <c r="G18" t="str">
        <f>SmtRes!K16</f>
        <v>Дюбели пластмассовые</v>
      </c>
      <c r="H18" t="str">
        <f>SmtRes!O16</f>
        <v>шт.</v>
      </c>
      <c r="I18">
        <f>SmtRes!Y16*Source!I26</f>
        <v>92</v>
      </c>
      <c r="J18">
        <f>SmtRes!AO16</f>
        <v>1</v>
      </c>
      <c r="K18">
        <f>SmtRes!AE16</f>
        <v>1.43</v>
      </c>
      <c r="L18">
        <f>SmtRes!DB16</f>
        <v>5.72</v>
      </c>
      <c r="M18">
        <f>ROUND(ROUND(L18*Source!I26, 6)*1, 2)</f>
        <v>131.56</v>
      </c>
      <c r="N18">
        <f>SmtRes!AA16</f>
        <v>1.43</v>
      </c>
      <c r="O18">
        <f>ROUND(ROUND(L18*Source!I26, 6)*SmtRes!DA16, 2)</f>
        <v>131.56</v>
      </c>
      <c r="P18">
        <f>SmtRes!AG16</f>
        <v>0</v>
      </c>
      <c r="Q18">
        <f>SmtRes!DC16</f>
        <v>0</v>
      </c>
      <c r="R18">
        <f>ROUND(ROUND(Q18*Source!I26, 6)*1, 2)</f>
        <v>0</v>
      </c>
      <c r="S18">
        <f>SmtRes!AC16</f>
        <v>0</v>
      </c>
      <c r="T18">
        <f>ROUND(ROUND(Q18*Source!I26, 6)*SmtRes!AK16, 2)</f>
        <v>0</v>
      </c>
      <c r="U18">
        <v>3</v>
      </c>
      <c r="Y18">
        <f>SmtRes!X16</f>
        <v>447429166</v>
      </c>
      <c r="Z18">
        <v>1963942266</v>
      </c>
      <c r="AA18">
        <v>1963942266</v>
      </c>
    </row>
    <row r="19" spans="1:27" x14ac:dyDescent="0.2">
      <c r="A19">
        <v>20</v>
      </c>
      <c r="B19">
        <v>15</v>
      </c>
      <c r="C19">
        <v>3</v>
      </c>
      <c r="D19">
        <v>0</v>
      </c>
      <c r="E19">
        <f>SmtRes!AV15</f>
        <v>0</v>
      </c>
      <c r="F19" t="str">
        <f>SmtRes!I15</f>
        <v>21.1-11-13</v>
      </c>
      <c r="G19" t="str">
        <f>SmtRes!K15</f>
        <v>Болты строительные анкерные с гайками</v>
      </c>
      <c r="H19" t="str">
        <f>SmtRes!O15</f>
        <v>кг</v>
      </c>
      <c r="I19">
        <f>SmtRes!Y15*Source!I26</f>
        <v>18.400000000000002</v>
      </c>
      <c r="J19">
        <f>SmtRes!AO15</f>
        <v>1</v>
      </c>
      <c r="K19">
        <f>SmtRes!AE15</f>
        <v>169.23478</v>
      </c>
      <c r="L19">
        <f>SmtRes!DB15</f>
        <v>135.38999999999999</v>
      </c>
      <c r="M19">
        <f>ROUND(ROUND(L19*Source!I26, 6)*1, 2)</f>
        <v>3113.97</v>
      </c>
      <c r="N19">
        <f>SmtRes!AA15</f>
        <v>169.23</v>
      </c>
      <c r="O19">
        <f>ROUND(ROUND(L19*Source!I26, 6)*SmtRes!DA15, 2)</f>
        <v>3113.97</v>
      </c>
      <c r="P19">
        <f>SmtRes!AG15</f>
        <v>0</v>
      </c>
      <c r="Q19">
        <f>SmtRes!DC15</f>
        <v>0</v>
      </c>
      <c r="R19">
        <f>ROUND(ROUND(Q19*Source!I26, 6)*1, 2)</f>
        <v>0</v>
      </c>
      <c r="S19">
        <f>SmtRes!AC15</f>
        <v>0</v>
      </c>
      <c r="T19">
        <f>ROUND(ROUND(Q19*Source!I26, 6)*SmtRes!AK15, 2)</f>
        <v>0</v>
      </c>
      <c r="U19">
        <v>3</v>
      </c>
      <c r="Y19">
        <f>SmtRes!X15</f>
        <v>1515502647</v>
      </c>
      <c r="Z19">
        <v>1397574405</v>
      </c>
      <c r="AA19">
        <v>-998879615</v>
      </c>
    </row>
    <row r="20" spans="1:27" x14ac:dyDescent="0.2">
      <c r="A20">
        <v>20</v>
      </c>
      <c r="B20">
        <v>14</v>
      </c>
      <c r="C20">
        <v>2</v>
      </c>
      <c r="D20">
        <v>0</v>
      </c>
      <c r="E20">
        <f>SmtRes!AV14</f>
        <v>0</v>
      </c>
      <c r="F20" t="str">
        <f>SmtRes!I14</f>
        <v>22.1-4-26</v>
      </c>
      <c r="G20" t="str">
        <f>SmtRes!K14</f>
        <v>Лебедки ручные, грузоподъемность до 1 т</v>
      </c>
      <c r="H20" t="str">
        <f>SmtRes!O14</f>
        <v>маш.-ч</v>
      </c>
      <c r="I20">
        <f>SmtRes!Y14*Source!I26</f>
        <v>4.83</v>
      </c>
      <c r="J20">
        <f>SmtRes!AO14</f>
        <v>1</v>
      </c>
      <c r="K20">
        <f>SmtRes!AF14</f>
        <v>2.85</v>
      </c>
      <c r="L20">
        <f>SmtRes!DB14</f>
        <v>0.6</v>
      </c>
      <c r="M20">
        <f>ROUND(ROUND(L20*Source!I26, 6)*1, 2)</f>
        <v>13.8</v>
      </c>
      <c r="N20">
        <f>SmtRes!AB14</f>
        <v>2.85</v>
      </c>
      <c r="O20">
        <f>ROUND(ROUND(L20*Source!I26, 6)*SmtRes!DA14, 2)</f>
        <v>13.8</v>
      </c>
      <c r="P20">
        <f>SmtRes!AG14</f>
        <v>1.32</v>
      </c>
      <c r="Q20">
        <f>SmtRes!DC14</f>
        <v>0.28000000000000003</v>
      </c>
      <c r="R20">
        <f>ROUND(ROUND(Q20*Source!I26, 6)*1, 2)</f>
        <v>6.44</v>
      </c>
      <c r="S20">
        <f>SmtRes!AC14</f>
        <v>1.32</v>
      </c>
      <c r="T20">
        <f>ROUND(ROUND(Q20*Source!I26, 6)*SmtRes!AK14, 2)</f>
        <v>6.44</v>
      </c>
      <c r="U20">
        <v>2</v>
      </c>
      <c r="Y20">
        <f>SmtRes!X14</f>
        <v>-1622335805</v>
      </c>
      <c r="Z20">
        <v>1306393790</v>
      </c>
      <c r="AA20">
        <v>1306393790</v>
      </c>
    </row>
    <row r="21" spans="1:27" x14ac:dyDescent="0.2">
      <c r="A21">
        <v>20</v>
      </c>
      <c r="B21">
        <v>13</v>
      </c>
      <c r="C21">
        <v>2</v>
      </c>
      <c r="D21">
        <v>0</v>
      </c>
      <c r="E21">
        <f>SmtRes!AV13</f>
        <v>0</v>
      </c>
      <c r="F21" t="str">
        <f>SmtRes!I13</f>
        <v>22.1-30-56</v>
      </c>
      <c r="G21" t="str">
        <f>SmtRes!K13</f>
        <v>Шуруповерты</v>
      </c>
      <c r="H21" t="str">
        <f>SmtRes!O13</f>
        <v>маш.-ч</v>
      </c>
      <c r="I21">
        <f>SmtRes!Y13*Source!I26</f>
        <v>4.37</v>
      </c>
      <c r="J21">
        <f>SmtRes!AO13</f>
        <v>1</v>
      </c>
      <c r="K21">
        <f>SmtRes!AF13</f>
        <v>5.17</v>
      </c>
      <c r="L21">
        <f>SmtRes!DB13</f>
        <v>0.98</v>
      </c>
      <c r="M21">
        <f>ROUND(ROUND(L21*Source!I26, 6)*1, 2)</f>
        <v>22.54</v>
      </c>
      <c r="N21">
        <f>SmtRes!AB13</f>
        <v>5.17</v>
      </c>
      <c r="O21">
        <f>ROUND(ROUND(L21*Source!I26, 6)*SmtRes!DA13, 2)</f>
        <v>22.54</v>
      </c>
      <c r="P21">
        <f>SmtRes!AG13</f>
        <v>0.01</v>
      </c>
      <c r="Q21">
        <f>SmtRes!DC13</f>
        <v>0</v>
      </c>
      <c r="R21">
        <f>ROUND(ROUND(Q21*Source!I26, 6)*1, 2)</f>
        <v>0</v>
      </c>
      <c r="S21">
        <f>SmtRes!AC13</f>
        <v>0.01</v>
      </c>
      <c r="T21">
        <f>ROUND(ROUND(Q21*Source!I26, 6)*SmtRes!AK13, 2)</f>
        <v>0</v>
      </c>
      <c r="U21">
        <v>2</v>
      </c>
      <c r="Y21">
        <f>SmtRes!X13</f>
        <v>1197532078</v>
      </c>
      <c r="Z21">
        <v>1866338156</v>
      </c>
      <c r="AA21">
        <v>1866338156</v>
      </c>
    </row>
    <row r="22" spans="1:27" x14ac:dyDescent="0.2">
      <c r="A22">
        <v>20</v>
      </c>
      <c r="B22">
        <v>12</v>
      </c>
      <c r="C22">
        <v>2</v>
      </c>
      <c r="D22">
        <v>0</v>
      </c>
      <c r="E22">
        <f>SmtRes!AV12</f>
        <v>0</v>
      </c>
      <c r="F22" t="str">
        <f>SmtRes!I12</f>
        <v>22.1-30-103</v>
      </c>
      <c r="G22" t="str">
        <f>SmtRes!K12</f>
        <v>Перфораторы электрические, мощность до 800 Вт</v>
      </c>
      <c r="H22" t="str">
        <f>SmtRes!O12</f>
        <v>маш.-ч</v>
      </c>
      <c r="I22">
        <f>SmtRes!Y12*Source!I26</f>
        <v>8.74</v>
      </c>
      <c r="J22">
        <f>SmtRes!AO12</f>
        <v>1</v>
      </c>
      <c r="K22">
        <f>SmtRes!AF12</f>
        <v>8.1</v>
      </c>
      <c r="L22">
        <f>SmtRes!DB12</f>
        <v>3.08</v>
      </c>
      <c r="M22">
        <f>ROUND(ROUND(L22*Source!I26, 6)*1, 2)</f>
        <v>70.84</v>
      </c>
      <c r="N22">
        <f>SmtRes!AB12</f>
        <v>8.1</v>
      </c>
      <c r="O22">
        <f>ROUND(ROUND(L22*Source!I26, 6)*SmtRes!DA12, 2)</f>
        <v>70.84</v>
      </c>
      <c r="P22">
        <f>SmtRes!AG12</f>
        <v>1.03</v>
      </c>
      <c r="Q22">
        <f>SmtRes!DC12</f>
        <v>0.39</v>
      </c>
      <c r="R22">
        <f>ROUND(ROUND(Q22*Source!I26, 6)*1, 2)</f>
        <v>8.9700000000000006</v>
      </c>
      <c r="S22">
        <f>SmtRes!AC12</f>
        <v>1.03</v>
      </c>
      <c r="T22">
        <f>ROUND(ROUND(Q22*Source!I26, 6)*SmtRes!AK12, 2)</f>
        <v>8.9700000000000006</v>
      </c>
      <c r="U22">
        <v>2</v>
      </c>
      <c r="Y22">
        <f>SmtRes!X12</f>
        <v>259953263</v>
      </c>
      <c r="Z22">
        <v>921425808</v>
      </c>
      <c r="AA22">
        <v>921425808</v>
      </c>
    </row>
    <row r="23" spans="1:27" x14ac:dyDescent="0.2">
      <c r="A23">
        <f>Source!A27</f>
        <v>18</v>
      </c>
      <c r="B23">
        <v>27</v>
      </c>
      <c r="C23">
        <v>3</v>
      </c>
      <c r="D23">
        <f>Source!BI27</f>
        <v>4</v>
      </c>
      <c r="E23">
        <f>Source!FS27</f>
        <v>0</v>
      </c>
      <c r="F23" t="str">
        <f>Source!F27</f>
        <v>Цена поставщика</v>
      </c>
      <c r="G23" t="str">
        <f>Source!G27</f>
        <v>Сплит-система Hisense NEO Classic A  AS-09HR4SYCDC5 UPGRADE(или эквивалент)</v>
      </c>
      <c r="H23" t="str">
        <f>Source!H27</f>
        <v>шт.</v>
      </c>
      <c r="I23">
        <f>Source!I27</f>
        <v>16</v>
      </c>
      <c r="J23">
        <v>1</v>
      </c>
      <c r="K23">
        <f>Source!AC27</f>
        <v>44958.33</v>
      </c>
      <c r="M23">
        <f>ROUND(K23*I23, 2)</f>
        <v>719333.28</v>
      </c>
      <c r="N23">
        <f>Source!AC27*IF(Source!BC27&lt;&gt; 0, Source!BC27, 1)</f>
        <v>44958.33</v>
      </c>
      <c r="O23">
        <f>ROUND(N23*I23, 2)</f>
        <v>719333.28</v>
      </c>
      <c r="P23">
        <f>Source!AE27</f>
        <v>0</v>
      </c>
      <c r="R23">
        <f>ROUND(P23*I23, 2)</f>
        <v>0</v>
      </c>
      <c r="S23">
        <f>Source!AE27*IF(Source!BS27&lt;&gt; 0, Source!BS27, 1)</f>
        <v>0</v>
      </c>
      <c r="T23">
        <f>ROUND(S23*I23, 2)</f>
        <v>0</v>
      </c>
      <c r="U23">
        <v>3</v>
      </c>
      <c r="Y23">
        <f>Source!GF27</f>
        <v>-2116019530</v>
      </c>
      <c r="Z23">
        <v>1037448740</v>
      </c>
      <c r="AA23">
        <v>1037448740</v>
      </c>
    </row>
    <row r="24" spans="1:27" x14ac:dyDescent="0.2">
      <c r="A24">
        <f>Source!A28</f>
        <v>18</v>
      </c>
      <c r="B24">
        <v>28</v>
      </c>
      <c r="C24">
        <v>3</v>
      </c>
      <c r="D24">
        <f>Source!BI28</f>
        <v>4</v>
      </c>
      <c r="E24">
        <f>Source!FS28</f>
        <v>0</v>
      </c>
      <c r="F24" t="str">
        <f>Source!F28</f>
        <v>Цена поставщика</v>
      </c>
      <c r="G24" t="str">
        <f>Source!G28</f>
        <v>Сплит-система Hisense NEO Classic A  AS-12HR4SVDDC15 UPGRADE (или эквивалент)</v>
      </c>
      <c r="H24" t="str">
        <f>Source!H28</f>
        <v>шт.</v>
      </c>
      <c r="I24">
        <f>Source!I28</f>
        <v>7</v>
      </c>
      <c r="J24">
        <v>1</v>
      </c>
      <c r="K24">
        <f>Source!AC28</f>
        <v>59583.33</v>
      </c>
      <c r="M24">
        <f>ROUND(K24*I24, 2)</f>
        <v>417083.31</v>
      </c>
      <c r="N24">
        <f>Source!AC28*IF(Source!BC28&lt;&gt; 0, Source!BC28, 1)</f>
        <v>59583.33</v>
      </c>
      <c r="O24">
        <f>ROUND(N24*I24, 2)</f>
        <v>417083.31</v>
      </c>
      <c r="P24">
        <f>Source!AE28</f>
        <v>0</v>
      </c>
      <c r="R24">
        <f>ROUND(P24*I24, 2)</f>
        <v>0</v>
      </c>
      <c r="S24">
        <f>Source!AE28*IF(Source!BS28&lt;&gt; 0, Source!BS28, 1)</f>
        <v>0</v>
      </c>
      <c r="T24">
        <f>ROUND(S24*I24, 2)</f>
        <v>0</v>
      </c>
      <c r="U24">
        <v>3</v>
      </c>
      <c r="Y24">
        <f>Source!GF28</f>
        <v>-1160167481</v>
      </c>
      <c r="Z24">
        <v>-977204262</v>
      </c>
      <c r="AA24">
        <v>-977204262</v>
      </c>
    </row>
    <row r="25" spans="1:27" x14ac:dyDescent="0.2">
      <c r="A25">
        <f>Source!A30</f>
        <v>18</v>
      </c>
      <c r="B25">
        <v>30</v>
      </c>
      <c r="C25">
        <v>3</v>
      </c>
      <c r="D25">
        <f>Source!BI30</f>
        <v>4</v>
      </c>
      <c r="E25">
        <f>Source!FS30</f>
        <v>0</v>
      </c>
      <c r="F25" t="str">
        <f>Source!F30</f>
        <v>21.19-12-33</v>
      </c>
      <c r="G25" t="str">
        <f>Source!G30</f>
        <v>Средства крепления - кронштейн и подставка под оборудование из сортовой стали</v>
      </c>
      <c r="H25" t="str">
        <f>Source!H30</f>
        <v>кг</v>
      </c>
      <c r="I25">
        <f>Source!I30</f>
        <v>101.2</v>
      </c>
      <c r="J25">
        <v>1</v>
      </c>
      <c r="K25">
        <f>Source!AC30</f>
        <v>156.56</v>
      </c>
      <c r="M25">
        <f>ROUND(K25*I25, 2)</f>
        <v>15843.87</v>
      </c>
      <c r="N25">
        <f>Source!AC30*IF(Source!BC30&lt;&gt; 0, Source!BC30, 1)</f>
        <v>156.56</v>
      </c>
      <c r="O25">
        <f>ROUND(N25*I25, 2)</f>
        <v>15843.87</v>
      </c>
      <c r="P25">
        <f>Source!AE30</f>
        <v>0</v>
      </c>
      <c r="R25">
        <f>ROUND(P25*I25, 2)</f>
        <v>0</v>
      </c>
      <c r="S25">
        <f>Source!AE30*IF(Source!BS30&lt;&gt; 0, Source!BS30, 1)</f>
        <v>0</v>
      </c>
      <c r="T25">
        <f>ROUND(S25*I25, 2)</f>
        <v>0</v>
      </c>
      <c r="U25">
        <v>3</v>
      </c>
      <c r="Y25">
        <f>Source!GF30</f>
        <v>-764671881</v>
      </c>
      <c r="Z25">
        <v>-266459654</v>
      </c>
      <c r="AA25">
        <v>-266459654</v>
      </c>
    </row>
    <row r="26" spans="1:27" x14ac:dyDescent="0.2">
      <c r="A26">
        <v>20</v>
      </c>
      <c r="B26">
        <v>29</v>
      </c>
      <c r="C26">
        <v>3</v>
      </c>
      <c r="D26">
        <v>0</v>
      </c>
      <c r="E26">
        <f>SmtRes!AV29</f>
        <v>0</v>
      </c>
      <c r="F26" t="str">
        <f>SmtRes!I29</f>
        <v>21.1-25-303</v>
      </c>
      <c r="G26" t="str">
        <f>SmtRes!K29</f>
        <v>Резина листовая вулканизированная</v>
      </c>
      <c r="H26" t="str">
        <f>SmtRes!O29</f>
        <v>кг</v>
      </c>
      <c r="I26">
        <f>SmtRes!Y29*Source!I31</f>
        <v>2.4000000000000004</v>
      </c>
      <c r="J26">
        <f>SmtRes!AO29</f>
        <v>1</v>
      </c>
      <c r="K26">
        <f>SmtRes!AE29</f>
        <v>332.92</v>
      </c>
      <c r="L26">
        <f>SmtRes!DB29</f>
        <v>266.33999999999997</v>
      </c>
      <c r="M26">
        <f>ROUND(ROUND(L26*Source!I31, 6)*1, 2)</f>
        <v>799.02</v>
      </c>
      <c r="N26">
        <f>SmtRes!AA29</f>
        <v>332.92</v>
      </c>
      <c r="O26">
        <f>ROUND(ROUND(L26*Source!I31, 6)*SmtRes!DA29, 2)</f>
        <v>799.02</v>
      </c>
      <c r="P26">
        <f>SmtRes!AG29</f>
        <v>0</v>
      </c>
      <c r="Q26">
        <f>SmtRes!DC29</f>
        <v>0</v>
      </c>
      <c r="R26">
        <f>ROUND(ROUND(Q26*Source!I31, 6)*1, 2)</f>
        <v>0</v>
      </c>
      <c r="S26">
        <f>SmtRes!AC29</f>
        <v>0</v>
      </c>
      <c r="T26">
        <f>ROUND(ROUND(Q26*Source!I31, 6)*SmtRes!AK29, 2)</f>
        <v>0</v>
      </c>
      <c r="U26">
        <v>3</v>
      </c>
      <c r="Y26">
        <f>SmtRes!X29</f>
        <v>-2022254214</v>
      </c>
      <c r="Z26">
        <v>974756046</v>
      </c>
      <c r="AA26">
        <v>974756046</v>
      </c>
    </row>
    <row r="27" spans="1:27" x14ac:dyDescent="0.2">
      <c r="A27">
        <v>20</v>
      </c>
      <c r="B27">
        <v>28</v>
      </c>
      <c r="C27">
        <v>3</v>
      </c>
      <c r="D27">
        <v>0</v>
      </c>
      <c r="E27">
        <f>SmtRes!AV28</f>
        <v>0</v>
      </c>
      <c r="F27" t="str">
        <f>SmtRes!I28</f>
        <v>21.1-25-219</v>
      </c>
      <c r="G27" t="str">
        <f>SmtRes!K28</f>
        <v>Пена монтажная</v>
      </c>
      <c r="H27" t="str">
        <f>SmtRes!O28</f>
        <v>л</v>
      </c>
      <c r="I27">
        <f>SmtRes!Y28*Source!I31</f>
        <v>2.25</v>
      </c>
      <c r="J27">
        <f>SmtRes!AO28</f>
        <v>1</v>
      </c>
      <c r="K27">
        <f>SmtRes!AE28</f>
        <v>265.52999999999997</v>
      </c>
      <c r="L27">
        <f>SmtRes!DB28</f>
        <v>199.15</v>
      </c>
      <c r="M27">
        <f>ROUND(ROUND(L27*Source!I31, 6)*1, 2)</f>
        <v>597.45000000000005</v>
      </c>
      <c r="N27">
        <f>SmtRes!AA28</f>
        <v>265.52999999999997</v>
      </c>
      <c r="O27">
        <f>ROUND(ROUND(L27*Source!I31, 6)*SmtRes!DA28, 2)</f>
        <v>597.45000000000005</v>
      </c>
      <c r="P27">
        <f>SmtRes!AG28</f>
        <v>0</v>
      </c>
      <c r="Q27">
        <f>SmtRes!DC28</f>
        <v>0</v>
      </c>
      <c r="R27">
        <f>ROUND(ROUND(Q27*Source!I31, 6)*1, 2)</f>
        <v>0</v>
      </c>
      <c r="S27">
        <f>SmtRes!AC28</f>
        <v>0</v>
      </c>
      <c r="T27">
        <f>ROUND(ROUND(Q27*Source!I31, 6)*SmtRes!AK28, 2)</f>
        <v>0</v>
      </c>
      <c r="U27">
        <v>3</v>
      </c>
      <c r="Y27">
        <f>SmtRes!X28</f>
        <v>766870025</v>
      </c>
      <c r="Z27">
        <v>-63983842</v>
      </c>
      <c r="AA27">
        <v>-63983842</v>
      </c>
    </row>
    <row r="28" spans="1:27" x14ac:dyDescent="0.2">
      <c r="A28">
        <v>20</v>
      </c>
      <c r="B28">
        <v>27</v>
      </c>
      <c r="C28">
        <v>3</v>
      </c>
      <c r="D28">
        <v>0</v>
      </c>
      <c r="E28">
        <f>SmtRes!AV27</f>
        <v>0</v>
      </c>
      <c r="F28" t="str">
        <f>SmtRes!I27</f>
        <v>21.1-25-137</v>
      </c>
      <c r="G28" t="str">
        <f>SmtRes!K27</f>
        <v>Лента изоляционная ПВХ, размер 15х0,2 мм</v>
      </c>
      <c r="H28" t="str">
        <f>SmtRes!O27</f>
        <v>шт.</v>
      </c>
      <c r="I28">
        <f>SmtRes!Y27*Source!I31</f>
        <v>3</v>
      </c>
      <c r="J28">
        <f>SmtRes!AO27</f>
        <v>1</v>
      </c>
      <c r="K28">
        <f>SmtRes!AE27</f>
        <v>24.65</v>
      </c>
      <c r="L28">
        <f>SmtRes!DB27</f>
        <v>24.65</v>
      </c>
      <c r="M28">
        <f>ROUND(ROUND(L28*Source!I31, 6)*1, 2)</f>
        <v>73.95</v>
      </c>
      <c r="N28">
        <f>SmtRes!AA27</f>
        <v>24.65</v>
      </c>
      <c r="O28">
        <f>ROUND(ROUND(L28*Source!I31, 6)*SmtRes!DA27, 2)</f>
        <v>73.95</v>
      </c>
      <c r="P28">
        <f>SmtRes!AG27</f>
        <v>0</v>
      </c>
      <c r="Q28">
        <f>SmtRes!DC27</f>
        <v>0</v>
      </c>
      <c r="R28">
        <f>ROUND(ROUND(Q28*Source!I31, 6)*1, 2)</f>
        <v>0</v>
      </c>
      <c r="S28">
        <f>SmtRes!AC27</f>
        <v>0</v>
      </c>
      <c r="T28">
        <f>ROUND(ROUND(Q28*Source!I31, 6)*SmtRes!AK27, 2)</f>
        <v>0</v>
      </c>
      <c r="U28">
        <v>3</v>
      </c>
      <c r="Y28">
        <f>SmtRes!X27</f>
        <v>941169148</v>
      </c>
      <c r="Z28">
        <v>-138492900</v>
      </c>
      <c r="AA28">
        <v>-138492900</v>
      </c>
    </row>
    <row r="29" spans="1:27" x14ac:dyDescent="0.2">
      <c r="A29">
        <v>20</v>
      </c>
      <c r="B29">
        <v>26</v>
      </c>
      <c r="C29">
        <v>3</v>
      </c>
      <c r="D29">
        <v>0</v>
      </c>
      <c r="E29">
        <f>SmtRes!AV26</f>
        <v>0</v>
      </c>
      <c r="F29" t="str">
        <f>SmtRes!I26</f>
        <v>21.1-11-198</v>
      </c>
      <c r="G29" t="str">
        <f>SmtRes!K26</f>
        <v>Дюбели пластмассовые</v>
      </c>
      <c r="H29" t="str">
        <f>SmtRes!O26</f>
        <v>шт.</v>
      </c>
      <c r="I29">
        <f>SmtRes!Y26*Source!I31</f>
        <v>12</v>
      </c>
      <c r="J29">
        <f>SmtRes!AO26</f>
        <v>1</v>
      </c>
      <c r="K29">
        <f>SmtRes!AE26</f>
        <v>1.43</v>
      </c>
      <c r="L29">
        <f>SmtRes!DB26</f>
        <v>5.72</v>
      </c>
      <c r="M29">
        <f>ROUND(ROUND(L29*Source!I31, 6)*1, 2)</f>
        <v>17.16</v>
      </c>
      <c r="N29">
        <f>SmtRes!AA26</f>
        <v>1.43</v>
      </c>
      <c r="O29">
        <f>ROUND(ROUND(L29*Source!I31, 6)*SmtRes!DA26, 2)</f>
        <v>17.16</v>
      </c>
      <c r="P29">
        <f>SmtRes!AG26</f>
        <v>0</v>
      </c>
      <c r="Q29">
        <f>SmtRes!DC26</f>
        <v>0</v>
      </c>
      <c r="R29">
        <f>ROUND(ROUND(Q29*Source!I31, 6)*1, 2)</f>
        <v>0</v>
      </c>
      <c r="S29">
        <f>SmtRes!AC26</f>
        <v>0</v>
      </c>
      <c r="T29">
        <f>ROUND(ROUND(Q29*Source!I31, 6)*SmtRes!AK26, 2)</f>
        <v>0</v>
      </c>
      <c r="U29">
        <v>3</v>
      </c>
      <c r="Y29">
        <f>SmtRes!X26</f>
        <v>447429166</v>
      </c>
      <c r="Z29">
        <v>1963942266</v>
      </c>
      <c r="AA29">
        <v>1963942266</v>
      </c>
    </row>
    <row r="30" spans="1:27" x14ac:dyDescent="0.2">
      <c r="A30">
        <v>20</v>
      </c>
      <c r="B30">
        <v>25</v>
      </c>
      <c r="C30">
        <v>3</v>
      </c>
      <c r="D30">
        <v>0</v>
      </c>
      <c r="E30">
        <f>SmtRes!AV25</f>
        <v>0</v>
      </c>
      <c r="F30" t="str">
        <f>SmtRes!I25</f>
        <v>21.1-11-13</v>
      </c>
      <c r="G30" t="str">
        <f>SmtRes!K25</f>
        <v>Болты строительные анкерные с гайками</v>
      </c>
      <c r="H30" t="str">
        <f>SmtRes!O25</f>
        <v>кг</v>
      </c>
      <c r="I30">
        <f>SmtRes!Y25*Source!I31</f>
        <v>2.4000000000000004</v>
      </c>
      <c r="J30">
        <f>SmtRes!AO25</f>
        <v>1</v>
      </c>
      <c r="K30">
        <f>SmtRes!AE25</f>
        <v>169.23478</v>
      </c>
      <c r="L30">
        <f>SmtRes!DB25</f>
        <v>135.38999999999999</v>
      </c>
      <c r="M30">
        <f>ROUND(ROUND(L30*Source!I31, 6)*1, 2)</f>
        <v>406.17</v>
      </c>
      <c r="N30">
        <f>SmtRes!AA25</f>
        <v>169.23</v>
      </c>
      <c r="O30">
        <f>ROUND(ROUND(L30*Source!I31, 6)*SmtRes!DA25, 2)</f>
        <v>406.17</v>
      </c>
      <c r="P30">
        <f>SmtRes!AG25</f>
        <v>0</v>
      </c>
      <c r="Q30">
        <f>SmtRes!DC25</f>
        <v>0</v>
      </c>
      <c r="R30">
        <f>ROUND(ROUND(Q30*Source!I31, 6)*1, 2)</f>
        <v>0</v>
      </c>
      <c r="S30">
        <f>SmtRes!AC25</f>
        <v>0</v>
      </c>
      <c r="T30">
        <f>ROUND(ROUND(Q30*Source!I31, 6)*SmtRes!AK25, 2)</f>
        <v>0</v>
      </c>
      <c r="U30">
        <v>3</v>
      </c>
      <c r="Y30">
        <f>SmtRes!X25</f>
        <v>1515502647</v>
      </c>
      <c r="Z30">
        <v>1397574405</v>
      </c>
      <c r="AA30">
        <v>-998879615</v>
      </c>
    </row>
    <row r="31" spans="1:27" x14ac:dyDescent="0.2">
      <c r="A31">
        <v>20</v>
      </c>
      <c r="B31">
        <v>24</v>
      </c>
      <c r="C31">
        <v>2</v>
      </c>
      <c r="D31">
        <v>0</v>
      </c>
      <c r="E31">
        <f>SmtRes!AV24</f>
        <v>0</v>
      </c>
      <c r="F31" t="str">
        <f>SmtRes!I24</f>
        <v>22.1-4-26</v>
      </c>
      <c r="G31" t="str">
        <f>SmtRes!K24</f>
        <v>Лебедки ручные, грузоподъемность до 1 т</v>
      </c>
      <c r="H31" t="str">
        <f>SmtRes!O24</f>
        <v>маш.-ч</v>
      </c>
      <c r="I31">
        <f>SmtRes!Y24*Source!I31</f>
        <v>0.63</v>
      </c>
      <c r="J31">
        <f>SmtRes!AO24</f>
        <v>1</v>
      </c>
      <c r="K31">
        <f>SmtRes!AF24</f>
        <v>2.85</v>
      </c>
      <c r="L31">
        <f>SmtRes!DB24</f>
        <v>0.6</v>
      </c>
      <c r="M31">
        <f>ROUND(ROUND(L31*Source!I31, 6)*1, 2)</f>
        <v>1.8</v>
      </c>
      <c r="N31">
        <f>SmtRes!AB24</f>
        <v>2.85</v>
      </c>
      <c r="O31">
        <f>ROUND(ROUND(L31*Source!I31, 6)*SmtRes!DA24, 2)</f>
        <v>1.8</v>
      </c>
      <c r="P31">
        <f>SmtRes!AG24</f>
        <v>1.32</v>
      </c>
      <c r="Q31">
        <f>SmtRes!DC24</f>
        <v>0.28000000000000003</v>
      </c>
      <c r="R31">
        <f>ROUND(ROUND(Q31*Source!I31, 6)*1, 2)</f>
        <v>0.84</v>
      </c>
      <c r="S31">
        <f>SmtRes!AC24</f>
        <v>1.32</v>
      </c>
      <c r="T31">
        <f>ROUND(ROUND(Q31*Source!I31, 6)*SmtRes!AK24, 2)</f>
        <v>0.84</v>
      </c>
      <c r="U31">
        <v>2</v>
      </c>
      <c r="Y31">
        <f>SmtRes!X24</f>
        <v>-1622335805</v>
      </c>
      <c r="Z31">
        <v>1306393790</v>
      </c>
      <c r="AA31">
        <v>1306393790</v>
      </c>
    </row>
    <row r="32" spans="1:27" x14ac:dyDescent="0.2">
      <c r="A32">
        <v>20</v>
      </c>
      <c r="B32">
        <v>23</v>
      </c>
      <c r="C32">
        <v>2</v>
      </c>
      <c r="D32">
        <v>0</v>
      </c>
      <c r="E32">
        <f>SmtRes!AV23</f>
        <v>0</v>
      </c>
      <c r="F32" t="str">
        <f>SmtRes!I23</f>
        <v>22.1-30-56</v>
      </c>
      <c r="G32" t="str">
        <f>SmtRes!K23</f>
        <v>Шуруповерты</v>
      </c>
      <c r="H32" t="str">
        <f>SmtRes!O23</f>
        <v>маш.-ч</v>
      </c>
      <c r="I32">
        <f>SmtRes!Y23*Source!I31</f>
        <v>0.57000000000000006</v>
      </c>
      <c r="J32">
        <f>SmtRes!AO23</f>
        <v>1</v>
      </c>
      <c r="K32">
        <f>SmtRes!AF23</f>
        <v>5.17</v>
      </c>
      <c r="L32">
        <f>SmtRes!DB23</f>
        <v>0.98</v>
      </c>
      <c r="M32">
        <f>ROUND(ROUND(L32*Source!I31, 6)*1, 2)</f>
        <v>2.94</v>
      </c>
      <c r="N32">
        <f>SmtRes!AB23</f>
        <v>5.17</v>
      </c>
      <c r="O32">
        <f>ROUND(ROUND(L32*Source!I31, 6)*SmtRes!DA23, 2)</f>
        <v>2.94</v>
      </c>
      <c r="P32">
        <f>SmtRes!AG23</f>
        <v>0.01</v>
      </c>
      <c r="Q32">
        <f>SmtRes!DC23</f>
        <v>0</v>
      </c>
      <c r="R32">
        <f>ROUND(ROUND(Q32*Source!I31, 6)*1, 2)</f>
        <v>0</v>
      </c>
      <c r="S32">
        <f>SmtRes!AC23</f>
        <v>0.01</v>
      </c>
      <c r="T32">
        <f>ROUND(ROUND(Q32*Source!I31, 6)*SmtRes!AK23, 2)</f>
        <v>0</v>
      </c>
      <c r="U32">
        <v>2</v>
      </c>
      <c r="Y32">
        <f>SmtRes!X23</f>
        <v>1197532078</v>
      </c>
      <c r="Z32">
        <v>1866338156</v>
      </c>
      <c r="AA32">
        <v>1866338156</v>
      </c>
    </row>
    <row r="33" spans="1:27" x14ac:dyDescent="0.2">
      <c r="A33">
        <v>20</v>
      </c>
      <c r="B33">
        <v>22</v>
      </c>
      <c r="C33">
        <v>2</v>
      </c>
      <c r="D33">
        <v>0</v>
      </c>
      <c r="E33">
        <f>SmtRes!AV22</f>
        <v>0</v>
      </c>
      <c r="F33" t="str">
        <f>SmtRes!I22</f>
        <v>22.1-30-103</v>
      </c>
      <c r="G33" t="str">
        <f>SmtRes!K22</f>
        <v>Перфораторы электрические, мощность до 800 Вт</v>
      </c>
      <c r="H33" t="str">
        <f>SmtRes!O22</f>
        <v>маш.-ч</v>
      </c>
      <c r="I33">
        <f>SmtRes!Y22*Source!I31</f>
        <v>1.1400000000000001</v>
      </c>
      <c r="J33">
        <f>SmtRes!AO22</f>
        <v>1</v>
      </c>
      <c r="K33">
        <f>SmtRes!AF22</f>
        <v>8.1</v>
      </c>
      <c r="L33">
        <f>SmtRes!DB22</f>
        <v>3.08</v>
      </c>
      <c r="M33">
        <f>ROUND(ROUND(L33*Source!I31, 6)*1, 2)</f>
        <v>9.24</v>
      </c>
      <c r="N33">
        <f>SmtRes!AB22</f>
        <v>8.1</v>
      </c>
      <c r="O33">
        <f>ROUND(ROUND(L33*Source!I31, 6)*SmtRes!DA22, 2)</f>
        <v>9.24</v>
      </c>
      <c r="P33">
        <f>SmtRes!AG22</f>
        <v>1.03</v>
      </c>
      <c r="Q33">
        <f>SmtRes!DC22</f>
        <v>0.39</v>
      </c>
      <c r="R33">
        <f>ROUND(ROUND(Q33*Source!I31, 6)*1, 2)</f>
        <v>1.17</v>
      </c>
      <c r="S33">
        <f>SmtRes!AC22</f>
        <v>1.03</v>
      </c>
      <c r="T33">
        <f>ROUND(ROUND(Q33*Source!I31, 6)*SmtRes!AK22, 2)</f>
        <v>1.17</v>
      </c>
      <c r="U33">
        <v>2</v>
      </c>
      <c r="Y33">
        <f>SmtRes!X22</f>
        <v>259953263</v>
      </c>
      <c r="Z33">
        <v>921425808</v>
      </c>
      <c r="AA33">
        <v>921425808</v>
      </c>
    </row>
    <row r="34" spans="1:27" x14ac:dyDescent="0.2">
      <c r="A34">
        <f>Source!A32</f>
        <v>18</v>
      </c>
      <c r="B34">
        <v>32</v>
      </c>
      <c r="C34">
        <v>3</v>
      </c>
      <c r="D34">
        <f>Source!BI32</f>
        <v>4</v>
      </c>
      <c r="E34">
        <f>Source!FS32</f>
        <v>0</v>
      </c>
      <c r="F34" t="str">
        <f>Source!F32</f>
        <v>Цена поставщика</v>
      </c>
      <c r="G34" t="str">
        <f>Source!G32</f>
        <v>Сплит-система Hisense NEO Classic A  AS-24HR4SBADC005 UPGRADE (или эквивалент)</v>
      </c>
      <c r="H34" t="str">
        <f>Source!H32</f>
        <v>шт.</v>
      </c>
      <c r="I34">
        <f>Source!I32</f>
        <v>3</v>
      </c>
      <c r="J34">
        <v>1</v>
      </c>
      <c r="K34">
        <f>Source!AC32</f>
        <v>115375</v>
      </c>
      <c r="M34">
        <f>ROUND(K34*I34, 2)</f>
        <v>346125</v>
      </c>
      <c r="N34">
        <f>Source!AC32*IF(Source!BC32&lt;&gt; 0, Source!BC32, 1)</f>
        <v>115375</v>
      </c>
      <c r="O34">
        <f>ROUND(N34*I34, 2)</f>
        <v>346125</v>
      </c>
      <c r="P34">
        <f>Source!AE32</f>
        <v>0</v>
      </c>
      <c r="R34">
        <f>ROUND(P34*I34, 2)</f>
        <v>0</v>
      </c>
      <c r="S34">
        <f>Source!AE32*IF(Source!BS32&lt;&gt; 0, Source!BS32, 1)</f>
        <v>0</v>
      </c>
      <c r="T34">
        <f>ROUND(S34*I34, 2)</f>
        <v>0</v>
      </c>
      <c r="U34">
        <v>3</v>
      </c>
      <c r="Y34">
        <f>Source!GF32</f>
        <v>1106892021</v>
      </c>
      <c r="Z34">
        <v>1258054017</v>
      </c>
      <c r="AA34">
        <v>1258054017</v>
      </c>
    </row>
    <row r="35" spans="1:27" x14ac:dyDescent="0.2">
      <c r="A35">
        <f>Source!A33</f>
        <v>18</v>
      </c>
      <c r="B35">
        <v>33</v>
      </c>
      <c r="C35">
        <v>3</v>
      </c>
      <c r="D35">
        <f>Source!BI33</f>
        <v>4</v>
      </c>
      <c r="E35">
        <f>Source!FS33</f>
        <v>0</v>
      </c>
      <c r="F35" t="str">
        <f>Source!F33</f>
        <v>21.19-12-33</v>
      </c>
      <c r="G35" t="str">
        <f>Source!G33</f>
        <v>Средства крепления - кронштейн и подставка под оборудование из сортовой стали</v>
      </c>
      <c r="H35" t="str">
        <f>Source!H33</f>
        <v>кг</v>
      </c>
      <c r="I35">
        <f>Source!I33</f>
        <v>15</v>
      </c>
      <c r="J35">
        <v>1</v>
      </c>
      <c r="K35">
        <f>Source!AC33</f>
        <v>156.56</v>
      </c>
      <c r="M35">
        <f>ROUND(K35*I35, 2)</f>
        <v>2348.4</v>
      </c>
      <c r="N35">
        <f>Source!AC33*IF(Source!BC33&lt;&gt; 0, Source!BC33, 1)</f>
        <v>156.56</v>
      </c>
      <c r="O35">
        <f>ROUND(N35*I35, 2)</f>
        <v>2348.4</v>
      </c>
      <c r="P35">
        <f>Source!AE33</f>
        <v>0</v>
      </c>
      <c r="R35">
        <f>ROUND(P35*I35, 2)</f>
        <v>0</v>
      </c>
      <c r="S35">
        <f>Source!AE33*IF(Source!BS33&lt;&gt; 0, Source!BS33, 1)</f>
        <v>0</v>
      </c>
      <c r="T35">
        <f>ROUND(S35*I35, 2)</f>
        <v>0</v>
      </c>
      <c r="U35">
        <v>3</v>
      </c>
      <c r="Y35">
        <f>Source!GF33</f>
        <v>-764671881</v>
      </c>
      <c r="Z35">
        <v>-266459654</v>
      </c>
      <c r="AA35">
        <v>-266459654</v>
      </c>
    </row>
    <row r="36" spans="1:27" x14ac:dyDescent="0.2">
      <c r="A36">
        <v>20</v>
      </c>
      <c r="B36">
        <v>44</v>
      </c>
      <c r="C36">
        <v>3</v>
      </c>
      <c r="D36">
        <v>0</v>
      </c>
      <c r="E36">
        <f>SmtRes!AV44</f>
        <v>0</v>
      </c>
      <c r="F36" t="str">
        <f>SmtRes!I44</f>
        <v>21.1-4-2</v>
      </c>
      <c r="G36" t="str">
        <f>SmtRes!K44</f>
        <v>Ацетилен технический</v>
      </c>
      <c r="H36" t="str">
        <f>SmtRes!O44</f>
        <v>м3</v>
      </c>
      <c r="I36">
        <f>SmtRes!Y44*Source!I34</f>
        <v>1.3536000000000001</v>
      </c>
      <c r="J36">
        <f>SmtRes!AO44</f>
        <v>1</v>
      </c>
      <c r="K36">
        <f>SmtRes!AE44</f>
        <v>630.86</v>
      </c>
      <c r="L36">
        <f>SmtRes!DB44</f>
        <v>29.65</v>
      </c>
      <c r="M36">
        <f>ROUND(ROUND(L36*Source!I34, 6)*1, 2)</f>
        <v>853.92</v>
      </c>
      <c r="N36">
        <f>SmtRes!AA44</f>
        <v>630.86</v>
      </c>
      <c r="O36">
        <f>ROUND(ROUND(L36*Source!I34, 6)*SmtRes!DA44, 2)</f>
        <v>853.92</v>
      </c>
      <c r="P36">
        <f>SmtRes!AG44</f>
        <v>0</v>
      </c>
      <c r="Q36">
        <f>SmtRes!DC44</f>
        <v>0</v>
      </c>
      <c r="R36">
        <f>ROUND(ROUND(Q36*Source!I34, 6)*1, 2)</f>
        <v>0</v>
      </c>
      <c r="S36">
        <f>SmtRes!AC44</f>
        <v>0</v>
      </c>
      <c r="T36">
        <f>ROUND(ROUND(Q36*Source!I34, 6)*SmtRes!AK44, 2)</f>
        <v>0</v>
      </c>
      <c r="U36">
        <v>3</v>
      </c>
      <c r="Y36">
        <f>SmtRes!X44</f>
        <v>-1697252500</v>
      </c>
      <c r="Z36">
        <v>225945017</v>
      </c>
      <c r="AA36">
        <v>225945017</v>
      </c>
    </row>
    <row r="37" spans="1:27" x14ac:dyDescent="0.2">
      <c r="A37">
        <v>20</v>
      </c>
      <c r="B37">
        <v>43</v>
      </c>
      <c r="C37">
        <v>3</v>
      </c>
      <c r="D37">
        <v>0</v>
      </c>
      <c r="E37">
        <f>SmtRes!AV43</f>
        <v>0</v>
      </c>
      <c r="F37" t="str">
        <f>SmtRes!I43</f>
        <v>21.1-4-10</v>
      </c>
      <c r="G37" t="str">
        <f>SmtRes!K43</f>
        <v>Кислород технический газообразный</v>
      </c>
      <c r="H37" t="str">
        <f>SmtRes!O43</f>
        <v>м3</v>
      </c>
      <c r="I37">
        <f>SmtRes!Y43*Source!I34</f>
        <v>1.5551999999999999</v>
      </c>
      <c r="J37">
        <f>SmtRes!AO43</f>
        <v>1</v>
      </c>
      <c r="K37">
        <f>SmtRes!AE43</f>
        <v>53.64</v>
      </c>
      <c r="L37">
        <f>SmtRes!DB43</f>
        <v>2.9</v>
      </c>
      <c r="M37">
        <f>ROUND(ROUND(L37*Source!I34, 6)*1, 2)</f>
        <v>83.52</v>
      </c>
      <c r="N37">
        <f>SmtRes!AA43</f>
        <v>53.64</v>
      </c>
      <c r="O37">
        <f>ROUND(ROUND(L37*Source!I34, 6)*SmtRes!DA43, 2)</f>
        <v>83.52</v>
      </c>
      <c r="P37">
        <f>SmtRes!AG43</f>
        <v>0</v>
      </c>
      <c r="Q37">
        <f>SmtRes!DC43</f>
        <v>0</v>
      </c>
      <c r="R37">
        <f>ROUND(ROUND(Q37*Source!I34, 6)*1, 2)</f>
        <v>0</v>
      </c>
      <c r="S37">
        <f>SmtRes!AC43</f>
        <v>0</v>
      </c>
      <c r="T37">
        <f>ROUND(ROUND(Q37*Source!I34, 6)*SmtRes!AK43, 2)</f>
        <v>0</v>
      </c>
      <c r="U37">
        <v>3</v>
      </c>
      <c r="Y37">
        <f>SmtRes!X43</f>
        <v>-619323657</v>
      </c>
      <c r="Z37">
        <v>487110707</v>
      </c>
      <c r="AA37">
        <v>487110707</v>
      </c>
    </row>
    <row r="38" spans="1:27" x14ac:dyDescent="0.2">
      <c r="A38">
        <v>20</v>
      </c>
      <c r="B38">
        <v>37</v>
      </c>
      <c r="C38">
        <v>3</v>
      </c>
      <c r="D38">
        <v>0</v>
      </c>
      <c r="E38">
        <f>SmtRes!AV37</f>
        <v>0</v>
      </c>
      <c r="F38" t="str">
        <f>SmtRes!I37</f>
        <v>21.1-16-16</v>
      </c>
      <c r="G38" t="str">
        <f>SmtRes!K37</f>
        <v>Бура техническая</v>
      </c>
      <c r="H38" t="str">
        <f>SmtRes!O37</f>
        <v>кг</v>
      </c>
      <c r="I38">
        <f>SmtRes!Y37*Source!I34</f>
        <v>6.0479999999999999E-2</v>
      </c>
      <c r="J38">
        <f>SmtRes!AO37</f>
        <v>1</v>
      </c>
      <c r="K38">
        <f>SmtRes!AE37</f>
        <v>232.27</v>
      </c>
      <c r="L38">
        <f>SmtRes!DB37</f>
        <v>0.49</v>
      </c>
      <c r="M38">
        <f>ROUND(ROUND(L38*Source!I34, 6)*1, 2)</f>
        <v>14.11</v>
      </c>
      <c r="N38">
        <f>SmtRes!AA37</f>
        <v>232.27</v>
      </c>
      <c r="O38">
        <f>ROUND(ROUND(L38*Source!I34, 6)*SmtRes!DA37, 2)</f>
        <v>14.11</v>
      </c>
      <c r="P38">
        <f>SmtRes!AG37</f>
        <v>0</v>
      </c>
      <c r="Q38">
        <f>SmtRes!DC37</f>
        <v>0</v>
      </c>
      <c r="R38">
        <f>ROUND(ROUND(Q38*Source!I34, 6)*1, 2)</f>
        <v>0</v>
      </c>
      <c r="S38">
        <f>SmtRes!AC37</f>
        <v>0</v>
      </c>
      <c r="T38">
        <f>ROUND(ROUND(Q38*Source!I34, 6)*SmtRes!AK37, 2)</f>
        <v>0</v>
      </c>
      <c r="U38">
        <v>3</v>
      </c>
      <c r="Y38">
        <f>SmtRes!X37</f>
        <v>1126836785</v>
      </c>
      <c r="Z38">
        <v>1152337358</v>
      </c>
      <c r="AA38">
        <v>1152337358</v>
      </c>
    </row>
    <row r="39" spans="1:27" x14ac:dyDescent="0.2">
      <c r="A39">
        <v>20</v>
      </c>
      <c r="B39">
        <v>36</v>
      </c>
      <c r="C39">
        <v>3</v>
      </c>
      <c r="D39">
        <v>0</v>
      </c>
      <c r="E39">
        <f>SmtRes!AV36</f>
        <v>0</v>
      </c>
      <c r="F39" t="str">
        <f>SmtRes!I36</f>
        <v>21.1-15-50</v>
      </c>
      <c r="G39" t="str">
        <f>SmtRes!K36</f>
        <v>Припой, сплав "Вуда"</v>
      </c>
      <c r="H39" t="str">
        <f>SmtRes!O36</f>
        <v>кг</v>
      </c>
      <c r="I39">
        <f>SmtRes!Y36*Source!I34</f>
        <v>0.6048</v>
      </c>
      <c r="J39">
        <f>SmtRes!AO36</f>
        <v>1</v>
      </c>
      <c r="K39">
        <f>SmtRes!AE36</f>
        <v>844.32962999999995</v>
      </c>
      <c r="L39">
        <f>SmtRes!DB36</f>
        <v>17.73</v>
      </c>
      <c r="M39">
        <f>ROUND(ROUND(L39*Source!I34, 6)*1, 2)</f>
        <v>510.62</v>
      </c>
      <c r="N39">
        <f>SmtRes!AA36</f>
        <v>844.33</v>
      </c>
      <c r="O39">
        <f>ROUND(ROUND(L39*Source!I34, 6)*SmtRes!DA36, 2)</f>
        <v>510.62</v>
      </c>
      <c r="P39">
        <f>SmtRes!AG36</f>
        <v>0</v>
      </c>
      <c r="Q39">
        <f>SmtRes!DC36</f>
        <v>0</v>
      </c>
      <c r="R39">
        <f>ROUND(ROUND(Q39*Source!I34, 6)*1, 2)</f>
        <v>0</v>
      </c>
      <c r="S39">
        <f>SmtRes!AC36</f>
        <v>0</v>
      </c>
      <c r="T39">
        <f>ROUND(ROUND(Q39*Source!I34, 6)*SmtRes!AK36, 2)</f>
        <v>0</v>
      </c>
      <c r="U39">
        <v>3</v>
      </c>
      <c r="Y39">
        <f>SmtRes!X36</f>
        <v>-501209439</v>
      </c>
      <c r="Z39">
        <v>1481902069</v>
      </c>
      <c r="AA39">
        <v>-1723879306</v>
      </c>
    </row>
    <row r="40" spans="1:27" x14ac:dyDescent="0.2">
      <c r="A40">
        <v>20</v>
      </c>
      <c r="B40">
        <v>35</v>
      </c>
      <c r="C40">
        <v>2</v>
      </c>
      <c r="D40">
        <v>0</v>
      </c>
      <c r="E40">
        <f>SmtRes!AV35</f>
        <v>0</v>
      </c>
      <c r="F40" t="str">
        <f>SmtRes!I35</f>
        <v>22.1-4-30</v>
      </c>
      <c r="G40" t="str">
        <f>SmtRes!K35</f>
        <v>Лебедки электрические, грузоподъемность до 0,5 т</v>
      </c>
      <c r="H40" t="str">
        <f>SmtRes!O35</f>
        <v>маш.-ч</v>
      </c>
      <c r="I40">
        <f>SmtRes!Y35*Source!I34</f>
        <v>12.96</v>
      </c>
      <c r="J40">
        <f>SmtRes!AO35</f>
        <v>1</v>
      </c>
      <c r="K40">
        <f>SmtRes!AF35</f>
        <v>17.3</v>
      </c>
      <c r="L40">
        <f>SmtRes!DB35</f>
        <v>7.79</v>
      </c>
      <c r="M40">
        <f>ROUND(ROUND(L40*Source!I34, 6)*1, 2)</f>
        <v>224.35</v>
      </c>
      <c r="N40">
        <f>SmtRes!AB35</f>
        <v>17.3</v>
      </c>
      <c r="O40">
        <f>ROUND(ROUND(L40*Source!I34, 6)*SmtRes!DA35, 2)</f>
        <v>224.35</v>
      </c>
      <c r="P40">
        <f>SmtRes!AG35</f>
        <v>0.09</v>
      </c>
      <c r="Q40">
        <f>SmtRes!DC35</f>
        <v>0.04</v>
      </c>
      <c r="R40">
        <f>ROUND(ROUND(Q40*Source!I34, 6)*1, 2)</f>
        <v>1.1499999999999999</v>
      </c>
      <c r="S40">
        <f>SmtRes!AC35</f>
        <v>0.09</v>
      </c>
      <c r="T40">
        <f>ROUND(ROUND(Q40*Source!I34, 6)*SmtRes!AK35, 2)</f>
        <v>1.1499999999999999</v>
      </c>
      <c r="U40">
        <v>2</v>
      </c>
      <c r="Y40">
        <f>SmtRes!X35</f>
        <v>-1274881073</v>
      </c>
      <c r="Z40">
        <v>2129725641</v>
      </c>
      <c r="AA40">
        <v>2129725641</v>
      </c>
    </row>
    <row r="41" spans="1:27" x14ac:dyDescent="0.2">
      <c r="A41">
        <v>20</v>
      </c>
      <c r="B41">
        <v>34</v>
      </c>
      <c r="C41">
        <v>2</v>
      </c>
      <c r="D41">
        <v>0</v>
      </c>
      <c r="E41">
        <f>SmtRes!AV34</f>
        <v>0</v>
      </c>
      <c r="F41" t="str">
        <f>SmtRes!I34</f>
        <v>22.1-30-41</v>
      </c>
      <c r="G41" t="str">
        <f>SmtRes!K34</f>
        <v>Станки трубогибочные для труб диаметром 200-500 мм</v>
      </c>
      <c r="H41" t="str">
        <f>SmtRes!O34</f>
        <v>маш.-ч</v>
      </c>
      <c r="I41">
        <f>SmtRes!Y34*Source!I34</f>
        <v>1.4400000000000002</v>
      </c>
      <c r="J41">
        <f>SmtRes!AO34</f>
        <v>1</v>
      </c>
      <c r="K41">
        <f>SmtRes!AF34</f>
        <v>530.82000000000005</v>
      </c>
      <c r="L41">
        <f>SmtRes!DB34</f>
        <v>26.54</v>
      </c>
      <c r="M41">
        <f>ROUND(ROUND(L41*Source!I34, 6)*1, 2)</f>
        <v>764.35</v>
      </c>
      <c r="N41">
        <f>SmtRes!AB34</f>
        <v>530.82000000000005</v>
      </c>
      <c r="O41">
        <f>ROUND(ROUND(L41*Source!I34, 6)*SmtRes!DA34, 2)</f>
        <v>764.35</v>
      </c>
      <c r="P41">
        <f>SmtRes!AG34</f>
        <v>445.52</v>
      </c>
      <c r="Q41">
        <f>SmtRes!DC34</f>
        <v>22.28</v>
      </c>
      <c r="R41">
        <f>ROUND(ROUND(Q41*Source!I34, 6)*1, 2)</f>
        <v>641.66</v>
      </c>
      <c r="S41">
        <f>SmtRes!AC34</f>
        <v>445.52</v>
      </c>
      <c r="T41">
        <f>ROUND(ROUND(Q41*Source!I34, 6)*SmtRes!AK34, 2)</f>
        <v>641.66</v>
      </c>
      <c r="U41">
        <v>2</v>
      </c>
      <c r="Y41">
        <f>SmtRes!X34</f>
        <v>817349807</v>
      </c>
      <c r="Z41">
        <v>-567638061</v>
      </c>
      <c r="AA41">
        <v>-567638061</v>
      </c>
    </row>
    <row r="42" spans="1:27" x14ac:dyDescent="0.2">
      <c r="A42">
        <v>20</v>
      </c>
      <c r="B42">
        <v>33</v>
      </c>
      <c r="C42">
        <v>2</v>
      </c>
      <c r="D42">
        <v>0</v>
      </c>
      <c r="E42">
        <f>SmtRes!AV33</f>
        <v>0</v>
      </c>
      <c r="F42" t="str">
        <f>SmtRes!I33</f>
        <v>22.1-18-7</v>
      </c>
      <c r="G42" t="str">
        <f>SmtRes!K33</f>
        <v>Автомобили грузовые бортовые, грузоподъемность до 5 т</v>
      </c>
      <c r="H42" t="str">
        <f>SmtRes!O33</f>
        <v>маш.-ч</v>
      </c>
      <c r="I42">
        <f>SmtRes!Y33*Source!I34</f>
        <v>3.1680000000000001</v>
      </c>
      <c r="J42">
        <f>SmtRes!AO33</f>
        <v>1</v>
      </c>
      <c r="K42">
        <f>SmtRes!AF33</f>
        <v>1187.6300000000001</v>
      </c>
      <c r="L42">
        <f>SmtRes!DB33</f>
        <v>130.63999999999999</v>
      </c>
      <c r="M42">
        <f>ROUND(ROUND(L42*Source!I34, 6)*1, 2)</f>
        <v>3762.43</v>
      </c>
      <c r="N42">
        <f>SmtRes!AB33</f>
        <v>1187.6300000000001</v>
      </c>
      <c r="O42">
        <f>ROUND(ROUND(L42*Source!I34, 6)*SmtRes!DA33, 2)</f>
        <v>3762.43</v>
      </c>
      <c r="P42">
        <f>SmtRes!AG33</f>
        <v>328.19</v>
      </c>
      <c r="Q42">
        <f>SmtRes!DC33</f>
        <v>36.1</v>
      </c>
      <c r="R42">
        <f>ROUND(ROUND(Q42*Source!I34, 6)*1, 2)</f>
        <v>1039.68</v>
      </c>
      <c r="S42">
        <f>SmtRes!AC33</f>
        <v>328.19</v>
      </c>
      <c r="T42">
        <f>ROUND(ROUND(Q42*Source!I34, 6)*SmtRes!AK33, 2)</f>
        <v>1039.68</v>
      </c>
      <c r="U42">
        <v>2</v>
      </c>
      <c r="Y42">
        <f>SmtRes!X33</f>
        <v>1686702969</v>
      </c>
      <c r="Z42">
        <v>723722512</v>
      </c>
      <c r="AA42">
        <v>723722512</v>
      </c>
    </row>
    <row r="43" spans="1:27" x14ac:dyDescent="0.2">
      <c r="A43">
        <v>20</v>
      </c>
      <c r="B43">
        <v>32</v>
      </c>
      <c r="C43">
        <v>2</v>
      </c>
      <c r="D43">
        <v>0</v>
      </c>
      <c r="E43">
        <f>SmtRes!AV32</f>
        <v>0</v>
      </c>
      <c r="F43" t="str">
        <f>SmtRes!I32</f>
        <v>22.1-17-23</v>
      </c>
      <c r="G43" t="str">
        <f>SmtRes!K32</f>
        <v>Газовые горелки</v>
      </c>
      <c r="H43" t="str">
        <f>SmtRes!O32</f>
        <v>маш.-ч</v>
      </c>
      <c r="I43">
        <f>SmtRes!Y32*Source!I34</f>
        <v>1.728</v>
      </c>
      <c r="J43">
        <f>SmtRes!AO32</f>
        <v>1</v>
      </c>
      <c r="K43">
        <f>SmtRes!AF32</f>
        <v>6.37</v>
      </c>
      <c r="L43">
        <f>SmtRes!DB32</f>
        <v>0.38</v>
      </c>
      <c r="M43">
        <f>ROUND(ROUND(L43*Source!I34, 6)*1, 2)</f>
        <v>10.94</v>
      </c>
      <c r="N43">
        <f>SmtRes!AB32</f>
        <v>6.37</v>
      </c>
      <c r="O43">
        <f>ROUND(ROUND(L43*Source!I34, 6)*SmtRes!DA32, 2)</f>
        <v>10.94</v>
      </c>
      <c r="P43">
        <f>SmtRes!AG32</f>
        <v>3.12</v>
      </c>
      <c r="Q43">
        <f>SmtRes!DC32</f>
        <v>0.19</v>
      </c>
      <c r="R43">
        <f>ROUND(ROUND(Q43*Source!I34, 6)*1, 2)</f>
        <v>5.47</v>
      </c>
      <c r="S43">
        <f>SmtRes!AC32</f>
        <v>3.12</v>
      </c>
      <c r="T43">
        <f>ROUND(ROUND(Q43*Source!I34, 6)*SmtRes!AK32, 2)</f>
        <v>5.47</v>
      </c>
      <c r="U43">
        <v>2</v>
      </c>
      <c r="Y43">
        <f>SmtRes!X32</f>
        <v>315489092</v>
      </c>
      <c r="Z43">
        <v>1493344411</v>
      </c>
      <c r="AA43">
        <v>1493344411</v>
      </c>
    </row>
    <row r="44" spans="1:27" x14ac:dyDescent="0.2">
      <c r="A44">
        <f>Source!A35</f>
        <v>18</v>
      </c>
      <c r="B44">
        <v>35</v>
      </c>
      <c r="C44">
        <v>3</v>
      </c>
      <c r="D44">
        <f>Source!BI35</f>
        <v>4</v>
      </c>
      <c r="E44">
        <f>Source!FS35</f>
        <v>0</v>
      </c>
      <c r="F44" t="str">
        <f>Source!F35</f>
        <v>21.12-7-37</v>
      </c>
      <c r="G44" t="str">
        <f>Source!G35</f>
        <v>Трубы медные для систем кондиционирования, наружный диаметр (толщина стенки), мм, 6,35 (0,76)</v>
      </c>
      <c r="H44" t="str">
        <f>Source!H35</f>
        <v>м</v>
      </c>
      <c r="I44">
        <f>Source!I35</f>
        <v>122.56999999999998</v>
      </c>
      <c r="J44">
        <v>1</v>
      </c>
      <c r="K44">
        <f>Source!AC35</f>
        <v>128.81</v>
      </c>
      <c r="M44">
        <f>ROUND(K44*I44, 2)</f>
        <v>15788.24</v>
      </c>
      <c r="N44">
        <f>Source!AC35*IF(Source!BC35&lt;&gt; 0, Source!BC35, 1)</f>
        <v>128.81</v>
      </c>
      <c r="O44">
        <f>ROUND(N44*I44, 2)</f>
        <v>15788.24</v>
      </c>
      <c r="P44">
        <f>Source!AE35</f>
        <v>0</v>
      </c>
      <c r="R44">
        <f>ROUND(P44*I44, 2)</f>
        <v>0</v>
      </c>
      <c r="S44">
        <f>Source!AE35*IF(Source!BS35&lt;&gt; 0, Source!BS35, 1)</f>
        <v>0</v>
      </c>
      <c r="T44">
        <f>ROUND(S44*I44, 2)</f>
        <v>0</v>
      </c>
      <c r="U44">
        <v>3</v>
      </c>
      <c r="Y44">
        <f>Source!GF35</f>
        <v>-797199161</v>
      </c>
      <c r="Z44">
        <v>1265234879</v>
      </c>
      <c r="AA44">
        <v>1265234879</v>
      </c>
    </row>
    <row r="45" spans="1:27" x14ac:dyDescent="0.2">
      <c r="A45">
        <f>Source!A36</f>
        <v>18</v>
      </c>
      <c r="B45">
        <v>36</v>
      </c>
      <c r="C45">
        <v>3</v>
      </c>
      <c r="D45">
        <f>Source!BI36</f>
        <v>4</v>
      </c>
      <c r="E45">
        <f>Source!FS36</f>
        <v>0</v>
      </c>
      <c r="F45" t="str">
        <f>Source!F36</f>
        <v>21.12-7-31</v>
      </c>
      <c r="G45" t="str">
        <f>Source!G36</f>
        <v>Трубы медные для систем кондиционирования, наружный диаметр (толщина стенки), мм, 9,52 (0,81)</v>
      </c>
      <c r="H45" t="str">
        <f>Source!H36</f>
        <v>м</v>
      </c>
      <c r="I45">
        <f>Source!I36</f>
        <v>112.27</v>
      </c>
      <c r="J45">
        <v>1</v>
      </c>
      <c r="K45">
        <f>Source!AC36</f>
        <v>230.24</v>
      </c>
      <c r="M45">
        <f>ROUND(K45*I45, 2)</f>
        <v>25849.040000000001</v>
      </c>
      <c r="N45">
        <f>Source!AC36*IF(Source!BC36&lt;&gt; 0, Source!BC36, 1)</f>
        <v>230.24</v>
      </c>
      <c r="O45">
        <f>ROUND(N45*I45, 2)</f>
        <v>25849.040000000001</v>
      </c>
      <c r="P45">
        <f>Source!AE36</f>
        <v>0</v>
      </c>
      <c r="R45">
        <f>ROUND(P45*I45, 2)</f>
        <v>0</v>
      </c>
      <c r="S45">
        <f>Source!AE36*IF(Source!BS36&lt;&gt; 0, Source!BS36, 1)</f>
        <v>0</v>
      </c>
      <c r="T45">
        <f>ROUND(S45*I45, 2)</f>
        <v>0</v>
      </c>
      <c r="U45">
        <v>3</v>
      </c>
      <c r="Y45">
        <f>Source!GF36</f>
        <v>1049557422</v>
      </c>
      <c r="Z45">
        <v>-1870134665</v>
      </c>
      <c r="AA45">
        <v>-1870134665</v>
      </c>
    </row>
    <row r="46" spans="1:27" x14ac:dyDescent="0.2">
      <c r="A46">
        <f>Source!A37</f>
        <v>18</v>
      </c>
      <c r="B46">
        <v>37</v>
      </c>
      <c r="C46">
        <v>3</v>
      </c>
      <c r="D46">
        <f>Source!BI37</f>
        <v>4</v>
      </c>
      <c r="E46">
        <f>Source!FS37</f>
        <v>0</v>
      </c>
      <c r="F46" t="str">
        <f>Source!F37</f>
        <v>21.12-7-32</v>
      </c>
      <c r="G46" t="str">
        <f>Source!G37</f>
        <v>Трубы медные для систем кондиционирования, наружный диаметр (толщина стенки), мм, 12,7 (0,81)</v>
      </c>
      <c r="H46" t="str">
        <f>Source!H37</f>
        <v>м</v>
      </c>
      <c r="I46">
        <f>Source!I37</f>
        <v>36.049999999999997</v>
      </c>
      <c r="J46">
        <v>1</v>
      </c>
      <c r="K46">
        <f>Source!AC37</f>
        <v>314.05</v>
      </c>
      <c r="M46">
        <f>ROUND(K46*I46, 2)</f>
        <v>11321.5</v>
      </c>
      <c r="N46">
        <f>Source!AC37*IF(Source!BC37&lt;&gt; 0, Source!BC37, 1)</f>
        <v>314.05</v>
      </c>
      <c r="O46">
        <f>ROUND(N46*I46, 2)</f>
        <v>11321.5</v>
      </c>
      <c r="P46">
        <f>Source!AE37</f>
        <v>0</v>
      </c>
      <c r="R46">
        <f>ROUND(P46*I46, 2)</f>
        <v>0</v>
      </c>
      <c r="S46">
        <f>Source!AE37*IF(Source!BS37&lt;&gt; 0, Source!BS37, 1)</f>
        <v>0</v>
      </c>
      <c r="T46">
        <f>ROUND(S46*I46, 2)</f>
        <v>0</v>
      </c>
      <c r="U46">
        <v>3</v>
      </c>
      <c r="Y46">
        <f>Source!GF37</f>
        <v>-253640361</v>
      </c>
      <c r="Z46">
        <v>1686514933</v>
      </c>
      <c r="AA46">
        <v>1686514933</v>
      </c>
    </row>
    <row r="47" spans="1:27" x14ac:dyDescent="0.2">
      <c r="A47">
        <f>Source!A38</f>
        <v>18</v>
      </c>
      <c r="B47">
        <v>38</v>
      </c>
      <c r="C47">
        <v>3</v>
      </c>
      <c r="D47">
        <f>Source!BI38</f>
        <v>4</v>
      </c>
      <c r="E47">
        <f>Source!FS38</f>
        <v>0</v>
      </c>
      <c r="F47" t="str">
        <f>Source!F38</f>
        <v>21.12-7-36</v>
      </c>
      <c r="G47" t="str">
        <f>Source!G38</f>
        <v>Трубы медные для систем кондиционирования, наружный диаметр (толщина стенки), мм, 15,9 (0,89)</v>
      </c>
      <c r="H47" t="str">
        <f>Source!H38</f>
        <v>м</v>
      </c>
      <c r="I47">
        <f>Source!I38</f>
        <v>25.75</v>
      </c>
      <c r="J47">
        <v>1</v>
      </c>
      <c r="K47">
        <f>Source!AC38</f>
        <v>423.43</v>
      </c>
      <c r="M47">
        <f>ROUND(K47*I47, 2)</f>
        <v>10903.32</v>
      </c>
      <c r="N47">
        <f>Source!AC38*IF(Source!BC38&lt;&gt; 0, Source!BC38, 1)</f>
        <v>423.43</v>
      </c>
      <c r="O47">
        <f>ROUND(N47*I47, 2)</f>
        <v>10903.32</v>
      </c>
      <c r="P47">
        <f>Source!AE38</f>
        <v>0</v>
      </c>
      <c r="R47">
        <f>ROUND(P47*I47, 2)</f>
        <v>0</v>
      </c>
      <c r="S47">
        <f>Source!AE38*IF(Source!BS38&lt;&gt; 0, Source!BS38, 1)</f>
        <v>0</v>
      </c>
      <c r="T47">
        <f>ROUND(S47*I47, 2)</f>
        <v>0</v>
      </c>
      <c r="U47">
        <v>3</v>
      </c>
      <c r="Y47">
        <f>Source!GF38</f>
        <v>1741320992</v>
      </c>
      <c r="Z47">
        <v>-1400386671</v>
      </c>
      <c r="AA47">
        <v>-1400386671</v>
      </c>
    </row>
    <row r="48" spans="1:27" x14ac:dyDescent="0.2">
      <c r="A48">
        <v>20</v>
      </c>
      <c r="B48">
        <v>46</v>
      </c>
      <c r="C48">
        <v>3</v>
      </c>
      <c r="D48">
        <v>0</v>
      </c>
      <c r="E48">
        <f>SmtRes!AV46</f>
        <v>0</v>
      </c>
      <c r="F48" t="str">
        <f>SmtRes!I46</f>
        <v>21.1-11-134</v>
      </c>
      <c r="G48" t="str">
        <f>SmtRes!K46</f>
        <v>Клипсы для крепления изоляции</v>
      </c>
      <c r="H48" t="str">
        <f>SmtRes!O46</f>
        <v>шт.</v>
      </c>
      <c r="I48">
        <f>SmtRes!Y46*Source!I40</f>
        <v>86.4</v>
      </c>
      <c r="J48">
        <f>SmtRes!AO46</f>
        <v>1</v>
      </c>
      <c r="K48">
        <f>SmtRes!AE46</f>
        <v>2.25</v>
      </c>
      <c r="L48">
        <f>SmtRes!DB46</f>
        <v>6.75</v>
      </c>
      <c r="M48">
        <f>ROUND(ROUND(L48*Source!I40, 6)*1, 2)</f>
        <v>194.4</v>
      </c>
      <c r="N48">
        <f>SmtRes!AA46</f>
        <v>2.25</v>
      </c>
      <c r="O48">
        <f>ROUND(ROUND(L48*Source!I40, 6)*SmtRes!DA46, 2)</f>
        <v>194.4</v>
      </c>
      <c r="P48">
        <f>SmtRes!AG46</f>
        <v>0</v>
      </c>
      <c r="Q48">
        <f>SmtRes!DC46</f>
        <v>0</v>
      </c>
      <c r="R48">
        <f>ROUND(ROUND(Q48*Source!I40, 6)*1, 2)</f>
        <v>0</v>
      </c>
      <c r="S48">
        <f>SmtRes!AC46</f>
        <v>0</v>
      </c>
      <c r="T48">
        <f>ROUND(ROUND(Q48*Source!I40, 6)*SmtRes!AK46, 2)</f>
        <v>0</v>
      </c>
      <c r="U48">
        <v>3</v>
      </c>
      <c r="Y48">
        <f>SmtRes!X46</f>
        <v>101651921</v>
      </c>
      <c r="Z48">
        <v>310920131</v>
      </c>
      <c r="AA48">
        <v>310920131</v>
      </c>
    </row>
    <row r="49" spans="1:27" x14ac:dyDescent="0.2">
      <c r="A49">
        <f>Source!A41</f>
        <v>18</v>
      </c>
      <c r="B49">
        <v>41</v>
      </c>
      <c r="C49">
        <v>3</v>
      </c>
      <c r="D49">
        <f>Source!BI41</f>
        <v>4</v>
      </c>
      <c r="E49">
        <f>Source!FS41</f>
        <v>0</v>
      </c>
      <c r="F49" t="str">
        <f>Source!F41</f>
        <v>21.1-25-623</v>
      </c>
      <c r="G49" t="str">
        <f>Source!G41</f>
        <v>Лента самоклеящаяся, ширина 50 мм, толщина 3 мм, тип "K-Flex ST"</v>
      </c>
      <c r="H49" t="str">
        <f>Source!H41</f>
        <v>м</v>
      </c>
      <c r="I49">
        <f>Source!I41</f>
        <v>302.39999999999998</v>
      </c>
      <c r="J49">
        <v>1</v>
      </c>
      <c r="K49">
        <f>Source!AC41</f>
        <v>44.3</v>
      </c>
      <c r="M49">
        <f>ROUND(K49*I49, 2)</f>
        <v>13396.32</v>
      </c>
      <c r="N49">
        <f>Source!AC41*IF(Source!BC41&lt;&gt; 0, Source!BC41, 1)</f>
        <v>44.3</v>
      </c>
      <c r="O49">
        <f>ROUND(N49*I49, 2)</f>
        <v>13396.32</v>
      </c>
      <c r="P49">
        <f>Source!AE41</f>
        <v>0</v>
      </c>
      <c r="R49">
        <f>ROUND(P49*I49, 2)</f>
        <v>0</v>
      </c>
      <c r="S49">
        <f>Source!AE41*IF(Source!BS41&lt;&gt; 0, Source!BS41, 1)</f>
        <v>0</v>
      </c>
      <c r="T49">
        <f>ROUND(S49*I49, 2)</f>
        <v>0</v>
      </c>
      <c r="U49">
        <v>3</v>
      </c>
      <c r="Y49">
        <f>Source!GF41</f>
        <v>-1450401990</v>
      </c>
      <c r="Z49">
        <v>2040612030</v>
      </c>
      <c r="AA49">
        <v>2040612030</v>
      </c>
    </row>
    <row r="50" spans="1:27" x14ac:dyDescent="0.2">
      <c r="A50">
        <f>Source!A43</f>
        <v>18</v>
      </c>
      <c r="B50">
        <v>43</v>
      </c>
      <c r="C50">
        <v>3</v>
      </c>
      <c r="D50">
        <f>Source!BI43</f>
        <v>4</v>
      </c>
      <c r="E50">
        <f>Source!FS43</f>
        <v>0</v>
      </c>
      <c r="F50" t="str">
        <f>Source!F43</f>
        <v>21.1-14-83</v>
      </c>
      <c r="G50" t="str">
        <f>Source!G43</f>
        <v>Трубки теплоизоляционные из вспененного каучука типа "К-Flex ST" для поверхностей с температурой от -40°C до +105°С, внутренний диаметр (толщина) 6 (9) мм</v>
      </c>
      <c r="H50" t="str">
        <f>Source!H43</f>
        <v>м</v>
      </c>
      <c r="I50">
        <f>Source!I43</f>
        <v>124.95000000000002</v>
      </c>
      <c r="J50">
        <v>1</v>
      </c>
      <c r="K50">
        <f>Source!AC43</f>
        <v>28.54</v>
      </c>
      <c r="M50">
        <f>ROUND(K50*I50, 2)</f>
        <v>3566.07</v>
      </c>
      <c r="N50">
        <f>Source!AC43*IF(Source!BC43&lt;&gt; 0, Source!BC43, 1)</f>
        <v>28.54</v>
      </c>
      <c r="O50">
        <f>ROUND(N50*I50, 2)</f>
        <v>3566.07</v>
      </c>
      <c r="P50">
        <f>Source!AE43</f>
        <v>0</v>
      </c>
      <c r="R50">
        <f>ROUND(P50*I50, 2)</f>
        <v>0</v>
      </c>
      <c r="S50">
        <f>Source!AE43*IF(Source!BS43&lt;&gt; 0, Source!BS43, 1)</f>
        <v>0</v>
      </c>
      <c r="T50">
        <f>ROUND(S50*I50, 2)</f>
        <v>0</v>
      </c>
      <c r="U50">
        <v>3</v>
      </c>
      <c r="Y50">
        <f>Source!GF43</f>
        <v>569689119</v>
      </c>
      <c r="Z50">
        <v>903558844</v>
      </c>
      <c r="AA50">
        <v>903558844</v>
      </c>
    </row>
    <row r="51" spans="1:27" x14ac:dyDescent="0.2">
      <c r="A51">
        <f>Source!A44</f>
        <v>18</v>
      </c>
      <c r="B51">
        <v>44</v>
      </c>
      <c r="C51">
        <v>3</v>
      </c>
      <c r="D51">
        <f>Source!BI44</f>
        <v>4</v>
      </c>
      <c r="E51">
        <f>Source!FS44</f>
        <v>0</v>
      </c>
      <c r="F51" t="str">
        <f>Source!F44</f>
        <v>21.1-14-84</v>
      </c>
      <c r="G51" t="str">
        <f>Source!G44</f>
        <v>Трубки теплоизоляционные из вспененного каучука типа "К-Flex ST" для поверхностей с температурой от -40°C до +105°С, внутренний диаметр (толщина) 10 (13) мм</v>
      </c>
      <c r="H51" t="str">
        <f>Source!H44</f>
        <v>м</v>
      </c>
      <c r="I51">
        <f>Source!I44</f>
        <v>14.45</v>
      </c>
      <c r="J51">
        <v>1</v>
      </c>
      <c r="K51">
        <f>Source!AC44</f>
        <v>49.21</v>
      </c>
      <c r="M51">
        <f>ROUND(K51*I51, 2)</f>
        <v>711.08</v>
      </c>
      <c r="N51">
        <f>Source!AC44*IF(Source!BC44&lt;&gt; 0, Source!BC44, 1)</f>
        <v>49.21</v>
      </c>
      <c r="O51">
        <f>ROUND(N51*I51, 2)</f>
        <v>711.08</v>
      </c>
      <c r="P51">
        <f>Source!AE44</f>
        <v>0</v>
      </c>
      <c r="R51">
        <f>ROUND(P51*I51, 2)</f>
        <v>0</v>
      </c>
      <c r="S51">
        <f>Source!AE44*IF(Source!BS44&lt;&gt; 0, Source!BS44, 1)</f>
        <v>0</v>
      </c>
      <c r="T51">
        <f>ROUND(S51*I51, 2)</f>
        <v>0</v>
      </c>
      <c r="U51">
        <v>3</v>
      </c>
      <c r="Y51">
        <f>Source!GF44</f>
        <v>1778712650</v>
      </c>
      <c r="Z51">
        <v>900014526</v>
      </c>
      <c r="AA51">
        <v>900014526</v>
      </c>
    </row>
    <row r="52" spans="1:27" x14ac:dyDescent="0.2">
      <c r="A52">
        <f>Source!A45</f>
        <v>18</v>
      </c>
      <c r="B52">
        <v>45</v>
      </c>
      <c r="C52">
        <v>3</v>
      </c>
      <c r="D52">
        <f>Source!BI45</f>
        <v>4</v>
      </c>
      <c r="E52">
        <f>Source!FS45</f>
        <v>0</v>
      </c>
      <c r="F52" t="str">
        <f>Source!F45</f>
        <v>21.1-14-86</v>
      </c>
      <c r="G52" t="str">
        <f>Source!G45</f>
        <v>Трубки теплоизоляционные из вспененного каучука типа "К-Flex ST" для поверхностей с температурой от -40°C до +105°С, внутренний диаметр (толщина) 15 (13) мм</v>
      </c>
      <c r="H52" t="str">
        <f>Source!H45</f>
        <v>м</v>
      </c>
      <c r="I52">
        <f>Source!I45</f>
        <v>36.75</v>
      </c>
      <c r="J52">
        <v>1</v>
      </c>
      <c r="K52">
        <f>Source!AC45</f>
        <v>53.95</v>
      </c>
      <c r="M52">
        <f>ROUND(K52*I52, 2)</f>
        <v>1982.66</v>
      </c>
      <c r="N52">
        <f>Source!AC45*IF(Source!BC45&lt;&gt; 0, Source!BC45, 1)</f>
        <v>53.95</v>
      </c>
      <c r="O52">
        <f>ROUND(N52*I52, 2)</f>
        <v>1982.66</v>
      </c>
      <c r="P52">
        <f>Source!AE45</f>
        <v>0</v>
      </c>
      <c r="R52">
        <f>ROUND(P52*I52, 2)</f>
        <v>0</v>
      </c>
      <c r="S52">
        <f>Source!AE45*IF(Source!BS45&lt;&gt; 0, Source!BS45, 1)</f>
        <v>0</v>
      </c>
      <c r="T52">
        <f>ROUND(S52*I52, 2)</f>
        <v>0</v>
      </c>
      <c r="U52">
        <v>3</v>
      </c>
      <c r="Y52">
        <f>Source!GF45</f>
        <v>-1708005179</v>
      </c>
      <c r="Z52">
        <v>-1472929815</v>
      </c>
      <c r="AA52">
        <v>-1472929815</v>
      </c>
    </row>
    <row r="53" spans="1:27" x14ac:dyDescent="0.2">
      <c r="A53">
        <f>Source!A46</f>
        <v>18</v>
      </c>
      <c r="B53">
        <v>46</v>
      </c>
      <c r="C53">
        <v>3</v>
      </c>
      <c r="D53">
        <f>Source!BI46</f>
        <v>4</v>
      </c>
      <c r="E53">
        <f>Source!FS46</f>
        <v>0</v>
      </c>
      <c r="F53" t="str">
        <f>Source!F46</f>
        <v>21.1-14-87</v>
      </c>
      <c r="G53" t="str">
        <f>Source!G46</f>
        <v>Трубки теплоизоляционные из вспененного каучука типа "К-Flex ST" для поверхностей с температурой от -40°C до +105°С, внутренний диаметр (толщина) 18 (13) мм</v>
      </c>
      <c r="H53" t="str">
        <f>Source!H46</f>
        <v>м</v>
      </c>
      <c r="I53">
        <f>Source!I46</f>
        <v>26.25</v>
      </c>
      <c r="J53">
        <v>1</v>
      </c>
      <c r="K53">
        <f>Source!AC46</f>
        <v>56.87</v>
      </c>
      <c r="M53">
        <f>ROUND(K53*I53, 2)</f>
        <v>1492.84</v>
      </c>
      <c r="N53">
        <f>Source!AC46*IF(Source!BC46&lt;&gt; 0, Source!BC46, 1)</f>
        <v>56.87</v>
      </c>
      <c r="O53">
        <f>ROUND(N53*I53, 2)</f>
        <v>1492.84</v>
      </c>
      <c r="P53">
        <f>Source!AE46</f>
        <v>0</v>
      </c>
      <c r="R53">
        <f>ROUND(P53*I53, 2)</f>
        <v>0</v>
      </c>
      <c r="S53">
        <f>Source!AE46*IF(Source!BS46&lt;&gt; 0, Source!BS46, 1)</f>
        <v>0</v>
      </c>
      <c r="T53">
        <f>ROUND(S53*I53, 2)</f>
        <v>0</v>
      </c>
      <c r="U53">
        <v>3</v>
      </c>
      <c r="Y53">
        <f>Source!GF46</f>
        <v>-558289174</v>
      </c>
      <c r="Z53">
        <v>1660112677</v>
      </c>
      <c r="AA53">
        <v>1660112677</v>
      </c>
    </row>
    <row r="54" spans="1:27" x14ac:dyDescent="0.2">
      <c r="A54">
        <v>20</v>
      </c>
      <c r="B54">
        <v>62</v>
      </c>
      <c r="C54">
        <v>2</v>
      </c>
      <c r="D54">
        <v>0</v>
      </c>
      <c r="E54">
        <f>SmtRes!AV62</f>
        <v>0</v>
      </c>
      <c r="F54" t="str">
        <f>SmtRes!I62</f>
        <v>22.1-30-67</v>
      </c>
      <c r="G54" t="str">
        <f>SmtRes!K62</f>
        <v>Прессы гидравлические с электроприводом</v>
      </c>
      <c r="H54" t="str">
        <f>SmtRes!O62</f>
        <v>маш.-ч</v>
      </c>
      <c r="I54">
        <f>SmtRes!Y62*Source!I55</f>
        <v>18.100000000000001</v>
      </c>
      <c r="J54">
        <f>SmtRes!AO62</f>
        <v>1</v>
      </c>
      <c r="K54">
        <f>SmtRes!AF62</f>
        <v>6.78</v>
      </c>
      <c r="L54">
        <f>SmtRes!DB62</f>
        <v>24.54</v>
      </c>
      <c r="M54">
        <f>ROUND(ROUND(L54*Source!I55, 6)*1, 2)</f>
        <v>122.7</v>
      </c>
      <c r="N54">
        <f>SmtRes!AB62</f>
        <v>6.78</v>
      </c>
      <c r="O54">
        <f>ROUND(ROUND(L54*Source!I55, 6)*SmtRes!DA62, 2)</f>
        <v>122.7</v>
      </c>
      <c r="P54">
        <f>SmtRes!AG62</f>
        <v>0.09</v>
      </c>
      <c r="Q54">
        <f>SmtRes!DC62</f>
        <v>0.33</v>
      </c>
      <c r="R54">
        <f>ROUND(ROUND(Q54*Source!I55, 6)*1, 2)</f>
        <v>1.65</v>
      </c>
      <c r="S54">
        <f>SmtRes!AC62</f>
        <v>0.09</v>
      </c>
      <c r="T54">
        <f>ROUND(ROUND(Q54*Source!I55, 6)*SmtRes!AK62, 2)</f>
        <v>1.65</v>
      </c>
      <c r="U54">
        <v>2</v>
      </c>
      <c r="Y54">
        <f>SmtRes!X62</f>
        <v>-543502032</v>
      </c>
      <c r="Z54">
        <v>1363942550</v>
      </c>
      <c r="AA54">
        <v>1363942550</v>
      </c>
    </row>
    <row r="55" spans="1:27" x14ac:dyDescent="0.2">
      <c r="A55">
        <v>20</v>
      </c>
      <c r="B55">
        <v>61</v>
      </c>
      <c r="C55">
        <v>2</v>
      </c>
      <c r="D55">
        <v>0</v>
      </c>
      <c r="E55">
        <f>SmtRes!AV61</f>
        <v>0</v>
      </c>
      <c r="F55" t="str">
        <f>SmtRes!I61</f>
        <v>22.1-13-14</v>
      </c>
      <c r="G55" t="str">
        <f>SmtRes!K61</f>
        <v>Установки для сварки ручной дуговой (постоянного тока)</v>
      </c>
      <c r="H55" t="str">
        <f>SmtRes!O61</f>
        <v>маш.-ч</v>
      </c>
      <c r="I55">
        <f>SmtRes!Y61*Source!I55</f>
        <v>1.45</v>
      </c>
      <c r="J55">
        <f>SmtRes!AO61</f>
        <v>1</v>
      </c>
      <c r="K55">
        <f>SmtRes!AF61</f>
        <v>28.33</v>
      </c>
      <c r="L55">
        <f>SmtRes!DB61</f>
        <v>8.2200000000000006</v>
      </c>
      <c r="M55">
        <f>ROUND(ROUND(L55*Source!I55, 6)*1, 2)</f>
        <v>41.1</v>
      </c>
      <c r="N55">
        <f>SmtRes!AB61</f>
        <v>28.33</v>
      </c>
      <c r="O55">
        <f>ROUND(ROUND(L55*Source!I55, 6)*SmtRes!DA61, 2)</f>
        <v>41.1</v>
      </c>
      <c r="P55">
        <f>SmtRes!AG61</f>
        <v>0.14000000000000001</v>
      </c>
      <c r="Q55">
        <f>SmtRes!DC61</f>
        <v>0.04</v>
      </c>
      <c r="R55">
        <f>ROUND(ROUND(Q55*Source!I55, 6)*1, 2)</f>
        <v>0.2</v>
      </c>
      <c r="S55">
        <f>SmtRes!AC61</f>
        <v>0.14000000000000001</v>
      </c>
      <c r="T55">
        <f>ROUND(ROUND(Q55*Source!I55, 6)*SmtRes!AK61, 2)</f>
        <v>0.2</v>
      </c>
      <c r="U55">
        <v>2</v>
      </c>
      <c r="Y55">
        <f>SmtRes!X61</f>
        <v>936884598</v>
      </c>
      <c r="Z55">
        <v>363005238</v>
      </c>
      <c r="AA55">
        <v>363005238</v>
      </c>
    </row>
    <row r="56" spans="1:27" x14ac:dyDescent="0.2">
      <c r="A56">
        <v>20</v>
      </c>
      <c r="B56">
        <v>60</v>
      </c>
      <c r="C56">
        <v>2</v>
      </c>
      <c r="D56">
        <v>0</v>
      </c>
      <c r="E56">
        <f>SmtRes!AV60</f>
        <v>0</v>
      </c>
      <c r="F56" t="str">
        <f>SmtRes!I60</f>
        <v>22.1-10-5</v>
      </c>
      <c r="G56" t="str">
        <f>SmtRes!K60</f>
        <v>Компрессоры с дизельным двигателем прицепные до 5 м3/мин</v>
      </c>
      <c r="H56" t="str">
        <f>SmtRes!O60</f>
        <v>маш.-ч</v>
      </c>
      <c r="I56">
        <f>SmtRes!Y60*Source!I55</f>
        <v>4.4000000000000004</v>
      </c>
      <c r="J56">
        <f>SmtRes!AO60</f>
        <v>1</v>
      </c>
      <c r="K56">
        <f>SmtRes!AF60</f>
        <v>782.34</v>
      </c>
      <c r="L56">
        <f>SmtRes!DB60</f>
        <v>688.46</v>
      </c>
      <c r="M56">
        <f>ROUND(ROUND(L56*Source!I55, 6)*1, 2)</f>
        <v>3442.3</v>
      </c>
      <c r="N56">
        <f>SmtRes!AB60</f>
        <v>782.34</v>
      </c>
      <c r="O56">
        <f>ROUND(ROUND(L56*Source!I55, 6)*SmtRes!DA60, 2)</f>
        <v>3442.3</v>
      </c>
      <c r="P56">
        <f>SmtRes!AG60</f>
        <v>444.33</v>
      </c>
      <c r="Q56">
        <f>SmtRes!DC60</f>
        <v>391.01</v>
      </c>
      <c r="R56">
        <f>ROUND(ROUND(Q56*Source!I55, 6)*1, 2)</f>
        <v>1955.05</v>
      </c>
      <c r="S56">
        <f>SmtRes!AC60</f>
        <v>444.33</v>
      </c>
      <c r="T56">
        <f>ROUND(ROUND(Q56*Source!I55, 6)*SmtRes!AK60, 2)</f>
        <v>1955.05</v>
      </c>
      <c r="U56">
        <v>2</v>
      </c>
      <c r="Y56">
        <f>SmtRes!X60</f>
        <v>531549669</v>
      </c>
      <c r="Z56">
        <v>1453364853</v>
      </c>
      <c r="AA56">
        <v>1453364853</v>
      </c>
    </row>
    <row r="57" spans="1:27" x14ac:dyDescent="0.2">
      <c r="A57">
        <f>Source!A56</f>
        <v>18</v>
      </c>
      <c r="B57">
        <v>56</v>
      </c>
      <c r="C57">
        <v>3</v>
      </c>
      <c r="D57">
        <f>Source!BI56</f>
        <v>4</v>
      </c>
      <c r="E57">
        <f>Source!FS56</f>
        <v>0</v>
      </c>
      <c r="F57" t="str">
        <f>Source!F56</f>
        <v>Цена поставщика</v>
      </c>
      <c r="G57" t="str">
        <f>Source!G56</f>
        <v>Дренажная ПОМПА ASPEN MINI AQUA SILENT+(или эквивалент)</v>
      </c>
      <c r="H57" t="str">
        <f>Source!H56</f>
        <v>шт.</v>
      </c>
      <c r="I57">
        <f>Source!I56</f>
        <v>5</v>
      </c>
      <c r="J57">
        <v>1</v>
      </c>
      <c r="K57">
        <f>Source!AC56</f>
        <v>8120.67</v>
      </c>
      <c r="M57">
        <f>ROUND(K57*I57, 2)</f>
        <v>40603.35</v>
      </c>
      <c r="N57">
        <f>Source!AC56*IF(Source!BC56&lt;&gt; 0, Source!BC56, 1)</f>
        <v>8120.67</v>
      </c>
      <c r="O57">
        <f>ROUND(N57*I57, 2)</f>
        <v>40603.35</v>
      </c>
      <c r="P57">
        <f>Source!AE56</f>
        <v>0</v>
      </c>
      <c r="R57">
        <f>ROUND(P57*I57, 2)</f>
        <v>0</v>
      </c>
      <c r="S57">
        <f>Source!AE56*IF(Source!BS56&lt;&gt; 0, Source!BS56, 1)</f>
        <v>0</v>
      </c>
      <c r="T57">
        <f>ROUND(S57*I57, 2)</f>
        <v>0</v>
      </c>
      <c r="U57">
        <v>3</v>
      </c>
      <c r="Y57">
        <f>Source!GF56</f>
        <v>-1350317839</v>
      </c>
      <c r="Z57">
        <v>-1461898446</v>
      </c>
      <c r="AA57">
        <v>-1461898446</v>
      </c>
    </row>
    <row r="58" spans="1:27" x14ac:dyDescent="0.2">
      <c r="A58">
        <f>Source!A59</f>
        <v>18</v>
      </c>
      <c r="B58">
        <v>59</v>
      </c>
      <c r="C58">
        <v>3</v>
      </c>
      <c r="D58">
        <f>Source!BI59</f>
        <v>4</v>
      </c>
      <c r="E58">
        <f>Source!FS59</f>
        <v>0</v>
      </c>
      <c r="F58" t="str">
        <f>Source!F59</f>
        <v>Цена поставщика</v>
      </c>
      <c r="G58" t="str">
        <f>Source!G59</f>
        <v>Зимний комплект РДК 9,6 для NEO PREMIUM CLASSIC A (или эквивалент)</v>
      </c>
      <c r="H58" t="str">
        <f>Source!H59</f>
        <v>шт.</v>
      </c>
      <c r="I58">
        <f>Source!I59</f>
        <v>23</v>
      </c>
      <c r="J58">
        <v>1</v>
      </c>
      <c r="K58">
        <f>Source!AC59</f>
        <v>7895.33</v>
      </c>
      <c r="M58">
        <f>ROUND(K58*I58, 2)</f>
        <v>181592.59</v>
      </c>
      <c r="N58">
        <f>Source!AC59*IF(Source!BC59&lt;&gt; 0, Source!BC59, 1)</f>
        <v>7895.33</v>
      </c>
      <c r="O58">
        <f>ROUND(N58*I58, 2)</f>
        <v>181592.59</v>
      </c>
      <c r="P58">
        <f>Source!AE59</f>
        <v>0</v>
      </c>
      <c r="R58">
        <f>ROUND(P58*I58, 2)</f>
        <v>0</v>
      </c>
      <c r="S58">
        <f>Source!AE59*IF(Source!BS59&lt;&gt; 0, Source!BS59, 1)</f>
        <v>0</v>
      </c>
      <c r="T58">
        <f>ROUND(S58*I58, 2)</f>
        <v>0</v>
      </c>
      <c r="U58">
        <v>3</v>
      </c>
      <c r="Y58">
        <f>Source!GF59</f>
        <v>1618422261</v>
      </c>
      <c r="Z58">
        <v>-606803838</v>
      </c>
      <c r="AA58">
        <v>-606803838</v>
      </c>
    </row>
    <row r="59" spans="1:27" x14ac:dyDescent="0.2">
      <c r="A59">
        <v>20</v>
      </c>
      <c r="B59">
        <v>73</v>
      </c>
      <c r="C59">
        <v>3</v>
      </c>
      <c r="D59">
        <v>0</v>
      </c>
      <c r="E59">
        <f>SmtRes!AV73</f>
        <v>0</v>
      </c>
      <c r="F59" t="str">
        <f>SmtRes!I73</f>
        <v>21.7-3-2</v>
      </c>
      <c r="G59" t="str">
        <f>SmtRes!K73</f>
        <v>Буры с победитовым наконечником, с хвостовиком SDS-plus, размеры 10х160 мм</v>
      </c>
      <c r="H59" t="str">
        <f>SmtRes!O73</f>
        <v>шт.</v>
      </c>
      <c r="I59">
        <f>SmtRes!Y73*Source!I60</f>
        <v>0.33</v>
      </c>
      <c r="J59">
        <f>SmtRes!AO73</f>
        <v>1</v>
      </c>
      <c r="K59">
        <f>SmtRes!AE73</f>
        <v>246.94</v>
      </c>
      <c r="L59">
        <f>SmtRes!DB73</f>
        <v>370.41</v>
      </c>
      <c r="M59">
        <f>ROUND(ROUND(L59*Source!I60, 6)*1, 2)</f>
        <v>81.489999999999995</v>
      </c>
      <c r="N59">
        <f>SmtRes!AA73</f>
        <v>246.94</v>
      </c>
      <c r="O59">
        <f>ROUND(ROUND(L59*Source!I60, 6)*SmtRes!DA73, 2)</f>
        <v>81.489999999999995</v>
      </c>
      <c r="P59">
        <f>SmtRes!AG73</f>
        <v>0</v>
      </c>
      <c r="Q59">
        <f>SmtRes!DC73</f>
        <v>0</v>
      </c>
      <c r="R59">
        <f>ROUND(ROUND(Q59*Source!I60, 6)*1, 2)</f>
        <v>0</v>
      </c>
      <c r="S59">
        <f>SmtRes!AC73</f>
        <v>0</v>
      </c>
      <c r="T59">
        <f>ROUND(ROUND(Q59*Source!I60, 6)*SmtRes!AK73, 2)</f>
        <v>0</v>
      </c>
      <c r="U59">
        <v>3</v>
      </c>
      <c r="Y59">
        <f>SmtRes!X73</f>
        <v>-415068326</v>
      </c>
      <c r="Z59">
        <v>-630482832</v>
      </c>
      <c r="AA59">
        <v>-630482832</v>
      </c>
    </row>
    <row r="60" spans="1:27" x14ac:dyDescent="0.2">
      <c r="A60">
        <v>20</v>
      </c>
      <c r="B60">
        <v>71</v>
      </c>
      <c r="C60">
        <v>3</v>
      </c>
      <c r="D60">
        <v>0</v>
      </c>
      <c r="E60">
        <f>SmtRes!AV71</f>
        <v>0</v>
      </c>
      <c r="F60" t="str">
        <f>SmtRes!I71</f>
        <v>21.21-5-358</v>
      </c>
      <c r="G60" t="str">
        <f>SmtRes!K71</f>
        <v>Держатели пластиковые с защелкой для крепления труб, рукавов и гибких вводов диаметром 20 мм</v>
      </c>
      <c r="H60" t="str">
        <f>SmtRes!O71</f>
        <v>100 шт.</v>
      </c>
      <c r="I60">
        <f>SmtRes!Y71*Source!I60</f>
        <v>0.22</v>
      </c>
      <c r="J60">
        <f>SmtRes!AO71</f>
        <v>1</v>
      </c>
      <c r="K60">
        <f>SmtRes!AE71</f>
        <v>261.24</v>
      </c>
      <c r="L60">
        <f>SmtRes!DB71</f>
        <v>261.24</v>
      </c>
      <c r="M60">
        <f>ROUND(ROUND(L60*Source!I60, 6)*1, 2)</f>
        <v>57.47</v>
      </c>
      <c r="N60">
        <f>SmtRes!AA71</f>
        <v>261.24</v>
      </c>
      <c r="O60">
        <f>ROUND(ROUND(L60*Source!I60, 6)*SmtRes!DA71, 2)</f>
        <v>57.47</v>
      </c>
      <c r="P60">
        <f>SmtRes!AG71</f>
        <v>0</v>
      </c>
      <c r="Q60">
        <f>SmtRes!DC71</f>
        <v>0</v>
      </c>
      <c r="R60">
        <f>ROUND(ROUND(Q60*Source!I60, 6)*1, 2)</f>
        <v>0</v>
      </c>
      <c r="S60">
        <f>SmtRes!AC71</f>
        <v>0</v>
      </c>
      <c r="T60">
        <f>ROUND(ROUND(Q60*Source!I60, 6)*SmtRes!AK71, 2)</f>
        <v>0</v>
      </c>
      <c r="U60">
        <v>3</v>
      </c>
      <c r="Y60">
        <f>SmtRes!X71</f>
        <v>-1648766190</v>
      </c>
      <c r="Z60">
        <v>-1681806817</v>
      </c>
      <c r="AA60">
        <v>-1681806817</v>
      </c>
    </row>
    <row r="61" spans="1:27" x14ac:dyDescent="0.2">
      <c r="A61">
        <v>20</v>
      </c>
      <c r="B61">
        <v>70</v>
      </c>
      <c r="C61">
        <v>3</v>
      </c>
      <c r="D61">
        <v>0</v>
      </c>
      <c r="E61">
        <f>SmtRes!AV70</f>
        <v>0</v>
      </c>
      <c r="F61" t="str">
        <f>SmtRes!I70</f>
        <v>21.12-5-136</v>
      </c>
      <c r="G61" t="str">
        <f>SmtRes!K70</f>
        <v>Трубы электротехнические гофрированные, поливинилхлоридные, негорючие, с зондом, наружный диаметр 20 мм</v>
      </c>
      <c r="H61" t="str">
        <f>SmtRes!O70</f>
        <v>м</v>
      </c>
      <c r="I61">
        <f>SmtRes!Y70*Source!I60</f>
        <v>22.44</v>
      </c>
      <c r="J61">
        <f>SmtRes!AO70</f>
        <v>1</v>
      </c>
      <c r="K61">
        <f>SmtRes!AE70</f>
        <v>12.1</v>
      </c>
      <c r="L61">
        <f>SmtRes!DB70</f>
        <v>1234.2</v>
      </c>
      <c r="M61">
        <f>ROUND(ROUND(L61*Source!I60, 6)*1, 2)</f>
        <v>271.52</v>
      </c>
      <c r="N61">
        <f>SmtRes!AA70</f>
        <v>12.1</v>
      </c>
      <c r="O61">
        <f>ROUND(ROUND(L61*Source!I60, 6)*SmtRes!DA70, 2)</f>
        <v>271.52</v>
      </c>
      <c r="P61">
        <f>SmtRes!AG70</f>
        <v>0</v>
      </c>
      <c r="Q61">
        <f>SmtRes!DC70</f>
        <v>0</v>
      </c>
      <c r="R61">
        <f>ROUND(ROUND(Q61*Source!I60, 6)*1, 2)</f>
        <v>0</v>
      </c>
      <c r="S61">
        <f>SmtRes!AC70</f>
        <v>0</v>
      </c>
      <c r="T61">
        <f>ROUND(ROUND(Q61*Source!I60, 6)*SmtRes!AK70, 2)</f>
        <v>0</v>
      </c>
      <c r="U61">
        <v>3</v>
      </c>
      <c r="Y61">
        <f>SmtRes!X70</f>
        <v>436151271</v>
      </c>
      <c r="Z61">
        <v>916764073</v>
      </c>
      <c r="AA61">
        <v>916764073</v>
      </c>
    </row>
    <row r="62" spans="1:27" x14ac:dyDescent="0.2">
      <c r="A62">
        <v>20</v>
      </c>
      <c r="B62">
        <v>69</v>
      </c>
      <c r="C62">
        <v>3</v>
      </c>
      <c r="D62">
        <v>0</v>
      </c>
      <c r="E62">
        <f>SmtRes!AV69</f>
        <v>0</v>
      </c>
      <c r="F62" t="str">
        <f>SmtRes!I69</f>
        <v>21.1-11-198</v>
      </c>
      <c r="G62" t="str">
        <f>SmtRes!K69</f>
        <v>Дюбели пластмассовые</v>
      </c>
      <c r="H62" t="str">
        <f>SmtRes!O69</f>
        <v>шт.</v>
      </c>
      <c r="I62">
        <f>SmtRes!Y69*Source!I60</f>
        <v>26.4</v>
      </c>
      <c r="J62">
        <f>SmtRes!AO69</f>
        <v>1</v>
      </c>
      <c r="K62">
        <f>SmtRes!AE69</f>
        <v>1.43</v>
      </c>
      <c r="L62">
        <f>SmtRes!DB69</f>
        <v>171.6</v>
      </c>
      <c r="M62">
        <f>ROUND(ROUND(L62*Source!I60, 6)*1, 2)</f>
        <v>37.75</v>
      </c>
      <c r="N62">
        <f>SmtRes!AA69</f>
        <v>1.43</v>
      </c>
      <c r="O62">
        <f>ROUND(ROUND(L62*Source!I60, 6)*SmtRes!DA69, 2)</f>
        <v>37.75</v>
      </c>
      <c r="P62">
        <f>SmtRes!AG69</f>
        <v>0</v>
      </c>
      <c r="Q62">
        <f>SmtRes!DC69</f>
        <v>0</v>
      </c>
      <c r="R62">
        <f>ROUND(ROUND(Q62*Source!I60, 6)*1, 2)</f>
        <v>0</v>
      </c>
      <c r="S62">
        <f>SmtRes!AC69</f>
        <v>0</v>
      </c>
      <c r="T62">
        <f>ROUND(ROUND(Q62*Source!I60, 6)*SmtRes!AK69, 2)</f>
        <v>0</v>
      </c>
      <c r="U62">
        <v>3</v>
      </c>
      <c r="Y62">
        <f>SmtRes!X69</f>
        <v>447429166</v>
      </c>
      <c r="Z62">
        <v>1963942266</v>
      </c>
      <c r="AA62">
        <v>1963942266</v>
      </c>
    </row>
    <row r="63" spans="1:27" x14ac:dyDescent="0.2">
      <c r="A63">
        <v>20</v>
      </c>
      <c r="B63">
        <v>68</v>
      </c>
      <c r="C63">
        <v>3</v>
      </c>
      <c r="D63">
        <v>0</v>
      </c>
      <c r="E63">
        <f>SmtRes!AV68</f>
        <v>0</v>
      </c>
      <c r="F63" t="str">
        <f>SmtRes!I68</f>
        <v>21.1-11-108</v>
      </c>
      <c r="G63" t="str">
        <f>SmtRes!K68</f>
        <v>Шурупы - саморезы, размер 3,5х45 мм</v>
      </c>
      <c r="H63" t="str">
        <f>SmtRes!O68</f>
        <v>т</v>
      </c>
      <c r="I63">
        <f>SmtRes!Y68*Source!I60</f>
        <v>4.8840000000000005E-4</v>
      </c>
      <c r="J63">
        <f>SmtRes!AO68</f>
        <v>1</v>
      </c>
      <c r="K63">
        <f>SmtRes!AE68</f>
        <v>327543.38</v>
      </c>
      <c r="L63">
        <f>SmtRes!DB68</f>
        <v>727.15</v>
      </c>
      <c r="M63">
        <f>ROUND(ROUND(L63*Source!I60, 6)*1, 2)</f>
        <v>159.97</v>
      </c>
      <c r="N63">
        <f>SmtRes!AA68</f>
        <v>327543.38</v>
      </c>
      <c r="O63">
        <f>ROUND(ROUND(L63*Source!I60, 6)*SmtRes!DA68, 2)</f>
        <v>159.97</v>
      </c>
      <c r="P63">
        <f>SmtRes!AG68</f>
        <v>0</v>
      </c>
      <c r="Q63">
        <f>SmtRes!DC68</f>
        <v>0</v>
      </c>
      <c r="R63">
        <f>ROUND(ROUND(Q63*Source!I60, 6)*1, 2)</f>
        <v>0</v>
      </c>
      <c r="S63">
        <f>SmtRes!AC68</f>
        <v>0</v>
      </c>
      <c r="T63">
        <f>ROUND(ROUND(Q63*Source!I60, 6)*SmtRes!AK68, 2)</f>
        <v>0</v>
      </c>
      <c r="U63">
        <v>3</v>
      </c>
      <c r="Y63">
        <f>SmtRes!X68</f>
        <v>335561789</v>
      </c>
      <c r="Z63">
        <v>580511363</v>
      </c>
      <c r="AA63">
        <v>580511363</v>
      </c>
    </row>
    <row r="64" spans="1:27" x14ac:dyDescent="0.2">
      <c r="A64">
        <v>20</v>
      </c>
      <c r="B64">
        <v>67</v>
      </c>
      <c r="C64">
        <v>2</v>
      </c>
      <c r="D64">
        <v>0</v>
      </c>
      <c r="E64">
        <f>SmtRes!AV67</f>
        <v>0</v>
      </c>
      <c r="F64" t="str">
        <f>SmtRes!I67</f>
        <v>22.1-30-56</v>
      </c>
      <c r="G64" t="str">
        <f>SmtRes!K67</f>
        <v>Шуруповерты</v>
      </c>
      <c r="H64" t="str">
        <f>SmtRes!O67</f>
        <v>маш.-ч</v>
      </c>
      <c r="I64">
        <f>SmtRes!Y67*Source!I60</f>
        <v>0.1056</v>
      </c>
      <c r="J64">
        <f>SmtRes!AO67</f>
        <v>1</v>
      </c>
      <c r="K64">
        <f>SmtRes!AF67</f>
        <v>5.17</v>
      </c>
      <c r="L64">
        <f>SmtRes!DB67</f>
        <v>2.48</v>
      </c>
      <c r="M64">
        <f>ROUND(ROUND(L64*Source!I60, 6)*1, 2)</f>
        <v>0.55000000000000004</v>
      </c>
      <c r="N64">
        <f>SmtRes!AB67</f>
        <v>5.17</v>
      </c>
      <c r="O64">
        <f>ROUND(ROUND(L64*Source!I60, 6)*SmtRes!DA67, 2)</f>
        <v>0.55000000000000004</v>
      </c>
      <c r="P64">
        <f>SmtRes!AG67</f>
        <v>0.01</v>
      </c>
      <c r="Q64">
        <f>SmtRes!DC67</f>
        <v>0</v>
      </c>
      <c r="R64">
        <f>ROUND(ROUND(Q64*Source!I60, 6)*1, 2)</f>
        <v>0</v>
      </c>
      <c r="S64">
        <f>SmtRes!AC67</f>
        <v>0.01</v>
      </c>
      <c r="T64">
        <f>ROUND(ROUND(Q64*Source!I60, 6)*SmtRes!AK67, 2)</f>
        <v>0</v>
      </c>
      <c r="U64">
        <v>2</v>
      </c>
      <c r="Y64">
        <f>SmtRes!X67</f>
        <v>1197532078</v>
      </c>
      <c r="Z64">
        <v>1866338156</v>
      </c>
      <c r="AA64">
        <v>1866338156</v>
      </c>
    </row>
    <row r="65" spans="1:27" x14ac:dyDescent="0.2">
      <c r="A65">
        <v>20</v>
      </c>
      <c r="B65">
        <v>66</v>
      </c>
      <c r="C65">
        <v>2</v>
      </c>
      <c r="D65">
        <v>0</v>
      </c>
      <c r="E65">
        <f>SmtRes!AV66</f>
        <v>0</v>
      </c>
      <c r="F65" t="str">
        <f>SmtRes!I66</f>
        <v>22.1-30-103</v>
      </c>
      <c r="G65" t="str">
        <f>SmtRes!K66</f>
        <v>Перфораторы электрические, мощность до 800 Вт</v>
      </c>
      <c r="H65" t="str">
        <f>SmtRes!O66</f>
        <v>маш.-ч</v>
      </c>
      <c r="I65">
        <f>SmtRes!Y66*Source!I60</f>
        <v>1.0669999999999999</v>
      </c>
      <c r="J65">
        <f>SmtRes!AO66</f>
        <v>1</v>
      </c>
      <c r="K65">
        <f>SmtRes!AF66</f>
        <v>8.1</v>
      </c>
      <c r="L65">
        <f>SmtRes!DB66</f>
        <v>39.29</v>
      </c>
      <c r="M65">
        <f>ROUND(ROUND(L65*Source!I60, 6)*1, 2)</f>
        <v>8.64</v>
      </c>
      <c r="N65">
        <f>SmtRes!AB66</f>
        <v>8.1</v>
      </c>
      <c r="O65">
        <f>ROUND(ROUND(L65*Source!I60, 6)*SmtRes!DA66, 2)</f>
        <v>8.64</v>
      </c>
      <c r="P65">
        <f>SmtRes!AG66</f>
        <v>1.03</v>
      </c>
      <c r="Q65">
        <f>SmtRes!DC66</f>
        <v>5</v>
      </c>
      <c r="R65">
        <f>ROUND(ROUND(Q65*Source!I60, 6)*1, 2)</f>
        <v>1.1000000000000001</v>
      </c>
      <c r="S65">
        <f>SmtRes!AC66</f>
        <v>1.03</v>
      </c>
      <c r="T65">
        <f>ROUND(ROUND(Q65*Source!I60, 6)*SmtRes!AK66, 2)</f>
        <v>1.1000000000000001</v>
      </c>
      <c r="U65">
        <v>2</v>
      </c>
      <c r="Y65">
        <f>SmtRes!X66</f>
        <v>259953263</v>
      </c>
      <c r="Z65">
        <v>921425808</v>
      </c>
      <c r="AA65">
        <v>921425808</v>
      </c>
    </row>
    <row r="66" spans="1:27" x14ac:dyDescent="0.2">
      <c r="A66">
        <f>Source!A64</f>
        <v>18</v>
      </c>
      <c r="B66">
        <v>64</v>
      </c>
      <c r="C66">
        <v>3</v>
      </c>
      <c r="D66">
        <f>Source!BI64</f>
        <v>4</v>
      </c>
      <c r="E66">
        <f>Source!FS64</f>
        <v>0</v>
      </c>
      <c r="F66" t="str">
        <f>Source!F64</f>
        <v>Цена поставщика</v>
      </c>
      <c r="G66" t="str">
        <f>Source!G64</f>
        <v>Нагреватель дренажа HD 110 (или эквивалент)</v>
      </c>
      <c r="H66" t="str">
        <f>Source!H64</f>
        <v>шт.</v>
      </c>
      <c r="I66">
        <f>Source!I64</f>
        <v>22</v>
      </c>
      <c r="J66">
        <v>1</v>
      </c>
      <c r="K66">
        <f>Source!AC64</f>
        <v>650</v>
      </c>
      <c r="M66">
        <f>ROUND(K66*I66, 2)</f>
        <v>14300</v>
      </c>
      <c r="N66">
        <f>Source!AC64*IF(Source!BC64&lt;&gt; 0, Source!BC64, 1)</f>
        <v>650</v>
      </c>
      <c r="O66">
        <f>ROUND(N66*I66, 2)</f>
        <v>14300</v>
      </c>
      <c r="P66">
        <f>Source!AE64</f>
        <v>0</v>
      </c>
      <c r="R66">
        <f>ROUND(P66*I66, 2)</f>
        <v>0</v>
      </c>
      <c r="S66">
        <f>Source!AE64*IF(Source!BS64&lt;&gt; 0, Source!BS64, 1)</f>
        <v>0</v>
      </c>
      <c r="T66">
        <f>ROUND(S66*I66, 2)</f>
        <v>0</v>
      </c>
      <c r="U66">
        <v>3</v>
      </c>
      <c r="Y66">
        <f>Source!GF64</f>
        <v>812398041</v>
      </c>
      <c r="Z66">
        <v>-235121404</v>
      </c>
      <c r="AA66">
        <v>-235121404</v>
      </c>
    </row>
    <row r="67" spans="1:27" x14ac:dyDescent="0.2">
      <c r="A67">
        <v>20</v>
      </c>
      <c r="B67">
        <v>87</v>
      </c>
      <c r="C67">
        <v>3</v>
      </c>
      <c r="D67">
        <v>0</v>
      </c>
      <c r="E67">
        <f>SmtRes!AV87</f>
        <v>0</v>
      </c>
      <c r="F67" t="str">
        <f>SmtRes!I87</f>
        <v>21.7-3-54</v>
      </c>
      <c r="G67" t="str">
        <f>SmtRes!K87</f>
        <v>Сверло с алмазным покрытием, диаметр 6 мм</v>
      </c>
      <c r="H67" t="str">
        <f>SmtRes!O87</f>
        <v>шт.</v>
      </c>
      <c r="I67">
        <f>SmtRes!Y87*Source!I65</f>
        <v>3.64</v>
      </c>
      <c r="J67">
        <f>SmtRes!AO87</f>
        <v>1</v>
      </c>
      <c r="K67">
        <f>SmtRes!AE87</f>
        <v>1561.93</v>
      </c>
      <c r="L67">
        <f>SmtRes!DB87</f>
        <v>6247.72</v>
      </c>
      <c r="M67">
        <f>ROUND(ROUND(L67*Source!I65, 6)*1, 2)</f>
        <v>5685.43</v>
      </c>
      <c r="N67">
        <f>SmtRes!AA87</f>
        <v>1561.93</v>
      </c>
      <c r="O67">
        <f>ROUND(ROUND(L67*Source!I65, 6)*SmtRes!DA87, 2)</f>
        <v>5685.43</v>
      </c>
      <c r="P67">
        <f>SmtRes!AG87</f>
        <v>0</v>
      </c>
      <c r="Q67">
        <f>SmtRes!DC87</f>
        <v>0</v>
      </c>
      <c r="R67">
        <f>ROUND(ROUND(Q67*Source!I65, 6)*1, 2)</f>
        <v>0</v>
      </c>
      <c r="S67">
        <f>SmtRes!AC87</f>
        <v>0</v>
      </c>
      <c r="T67">
        <f>ROUND(ROUND(Q67*Source!I65, 6)*SmtRes!AK87, 2)</f>
        <v>0</v>
      </c>
      <c r="U67">
        <v>3</v>
      </c>
      <c r="Y67">
        <f>SmtRes!X87</f>
        <v>1830738769</v>
      </c>
      <c r="Z67">
        <v>-848729506</v>
      </c>
      <c r="AA67">
        <v>-848729506</v>
      </c>
    </row>
    <row r="68" spans="1:27" x14ac:dyDescent="0.2">
      <c r="A68">
        <v>20</v>
      </c>
      <c r="B68">
        <v>79</v>
      </c>
      <c r="C68">
        <v>3</v>
      </c>
      <c r="D68">
        <v>0</v>
      </c>
      <c r="E68">
        <f>SmtRes!AV79</f>
        <v>0</v>
      </c>
      <c r="F68" t="str">
        <f>SmtRes!I79</f>
        <v>21.1-11-81</v>
      </c>
      <c r="G68" t="str">
        <f>SmtRes!K79</f>
        <v>Патроны, калибр 6,8/11 М для дюбеля</v>
      </c>
      <c r="H68" t="str">
        <f>SmtRes!O79</f>
        <v>100 шт.</v>
      </c>
      <c r="I68">
        <f>SmtRes!Y79*Source!I65</f>
        <v>3.64</v>
      </c>
      <c r="J68">
        <f>SmtRes!AO79</f>
        <v>1</v>
      </c>
      <c r="K68">
        <f>SmtRes!AE79</f>
        <v>1126.26</v>
      </c>
      <c r="L68">
        <f>SmtRes!DB79</f>
        <v>4505.04</v>
      </c>
      <c r="M68">
        <f>ROUND(ROUND(L68*Source!I65, 6)*1, 2)</f>
        <v>4099.59</v>
      </c>
      <c r="N68">
        <f>SmtRes!AA79</f>
        <v>1126.26</v>
      </c>
      <c r="O68">
        <f>ROUND(ROUND(L68*Source!I65, 6)*SmtRes!DA79, 2)</f>
        <v>4099.59</v>
      </c>
      <c r="P68">
        <f>SmtRes!AG79</f>
        <v>0</v>
      </c>
      <c r="Q68">
        <f>SmtRes!DC79</f>
        <v>0</v>
      </c>
      <c r="R68">
        <f>ROUND(ROUND(Q68*Source!I65, 6)*1, 2)</f>
        <v>0</v>
      </c>
      <c r="S68">
        <f>SmtRes!AC79</f>
        <v>0</v>
      </c>
      <c r="T68">
        <f>ROUND(ROUND(Q68*Source!I65, 6)*SmtRes!AK79, 2)</f>
        <v>0</v>
      </c>
      <c r="U68">
        <v>3</v>
      </c>
      <c r="Y68">
        <f>SmtRes!X79</f>
        <v>-972910948</v>
      </c>
      <c r="Z68">
        <v>2117804491</v>
      </c>
      <c r="AA68">
        <v>2117804491</v>
      </c>
    </row>
    <row r="69" spans="1:27" x14ac:dyDescent="0.2">
      <c r="A69">
        <v>20</v>
      </c>
      <c r="B69">
        <v>78</v>
      </c>
      <c r="C69">
        <v>3</v>
      </c>
      <c r="D69">
        <v>0</v>
      </c>
      <c r="E69">
        <f>SmtRes!AV78</f>
        <v>0</v>
      </c>
      <c r="F69" t="str">
        <f>SmtRes!I78</f>
        <v>21.1-11-108</v>
      </c>
      <c r="G69" t="str">
        <f>SmtRes!K78</f>
        <v>Шурупы - саморезы, размер 3,5х45 мм</v>
      </c>
      <c r="H69" t="str">
        <f>SmtRes!O78</f>
        <v>т</v>
      </c>
      <c r="I69">
        <f>SmtRes!Y78*Source!I65</f>
        <v>6.734E-4</v>
      </c>
      <c r="J69">
        <f>SmtRes!AO78</f>
        <v>1</v>
      </c>
      <c r="K69">
        <f>SmtRes!AE78</f>
        <v>327543.38</v>
      </c>
      <c r="L69">
        <f>SmtRes!DB78</f>
        <v>242.38</v>
      </c>
      <c r="M69">
        <f>ROUND(ROUND(L69*Source!I65, 6)*1, 2)</f>
        <v>220.57</v>
      </c>
      <c r="N69">
        <f>SmtRes!AA78</f>
        <v>327543.38</v>
      </c>
      <c r="O69">
        <f>ROUND(ROUND(L69*Source!I65, 6)*SmtRes!DA78, 2)</f>
        <v>220.57</v>
      </c>
      <c r="P69">
        <f>SmtRes!AG78</f>
        <v>0</v>
      </c>
      <c r="Q69">
        <f>SmtRes!DC78</f>
        <v>0</v>
      </c>
      <c r="R69">
        <f>ROUND(ROUND(Q69*Source!I65, 6)*1, 2)</f>
        <v>0</v>
      </c>
      <c r="S69">
        <f>SmtRes!AC78</f>
        <v>0</v>
      </c>
      <c r="T69">
        <f>ROUND(ROUND(Q69*Source!I65, 6)*SmtRes!AK78, 2)</f>
        <v>0</v>
      </c>
      <c r="U69">
        <v>3</v>
      </c>
      <c r="Y69">
        <f>SmtRes!X78</f>
        <v>335561789</v>
      </c>
      <c r="Z69">
        <v>580511363</v>
      </c>
      <c r="AA69">
        <v>580511363</v>
      </c>
    </row>
    <row r="70" spans="1:27" x14ac:dyDescent="0.2">
      <c r="A70">
        <v>20</v>
      </c>
      <c r="B70">
        <v>77</v>
      </c>
      <c r="C70">
        <v>2</v>
      </c>
      <c r="D70">
        <v>0</v>
      </c>
      <c r="E70">
        <f>SmtRes!AV77</f>
        <v>0</v>
      </c>
      <c r="F70" t="str">
        <f>SmtRes!I77</f>
        <v>22.1-30-102</v>
      </c>
      <c r="G70" t="str">
        <f>SmtRes!K77</f>
        <v>Дрели электрические, двухскоростные, мощностью 600 Вт</v>
      </c>
      <c r="H70" t="str">
        <f>SmtRes!O77</f>
        <v>маш.-ч</v>
      </c>
      <c r="I70">
        <f>SmtRes!Y77*Source!I65</f>
        <v>0.13650000000000001</v>
      </c>
      <c r="J70">
        <f>SmtRes!AO77</f>
        <v>1</v>
      </c>
      <c r="K70">
        <f>SmtRes!AF77</f>
        <v>7.81</v>
      </c>
      <c r="L70">
        <f>SmtRes!DB77</f>
        <v>1.17</v>
      </c>
      <c r="M70">
        <f>ROUND(ROUND(L70*Source!I65, 6)*1, 2)</f>
        <v>1.06</v>
      </c>
      <c r="N70">
        <f>SmtRes!AB77</f>
        <v>7.81</v>
      </c>
      <c r="O70">
        <f>ROUND(ROUND(L70*Source!I65, 6)*SmtRes!DA77, 2)</f>
        <v>1.06</v>
      </c>
      <c r="P70">
        <f>SmtRes!AG77</f>
        <v>1.03</v>
      </c>
      <c r="Q70">
        <f>SmtRes!DC77</f>
        <v>0.15</v>
      </c>
      <c r="R70">
        <f>ROUND(ROUND(Q70*Source!I65, 6)*1, 2)</f>
        <v>0.14000000000000001</v>
      </c>
      <c r="S70">
        <f>SmtRes!AC77</f>
        <v>1.03</v>
      </c>
      <c r="T70">
        <f>ROUND(ROUND(Q70*Source!I65, 6)*SmtRes!AK77, 2)</f>
        <v>0.14000000000000001</v>
      </c>
      <c r="U70">
        <v>2</v>
      </c>
      <c r="Y70">
        <f>SmtRes!X77</f>
        <v>-1879814166</v>
      </c>
      <c r="Z70">
        <v>-2067572800</v>
      </c>
      <c r="AA70">
        <v>-2067572800</v>
      </c>
    </row>
    <row r="71" spans="1:27" x14ac:dyDescent="0.2">
      <c r="A71">
        <v>20</v>
      </c>
      <c r="B71">
        <v>76</v>
      </c>
      <c r="C71">
        <v>2</v>
      </c>
      <c r="D71">
        <v>0</v>
      </c>
      <c r="E71">
        <f>SmtRes!AV76</f>
        <v>0</v>
      </c>
      <c r="F71" t="str">
        <f>SmtRes!I76</f>
        <v>22.1-30-10</v>
      </c>
      <c r="G71" t="str">
        <f>SmtRes!K76</f>
        <v>Перфораторы электрические, мощность до 500 Вт</v>
      </c>
      <c r="H71" t="str">
        <f>SmtRes!O76</f>
        <v>маш.-ч</v>
      </c>
      <c r="I71">
        <f>SmtRes!Y76*Source!I65</f>
        <v>11.83</v>
      </c>
      <c r="J71">
        <f>SmtRes!AO76</f>
        <v>1</v>
      </c>
      <c r="K71">
        <f>SmtRes!AF76</f>
        <v>3.14</v>
      </c>
      <c r="L71">
        <f>SmtRes!DB76</f>
        <v>40.82</v>
      </c>
      <c r="M71">
        <f>ROUND(ROUND(L71*Source!I65, 6)*1, 2)</f>
        <v>37.15</v>
      </c>
      <c r="N71">
        <f>SmtRes!AB76</f>
        <v>3.14</v>
      </c>
      <c r="O71">
        <f>ROUND(ROUND(L71*Source!I65, 6)*SmtRes!DA76, 2)</f>
        <v>37.15</v>
      </c>
      <c r="P71">
        <f>SmtRes!AG76</f>
        <v>0.01</v>
      </c>
      <c r="Q71">
        <f>SmtRes!DC76</f>
        <v>0.13</v>
      </c>
      <c r="R71">
        <f>ROUND(ROUND(Q71*Source!I65, 6)*1, 2)</f>
        <v>0.12</v>
      </c>
      <c r="S71">
        <f>SmtRes!AC76</f>
        <v>0.01</v>
      </c>
      <c r="T71">
        <f>ROUND(ROUND(Q71*Source!I65, 6)*SmtRes!AK76, 2)</f>
        <v>0.12</v>
      </c>
      <c r="U71">
        <v>2</v>
      </c>
      <c r="Y71">
        <f>SmtRes!X76</f>
        <v>-376097338</v>
      </c>
      <c r="Z71">
        <v>-249007219</v>
      </c>
      <c r="AA71">
        <v>-249007219</v>
      </c>
    </row>
    <row r="72" spans="1:27" x14ac:dyDescent="0.2">
      <c r="A72">
        <f>Source!A66</f>
        <v>18</v>
      </c>
      <c r="B72">
        <v>66</v>
      </c>
      <c r="C72">
        <v>3</v>
      </c>
      <c r="D72">
        <f>Source!BI66</f>
        <v>4</v>
      </c>
      <c r="E72">
        <f>Source!FS66</f>
        <v>0</v>
      </c>
      <c r="F72" t="str">
        <f>Source!F66</f>
        <v>Цена поставщика</v>
      </c>
      <c r="G72" t="str">
        <f>Source!G66</f>
        <v>Кабель-канал, размер 60х60 2000 мм белый</v>
      </c>
      <c r="H72" t="str">
        <f>Source!H66</f>
        <v>м</v>
      </c>
      <c r="I72">
        <f>Source!I66</f>
        <v>91</v>
      </c>
      <c r="J72">
        <v>1</v>
      </c>
      <c r="K72">
        <f>Source!AC66</f>
        <v>238.33</v>
      </c>
      <c r="M72">
        <f>ROUND(K72*I72, 2)</f>
        <v>21688.03</v>
      </c>
      <c r="N72">
        <f>Source!AC66*IF(Source!BC66&lt;&gt; 0, Source!BC66, 1)</f>
        <v>238.33</v>
      </c>
      <c r="O72">
        <f>ROUND(N72*I72, 2)</f>
        <v>21688.03</v>
      </c>
      <c r="P72">
        <f>Source!AE66</f>
        <v>0</v>
      </c>
      <c r="R72">
        <f>ROUND(P72*I72, 2)</f>
        <v>0</v>
      </c>
      <c r="S72">
        <f>Source!AE66*IF(Source!BS66&lt;&gt; 0, Source!BS66, 1)</f>
        <v>0</v>
      </c>
      <c r="T72">
        <f>ROUND(S72*I72, 2)</f>
        <v>0</v>
      </c>
      <c r="U72">
        <v>3</v>
      </c>
      <c r="Y72">
        <f>Source!GF66</f>
        <v>1133486443</v>
      </c>
      <c r="Z72">
        <v>523703685</v>
      </c>
      <c r="AA72">
        <v>523703685</v>
      </c>
    </row>
    <row r="73" spans="1:27" x14ac:dyDescent="0.2">
      <c r="A73">
        <v>20</v>
      </c>
      <c r="B73">
        <v>98</v>
      </c>
      <c r="C73">
        <v>3</v>
      </c>
      <c r="D73">
        <v>0</v>
      </c>
      <c r="E73">
        <f>SmtRes!AV98</f>
        <v>0</v>
      </c>
      <c r="F73" t="str">
        <f>SmtRes!I98</f>
        <v>21.21-5-44</v>
      </c>
      <c r="G73" t="str">
        <f>SmtRes!K98</f>
        <v>Кнопки для ленты ЛМ, тип 3,5</v>
      </c>
      <c r="H73" t="str">
        <f>SmtRes!O98</f>
        <v>1000 шт.</v>
      </c>
      <c r="I73">
        <f>SmtRes!Y98*Source!I78</f>
        <v>2.8799999999999999E-2</v>
      </c>
      <c r="J73">
        <f>SmtRes!AO98</f>
        <v>1</v>
      </c>
      <c r="K73">
        <f>SmtRes!AE98</f>
        <v>187.09</v>
      </c>
      <c r="L73">
        <f>SmtRes!DB98</f>
        <v>3.74</v>
      </c>
      <c r="M73">
        <f>ROUND(ROUND(L73*Source!I78, 6)*1, 2)</f>
        <v>5.39</v>
      </c>
      <c r="N73">
        <f>SmtRes!AA98</f>
        <v>187.09</v>
      </c>
      <c r="O73">
        <f>ROUND(ROUND(L73*Source!I78, 6)*SmtRes!DA98, 2)</f>
        <v>5.39</v>
      </c>
      <c r="P73">
        <f>SmtRes!AG98</f>
        <v>0</v>
      </c>
      <c r="Q73">
        <f>SmtRes!DC98</f>
        <v>0</v>
      </c>
      <c r="R73">
        <f>ROUND(ROUND(Q73*Source!I78, 6)*1, 2)</f>
        <v>0</v>
      </c>
      <c r="S73">
        <f>SmtRes!AC98</f>
        <v>0</v>
      </c>
      <c r="T73">
        <f>ROUND(ROUND(Q73*Source!I78, 6)*SmtRes!AK98, 2)</f>
        <v>0</v>
      </c>
      <c r="U73">
        <v>3</v>
      </c>
      <c r="Y73">
        <f>SmtRes!X98</f>
        <v>815111038</v>
      </c>
      <c r="Z73">
        <v>405370849</v>
      </c>
      <c r="AA73">
        <v>405370849</v>
      </c>
    </row>
    <row r="74" spans="1:27" x14ac:dyDescent="0.2">
      <c r="A74">
        <v>20</v>
      </c>
      <c r="B74">
        <v>97</v>
      </c>
      <c r="C74">
        <v>3</v>
      </c>
      <c r="D74">
        <v>0</v>
      </c>
      <c r="E74">
        <f>SmtRes!AV97</f>
        <v>0</v>
      </c>
      <c r="F74" t="str">
        <f>SmtRes!I97</f>
        <v>21.21-5-342</v>
      </c>
      <c r="G74" t="str">
        <f>SmtRes!K97</f>
        <v>Хомуты (стяжки) кабельные из полиамида, размеры 3,6х200 мм</v>
      </c>
      <c r="H74" t="str">
        <f>SmtRes!O97</f>
        <v>100 шт.</v>
      </c>
      <c r="I74">
        <f>SmtRes!Y97*Source!I78</f>
        <v>0.432</v>
      </c>
      <c r="J74">
        <f>SmtRes!AO97</f>
        <v>1</v>
      </c>
      <c r="K74">
        <f>SmtRes!AE97</f>
        <v>118.38</v>
      </c>
      <c r="L74">
        <f>SmtRes!DB97</f>
        <v>35.51</v>
      </c>
      <c r="M74">
        <f>ROUND(ROUND(L74*Source!I78, 6)*1, 2)</f>
        <v>51.13</v>
      </c>
      <c r="N74">
        <f>SmtRes!AA97</f>
        <v>118.38</v>
      </c>
      <c r="O74">
        <f>ROUND(ROUND(L74*Source!I78, 6)*SmtRes!DA97, 2)</f>
        <v>51.13</v>
      </c>
      <c r="P74">
        <f>SmtRes!AG97</f>
        <v>0</v>
      </c>
      <c r="Q74">
        <f>SmtRes!DC97</f>
        <v>0</v>
      </c>
      <c r="R74">
        <f>ROUND(ROUND(Q74*Source!I78, 6)*1, 2)</f>
        <v>0</v>
      </c>
      <c r="S74">
        <f>SmtRes!AC97</f>
        <v>0</v>
      </c>
      <c r="T74">
        <f>ROUND(ROUND(Q74*Source!I78, 6)*SmtRes!AK97, 2)</f>
        <v>0</v>
      </c>
      <c r="U74">
        <v>3</v>
      </c>
      <c r="Y74">
        <f>SmtRes!X97</f>
        <v>1094888661</v>
      </c>
      <c r="Z74">
        <v>607614968</v>
      </c>
      <c r="AA74">
        <v>607614968</v>
      </c>
    </row>
    <row r="75" spans="1:27" x14ac:dyDescent="0.2">
      <c r="A75">
        <v>20</v>
      </c>
      <c r="B75">
        <v>96</v>
      </c>
      <c r="C75">
        <v>3</v>
      </c>
      <c r="D75">
        <v>0</v>
      </c>
      <c r="E75">
        <f>SmtRes!AV96</f>
        <v>0</v>
      </c>
      <c r="F75" t="str">
        <f>SmtRes!I96</f>
        <v>21.21-5-305</v>
      </c>
      <c r="G75" t="str">
        <f>SmtRes!K96</f>
        <v>Сжимы, тип У731М для проводников магистральных сечением от 4 до 10 мм2 и ответвительных от 1,5 до 10 мм2</v>
      </c>
      <c r="H75" t="str">
        <f>SmtRes!O96</f>
        <v>шт.</v>
      </c>
      <c r="I75">
        <f>SmtRes!Y96*Source!I78</f>
        <v>14.399999999999999</v>
      </c>
      <c r="J75">
        <f>SmtRes!AO96</f>
        <v>1</v>
      </c>
      <c r="K75">
        <f>SmtRes!AE96</f>
        <v>21.08</v>
      </c>
      <c r="L75">
        <f>SmtRes!DB96</f>
        <v>210.8</v>
      </c>
      <c r="M75">
        <f>ROUND(ROUND(L75*Source!I78, 6)*1, 2)</f>
        <v>303.55</v>
      </c>
      <c r="N75">
        <f>SmtRes!AA96</f>
        <v>21.08</v>
      </c>
      <c r="O75">
        <f>ROUND(ROUND(L75*Source!I78, 6)*SmtRes!DA96, 2)</f>
        <v>303.55</v>
      </c>
      <c r="P75">
        <f>SmtRes!AG96</f>
        <v>0</v>
      </c>
      <c r="Q75">
        <f>SmtRes!DC96</f>
        <v>0</v>
      </c>
      <c r="R75">
        <f>ROUND(ROUND(Q75*Source!I78, 6)*1, 2)</f>
        <v>0</v>
      </c>
      <c r="S75">
        <f>SmtRes!AC96</f>
        <v>0</v>
      </c>
      <c r="T75">
        <f>ROUND(ROUND(Q75*Source!I78, 6)*SmtRes!AK96, 2)</f>
        <v>0</v>
      </c>
      <c r="U75">
        <v>3</v>
      </c>
      <c r="Y75">
        <f>SmtRes!X96</f>
        <v>-560680092</v>
      </c>
      <c r="Z75">
        <v>80072426</v>
      </c>
      <c r="AA75">
        <v>80072426</v>
      </c>
    </row>
    <row r="76" spans="1:27" x14ac:dyDescent="0.2">
      <c r="A76">
        <v>20</v>
      </c>
      <c r="B76">
        <v>95</v>
      </c>
      <c r="C76">
        <v>3</v>
      </c>
      <c r="D76">
        <v>0</v>
      </c>
      <c r="E76">
        <f>SmtRes!AV95</f>
        <v>0</v>
      </c>
      <c r="F76" t="str">
        <f>SmtRes!I95</f>
        <v>21.21-5-2</v>
      </c>
      <c r="G76" t="str">
        <f>SmtRes!K95</f>
        <v>Бирки маркировочные для кабелей и проводов, тип У153 У3,5</v>
      </c>
      <c r="H76" t="str">
        <f>SmtRes!O95</f>
        <v>1000 шт.</v>
      </c>
      <c r="I76">
        <f>SmtRes!Y95*Source!I78</f>
        <v>7.1999999999999998E-3</v>
      </c>
      <c r="J76">
        <f>SmtRes!AO95</f>
        <v>1</v>
      </c>
      <c r="K76">
        <f>SmtRes!AE95</f>
        <v>495.85</v>
      </c>
      <c r="L76">
        <f>SmtRes!DB95</f>
        <v>2.48</v>
      </c>
      <c r="M76">
        <f>ROUND(ROUND(L76*Source!I78, 6)*1, 2)</f>
        <v>3.57</v>
      </c>
      <c r="N76">
        <f>SmtRes!AA95</f>
        <v>495.85</v>
      </c>
      <c r="O76">
        <f>ROUND(ROUND(L76*Source!I78, 6)*SmtRes!DA95, 2)</f>
        <v>3.57</v>
      </c>
      <c r="P76">
        <f>SmtRes!AG95</f>
        <v>0</v>
      </c>
      <c r="Q76">
        <f>SmtRes!DC95</f>
        <v>0</v>
      </c>
      <c r="R76">
        <f>ROUND(ROUND(Q76*Source!I78, 6)*1, 2)</f>
        <v>0</v>
      </c>
      <c r="S76">
        <f>SmtRes!AC95</f>
        <v>0</v>
      </c>
      <c r="T76">
        <f>ROUND(ROUND(Q76*Source!I78, 6)*SmtRes!AK95, 2)</f>
        <v>0</v>
      </c>
      <c r="U76">
        <v>3</v>
      </c>
      <c r="Y76">
        <f>SmtRes!X95</f>
        <v>-945376992</v>
      </c>
      <c r="Z76">
        <v>-473207899</v>
      </c>
      <c r="AA76">
        <v>-473207899</v>
      </c>
    </row>
    <row r="77" spans="1:27" x14ac:dyDescent="0.2">
      <c r="A77">
        <v>20</v>
      </c>
      <c r="B77">
        <v>94</v>
      </c>
      <c r="C77">
        <v>3</v>
      </c>
      <c r="D77">
        <v>0</v>
      </c>
      <c r="E77">
        <f>SmtRes!AV94</f>
        <v>0</v>
      </c>
      <c r="F77" t="str">
        <f>SmtRes!I94</f>
        <v>21.21-5-114</v>
      </c>
      <c r="G77" t="str">
        <f>SmtRes!K94</f>
        <v>Лента монтажная, тип ЛМ-5</v>
      </c>
      <c r="H77" t="str">
        <f>SmtRes!O94</f>
        <v>м</v>
      </c>
      <c r="I77">
        <f>SmtRes!Y94*Source!I78</f>
        <v>7.92</v>
      </c>
      <c r="J77">
        <f>SmtRes!AO94</f>
        <v>1</v>
      </c>
      <c r="K77">
        <f>SmtRes!AE94</f>
        <v>3.77</v>
      </c>
      <c r="L77">
        <f>SmtRes!DB94</f>
        <v>20.74</v>
      </c>
      <c r="M77">
        <f>ROUND(ROUND(L77*Source!I78, 6)*1, 2)</f>
        <v>29.87</v>
      </c>
      <c r="N77">
        <f>SmtRes!AA94</f>
        <v>3.77</v>
      </c>
      <c r="O77">
        <f>ROUND(ROUND(L77*Source!I78, 6)*SmtRes!DA94, 2)</f>
        <v>29.87</v>
      </c>
      <c r="P77">
        <f>SmtRes!AG94</f>
        <v>0</v>
      </c>
      <c r="Q77">
        <f>SmtRes!DC94</f>
        <v>0</v>
      </c>
      <c r="R77">
        <f>ROUND(ROUND(Q77*Source!I78, 6)*1, 2)</f>
        <v>0</v>
      </c>
      <c r="S77">
        <f>SmtRes!AC94</f>
        <v>0</v>
      </c>
      <c r="T77">
        <f>ROUND(ROUND(Q77*Source!I78, 6)*SmtRes!AK94, 2)</f>
        <v>0</v>
      </c>
      <c r="U77">
        <v>3</v>
      </c>
      <c r="Y77">
        <f>SmtRes!X94</f>
        <v>-1161964696</v>
      </c>
      <c r="Z77">
        <v>-811331557</v>
      </c>
      <c r="AA77">
        <v>-811331557</v>
      </c>
    </row>
    <row r="78" spans="1:27" x14ac:dyDescent="0.2">
      <c r="A78">
        <v>20</v>
      </c>
      <c r="B78">
        <v>93</v>
      </c>
      <c r="C78">
        <v>3</v>
      </c>
      <c r="D78">
        <v>0</v>
      </c>
      <c r="E78">
        <f>SmtRes!AV93</f>
        <v>0</v>
      </c>
      <c r="F78" t="str">
        <f>SmtRes!I93</f>
        <v>21.1-20-10</v>
      </c>
      <c r="G78" t="str">
        <f>SmtRes!K93</f>
        <v>Лента изоляционная хлопчатобумажная</v>
      </c>
      <c r="H78" t="str">
        <f>SmtRes!O93</f>
        <v>кг</v>
      </c>
      <c r="I78">
        <f>SmtRes!Y93*Source!I78</f>
        <v>0.23039999999999999</v>
      </c>
      <c r="J78">
        <f>SmtRes!AO93</f>
        <v>1</v>
      </c>
      <c r="K78">
        <f>SmtRes!AE93</f>
        <v>151.68</v>
      </c>
      <c r="L78">
        <f>SmtRes!DB93</f>
        <v>24.27</v>
      </c>
      <c r="M78">
        <f>ROUND(ROUND(L78*Source!I78, 6)*1, 2)</f>
        <v>34.950000000000003</v>
      </c>
      <c r="N78">
        <f>SmtRes!AA93</f>
        <v>151.68</v>
      </c>
      <c r="O78">
        <f>ROUND(ROUND(L78*Source!I78, 6)*SmtRes!DA93, 2)</f>
        <v>34.950000000000003</v>
      </c>
      <c r="P78">
        <f>SmtRes!AG93</f>
        <v>0</v>
      </c>
      <c r="Q78">
        <f>SmtRes!DC93</f>
        <v>0</v>
      </c>
      <c r="R78">
        <f>ROUND(ROUND(Q78*Source!I78, 6)*1, 2)</f>
        <v>0</v>
      </c>
      <c r="S78">
        <f>SmtRes!AC93</f>
        <v>0</v>
      </c>
      <c r="T78">
        <f>ROUND(ROUND(Q78*Source!I78, 6)*SmtRes!AK93, 2)</f>
        <v>0</v>
      </c>
      <c r="U78">
        <v>3</v>
      </c>
      <c r="Y78">
        <f>SmtRes!X93</f>
        <v>-272147788</v>
      </c>
      <c r="Z78">
        <v>-1529386601</v>
      </c>
      <c r="AA78">
        <v>-1529386601</v>
      </c>
    </row>
    <row r="79" spans="1:27" x14ac:dyDescent="0.2">
      <c r="A79">
        <f>Source!A79</f>
        <v>18</v>
      </c>
      <c r="B79">
        <v>79</v>
      </c>
      <c r="C79">
        <v>3</v>
      </c>
      <c r="D79">
        <f>Source!BI79</f>
        <v>4</v>
      </c>
      <c r="E79">
        <f>Source!FS79</f>
        <v>0</v>
      </c>
      <c r="F79" t="str">
        <f>Source!F79</f>
        <v>Цена поставщика</v>
      </c>
      <c r="G79" t="str">
        <f>Source!G79</f>
        <v>П2432. Провод ПВС 5х1,5 кв.мм белый ГОСТ (Брэкс Брянск)(или эквивалент)</v>
      </c>
      <c r="H79" t="str">
        <f>Source!H79</f>
        <v>м</v>
      </c>
      <c r="I79">
        <f>Source!I79</f>
        <v>148.32</v>
      </c>
      <c r="J79">
        <v>1</v>
      </c>
      <c r="K79">
        <f>Source!AC79</f>
        <v>154.24</v>
      </c>
      <c r="M79">
        <f>ROUND(K79*I79, 2)</f>
        <v>22876.880000000001</v>
      </c>
      <c r="N79">
        <f>Source!AC79*IF(Source!BC79&lt;&gt; 0, Source!BC79, 1)</f>
        <v>154.24</v>
      </c>
      <c r="O79">
        <f>ROUND(N79*I79, 2)</f>
        <v>22876.880000000001</v>
      </c>
      <c r="P79">
        <f>Source!AE79</f>
        <v>0</v>
      </c>
      <c r="R79">
        <f>ROUND(P79*I79, 2)</f>
        <v>0</v>
      </c>
      <c r="S79">
        <f>Source!AE79*IF(Source!BS79&lt;&gt; 0, Source!BS79, 1)</f>
        <v>0</v>
      </c>
      <c r="T79">
        <f>ROUND(S79*I79, 2)</f>
        <v>0</v>
      </c>
      <c r="U79">
        <v>3</v>
      </c>
      <c r="Y79">
        <f>Source!GF79</f>
        <v>-453885095</v>
      </c>
      <c r="Z79">
        <v>-2098064734</v>
      </c>
      <c r="AA79">
        <v>-2098064734</v>
      </c>
    </row>
    <row r="80" spans="1:27" x14ac:dyDescent="0.2">
      <c r="A80">
        <v>20</v>
      </c>
      <c r="B80">
        <v>101</v>
      </c>
      <c r="C80">
        <v>3</v>
      </c>
      <c r="D80">
        <v>0</v>
      </c>
      <c r="E80">
        <f>SmtRes!AV101</f>
        <v>0</v>
      </c>
      <c r="F80" t="str">
        <f>SmtRes!I101</f>
        <v>21.1-11-21</v>
      </c>
      <c r="G80" t="str">
        <f>SmtRes!K101</f>
        <v>Болты строительные черные с гайками и шайбами (10х100мм)</v>
      </c>
      <c r="H80" t="str">
        <f>SmtRes!O101</f>
        <v>т</v>
      </c>
      <c r="I80">
        <f>SmtRes!Y101*Source!I81</f>
        <v>1.9319999999999999E-3</v>
      </c>
      <c r="J80">
        <f>SmtRes!AO101</f>
        <v>1</v>
      </c>
      <c r="K80">
        <f>SmtRes!AE101</f>
        <v>146451.23000000001</v>
      </c>
      <c r="L80">
        <f>SmtRes!DB101</f>
        <v>175.74</v>
      </c>
      <c r="M80">
        <f>ROUND(ROUND(L80*Source!I81, 6)*1, 2)</f>
        <v>282.94</v>
      </c>
      <c r="N80">
        <f>SmtRes!AA101</f>
        <v>146451.23000000001</v>
      </c>
      <c r="O80">
        <f>ROUND(ROUND(L80*Source!I81, 6)*SmtRes!DA101, 2)</f>
        <v>282.94</v>
      </c>
      <c r="P80">
        <f>SmtRes!AG101</f>
        <v>0</v>
      </c>
      <c r="Q80">
        <f>SmtRes!DC101</f>
        <v>0</v>
      </c>
      <c r="R80">
        <f>ROUND(ROUND(Q80*Source!I81, 6)*1, 2)</f>
        <v>0</v>
      </c>
      <c r="S80">
        <f>SmtRes!AC101</f>
        <v>0</v>
      </c>
      <c r="T80">
        <f>ROUND(ROUND(Q80*Source!I81, 6)*SmtRes!AK101, 2)</f>
        <v>0</v>
      </c>
      <c r="U80">
        <v>3</v>
      </c>
      <c r="Y80">
        <f>SmtRes!X101</f>
        <v>-1288676302</v>
      </c>
      <c r="Z80">
        <v>2018471791</v>
      </c>
      <c r="AA80">
        <v>2018471791</v>
      </c>
    </row>
    <row r="81" spans="1:27" x14ac:dyDescent="0.2">
      <c r="A81">
        <f>Source!A82</f>
        <v>18</v>
      </c>
      <c r="B81">
        <v>82</v>
      </c>
      <c r="C81">
        <v>3</v>
      </c>
      <c r="D81">
        <f>Source!BI82</f>
        <v>4</v>
      </c>
      <c r="E81">
        <f>Source!FS82</f>
        <v>0</v>
      </c>
      <c r="F81" t="str">
        <f>Source!F82</f>
        <v>21.12-5-235</v>
      </c>
      <c r="G81" t="str">
        <f>Source!G82</f>
        <v>Трубки дренажные поливинилхлоридные, диаметр 16мм</v>
      </c>
      <c r="H81" t="str">
        <f>Source!H82</f>
        <v>м</v>
      </c>
      <c r="I81">
        <f>Source!I82</f>
        <v>161</v>
      </c>
      <c r="J81">
        <v>1</v>
      </c>
      <c r="K81">
        <f>Source!AC82</f>
        <v>29.15</v>
      </c>
      <c r="M81">
        <f>ROUND(K81*I81, 2)</f>
        <v>4693.1499999999996</v>
      </c>
      <c r="N81">
        <f>Source!AC82*IF(Source!BC82&lt;&gt; 0, Source!BC82, 1)</f>
        <v>29.15</v>
      </c>
      <c r="O81">
        <f>ROUND(N81*I81, 2)</f>
        <v>4693.1499999999996</v>
      </c>
      <c r="P81">
        <f>Source!AE82</f>
        <v>0</v>
      </c>
      <c r="R81">
        <f>ROUND(P81*I81, 2)</f>
        <v>0</v>
      </c>
      <c r="S81">
        <f>Source!AE82*IF(Source!BS82&lt;&gt; 0, Source!BS82, 1)</f>
        <v>0</v>
      </c>
      <c r="T81">
        <f>ROUND(S81*I81, 2)</f>
        <v>0</v>
      </c>
      <c r="U81">
        <v>3</v>
      </c>
      <c r="Y81">
        <f>Source!GF82</f>
        <v>1797441285</v>
      </c>
      <c r="Z81">
        <v>878513067</v>
      </c>
      <c r="AA81">
        <v>878513067</v>
      </c>
    </row>
    <row r="82" spans="1:27" x14ac:dyDescent="0.2">
      <c r="A82">
        <f>Source!A83</f>
        <v>18</v>
      </c>
      <c r="B82">
        <v>83</v>
      </c>
      <c r="C82">
        <v>3</v>
      </c>
      <c r="D82">
        <f>Source!BI83</f>
        <v>4</v>
      </c>
      <c r="E82">
        <f>Source!FS83</f>
        <v>0</v>
      </c>
      <c r="F82" t="str">
        <f>Source!F83</f>
        <v>Цена поставщика</v>
      </c>
      <c r="G82" t="str">
        <f>Source!G83</f>
        <v>Капиллярная трубка 6 мм (или эквивалент)</v>
      </c>
      <c r="H82" t="str">
        <f>Source!H83</f>
        <v>м</v>
      </c>
      <c r="I82">
        <f>Source!I83</f>
        <v>24</v>
      </c>
      <c r="J82">
        <v>1</v>
      </c>
      <c r="K82">
        <f>Source!AC83</f>
        <v>43.33</v>
      </c>
      <c r="M82">
        <f>ROUND(K82*I82, 2)</f>
        <v>1039.92</v>
      </c>
      <c r="N82">
        <f>Source!AC83*IF(Source!BC83&lt;&gt; 0, Source!BC83, 1)</f>
        <v>43.33</v>
      </c>
      <c r="O82">
        <f>ROUND(N82*I82, 2)</f>
        <v>1039.92</v>
      </c>
      <c r="P82">
        <f>Source!AE83</f>
        <v>0</v>
      </c>
      <c r="R82">
        <f>ROUND(P82*I82, 2)</f>
        <v>0</v>
      </c>
      <c r="S82">
        <f>Source!AE83*IF(Source!BS83&lt;&gt; 0, Source!BS83, 1)</f>
        <v>0</v>
      </c>
      <c r="T82">
        <f>ROUND(S82*I82, 2)</f>
        <v>0</v>
      </c>
      <c r="U82">
        <v>3</v>
      </c>
      <c r="Y82">
        <f>Source!GF83</f>
        <v>1315311750</v>
      </c>
      <c r="Z82">
        <v>-1353431255</v>
      </c>
      <c r="AA82">
        <v>-1353431255</v>
      </c>
    </row>
    <row r="83" spans="1:27" x14ac:dyDescent="0.2">
      <c r="A83">
        <v>20</v>
      </c>
      <c r="B83">
        <v>122</v>
      </c>
      <c r="C83">
        <v>2</v>
      </c>
      <c r="D83">
        <v>0</v>
      </c>
      <c r="E83">
        <f>SmtRes!AV122</f>
        <v>0</v>
      </c>
      <c r="F83" t="str">
        <f>SmtRes!I122</f>
        <v>22.1-30-10</v>
      </c>
      <c r="G83" t="str">
        <f>SmtRes!K122</f>
        <v>Перфораторы электрические, мощность до 500 Вт</v>
      </c>
      <c r="H83" t="str">
        <f>SmtRes!O122</f>
        <v>маш.-ч</v>
      </c>
      <c r="I83">
        <f>SmtRes!Y122*Source!I90</f>
        <v>14.850000000000001</v>
      </c>
      <c r="J83">
        <f>SmtRes!AO122</f>
        <v>1</v>
      </c>
      <c r="K83">
        <f>SmtRes!AF122</f>
        <v>3.14</v>
      </c>
      <c r="L83">
        <f>SmtRes!DB122</f>
        <v>1.73</v>
      </c>
      <c r="M83">
        <f>ROUND(ROUND(L83*Source!I90, 6)*1, 2)</f>
        <v>46.71</v>
      </c>
      <c r="N83">
        <f>SmtRes!AB122</f>
        <v>3.14</v>
      </c>
      <c r="O83">
        <f>ROUND(ROUND(L83*Source!I90, 6)*SmtRes!DA122, 2)</f>
        <v>46.71</v>
      </c>
      <c r="P83">
        <f>SmtRes!AG122</f>
        <v>0.01</v>
      </c>
      <c r="Q83">
        <f>SmtRes!DC122</f>
        <v>0.01</v>
      </c>
      <c r="R83">
        <f>ROUND(ROUND(Q83*Source!I90, 6)*1, 2)</f>
        <v>0.27</v>
      </c>
      <c r="S83">
        <f>SmtRes!AC122</f>
        <v>0.01</v>
      </c>
      <c r="T83">
        <f>ROUND(ROUND(Q83*Source!I90, 6)*SmtRes!AK122, 2)</f>
        <v>0.27</v>
      </c>
      <c r="U83">
        <v>2</v>
      </c>
      <c r="Y83">
        <f>SmtRes!X122</f>
        <v>-376097338</v>
      </c>
      <c r="Z83">
        <v>-249007219</v>
      </c>
      <c r="AA83">
        <v>-249007219</v>
      </c>
    </row>
    <row r="84" spans="1:27" x14ac:dyDescent="0.2">
      <c r="A84">
        <f>Source!A91</f>
        <v>18</v>
      </c>
      <c r="B84">
        <v>91</v>
      </c>
      <c r="C84">
        <v>3</v>
      </c>
      <c r="D84">
        <f>Source!BI91</f>
        <v>4</v>
      </c>
      <c r="E84">
        <f>Source!FS91</f>
        <v>0</v>
      </c>
      <c r="F84" t="str">
        <f>Source!F91</f>
        <v>Цена поставщика</v>
      </c>
      <c r="G84" t="str">
        <f>Source!G91</f>
        <v>Е0310. Бокс UNK40-02-2 белый на 2 модуля темная прозрачная дверь IP41 (Текфор Москва)(или эквивалент)</v>
      </c>
      <c r="H84" t="str">
        <f>Source!H91</f>
        <v>шт.</v>
      </c>
      <c r="I84">
        <f>Source!I91</f>
        <v>27</v>
      </c>
      <c r="J84">
        <v>1</v>
      </c>
      <c r="K84">
        <f>Source!AC91</f>
        <v>313.04000000000002</v>
      </c>
      <c r="M84">
        <f>ROUND(K84*I84, 2)</f>
        <v>8452.08</v>
      </c>
      <c r="N84">
        <f>Source!AC91*IF(Source!BC91&lt;&gt; 0, Source!BC91, 1)</f>
        <v>313.04000000000002</v>
      </c>
      <c r="O84">
        <f>ROUND(N84*I84, 2)</f>
        <v>8452.08</v>
      </c>
      <c r="P84">
        <f>Source!AE91</f>
        <v>0</v>
      </c>
      <c r="R84">
        <f>ROUND(P84*I84, 2)</f>
        <v>0</v>
      </c>
      <c r="S84">
        <f>Source!AE91*IF(Source!BS91&lt;&gt; 0, Source!BS91, 1)</f>
        <v>0</v>
      </c>
      <c r="T84">
        <f>ROUND(S84*I84, 2)</f>
        <v>0</v>
      </c>
      <c r="U84">
        <v>3</v>
      </c>
      <c r="Y84">
        <f>Source!GF91</f>
        <v>1713654555</v>
      </c>
      <c r="Z84">
        <v>1487289270</v>
      </c>
      <c r="AA84">
        <v>1487289270</v>
      </c>
    </row>
    <row r="85" spans="1:27" x14ac:dyDescent="0.2">
      <c r="A85">
        <v>20</v>
      </c>
      <c r="B85">
        <v>127</v>
      </c>
      <c r="C85">
        <v>3</v>
      </c>
      <c r="D85">
        <v>0</v>
      </c>
      <c r="E85">
        <f>SmtRes!AV127</f>
        <v>0</v>
      </c>
      <c r="F85" t="str">
        <f>SmtRes!I127</f>
        <v>21.1-11-108</v>
      </c>
      <c r="G85" t="str">
        <f>SmtRes!K127</f>
        <v>Шурупы - саморезы, размер 3,5х45 мм</v>
      </c>
      <c r="H85" t="str">
        <f>SmtRes!O127</f>
        <v>кг</v>
      </c>
      <c r="I85">
        <f>SmtRes!Y127*Source!I92</f>
        <v>1.2476025E-2</v>
      </c>
      <c r="J85">
        <f>SmtRes!AO127</f>
        <v>1</v>
      </c>
      <c r="K85">
        <f>SmtRes!AE127</f>
        <v>327.54338000000001</v>
      </c>
      <c r="L85">
        <f>SmtRes!DB127</f>
        <v>201.8</v>
      </c>
      <c r="M85">
        <f>ROUND(ROUND(L85*Source!I92, 6)*1, 2)</f>
        <v>4.09</v>
      </c>
      <c r="N85">
        <f>SmtRes!AA127</f>
        <v>327.54000000000002</v>
      </c>
      <c r="O85">
        <f>ROUND(ROUND(L85*Source!I92, 6)*SmtRes!DA127, 2)</f>
        <v>4.09</v>
      </c>
      <c r="P85">
        <f>SmtRes!AG127</f>
        <v>0</v>
      </c>
      <c r="Q85">
        <f>SmtRes!DC127</f>
        <v>0</v>
      </c>
      <c r="R85">
        <f>ROUND(ROUND(Q85*Source!I92, 6)*1, 2)</f>
        <v>0</v>
      </c>
      <c r="S85">
        <f>SmtRes!AC127</f>
        <v>0</v>
      </c>
      <c r="T85">
        <f>ROUND(ROUND(Q85*Source!I92, 6)*SmtRes!AK127, 2)</f>
        <v>0</v>
      </c>
      <c r="U85">
        <v>3</v>
      </c>
      <c r="Y85">
        <f>SmtRes!X127</f>
        <v>-1273611483</v>
      </c>
      <c r="Z85">
        <v>1730502301</v>
      </c>
      <c r="AA85">
        <v>2136647437</v>
      </c>
    </row>
    <row r="86" spans="1:27" x14ac:dyDescent="0.2">
      <c r="A86">
        <v>20</v>
      </c>
      <c r="B86">
        <v>126</v>
      </c>
      <c r="C86">
        <v>2</v>
      </c>
      <c r="D86">
        <v>0</v>
      </c>
      <c r="E86">
        <f>SmtRes!AV126</f>
        <v>0</v>
      </c>
      <c r="F86" t="str">
        <f>SmtRes!I126</f>
        <v>22.1-30-63</v>
      </c>
      <c r="G86" t="str">
        <f>SmtRes!K126</f>
        <v>Ножницы листовые кривошипные (гильотинные)</v>
      </c>
      <c r="H86" t="str">
        <f>SmtRes!O126</f>
        <v>маш.-ч</v>
      </c>
      <c r="I86">
        <f>SmtRes!Y126*Source!I92</f>
        <v>1.2555E-2</v>
      </c>
      <c r="J86">
        <f>SmtRes!AO126</f>
        <v>1</v>
      </c>
      <c r="K86">
        <f>SmtRes!AF126</f>
        <v>664.14</v>
      </c>
      <c r="L86">
        <f>SmtRes!DB126</f>
        <v>411.77</v>
      </c>
      <c r="M86">
        <f>ROUND(ROUND(L86*Source!I92, 6)*1, 2)</f>
        <v>8.34</v>
      </c>
      <c r="N86">
        <f>SmtRes!AB126</f>
        <v>664.14</v>
      </c>
      <c r="O86">
        <f>ROUND(ROUND(L86*Source!I92, 6)*SmtRes!DA126, 2)</f>
        <v>8.34</v>
      </c>
      <c r="P86">
        <f>SmtRes!AG126</f>
        <v>287.25</v>
      </c>
      <c r="Q86">
        <f>SmtRes!DC126</f>
        <v>178.1</v>
      </c>
      <c r="R86">
        <f>ROUND(ROUND(Q86*Source!I92, 6)*1, 2)</f>
        <v>3.61</v>
      </c>
      <c r="S86">
        <f>SmtRes!AC126</f>
        <v>287.25</v>
      </c>
      <c r="T86">
        <f>ROUND(ROUND(Q86*Source!I92, 6)*SmtRes!AK126, 2)</f>
        <v>3.61</v>
      </c>
      <c r="U86">
        <v>2</v>
      </c>
      <c r="Y86">
        <f>SmtRes!X126</f>
        <v>130996038</v>
      </c>
      <c r="Z86">
        <v>1934220225</v>
      </c>
      <c r="AA86">
        <v>1934220225</v>
      </c>
    </row>
    <row r="87" spans="1:27" x14ac:dyDescent="0.2">
      <c r="A87">
        <v>20</v>
      </c>
      <c r="B87">
        <v>125</v>
      </c>
      <c r="C87">
        <v>2</v>
      </c>
      <c r="D87">
        <v>0</v>
      </c>
      <c r="E87">
        <f>SmtRes!AV125</f>
        <v>0</v>
      </c>
      <c r="F87" t="str">
        <f>SmtRes!I125</f>
        <v>22.1-30-56</v>
      </c>
      <c r="G87" t="str">
        <f>SmtRes!K125</f>
        <v>Шуруповерты</v>
      </c>
      <c r="H87" t="str">
        <f>SmtRes!O125</f>
        <v>маш.-ч</v>
      </c>
      <c r="I87">
        <f>SmtRes!Y125*Source!I92</f>
        <v>3.0374999999999999E-2</v>
      </c>
      <c r="J87">
        <f>SmtRes!AO125</f>
        <v>1</v>
      </c>
      <c r="K87">
        <f>SmtRes!AF125</f>
        <v>5.17</v>
      </c>
      <c r="L87">
        <f>SmtRes!DB125</f>
        <v>7.76</v>
      </c>
      <c r="M87">
        <f>ROUND(ROUND(L87*Source!I92, 6)*1, 2)</f>
        <v>0.16</v>
      </c>
      <c r="N87">
        <f>SmtRes!AB125</f>
        <v>5.17</v>
      </c>
      <c r="O87">
        <f>ROUND(ROUND(L87*Source!I92, 6)*SmtRes!DA125, 2)</f>
        <v>0.16</v>
      </c>
      <c r="P87">
        <f>SmtRes!AG125</f>
        <v>0.01</v>
      </c>
      <c r="Q87">
        <f>SmtRes!DC125</f>
        <v>0.02</v>
      </c>
      <c r="R87">
        <f>ROUND(ROUND(Q87*Source!I92, 6)*1, 2)</f>
        <v>0</v>
      </c>
      <c r="S87">
        <f>SmtRes!AC125</f>
        <v>0.01</v>
      </c>
      <c r="T87">
        <f>ROUND(ROUND(Q87*Source!I92, 6)*SmtRes!AK125, 2)</f>
        <v>0</v>
      </c>
      <c r="U87">
        <v>2</v>
      </c>
      <c r="Y87">
        <f>SmtRes!X125</f>
        <v>1197532078</v>
      </c>
      <c r="Z87">
        <v>1866338156</v>
      </c>
      <c r="AA87">
        <v>1866338156</v>
      </c>
    </row>
    <row r="88" spans="1:27" x14ac:dyDescent="0.2">
      <c r="A88">
        <v>20</v>
      </c>
      <c r="B88">
        <v>124</v>
      </c>
      <c r="C88">
        <v>2</v>
      </c>
      <c r="D88">
        <v>0</v>
      </c>
      <c r="E88">
        <f>SmtRes!AV124</f>
        <v>0</v>
      </c>
      <c r="F88" t="str">
        <f>SmtRes!I124</f>
        <v>22.1-30-102</v>
      </c>
      <c r="G88" t="str">
        <f>SmtRes!K124</f>
        <v>Дрели электрические, двухскоростные, мощностью 600 Вт</v>
      </c>
      <c r="H88" t="str">
        <f>SmtRes!O124</f>
        <v>маш.-ч</v>
      </c>
      <c r="I88">
        <f>SmtRes!Y124*Source!I92</f>
        <v>7.5937500000000005E-2</v>
      </c>
      <c r="J88">
        <f>SmtRes!AO124</f>
        <v>1</v>
      </c>
      <c r="K88">
        <f>SmtRes!AF124</f>
        <v>7.81</v>
      </c>
      <c r="L88">
        <f>SmtRes!DB124</f>
        <v>29.29</v>
      </c>
      <c r="M88">
        <f>ROUND(ROUND(L88*Source!I92, 6)*1, 2)</f>
        <v>0.59</v>
      </c>
      <c r="N88">
        <f>SmtRes!AB124</f>
        <v>7.81</v>
      </c>
      <c r="O88">
        <f>ROUND(ROUND(L88*Source!I92, 6)*SmtRes!DA124, 2)</f>
        <v>0.59</v>
      </c>
      <c r="P88">
        <f>SmtRes!AG124</f>
        <v>1.03</v>
      </c>
      <c r="Q88">
        <f>SmtRes!DC124</f>
        <v>3.86</v>
      </c>
      <c r="R88">
        <f>ROUND(ROUND(Q88*Source!I92, 6)*1, 2)</f>
        <v>0.08</v>
      </c>
      <c r="S88">
        <f>SmtRes!AC124</f>
        <v>1.03</v>
      </c>
      <c r="T88">
        <f>ROUND(ROUND(Q88*Source!I92, 6)*SmtRes!AK124, 2)</f>
        <v>0.08</v>
      </c>
      <c r="U88">
        <v>2</v>
      </c>
      <c r="Y88">
        <f>SmtRes!X124</f>
        <v>-1879814166</v>
      </c>
      <c r="Z88">
        <v>-2067572800</v>
      </c>
      <c r="AA88">
        <v>-2067572800</v>
      </c>
    </row>
    <row r="89" spans="1:27" x14ac:dyDescent="0.2">
      <c r="A89">
        <f>Source!A93</f>
        <v>18</v>
      </c>
      <c r="B89">
        <v>93</v>
      </c>
      <c r="C89">
        <v>3</v>
      </c>
      <c r="D89">
        <f>Source!BI93</f>
        <v>4</v>
      </c>
      <c r="E89">
        <f>Source!FS93</f>
        <v>0</v>
      </c>
      <c r="F89" t="str">
        <f>Source!F93</f>
        <v>Цена поставщика</v>
      </c>
      <c r="G89" t="str">
        <f>Source!G93</f>
        <v>Б2501. DIN-рейка 07-03-001 7,5х35х75мм оцинкованная металлическая (Текфор Москва)(или эквивалент)</v>
      </c>
      <c r="H89" t="str">
        <f>Source!H93</f>
        <v>шт.</v>
      </c>
      <c r="I89">
        <f>Source!I93</f>
        <v>27</v>
      </c>
      <c r="J89">
        <v>1</v>
      </c>
      <c r="K89">
        <f>Source!AC93</f>
        <v>16.510000000000002</v>
      </c>
      <c r="M89">
        <f>ROUND(K89*I89, 2)</f>
        <v>445.77</v>
      </c>
      <c r="N89">
        <f>Source!AC93*IF(Source!BC93&lt;&gt; 0, Source!BC93, 1)</f>
        <v>16.510000000000002</v>
      </c>
      <c r="O89">
        <f>ROUND(N89*I89, 2)</f>
        <v>445.77</v>
      </c>
      <c r="P89">
        <f>Source!AE93</f>
        <v>0</v>
      </c>
      <c r="R89">
        <f>ROUND(P89*I89, 2)</f>
        <v>0</v>
      </c>
      <c r="S89">
        <f>Source!AE93*IF(Source!BS93&lt;&gt; 0, Source!BS93, 1)</f>
        <v>0</v>
      </c>
      <c r="T89">
        <f>ROUND(S89*I89, 2)</f>
        <v>0</v>
      </c>
      <c r="U89">
        <v>3</v>
      </c>
      <c r="Y89">
        <f>Source!GF93</f>
        <v>1951206550</v>
      </c>
      <c r="Z89">
        <v>1632817074</v>
      </c>
      <c r="AA89">
        <v>1632817074</v>
      </c>
    </row>
    <row r="90" spans="1:27" x14ac:dyDescent="0.2">
      <c r="A90">
        <v>20</v>
      </c>
      <c r="B90">
        <v>131</v>
      </c>
      <c r="C90">
        <v>3</v>
      </c>
      <c r="D90">
        <v>0</v>
      </c>
      <c r="E90">
        <f>SmtRes!AV131</f>
        <v>0</v>
      </c>
      <c r="F90" t="str">
        <f>SmtRes!I131</f>
        <v>21.21-5-15</v>
      </c>
      <c r="G90" t="str">
        <f>SmtRes!K131</f>
        <v>Выключатели автоматические, серия "Домовой", однополюсные с нейтралью, тип ВА 63(С), на ток: 10 А - 40 А</v>
      </c>
      <c r="H90" t="str">
        <f>SmtRes!O131</f>
        <v>шт.</v>
      </c>
      <c r="I90">
        <f>SmtRes!Y131*Source!I94</f>
        <v>49</v>
      </c>
      <c r="J90">
        <f>SmtRes!AO131</f>
        <v>1</v>
      </c>
      <c r="K90">
        <f>SmtRes!AE131</f>
        <v>281.12</v>
      </c>
      <c r="L90">
        <f>SmtRes!DB131</f>
        <v>281.12</v>
      </c>
      <c r="M90">
        <f>ROUND(ROUND(L90*Source!I94, 6)*1, 2)</f>
        <v>13774.88</v>
      </c>
      <c r="N90">
        <f>SmtRes!AA131</f>
        <v>281.12</v>
      </c>
      <c r="O90">
        <f>ROUND(ROUND(L90*Source!I94, 6)*SmtRes!DA131, 2)</f>
        <v>13774.88</v>
      </c>
      <c r="P90">
        <f>SmtRes!AG131</f>
        <v>0</v>
      </c>
      <c r="Q90">
        <f>SmtRes!DC131</f>
        <v>0</v>
      </c>
      <c r="R90">
        <f>ROUND(ROUND(Q90*Source!I94, 6)*1, 2)</f>
        <v>0</v>
      </c>
      <c r="S90">
        <f>SmtRes!AC131</f>
        <v>0</v>
      </c>
      <c r="T90">
        <f>ROUND(ROUND(Q90*Source!I94, 6)*SmtRes!AK131, 2)</f>
        <v>0</v>
      </c>
      <c r="U90">
        <v>3</v>
      </c>
      <c r="Y90">
        <f>SmtRes!X131</f>
        <v>-749186359</v>
      </c>
      <c r="Z90">
        <v>-1662523923</v>
      </c>
      <c r="AA90">
        <v>-1662523923</v>
      </c>
    </row>
    <row r="91" spans="1:27" x14ac:dyDescent="0.2">
      <c r="A91">
        <v>20</v>
      </c>
      <c r="B91">
        <v>130</v>
      </c>
      <c r="C91">
        <v>2</v>
      </c>
      <c r="D91">
        <v>0</v>
      </c>
      <c r="E91">
        <f>SmtRes!AV130</f>
        <v>0</v>
      </c>
      <c r="F91" t="str">
        <f>SmtRes!I130</f>
        <v>22.1-30-102</v>
      </c>
      <c r="G91" t="str">
        <f>SmtRes!K130</f>
        <v>Дрели электрические, двухскоростные, мощностью 600 Вт</v>
      </c>
      <c r="H91" t="str">
        <f>SmtRes!O130</f>
        <v>маш.-ч</v>
      </c>
      <c r="I91">
        <f>SmtRes!Y130*Source!I94</f>
        <v>1.5680000000000001</v>
      </c>
      <c r="J91">
        <f>SmtRes!AO130</f>
        <v>1</v>
      </c>
      <c r="K91">
        <f>SmtRes!AF130</f>
        <v>7.81</v>
      </c>
      <c r="L91">
        <f>SmtRes!DB130</f>
        <v>0.248</v>
      </c>
      <c r="M91">
        <f>ROUND(ROUND(L91*Source!I94, 6)*1, 2)</f>
        <v>12.15</v>
      </c>
      <c r="N91">
        <f>SmtRes!AB130</f>
        <v>7.81</v>
      </c>
      <c r="O91">
        <f>ROUND(ROUND(L91*Source!I94, 6)*SmtRes!DA130, 2)</f>
        <v>12.15</v>
      </c>
      <c r="P91">
        <f>SmtRes!AG130</f>
        <v>1.03</v>
      </c>
      <c r="Q91">
        <f>SmtRes!DC130</f>
        <v>3.2000000000000001E-2</v>
      </c>
      <c r="R91">
        <f>ROUND(ROUND(Q91*Source!I94, 6)*1, 2)</f>
        <v>1.57</v>
      </c>
      <c r="S91">
        <f>SmtRes!AC130</f>
        <v>1.03</v>
      </c>
      <c r="T91">
        <f>ROUND(ROUND(Q91*Source!I94, 6)*SmtRes!AK130, 2)</f>
        <v>1.57</v>
      </c>
      <c r="U91">
        <v>2</v>
      </c>
      <c r="Y91">
        <f>SmtRes!X130</f>
        <v>-1879814166</v>
      </c>
      <c r="Z91">
        <v>-2067572800</v>
      </c>
      <c r="AA91">
        <v>-2067572800</v>
      </c>
    </row>
    <row r="92" spans="1:27" x14ac:dyDescent="0.2">
      <c r="A92">
        <v>20</v>
      </c>
      <c r="B92">
        <v>129</v>
      </c>
      <c r="C92">
        <v>2</v>
      </c>
      <c r="D92">
        <v>0</v>
      </c>
      <c r="E92">
        <f>SmtRes!AV129</f>
        <v>0</v>
      </c>
      <c r="F92" t="str">
        <f>SmtRes!I129</f>
        <v>22.1-13-15</v>
      </c>
      <c r="G92" t="str">
        <f>SmtRes!K129</f>
        <v>Аппараты сварочные</v>
      </c>
      <c r="H92" t="str">
        <f>SmtRes!O129</f>
        <v>маш.-ч</v>
      </c>
      <c r="I92">
        <f>SmtRes!Y129*Source!I94</f>
        <v>5.4880000000000004</v>
      </c>
      <c r="J92">
        <f>SmtRes!AO129</f>
        <v>1</v>
      </c>
      <c r="K92">
        <f>SmtRes!AF129</f>
        <v>366.19</v>
      </c>
      <c r="L92">
        <f>SmtRes!DB129</f>
        <v>41.015999999999998</v>
      </c>
      <c r="M92">
        <f>ROUND(ROUND(L92*Source!I94, 6)*1, 2)</f>
        <v>2009.78</v>
      </c>
      <c r="N92">
        <f>SmtRes!AB129</f>
        <v>366.19</v>
      </c>
      <c r="O92">
        <f>ROUND(ROUND(L92*Source!I94, 6)*SmtRes!DA129, 2)</f>
        <v>2009.78</v>
      </c>
      <c r="P92">
        <f>SmtRes!AG129</f>
        <v>7.37</v>
      </c>
      <c r="Q92">
        <f>SmtRes!DC129</f>
        <v>0.82399999999999995</v>
      </c>
      <c r="R92">
        <f>ROUND(ROUND(Q92*Source!I94, 6)*1, 2)</f>
        <v>40.380000000000003</v>
      </c>
      <c r="S92">
        <f>SmtRes!AC129</f>
        <v>7.37</v>
      </c>
      <c r="T92">
        <f>ROUND(ROUND(Q92*Source!I94, 6)*SmtRes!AK129, 2)</f>
        <v>40.380000000000003</v>
      </c>
      <c r="U92">
        <v>2</v>
      </c>
      <c r="Y92">
        <f>SmtRes!X129</f>
        <v>829511768</v>
      </c>
      <c r="Z92">
        <v>-115959177</v>
      </c>
      <c r="AA92">
        <v>-115959177</v>
      </c>
    </row>
    <row r="93" spans="1:27" x14ac:dyDescent="0.2">
      <c r="A93">
        <v>20</v>
      </c>
      <c r="B93">
        <v>140</v>
      </c>
      <c r="C93">
        <v>3</v>
      </c>
      <c r="D93">
        <v>0</v>
      </c>
      <c r="E93">
        <f>SmtRes!AV140</f>
        <v>0</v>
      </c>
      <c r="F93" t="str">
        <f>SmtRes!I140</f>
        <v>21.7-3-2</v>
      </c>
      <c r="G93" t="str">
        <f>SmtRes!K140</f>
        <v>Буры с победитовым наконечником, с хвостовиком SDS-plus, размеры 10х160 мм</v>
      </c>
      <c r="H93" t="str">
        <f>SmtRes!O140</f>
        <v>шт.</v>
      </c>
      <c r="I93">
        <f>SmtRes!Y140*Source!I95</f>
        <v>0.40500000000000003</v>
      </c>
      <c r="J93">
        <f>SmtRes!AO140</f>
        <v>1</v>
      </c>
      <c r="K93">
        <f>SmtRes!AE140</f>
        <v>246.94</v>
      </c>
      <c r="L93">
        <f>SmtRes!DB140</f>
        <v>370.41</v>
      </c>
      <c r="M93">
        <f>ROUND(ROUND(L93*Source!I95, 6)*1, 2)</f>
        <v>100.01</v>
      </c>
      <c r="N93">
        <f>SmtRes!AA140</f>
        <v>246.94</v>
      </c>
      <c r="O93">
        <f>ROUND(ROUND(L93*Source!I95, 6)*SmtRes!DA140, 2)</f>
        <v>100.01</v>
      </c>
      <c r="P93">
        <f>SmtRes!AG140</f>
        <v>0</v>
      </c>
      <c r="Q93">
        <f>SmtRes!DC140</f>
        <v>0</v>
      </c>
      <c r="R93">
        <f>ROUND(ROUND(Q93*Source!I95, 6)*1, 2)</f>
        <v>0</v>
      </c>
      <c r="S93">
        <f>SmtRes!AC140</f>
        <v>0</v>
      </c>
      <c r="T93">
        <f>ROUND(ROUND(Q93*Source!I95, 6)*SmtRes!AK140, 2)</f>
        <v>0</v>
      </c>
      <c r="U93">
        <v>3</v>
      </c>
      <c r="Y93">
        <f>SmtRes!X140</f>
        <v>-415068326</v>
      </c>
      <c r="Z93">
        <v>-630482832</v>
      </c>
      <c r="AA93">
        <v>-630482832</v>
      </c>
    </row>
    <row r="94" spans="1:27" x14ac:dyDescent="0.2">
      <c r="A94">
        <v>20</v>
      </c>
      <c r="B94">
        <v>138</v>
      </c>
      <c r="C94">
        <v>3</v>
      </c>
      <c r="D94">
        <v>0</v>
      </c>
      <c r="E94">
        <f>SmtRes!AV138</f>
        <v>0</v>
      </c>
      <c r="F94" t="str">
        <f>SmtRes!I138</f>
        <v>21.21-5-358</v>
      </c>
      <c r="G94" t="str">
        <f>SmtRes!K138</f>
        <v>Держатели пластиковые с защелкой для крепления труб, рукавов и гибких вводов диаметром 20 мм</v>
      </c>
      <c r="H94" t="str">
        <f>SmtRes!O138</f>
        <v>100 шт.</v>
      </c>
      <c r="I94">
        <f>SmtRes!Y138*Source!I95</f>
        <v>0.27</v>
      </c>
      <c r="J94">
        <f>SmtRes!AO138</f>
        <v>1</v>
      </c>
      <c r="K94">
        <f>SmtRes!AE138</f>
        <v>261.24</v>
      </c>
      <c r="L94">
        <f>SmtRes!DB138</f>
        <v>261.24</v>
      </c>
      <c r="M94">
        <f>ROUND(ROUND(L94*Source!I95, 6)*1, 2)</f>
        <v>70.53</v>
      </c>
      <c r="N94">
        <f>SmtRes!AA138</f>
        <v>261.24</v>
      </c>
      <c r="O94">
        <f>ROUND(ROUND(L94*Source!I95, 6)*SmtRes!DA138, 2)</f>
        <v>70.53</v>
      </c>
      <c r="P94">
        <f>SmtRes!AG138</f>
        <v>0</v>
      </c>
      <c r="Q94">
        <f>SmtRes!DC138</f>
        <v>0</v>
      </c>
      <c r="R94">
        <f>ROUND(ROUND(Q94*Source!I95, 6)*1, 2)</f>
        <v>0</v>
      </c>
      <c r="S94">
        <f>SmtRes!AC138</f>
        <v>0</v>
      </c>
      <c r="T94">
        <f>ROUND(ROUND(Q94*Source!I95, 6)*SmtRes!AK138, 2)</f>
        <v>0</v>
      </c>
      <c r="U94">
        <v>3</v>
      </c>
      <c r="Y94">
        <f>SmtRes!X138</f>
        <v>-1648766190</v>
      </c>
      <c r="Z94">
        <v>-1681806817</v>
      </c>
      <c r="AA94">
        <v>-1681806817</v>
      </c>
    </row>
    <row r="95" spans="1:27" x14ac:dyDescent="0.2">
      <c r="A95">
        <v>20</v>
      </c>
      <c r="B95">
        <v>137</v>
      </c>
      <c r="C95">
        <v>3</v>
      </c>
      <c r="D95">
        <v>0</v>
      </c>
      <c r="E95">
        <f>SmtRes!AV137</f>
        <v>0</v>
      </c>
      <c r="F95" t="str">
        <f>SmtRes!I137</f>
        <v>21.12-5-136</v>
      </c>
      <c r="G95" t="str">
        <f>SmtRes!K137</f>
        <v>Трубы электротехнические гофрированные, поливинилхлоридные, негорючие, с зондом, наружный диаметр 20 мм</v>
      </c>
      <c r="H95" t="str">
        <f>SmtRes!O137</f>
        <v>м</v>
      </c>
      <c r="I95">
        <f>SmtRes!Y137*Source!I95</f>
        <v>27.540000000000003</v>
      </c>
      <c r="J95">
        <f>SmtRes!AO137</f>
        <v>1</v>
      </c>
      <c r="K95">
        <f>SmtRes!AE137</f>
        <v>12.1</v>
      </c>
      <c r="L95">
        <f>SmtRes!DB137</f>
        <v>1234.2</v>
      </c>
      <c r="M95">
        <f>ROUND(ROUND(L95*Source!I95, 6)*1, 2)</f>
        <v>333.23</v>
      </c>
      <c r="N95">
        <f>SmtRes!AA137</f>
        <v>12.1</v>
      </c>
      <c r="O95">
        <f>ROUND(ROUND(L95*Source!I95, 6)*SmtRes!DA137, 2)</f>
        <v>333.23</v>
      </c>
      <c r="P95">
        <f>SmtRes!AG137</f>
        <v>0</v>
      </c>
      <c r="Q95">
        <f>SmtRes!DC137</f>
        <v>0</v>
      </c>
      <c r="R95">
        <f>ROUND(ROUND(Q95*Source!I95, 6)*1, 2)</f>
        <v>0</v>
      </c>
      <c r="S95">
        <f>SmtRes!AC137</f>
        <v>0</v>
      </c>
      <c r="T95">
        <f>ROUND(ROUND(Q95*Source!I95, 6)*SmtRes!AK137, 2)</f>
        <v>0</v>
      </c>
      <c r="U95">
        <v>3</v>
      </c>
      <c r="Y95">
        <f>SmtRes!X137</f>
        <v>436151271</v>
      </c>
      <c r="Z95">
        <v>916764073</v>
      </c>
      <c r="AA95">
        <v>916764073</v>
      </c>
    </row>
    <row r="96" spans="1:27" x14ac:dyDescent="0.2">
      <c r="A96">
        <v>20</v>
      </c>
      <c r="B96">
        <v>136</v>
      </c>
      <c r="C96">
        <v>3</v>
      </c>
      <c r="D96">
        <v>0</v>
      </c>
      <c r="E96">
        <f>SmtRes!AV136</f>
        <v>0</v>
      </c>
      <c r="F96" t="str">
        <f>SmtRes!I136</f>
        <v>21.1-11-198</v>
      </c>
      <c r="G96" t="str">
        <f>SmtRes!K136</f>
        <v>Дюбели пластмассовые</v>
      </c>
      <c r="H96" t="str">
        <f>SmtRes!O136</f>
        <v>шт.</v>
      </c>
      <c r="I96">
        <f>SmtRes!Y136*Source!I95</f>
        <v>32.400000000000006</v>
      </c>
      <c r="J96">
        <f>SmtRes!AO136</f>
        <v>1</v>
      </c>
      <c r="K96">
        <f>SmtRes!AE136</f>
        <v>1.43</v>
      </c>
      <c r="L96">
        <f>SmtRes!DB136</f>
        <v>171.6</v>
      </c>
      <c r="M96">
        <f>ROUND(ROUND(L96*Source!I95, 6)*1, 2)</f>
        <v>46.33</v>
      </c>
      <c r="N96">
        <f>SmtRes!AA136</f>
        <v>1.43</v>
      </c>
      <c r="O96">
        <f>ROUND(ROUND(L96*Source!I95, 6)*SmtRes!DA136, 2)</f>
        <v>46.33</v>
      </c>
      <c r="P96">
        <f>SmtRes!AG136</f>
        <v>0</v>
      </c>
      <c r="Q96">
        <f>SmtRes!DC136</f>
        <v>0</v>
      </c>
      <c r="R96">
        <f>ROUND(ROUND(Q96*Source!I95, 6)*1, 2)</f>
        <v>0</v>
      </c>
      <c r="S96">
        <f>SmtRes!AC136</f>
        <v>0</v>
      </c>
      <c r="T96">
        <f>ROUND(ROUND(Q96*Source!I95, 6)*SmtRes!AK136, 2)</f>
        <v>0</v>
      </c>
      <c r="U96">
        <v>3</v>
      </c>
      <c r="Y96">
        <f>SmtRes!X136</f>
        <v>447429166</v>
      </c>
      <c r="Z96">
        <v>1963942266</v>
      </c>
      <c r="AA96">
        <v>1963942266</v>
      </c>
    </row>
    <row r="97" spans="1:27" x14ac:dyDescent="0.2">
      <c r="A97">
        <v>20</v>
      </c>
      <c r="B97">
        <v>135</v>
      </c>
      <c r="C97">
        <v>3</v>
      </c>
      <c r="D97">
        <v>0</v>
      </c>
      <c r="E97">
        <f>SmtRes!AV135</f>
        <v>0</v>
      </c>
      <c r="F97" t="str">
        <f>SmtRes!I135</f>
        <v>21.1-11-108</v>
      </c>
      <c r="G97" t="str">
        <f>SmtRes!K135</f>
        <v>Шурупы - саморезы, размер 3,5х45 мм</v>
      </c>
      <c r="H97" t="str">
        <f>SmtRes!O135</f>
        <v>т</v>
      </c>
      <c r="I97">
        <f>SmtRes!Y135*Source!I95</f>
        <v>5.9940000000000004E-4</v>
      </c>
      <c r="J97">
        <f>SmtRes!AO135</f>
        <v>1</v>
      </c>
      <c r="K97">
        <f>SmtRes!AE135</f>
        <v>327543.38</v>
      </c>
      <c r="L97">
        <f>SmtRes!DB135</f>
        <v>727.15</v>
      </c>
      <c r="M97">
        <f>ROUND(ROUND(L97*Source!I95, 6)*1, 2)</f>
        <v>196.33</v>
      </c>
      <c r="N97">
        <f>SmtRes!AA135</f>
        <v>327543.38</v>
      </c>
      <c r="O97">
        <f>ROUND(ROUND(L97*Source!I95, 6)*SmtRes!DA135, 2)</f>
        <v>196.33</v>
      </c>
      <c r="P97">
        <f>SmtRes!AG135</f>
        <v>0</v>
      </c>
      <c r="Q97">
        <f>SmtRes!DC135</f>
        <v>0</v>
      </c>
      <c r="R97">
        <f>ROUND(ROUND(Q97*Source!I95, 6)*1, 2)</f>
        <v>0</v>
      </c>
      <c r="S97">
        <f>SmtRes!AC135</f>
        <v>0</v>
      </c>
      <c r="T97">
        <f>ROUND(ROUND(Q97*Source!I95, 6)*SmtRes!AK135, 2)</f>
        <v>0</v>
      </c>
      <c r="U97">
        <v>3</v>
      </c>
      <c r="Y97">
        <f>SmtRes!X135</f>
        <v>335561789</v>
      </c>
      <c r="Z97">
        <v>580511363</v>
      </c>
      <c r="AA97">
        <v>580511363</v>
      </c>
    </row>
    <row r="98" spans="1:27" x14ac:dyDescent="0.2">
      <c r="A98">
        <v>20</v>
      </c>
      <c r="B98">
        <v>134</v>
      </c>
      <c r="C98">
        <v>2</v>
      </c>
      <c r="D98">
        <v>0</v>
      </c>
      <c r="E98">
        <f>SmtRes!AV134</f>
        <v>0</v>
      </c>
      <c r="F98" t="str">
        <f>SmtRes!I134</f>
        <v>22.1-30-56</v>
      </c>
      <c r="G98" t="str">
        <f>SmtRes!K134</f>
        <v>Шуруповерты</v>
      </c>
      <c r="H98" t="str">
        <f>SmtRes!O134</f>
        <v>маш.-ч</v>
      </c>
      <c r="I98">
        <f>SmtRes!Y134*Source!I95</f>
        <v>0.12959999999999999</v>
      </c>
      <c r="J98">
        <f>SmtRes!AO134</f>
        <v>1</v>
      </c>
      <c r="K98">
        <f>SmtRes!AF134</f>
        <v>5.17</v>
      </c>
      <c r="L98">
        <f>SmtRes!DB134</f>
        <v>2.48</v>
      </c>
      <c r="M98">
        <f>ROUND(ROUND(L98*Source!I95, 6)*1, 2)</f>
        <v>0.67</v>
      </c>
      <c r="N98">
        <f>SmtRes!AB134</f>
        <v>5.17</v>
      </c>
      <c r="O98">
        <f>ROUND(ROUND(L98*Source!I95, 6)*SmtRes!DA134, 2)</f>
        <v>0.67</v>
      </c>
      <c r="P98">
        <f>SmtRes!AG134</f>
        <v>0.01</v>
      </c>
      <c r="Q98">
        <f>SmtRes!DC134</f>
        <v>0</v>
      </c>
      <c r="R98">
        <f>ROUND(ROUND(Q98*Source!I95, 6)*1, 2)</f>
        <v>0</v>
      </c>
      <c r="S98">
        <f>SmtRes!AC134</f>
        <v>0.01</v>
      </c>
      <c r="T98">
        <f>ROUND(ROUND(Q98*Source!I95, 6)*SmtRes!AK134, 2)</f>
        <v>0</v>
      </c>
      <c r="U98">
        <v>2</v>
      </c>
      <c r="Y98">
        <f>SmtRes!X134</f>
        <v>1197532078</v>
      </c>
      <c r="Z98">
        <v>1866338156</v>
      </c>
      <c r="AA98">
        <v>1866338156</v>
      </c>
    </row>
    <row r="99" spans="1:27" x14ac:dyDescent="0.2">
      <c r="A99">
        <v>20</v>
      </c>
      <c r="B99">
        <v>133</v>
      </c>
      <c r="C99">
        <v>2</v>
      </c>
      <c r="D99">
        <v>0</v>
      </c>
      <c r="E99">
        <f>SmtRes!AV133</f>
        <v>0</v>
      </c>
      <c r="F99" t="str">
        <f>SmtRes!I133</f>
        <v>22.1-30-103</v>
      </c>
      <c r="G99" t="str">
        <f>SmtRes!K133</f>
        <v>Перфораторы электрические, мощность до 800 Вт</v>
      </c>
      <c r="H99" t="str">
        <f>SmtRes!O133</f>
        <v>маш.-ч</v>
      </c>
      <c r="I99">
        <f>SmtRes!Y133*Source!I95</f>
        <v>1.3094999999999999</v>
      </c>
      <c r="J99">
        <f>SmtRes!AO133</f>
        <v>1</v>
      </c>
      <c r="K99">
        <f>SmtRes!AF133</f>
        <v>8.1</v>
      </c>
      <c r="L99">
        <f>SmtRes!DB133</f>
        <v>39.29</v>
      </c>
      <c r="M99">
        <f>ROUND(ROUND(L99*Source!I95, 6)*1, 2)</f>
        <v>10.61</v>
      </c>
      <c r="N99">
        <f>SmtRes!AB133</f>
        <v>8.1</v>
      </c>
      <c r="O99">
        <f>ROUND(ROUND(L99*Source!I95, 6)*SmtRes!DA133, 2)</f>
        <v>10.61</v>
      </c>
      <c r="P99">
        <f>SmtRes!AG133</f>
        <v>1.03</v>
      </c>
      <c r="Q99">
        <f>SmtRes!DC133</f>
        <v>5</v>
      </c>
      <c r="R99">
        <f>ROUND(ROUND(Q99*Source!I95, 6)*1, 2)</f>
        <v>1.35</v>
      </c>
      <c r="S99">
        <f>SmtRes!AC133</f>
        <v>1.03</v>
      </c>
      <c r="T99">
        <f>ROUND(ROUND(Q99*Source!I95, 6)*SmtRes!AK133, 2)</f>
        <v>1.35</v>
      </c>
      <c r="U99">
        <v>2</v>
      </c>
      <c r="Y99">
        <f>SmtRes!X133</f>
        <v>259953263</v>
      </c>
      <c r="Z99">
        <v>921425808</v>
      </c>
      <c r="AA99">
        <v>921425808</v>
      </c>
    </row>
    <row r="100" spans="1:27" x14ac:dyDescent="0.2">
      <c r="A100">
        <v>20</v>
      </c>
      <c r="B100">
        <v>165</v>
      </c>
      <c r="C100">
        <v>3</v>
      </c>
      <c r="D100">
        <v>0</v>
      </c>
      <c r="E100">
        <f>SmtRes!AV165</f>
        <v>0</v>
      </c>
      <c r="F100" t="str">
        <f>SmtRes!I165</f>
        <v>21.7-3-54</v>
      </c>
      <c r="G100" t="str">
        <f>SmtRes!K165</f>
        <v>Сверло с алмазным покрытием, диаметр 6 мм</v>
      </c>
      <c r="H100" t="str">
        <f>SmtRes!O165</f>
        <v>шт.</v>
      </c>
      <c r="I100">
        <f>SmtRes!Y165*Source!I105</f>
        <v>2.96</v>
      </c>
      <c r="J100">
        <f>SmtRes!AO165</f>
        <v>1</v>
      </c>
      <c r="K100">
        <f>SmtRes!AE165</f>
        <v>1561.93</v>
      </c>
      <c r="L100">
        <f>SmtRes!DB165</f>
        <v>6247.72</v>
      </c>
      <c r="M100">
        <f>ROUND(ROUND(L100*Source!I105, 6)*1, 2)</f>
        <v>4623.3100000000004</v>
      </c>
      <c r="N100">
        <f>SmtRes!AA165</f>
        <v>1561.93</v>
      </c>
      <c r="O100">
        <f>ROUND(ROUND(L100*Source!I105, 6)*SmtRes!DA165, 2)</f>
        <v>4623.3100000000004</v>
      </c>
      <c r="P100">
        <f>SmtRes!AG165</f>
        <v>0</v>
      </c>
      <c r="Q100">
        <f>SmtRes!DC165</f>
        <v>0</v>
      </c>
      <c r="R100">
        <f>ROUND(ROUND(Q100*Source!I105, 6)*1, 2)</f>
        <v>0</v>
      </c>
      <c r="S100">
        <f>SmtRes!AC165</f>
        <v>0</v>
      </c>
      <c r="T100">
        <f>ROUND(ROUND(Q100*Source!I105, 6)*SmtRes!AK165, 2)</f>
        <v>0</v>
      </c>
      <c r="U100">
        <v>3</v>
      </c>
      <c r="Y100">
        <f>SmtRes!X165</f>
        <v>1830738769</v>
      </c>
      <c r="Z100">
        <v>-848729506</v>
      </c>
      <c r="AA100">
        <v>-848729506</v>
      </c>
    </row>
    <row r="101" spans="1:27" x14ac:dyDescent="0.2">
      <c r="A101">
        <v>20</v>
      </c>
      <c r="B101">
        <v>159</v>
      </c>
      <c r="C101">
        <v>3</v>
      </c>
      <c r="D101">
        <v>0</v>
      </c>
      <c r="E101">
        <f>SmtRes!AV159</f>
        <v>0</v>
      </c>
      <c r="F101" t="str">
        <f>SmtRes!I159</f>
        <v>21.1-25-1021</v>
      </c>
      <c r="G101" t="str">
        <f>SmtRes!K159</f>
        <v>Кабель-каналы, размер 40х20 мм: кабель-каналы</v>
      </c>
      <c r="H101" t="str">
        <f>SmtRes!O159</f>
        <v>м</v>
      </c>
      <c r="I101">
        <f>SmtRes!Y159*Source!I105</f>
        <v>74</v>
      </c>
      <c r="J101">
        <f>SmtRes!AO159</f>
        <v>1</v>
      </c>
      <c r="K101">
        <f>SmtRes!AE159</f>
        <v>166.42</v>
      </c>
      <c r="L101">
        <f>SmtRes!DB159</f>
        <v>16642</v>
      </c>
      <c r="M101">
        <f>ROUND(ROUND(L101*Source!I105, 6)*1, 2)</f>
        <v>12315.08</v>
      </c>
      <c r="N101">
        <f>SmtRes!AA159</f>
        <v>166.42</v>
      </c>
      <c r="O101">
        <f>ROUND(ROUND(L101*Source!I105, 6)*SmtRes!DA159, 2)</f>
        <v>12315.08</v>
      </c>
      <c r="P101">
        <f>SmtRes!AG159</f>
        <v>0</v>
      </c>
      <c r="Q101">
        <f>SmtRes!DC159</f>
        <v>0</v>
      </c>
      <c r="R101">
        <f>ROUND(ROUND(Q101*Source!I105, 6)*1, 2)</f>
        <v>0</v>
      </c>
      <c r="S101">
        <f>SmtRes!AC159</f>
        <v>0</v>
      </c>
      <c r="T101">
        <f>ROUND(ROUND(Q101*Source!I105, 6)*SmtRes!AK159, 2)</f>
        <v>0</v>
      </c>
      <c r="U101">
        <v>3</v>
      </c>
      <c r="Y101">
        <f>SmtRes!X159</f>
        <v>-805156398</v>
      </c>
      <c r="Z101">
        <v>-1362750</v>
      </c>
      <c r="AA101">
        <v>-1362750</v>
      </c>
    </row>
    <row r="102" spans="1:27" x14ac:dyDescent="0.2">
      <c r="A102">
        <v>20</v>
      </c>
      <c r="B102">
        <v>158</v>
      </c>
      <c r="C102">
        <v>3</v>
      </c>
      <c r="D102">
        <v>0</v>
      </c>
      <c r="E102">
        <f>SmtRes!AV158</f>
        <v>0</v>
      </c>
      <c r="F102" t="str">
        <f>SmtRes!I158</f>
        <v>21.1-11-81</v>
      </c>
      <c r="G102" t="str">
        <f>SmtRes!K158</f>
        <v>Патроны, калибр 6,8/11 М для дюбеля</v>
      </c>
      <c r="H102" t="str">
        <f>SmtRes!O158</f>
        <v>100 шт.</v>
      </c>
      <c r="I102">
        <f>SmtRes!Y158*Source!I105</f>
        <v>2.96</v>
      </c>
      <c r="J102">
        <f>SmtRes!AO158</f>
        <v>1</v>
      </c>
      <c r="K102">
        <f>SmtRes!AE158</f>
        <v>1126.26</v>
      </c>
      <c r="L102">
        <f>SmtRes!DB158</f>
        <v>4505.04</v>
      </c>
      <c r="M102">
        <f>ROUND(ROUND(L102*Source!I105, 6)*1, 2)</f>
        <v>3333.73</v>
      </c>
      <c r="N102">
        <f>SmtRes!AA158</f>
        <v>1126.26</v>
      </c>
      <c r="O102">
        <f>ROUND(ROUND(L102*Source!I105, 6)*SmtRes!DA158, 2)</f>
        <v>3333.73</v>
      </c>
      <c r="P102">
        <f>SmtRes!AG158</f>
        <v>0</v>
      </c>
      <c r="Q102">
        <f>SmtRes!DC158</f>
        <v>0</v>
      </c>
      <c r="R102">
        <f>ROUND(ROUND(Q102*Source!I105, 6)*1, 2)</f>
        <v>0</v>
      </c>
      <c r="S102">
        <f>SmtRes!AC158</f>
        <v>0</v>
      </c>
      <c r="T102">
        <f>ROUND(ROUND(Q102*Source!I105, 6)*SmtRes!AK158, 2)</f>
        <v>0</v>
      </c>
      <c r="U102">
        <v>3</v>
      </c>
      <c r="Y102">
        <f>SmtRes!X158</f>
        <v>-972910948</v>
      </c>
      <c r="Z102">
        <v>2117804491</v>
      </c>
      <c r="AA102">
        <v>2117804491</v>
      </c>
    </row>
    <row r="103" spans="1:27" x14ac:dyDescent="0.2">
      <c r="A103">
        <v>20</v>
      </c>
      <c r="B103">
        <v>157</v>
      </c>
      <c r="C103">
        <v>3</v>
      </c>
      <c r="D103">
        <v>0</v>
      </c>
      <c r="E103">
        <f>SmtRes!AV157</f>
        <v>0</v>
      </c>
      <c r="F103" t="str">
        <f>SmtRes!I157</f>
        <v>21.1-11-108</v>
      </c>
      <c r="G103" t="str">
        <f>SmtRes!K157</f>
        <v>Шурупы - саморезы, размер 3,5х45 мм</v>
      </c>
      <c r="H103" t="str">
        <f>SmtRes!O157</f>
        <v>т</v>
      </c>
      <c r="I103">
        <f>SmtRes!Y157*Source!I105</f>
        <v>5.4759999999999997E-4</v>
      </c>
      <c r="J103">
        <f>SmtRes!AO157</f>
        <v>1</v>
      </c>
      <c r="K103">
        <f>SmtRes!AE157</f>
        <v>327543.38</v>
      </c>
      <c r="L103">
        <f>SmtRes!DB157</f>
        <v>242.38</v>
      </c>
      <c r="M103">
        <f>ROUND(ROUND(L103*Source!I105, 6)*1, 2)</f>
        <v>179.36</v>
      </c>
      <c r="N103">
        <f>SmtRes!AA157</f>
        <v>327543.38</v>
      </c>
      <c r="O103">
        <f>ROUND(ROUND(L103*Source!I105, 6)*SmtRes!DA157, 2)</f>
        <v>179.36</v>
      </c>
      <c r="P103">
        <f>SmtRes!AG157</f>
        <v>0</v>
      </c>
      <c r="Q103">
        <f>SmtRes!DC157</f>
        <v>0</v>
      </c>
      <c r="R103">
        <f>ROUND(ROUND(Q103*Source!I105, 6)*1, 2)</f>
        <v>0</v>
      </c>
      <c r="S103">
        <f>SmtRes!AC157</f>
        <v>0</v>
      </c>
      <c r="T103">
        <f>ROUND(ROUND(Q103*Source!I105, 6)*SmtRes!AK157, 2)</f>
        <v>0</v>
      </c>
      <c r="U103">
        <v>3</v>
      </c>
      <c r="Y103">
        <f>SmtRes!X157</f>
        <v>335561789</v>
      </c>
      <c r="Z103">
        <v>580511363</v>
      </c>
      <c r="AA103">
        <v>580511363</v>
      </c>
    </row>
    <row r="104" spans="1:27" x14ac:dyDescent="0.2">
      <c r="A104">
        <v>20</v>
      </c>
      <c r="B104">
        <v>156</v>
      </c>
      <c r="C104">
        <v>2</v>
      </c>
      <c r="D104">
        <v>0</v>
      </c>
      <c r="E104">
        <f>SmtRes!AV156</f>
        <v>0</v>
      </c>
      <c r="F104" t="str">
        <f>SmtRes!I156</f>
        <v>22.1-30-102</v>
      </c>
      <c r="G104" t="str">
        <f>SmtRes!K156</f>
        <v>Дрели электрические, двухскоростные, мощностью 600 Вт</v>
      </c>
      <c r="H104" t="str">
        <f>SmtRes!O156</f>
        <v>маш.-ч</v>
      </c>
      <c r="I104">
        <f>SmtRes!Y156*Source!I105</f>
        <v>0.111</v>
      </c>
      <c r="J104">
        <f>SmtRes!AO156</f>
        <v>1</v>
      </c>
      <c r="K104">
        <f>SmtRes!AF156</f>
        <v>7.81</v>
      </c>
      <c r="L104">
        <f>SmtRes!DB156</f>
        <v>1.17</v>
      </c>
      <c r="M104">
        <f>ROUND(ROUND(L104*Source!I105, 6)*1, 2)</f>
        <v>0.87</v>
      </c>
      <c r="N104">
        <f>SmtRes!AB156</f>
        <v>7.81</v>
      </c>
      <c r="O104">
        <f>ROUND(ROUND(L104*Source!I105, 6)*SmtRes!DA156, 2)</f>
        <v>0.87</v>
      </c>
      <c r="P104">
        <f>SmtRes!AG156</f>
        <v>1.03</v>
      </c>
      <c r="Q104">
        <f>SmtRes!DC156</f>
        <v>0.15</v>
      </c>
      <c r="R104">
        <f>ROUND(ROUND(Q104*Source!I105, 6)*1, 2)</f>
        <v>0.11</v>
      </c>
      <c r="S104">
        <f>SmtRes!AC156</f>
        <v>1.03</v>
      </c>
      <c r="T104">
        <f>ROUND(ROUND(Q104*Source!I105, 6)*SmtRes!AK156, 2)</f>
        <v>0.11</v>
      </c>
      <c r="U104">
        <v>2</v>
      </c>
      <c r="Y104">
        <f>SmtRes!X156</f>
        <v>-1879814166</v>
      </c>
      <c r="Z104">
        <v>-2067572800</v>
      </c>
      <c r="AA104">
        <v>-2067572800</v>
      </c>
    </row>
    <row r="105" spans="1:27" x14ac:dyDescent="0.2">
      <c r="A105">
        <v>20</v>
      </c>
      <c r="B105">
        <v>155</v>
      </c>
      <c r="C105">
        <v>2</v>
      </c>
      <c r="D105">
        <v>0</v>
      </c>
      <c r="E105">
        <f>SmtRes!AV155</f>
        <v>0</v>
      </c>
      <c r="F105" t="str">
        <f>SmtRes!I155</f>
        <v>22.1-30-10</v>
      </c>
      <c r="G105" t="str">
        <f>SmtRes!K155</f>
        <v>Перфораторы электрические, мощность до 500 Вт</v>
      </c>
      <c r="H105" t="str">
        <f>SmtRes!O155</f>
        <v>маш.-ч</v>
      </c>
      <c r="I105">
        <f>SmtRes!Y155*Source!I105</f>
        <v>9.6199999999999992</v>
      </c>
      <c r="J105">
        <f>SmtRes!AO155</f>
        <v>1</v>
      </c>
      <c r="K105">
        <f>SmtRes!AF155</f>
        <v>3.14</v>
      </c>
      <c r="L105">
        <f>SmtRes!DB155</f>
        <v>40.82</v>
      </c>
      <c r="M105">
        <f>ROUND(ROUND(L105*Source!I105, 6)*1, 2)</f>
        <v>30.21</v>
      </c>
      <c r="N105">
        <f>SmtRes!AB155</f>
        <v>3.14</v>
      </c>
      <c r="O105">
        <f>ROUND(ROUND(L105*Source!I105, 6)*SmtRes!DA155, 2)</f>
        <v>30.21</v>
      </c>
      <c r="P105">
        <f>SmtRes!AG155</f>
        <v>0.01</v>
      </c>
      <c r="Q105">
        <f>SmtRes!DC155</f>
        <v>0.13</v>
      </c>
      <c r="R105">
        <f>ROUND(ROUND(Q105*Source!I105, 6)*1, 2)</f>
        <v>0.1</v>
      </c>
      <c r="S105">
        <f>SmtRes!AC155</f>
        <v>0.01</v>
      </c>
      <c r="T105">
        <f>ROUND(ROUND(Q105*Source!I105, 6)*SmtRes!AK155, 2)</f>
        <v>0.1</v>
      </c>
      <c r="U105">
        <v>2</v>
      </c>
      <c r="Y105">
        <f>SmtRes!X155</f>
        <v>-376097338</v>
      </c>
      <c r="Z105">
        <v>-249007219</v>
      </c>
      <c r="AA105">
        <v>-249007219</v>
      </c>
    </row>
    <row r="106" spans="1:27" x14ac:dyDescent="0.2">
      <c r="A106">
        <f>Source!A112</f>
        <v>18</v>
      </c>
      <c r="B106">
        <v>112</v>
      </c>
      <c r="C106">
        <v>3</v>
      </c>
      <c r="D106">
        <f>Source!BI112</f>
        <v>4</v>
      </c>
      <c r="E106">
        <f>Source!FS112</f>
        <v>0</v>
      </c>
      <c r="F106" t="str">
        <f>Source!F112</f>
        <v>21.23-8-270</v>
      </c>
      <c r="G106" t="str">
        <f>Source!G112</f>
        <v>Кабели силовые, с медными жилами, с изоляц. и оболоч.из ПВХ пластиката пониж.пожар.опасности, не распростр.горение, с пониж.дымо- и газовыделением и с низк.токсич-тью продуктов горения, напряж.1000 В, марка ВВГнг(А)-LSLTx, число жил и сечение, мм2: 3х2,5</v>
      </c>
      <c r="H106" t="str">
        <f>Source!H112</f>
        <v>км</v>
      </c>
      <c r="I106">
        <f>Source!I112</f>
        <v>3.3660000000000002E-2</v>
      </c>
      <c r="J106">
        <v>1</v>
      </c>
      <c r="K106">
        <f>Source!AC112</f>
        <v>180898.67</v>
      </c>
      <c r="M106">
        <f>ROUND(K106*I106, 2)</f>
        <v>6089.05</v>
      </c>
      <c r="N106">
        <f>Source!AC112*IF(Source!BC112&lt;&gt; 0, Source!BC112, 1)</f>
        <v>180898.67</v>
      </c>
      <c r="O106">
        <f>ROUND(N106*I106, 2)</f>
        <v>6089.05</v>
      </c>
      <c r="P106">
        <f>Source!AE112</f>
        <v>0</v>
      </c>
      <c r="R106">
        <f>ROUND(P106*I106, 2)</f>
        <v>0</v>
      </c>
      <c r="S106">
        <f>Source!AE112*IF(Source!BS112&lt;&gt; 0, Source!BS112, 1)</f>
        <v>0</v>
      </c>
      <c r="T106">
        <f>ROUND(S106*I106, 2)</f>
        <v>0</v>
      </c>
      <c r="U106">
        <v>3</v>
      </c>
      <c r="Y106">
        <f>Source!GF112</f>
        <v>-1043724858</v>
      </c>
      <c r="Z106">
        <v>952629732</v>
      </c>
      <c r="AA106">
        <v>952629732</v>
      </c>
    </row>
    <row r="107" spans="1:27" x14ac:dyDescent="0.2">
      <c r="A107">
        <v>20</v>
      </c>
      <c r="B107">
        <v>174</v>
      </c>
      <c r="C107">
        <v>3</v>
      </c>
      <c r="D107">
        <v>0</v>
      </c>
      <c r="E107">
        <f>SmtRes!AV174</f>
        <v>0</v>
      </c>
      <c r="F107" t="str">
        <f>SmtRes!I174</f>
        <v>21.21-5-44</v>
      </c>
      <c r="G107" t="str">
        <f>SmtRes!K174</f>
        <v>Кнопки для ленты ЛМ, тип 3,5</v>
      </c>
      <c r="H107" t="str">
        <f>SmtRes!O174</f>
        <v>1000 шт.</v>
      </c>
      <c r="I107">
        <f>SmtRes!Y174*Source!I113</f>
        <v>9.6000000000000002E-2</v>
      </c>
      <c r="J107">
        <f>SmtRes!AO174</f>
        <v>1</v>
      </c>
      <c r="K107">
        <f>SmtRes!AE174</f>
        <v>187.09</v>
      </c>
      <c r="L107">
        <f>SmtRes!DB174</f>
        <v>3.74</v>
      </c>
      <c r="M107">
        <f>ROUND(ROUND(L107*Source!I113, 6)*1, 2)</f>
        <v>17.95</v>
      </c>
      <c r="N107">
        <f>SmtRes!AA174</f>
        <v>187.09</v>
      </c>
      <c r="O107">
        <f>ROUND(ROUND(L107*Source!I113, 6)*SmtRes!DA174, 2)</f>
        <v>17.95</v>
      </c>
      <c r="P107">
        <f>SmtRes!AG174</f>
        <v>0</v>
      </c>
      <c r="Q107">
        <f>SmtRes!DC174</f>
        <v>0</v>
      </c>
      <c r="R107">
        <f>ROUND(ROUND(Q107*Source!I113, 6)*1, 2)</f>
        <v>0</v>
      </c>
      <c r="S107">
        <f>SmtRes!AC174</f>
        <v>0</v>
      </c>
      <c r="T107">
        <f>ROUND(ROUND(Q107*Source!I113, 6)*SmtRes!AK174, 2)</f>
        <v>0</v>
      </c>
      <c r="U107">
        <v>3</v>
      </c>
      <c r="Y107">
        <f>SmtRes!X174</f>
        <v>815111038</v>
      </c>
      <c r="Z107">
        <v>405370849</v>
      </c>
      <c r="AA107">
        <v>405370849</v>
      </c>
    </row>
    <row r="108" spans="1:27" x14ac:dyDescent="0.2">
      <c r="A108">
        <v>20</v>
      </c>
      <c r="B108">
        <v>173</v>
      </c>
      <c r="C108">
        <v>3</v>
      </c>
      <c r="D108">
        <v>0</v>
      </c>
      <c r="E108">
        <f>SmtRes!AV173</f>
        <v>0</v>
      </c>
      <c r="F108" t="str">
        <f>SmtRes!I173</f>
        <v>21.21-5-342</v>
      </c>
      <c r="G108" t="str">
        <f>SmtRes!K173</f>
        <v>Хомуты (стяжки) кабельные из полиамида, размеры 3,6х200 мм</v>
      </c>
      <c r="H108" t="str">
        <f>SmtRes!O173</f>
        <v>100 шт.</v>
      </c>
      <c r="I108">
        <f>SmtRes!Y173*Source!I113</f>
        <v>1.44</v>
      </c>
      <c r="J108">
        <f>SmtRes!AO173</f>
        <v>1</v>
      </c>
      <c r="K108">
        <f>SmtRes!AE173</f>
        <v>118.38</v>
      </c>
      <c r="L108">
        <f>SmtRes!DB173</f>
        <v>35.51</v>
      </c>
      <c r="M108">
        <f>ROUND(ROUND(L108*Source!I113, 6)*1, 2)</f>
        <v>170.45</v>
      </c>
      <c r="N108">
        <f>SmtRes!AA173</f>
        <v>118.38</v>
      </c>
      <c r="O108">
        <f>ROUND(ROUND(L108*Source!I113, 6)*SmtRes!DA173, 2)</f>
        <v>170.45</v>
      </c>
      <c r="P108">
        <f>SmtRes!AG173</f>
        <v>0</v>
      </c>
      <c r="Q108">
        <f>SmtRes!DC173</f>
        <v>0</v>
      </c>
      <c r="R108">
        <f>ROUND(ROUND(Q108*Source!I113, 6)*1, 2)</f>
        <v>0</v>
      </c>
      <c r="S108">
        <f>SmtRes!AC173</f>
        <v>0</v>
      </c>
      <c r="T108">
        <f>ROUND(ROUND(Q108*Source!I113, 6)*SmtRes!AK173, 2)</f>
        <v>0</v>
      </c>
      <c r="U108">
        <v>3</v>
      </c>
      <c r="Y108">
        <f>SmtRes!X173</f>
        <v>1094888661</v>
      </c>
      <c r="Z108">
        <v>607614968</v>
      </c>
      <c r="AA108">
        <v>607614968</v>
      </c>
    </row>
    <row r="109" spans="1:27" x14ac:dyDescent="0.2">
      <c r="A109">
        <v>20</v>
      </c>
      <c r="B109">
        <v>172</v>
      </c>
      <c r="C109">
        <v>3</v>
      </c>
      <c r="D109">
        <v>0</v>
      </c>
      <c r="E109">
        <f>SmtRes!AV172</f>
        <v>0</v>
      </c>
      <c r="F109" t="str">
        <f>SmtRes!I172</f>
        <v>21.21-5-305</v>
      </c>
      <c r="G109" t="str">
        <f>SmtRes!K172</f>
        <v>Сжимы, тип У731М для проводников магистральных сечением от 4 до 10 мм2 и ответвительных от 1,5 до 10 мм2</v>
      </c>
      <c r="H109" t="str">
        <f>SmtRes!O172</f>
        <v>шт.</v>
      </c>
      <c r="I109">
        <f>SmtRes!Y172*Source!I113</f>
        <v>48</v>
      </c>
      <c r="J109">
        <f>SmtRes!AO172</f>
        <v>1</v>
      </c>
      <c r="K109">
        <f>SmtRes!AE172</f>
        <v>21.08</v>
      </c>
      <c r="L109">
        <f>SmtRes!DB172</f>
        <v>210.8</v>
      </c>
      <c r="M109">
        <f>ROUND(ROUND(L109*Source!I113, 6)*1, 2)</f>
        <v>1011.84</v>
      </c>
      <c r="N109">
        <f>SmtRes!AA172</f>
        <v>21.08</v>
      </c>
      <c r="O109">
        <f>ROUND(ROUND(L109*Source!I113, 6)*SmtRes!DA172, 2)</f>
        <v>1011.84</v>
      </c>
      <c r="P109">
        <f>SmtRes!AG172</f>
        <v>0</v>
      </c>
      <c r="Q109">
        <f>SmtRes!DC172</f>
        <v>0</v>
      </c>
      <c r="R109">
        <f>ROUND(ROUND(Q109*Source!I113, 6)*1, 2)</f>
        <v>0</v>
      </c>
      <c r="S109">
        <f>SmtRes!AC172</f>
        <v>0</v>
      </c>
      <c r="T109">
        <f>ROUND(ROUND(Q109*Source!I113, 6)*SmtRes!AK172, 2)</f>
        <v>0</v>
      </c>
      <c r="U109">
        <v>3</v>
      </c>
      <c r="Y109">
        <f>SmtRes!X172</f>
        <v>-560680092</v>
      </c>
      <c r="Z109">
        <v>80072426</v>
      </c>
      <c r="AA109">
        <v>80072426</v>
      </c>
    </row>
    <row r="110" spans="1:27" x14ac:dyDescent="0.2">
      <c r="A110">
        <v>20</v>
      </c>
      <c r="B110">
        <v>171</v>
      </c>
      <c r="C110">
        <v>3</v>
      </c>
      <c r="D110">
        <v>0</v>
      </c>
      <c r="E110">
        <f>SmtRes!AV171</f>
        <v>0</v>
      </c>
      <c r="F110" t="str">
        <f>SmtRes!I171</f>
        <v>21.21-5-2</v>
      </c>
      <c r="G110" t="str">
        <f>SmtRes!K171</f>
        <v>Бирки маркировочные для кабелей и проводов, тип У153 У3,5</v>
      </c>
      <c r="H110" t="str">
        <f>SmtRes!O171</f>
        <v>1000 шт.</v>
      </c>
      <c r="I110">
        <f>SmtRes!Y171*Source!I113</f>
        <v>2.4E-2</v>
      </c>
      <c r="J110">
        <f>SmtRes!AO171</f>
        <v>1</v>
      </c>
      <c r="K110">
        <f>SmtRes!AE171</f>
        <v>495.85</v>
      </c>
      <c r="L110">
        <f>SmtRes!DB171</f>
        <v>2.48</v>
      </c>
      <c r="M110">
        <f>ROUND(ROUND(L110*Source!I113, 6)*1, 2)</f>
        <v>11.9</v>
      </c>
      <c r="N110">
        <f>SmtRes!AA171</f>
        <v>495.85</v>
      </c>
      <c r="O110">
        <f>ROUND(ROUND(L110*Source!I113, 6)*SmtRes!DA171, 2)</f>
        <v>11.9</v>
      </c>
      <c r="P110">
        <f>SmtRes!AG171</f>
        <v>0</v>
      </c>
      <c r="Q110">
        <f>SmtRes!DC171</f>
        <v>0</v>
      </c>
      <c r="R110">
        <f>ROUND(ROUND(Q110*Source!I113, 6)*1, 2)</f>
        <v>0</v>
      </c>
      <c r="S110">
        <f>SmtRes!AC171</f>
        <v>0</v>
      </c>
      <c r="T110">
        <f>ROUND(ROUND(Q110*Source!I113, 6)*SmtRes!AK171, 2)</f>
        <v>0</v>
      </c>
      <c r="U110">
        <v>3</v>
      </c>
      <c r="Y110">
        <f>SmtRes!X171</f>
        <v>-945376992</v>
      </c>
      <c r="Z110">
        <v>-473207899</v>
      </c>
      <c r="AA110">
        <v>-473207899</v>
      </c>
    </row>
    <row r="111" spans="1:27" x14ac:dyDescent="0.2">
      <c r="A111">
        <v>20</v>
      </c>
      <c r="B111">
        <v>170</v>
      </c>
      <c r="C111">
        <v>3</v>
      </c>
      <c r="D111">
        <v>0</v>
      </c>
      <c r="E111">
        <f>SmtRes!AV170</f>
        <v>0</v>
      </c>
      <c r="F111" t="str">
        <f>SmtRes!I170</f>
        <v>21.21-5-114</v>
      </c>
      <c r="G111" t="str">
        <f>SmtRes!K170</f>
        <v>Лента монтажная, тип ЛМ-5</v>
      </c>
      <c r="H111" t="str">
        <f>SmtRes!O170</f>
        <v>м</v>
      </c>
      <c r="I111">
        <f>SmtRes!Y170*Source!I113</f>
        <v>26.4</v>
      </c>
      <c r="J111">
        <f>SmtRes!AO170</f>
        <v>1</v>
      </c>
      <c r="K111">
        <f>SmtRes!AE170</f>
        <v>3.77</v>
      </c>
      <c r="L111">
        <f>SmtRes!DB170</f>
        <v>20.74</v>
      </c>
      <c r="M111">
        <f>ROUND(ROUND(L111*Source!I113, 6)*1, 2)</f>
        <v>99.55</v>
      </c>
      <c r="N111">
        <f>SmtRes!AA170</f>
        <v>3.77</v>
      </c>
      <c r="O111">
        <f>ROUND(ROUND(L111*Source!I113, 6)*SmtRes!DA170, 2)</f>
        <v>99.55</v>
      </c>
      <c r="P111">
        <f>SmtRes!AG170</f>
        <v>0</v>
      </c>
      <c r="Q111">
        <f>SmtRes!DC170</f>
        <v>0</v>
      </c>
      <c r="R111">
        <f>ROUND(ROUND(Q111*Source!I113, 6)*1, 2)</f>
        <v>0</v>
      </c>
      <c r="S111">
        <f>SmtRes!AC170</f>
        <v>0</v>
      </c>
      <c r="T111">
        <f>ROUND(ROUND(Q111*Source!I113, 6)*SmtRes!AK170, 2)</f>
        <v>0</v>
      </c>
      <c r="U111">
        <v>3</v>
      </c>
      <c r="Y111">
        <f>SmtRes!X170</f>
        <v>-1161964696</v>
      </c>
      <c r="Z111">
        <v>-811331557</v>
      </c>
      <c r="AA111">
        <v>-811331557</v>
      </c>
    </row>
    <row r="112" spans="1:27" x14ac:dyDescent="0.2">
      <c r="A112">
        <v>20</v>
      </c>
      <c r="B112">
        <v>169</v>
      </c>
      <c r="C112">
        <v>3</v>
      </c>
      <c r="D112">
        <v>0</v>
      </c>
      <c r="E112">
        <f>SmtRes!AV169</f>
        <v>0</v>
      </c>
      <c r="F112" t="str">
        <f>SmtRes!I169</f>
        <v>21.1-20-10</v>
      </c>
      <c r="G112" t="str">
        <f>SmtRes!K169</f>
        <v>Лента изоляционная хлопчатобумажная</v>
      </c>
      <c r="H112" t="str">
        <f>SmtRes!O169</f>
        <v>кг</v>
      </c>
      <c r="I112">
        <f>SmtRes!Y169*Source!I113</f>
        <v>0.76800000000000002</v>
      </c>
      <c r="J112">
        <f>SmtRes!AO169</f>
        <v>1</v>
      </c>
      <c r="K112">
        <f>SmtRes!AE169</f>
        <v>151.68</v>
      </c>
      <c r="L112">
        <f>SmtRes!DB169</f>
        <v>24.27</v>
      </c>
      <c r="M112">
        <f>ROUND(ROUND(L112*Source!I113, 6)*1, 2)</f>
        <v>116.5</v>
      </c>
      <c r="N112">
        <f>SmtRes!AA169</f>
        <v>151.68</v>
      </c>
      <c r="O112">
        <f>ROUND(ROUND(L112*Source!I113, 6)*SmtRes!DA169, 2)</f>
        <v>116.5</v>
      </c>
      <c r="P112">
        <f>SmtRes!AG169</f>
        <v>0</v>
      </c>
      <c r="Q112">
        <f>SmtRes!DC169</f>
        <v>0</v>
      </c>
      <c r="R112">
        <f>ROUND(ROUND(Q112*Source!I113, 6)*1, 2)</f>
        <v>0</v>
      </c>
      <c r="S112">
        <f>SmtRes!AC169</f>
        <v>0</v>
      </c>
      <c r="T112">
        <f>ROUND(ROUND(Q112*Source!I113, 6)*SmtRes!AK169, 2)</f>
        <v>0</v>
      </c>
      <c r="U112">
        <v>3</v>
      </c>
      <c r="Y112">
        <f>SmtRes!X169</f>
        <v>-272147788</v>
      </c>
      <c r="Z112">
        <v>-1529386601</v>
      </c>
      <c r="AA112">
        <v>-1529386601</v>
      </c>
    </row>
    <row r="113" spans="1:27" x14ac:dyDescent="0.2">
      <c r="A113">
        <f>Source!A114</f>
        <v>18</v>
      </c>
      <c r="B113">
        <v>114</v>
      </c>
      <c r="C113">
        <v>3</v>
      </c>
      <c r="D113">
        <f>Source!BI114</f>
        <v>4</v>
      </c>
      <c r="E113">
        <f>Source!FS114</f>
        <v>0</v>
      </c>
      <c r="F113" t="str">
        <f>Source!F114</f>
        <v>21.23-8-270</v>
      </c>
      <c r="G113" t="str">
        <f>Source!G114</f>
        <v>Кабели силовые, с медными жилами, с изоляц. и оболоч.из ПВХ пластиката пониж.пожар.опасности, не распростр.горение, с пониж.дымо- и газовыделением и с низк.токсич-тью продуктов горения, напряж.1000 В, марка ВВГнг(А)-LSLTx, число жил и сечение, мм2: 3х2,5</v>
      </c>
      <c r="H113" t="str">
        <f>Source!H114</f>
        <v>км</v>
      </c>
      <c r="I113">
        <f>Source!I114</f>
        <v>0.48959999999999992</v>
      </c>
      <c r="J113">
        <v>1</v>
      </c>
      <c r="K113">
        <f>Source!AC114</f>
        <v>180898.67</v>
      </c>
      <c r="M113">
        <f>ROUND(K113*I113, 2)</f>
        <v>88567.99</v>
      </c>
      <c r="N113">
        <f>Source!AC114*IF(Source!BC114&lt;&gt; 0, Source!BC114, 1)</f>
        <v>180898.67</v>
      </c>
      <c r="O113">
        <f>ROUND(N113*I113, 2)</f>
        <v>88567.99</v>
      </c>
      <c r="P113">
        <f>Source!AE114</f>
        <v>0</v>
      </c>
      <c r="R113">
        <f>ROUND(P113*I113, 2)</f>
        <v>0</v>
      </c>
      <c r="S113">
        <f>Source!AE114*IF(Source!BS114&lt;&gt; 0, Source!BS114, 1)</f>
        <v>0</v>
      </c>
      <c r="T113">
        <f>ROUND(S113*I113, 2)</f>
        <v>0</v>
      </c>
      <c r="U113">
        <v>3</v>
      </c>
      <c r="Y113">
        <f>Source!GF114</f>
        <v>-1043724858</v>
      </c>
      <c r="Z113">
        <v>952629732</v>
      </c>
      <c r="AA113">
        <v>952629732</v>
      </c>
    </row>
    <row r="114" spans="1:27" x14ac:dyDescent="0.2">
      <c r="A114">
        <v>20</v>
      </c>
      <c r="B114">
        <v>188</v>
      </c>
      <c r="C114">
        <v>3</v>
      </c>
      <c r="D114">
        <v>0</v>
      </c>
      <c r="E114">
        <f>SmtRes!AV188</f>
        <v>0</v>
      </c>
      <c r="F114" t="str">
        <f>SmtRes!I188</f>
        <v>21.7-3-52</v>
      </c>
      <c r="G114" t="str">
        <f>SmtRes!K188</f>
        <v>Сверло победитовое, диаметр 25 мм, длина 400 мм</v>
      </c>
      <c r="H114" t="str">
        <f>SmtRes!O188</f>
        <v>шт.</v>
      </c>
      <c r="I114">
        <f>SmtRes!Y188*Source!I120</f>
        <v>0.5</v>
      </c>
      <c r="J114">
        <f>SmtRes!AO188</f>
        <v>1</v>
      </c>
      <c r="K114">
        <f>SmtRes!AE188</f>
        <v>2370.54</v>
      </c>
      <c r="L114">
        <f>SmtRes!DB188</f>
        <v>23705.4</v>
      </c>
      <c r="M114">
        <f>ROUND(ROUND(L114*Source!I120, 6)*1, 2)</f>
        <v>1185.27</v>
      </c>
      <c r="N114">
        <f>SmtRes!AA188</f>
        <v>2370.54</v>
      </c>
      <c r="O114">
        <f>ROUND(ROUND(L114*Source!I120, 6)*SmtRes!DA188, 2)</f>
        <v>1185.27</v>
      </c>
      <c r="P114">
        <f>SmtRes!AG188</f>
        <v>0</v>
      </c>
      <c r="Q114">
        <f>SmtRes!DC188</f>
        <v>0</v>
      </c>
      <c r="R114">
        <f>ROUND(ROUND(Q114*Source!I120, 6)*1, 2)</f>
        <v>0</v>
      </c>
      <c r="S114">
        <f>SmtRes!AC188</f>
        <v>0</v>
      </c>
      <c r="T114">
        <f>ROUND(ROUND(Q114*Source!I120, 6)*SmtRes!AK188, 2)</f>
        <v>0</v>
      </c>
      <c r="U114">
        <v>3</v>
      </c>
      <c r="Y114">
        <f>SmtRes!X188</f>
        <v>1601149888</v>
      </c>
      <c r="Z114">
        <v>1622230942</v>
      </c>
      <c r="AA114">
        <v>1622230942</v>
      </c>
    </row>
    <row r="115" spans="1:27" x14ac:dyDescent="0.2">
      <c r="A115">
        <v>20</v>
      </c>
      <c r="B115">
        <v>187</v>
      </c>
      <c r="C115">
        <v>2</v>
      </c>
      <c r="D115">
        <v>0</v>
      </c>
      <c r="E115">
        <f>SmtRes!AV187</f>
        <v>0</v>
      </c>
      <c r="F115" t="str">
        <f>SmtRes!I187</f>
        <v>22.1-30-10</v>
      </c>
      <c r="G115" t="str">
        <f>SmtRes!K187</f>
        <v>Перфораторы электрические, мощность до 500 Вт</v>
      </c>
      <c r="H115" t="str">
        <f>SmtRes!O187</f>
        <v>маш.-ч</v>
      </c>
      <c r="I115">
        <f>SmtRes!Y187*Source!I120</f>
        <v>0.55000000000000004</v>
      </c>
      <c r="J115">
        <f>SmtRes!AO187</f>
        <v>1</v>
      </c>
      <c r="K115">
        <f>SmtRes!AF187</f>
        <v>3.14</v>
      </c>
      <c r="L115">
        <f>SmtRes!DB187</f>
        <v>34.54</v>
      </c>
      <c r="M115">
        <f>ROUND(ROUND(L115*Source!I120, 6)*1, 2)</f>
        <v>1.73</v>
      </c>
      <c r="N115">
        <f>SmtRes!AB187</f>
        <v>3.14</v>
      </c>
      <c r="O115">
        <f>ROUND(ROUND(L115*Source!I120, 6)*SmtRes!DA187, 2)</f>
        <v>1.73</v>
      </c>
      <c r="P115">
        <f>SmtRes!AG187</f>
        <v>0.01</v>
      </c>
      <c r="Q115">
        <f>SmtRes!DC187</f>
        <v>0.11</v>
      </c>
      <c r="R115">
        <f>ROUND(ROUND(Q115*Source!I120, 6)*1, 2)</f>
        <v>0.01</v>
      </c>
      <c r="S115">
        <f>SmtRes!AC187</f>
        <v>0.01</v>
      </c>
      <c r="T115">
        <f>ROUND(ROUND(Q115*Source!I120, 6)*SmtRes!AK187, 2)</f>
        <v>0.01</v>
      </c>
      <c r="U115">
        <v>2</v>
      </c>
      <c r="Y115">
        <f>SmtRes!X187</f>
        <v>-376097338</v>
      </c>
      <c r="Z115">
        <v>-249007219</v>
      </c>
      <c r="AA115">
        <v>-249007219</v>
      </c>
    </row>
    <row r="116" spans="1:27" x14ac:dyDescent="0.2">
      <c r="A116">
        <v>20</v>
      </c>
      <c r="B116">
        <v>190</v>
      </c>
      <c r="C116">
        <v>2</v>
      </c>
      <c r="D116">
        <v>0</v>
      </c>
      <c r="E116">
        <f>SmtRes!AV190</f>
        <v>0</v>
      </c>
      <c r="F116" t="str">
        <f>SmtRes!I190</f>
        <v>22.1-30-10</v>
      </c>
      <c r="G116" t="str">
        <f>SmtRes!K190</f>
        <v>Перфораторы электрические, мощность до 500 Вт</v>
      </c>
      <c r="H116" t="str">
        <f>SmtRes!O190</f>
        <v>маш.-ч</v>
      </c>
      <c r="I116">
        <f>SmtRes!Y190*Source!I121</f>
        <v>0.18500000000000003</v>
      </c>
      <c r="J116">
        <f>SmtRes!AO190</f>
        <v>1</v>
      </c>
      <c r="K116">
        <f>SmtRes!AF190</f>
        <v>3.14</v>
      </c>
      <c r="L116">
        <f>SmtRes!DB190</f>
        <v>11.62</v>
      </c>
      <c r="M116">
        <f>ROUND(ROUND(L116*Source!I121, 6)*1, 2)</f>
        <v>0.57999999999999996</v>
      </c>
      <c r="N116">
        <f>SmtRes!AB190</f>
        <v>3.14</v>
      </c>
      <c r="O116">
        <f>ROUND(ROUND(L116*Source!I121, 6)*SmtRes!DA190, 2)</f>
        <v>0.57999999999999996</v>
      </c>
      <c r="P116">
        <f>SmtRes!AG190</f>
        <v>0.01</v>
      </c>
      <c r="Q116">
        <f>SmtRes!DC190</f>
        <v>0.04</v>
      </c>
      <c r="R116">
        <f>ROUND(ROUND(Q116*Source!I121, 6)*1, 2)</f>
        <v>0</v>
      </c>
      <c r="S116">
        <f>SmtRes!AC190</f>
        <v>0.01</v>
      </c>
      <c r="T116">
        <f>ROUND(ROUND(Q116*Source!I121, 6)*SmtRes!AK190, 2)</f>
        <v>0</v>
      </c>
      <c r="U116">
        <v>2</v>
      </c>
      <c r="Y116">
        <f>SmtRes!X190</f>
        <v>-376097338</v>
      </c>
      <c r="Z116">
        <v>-249007219</v>
      </c>
      <c r="AA116">
        <v>-249007219</v>
      </c>
    </row>
    <row r="117" spans="1:27" x14ac:dyDescent="0.2">
      <c r="A117">
        <v>20</v>
      </c>
      <c r="B117">
        <v>208</v>
      </c>
      <c r="C117">
        <v>3</v>
      </c>
      <c r="D117">
        <v>0</v>
      </c>
      <c r="E117">
        <f>SmtRes!AV208</f>
        <v>0</v>
      </c>
      <c r="F117" t="str">
        <f>SmtRes!I208</f>
        <v>21.3-1-69</v>
      </c>
      <c r="G117" t="str">
        <f>SmtRes!K208</f>
        <v>Смеси бетонные, БСГ, тяжелого бетона на гранитном щебне, класс прочности: В15 (М200); П3, фракция 5-20, F50-100, W0-2</v>
      </c>
      <c r="H117" t="str">
        <f>SmtRes!O208</f>
        <v>м3</v>
      </c>
      <c r="I117">
        <f>SmtRes!Y208*Source!I126</f>
        <v>3.0680000000000003E-4</v>
      </c>
      <c r="J117">
        <f>SmtRes!AO208</f>
        <v>1</v>
      </c>
      <c r="K117">
        <f>SmtRes!AE208</f>
        <v>3917.3</v>
      </c>
      <c r="L117">
        <f>SmtRes!DB208</f>
        <v>4073.99</v>
      </c>
      <c r="M117">
        <f>ROUND(ROUND(L117*Source!I126, 6)*1, 2)</f>
        <v>1.2</v>
      </c>
      <c r="N117">
        <f>SmtRes!AA208</f>
        <v>3917.3</v>
      </c>
      <c r="O117">
        <f>ROUND(ROUND(L117*Source!I126, 6)*SmtRes!DA208, 2)</f>
        <v>1.2</v>
      </c>
      <c r="P117">
        <f>SmtRes!AG208</f>
        <v>0</v>
      </c>
      <c r="Q117">
        <f>SmtRes!DC208</f>
        <v>0</v>
      </c>
      <c r="R117">
        <f>ROUND(ROUND(Q117*Source!I126, 6)*1, 2)</f>
        <v>0</v>
      </c>
      <c r="S117">
        <f>SmtRes!AC208</f>
        <v>0</v>
      </c>
      <c r="T117">
        <f>ROUND(ROUND(Q117*Source!I126, 6)*SmtRes!AK208, 2)</f>
        <v>0</v>
      </c>
      <c r="U117">
        <v>3</v>
      </c>
      <c r="Y117">
        <f>SmtRes!X208</f>
        <v>-1114121591</v>
      </c>
      <c r="Z117">
        <v>-1663207614</v>
      </c>
      <c r="AA117">
        <v>-1663207614</v>
      </c>
    </row>
    <row r="118" spans="1:27" x14ac:dyDescent="0.2">
      <c r="A118">
        <v>20</v>
      </c>
      <c r="B118">
        <v>207</v>
      </c>
      <c r="C118">
        <v>3</v>
      </c>
      <c r="D118">
        <v>0</v>
      </c>
      <c r="E118">
        <f>SmtRes!AV207</f>
        <v>0</v>
      </c>
      <c r="F118" t="str">
        <f>SmtRes!I207</f>
        <v>21.1-9-56</v>
      </c>
      <c r="G118" t="str">
        <f>SmtRes!K207</f>
        <v>Доски хвойных пород, обрезные, длина 2-6,5 м, сорт III, толщина 25-32 мм</v>
      </c>
      <c r="H118" t="str">
        <f>SmtRes!O207</f>
        <v>м3</v>
      </c>
      <c r="I118">
        <f>SmtRes!Y207*Source!I126</f>
        <v>5.3395E-5</v>
      </c>
      <c r="J118">
        <f>SmtRes!AO207</f>
        <v>1</v>
      </c>
      <c r="K118">
        <f>SmtRes!AE207</f>
        <v>9420.01</v>
      </c>
      <c r="L118">
        <f>SmtRes!DB207</f>
        <v>1705.02</v>
      </c>
      <c r="M118">
        <f>ROUND(ROUND(L118*Source!I126, 6)*1, 2)</f>
        <v>0.5</v>
      </c>
      <c r="N118">
        <f>SmtRes!AA207</f>
        <v>9420.01</v>
      </c>
      <c r="O118">
        <f>ROUND(ROUND(L118*Source!I126, 6)*SmtRes!DA207, 2)</f>
        <v>0.5</v>
      </c>
      <c r="P118">
        <f>SmtRes!AG207</f>
        <v>0</v>
      </c>
      <c r="Q118">
        <f>SmtRes!DC207</f>
        <v>0</v>
      </c>
      <c r="R118">
        <f>ROUND(ROUND(Q118*Source!I126, 6)*1, 2)</f>
        <v>0</v>
      </c>
      <c r="S118">
        <f>SmtRes!AC207</f>
        <v>0</v>
      </c>
      <c r="T118">
        <f>ROUND(ROUND(Q118*Source!I126, 6)*SmtRes!AK207, 2)</f>
        <v>0</v>
      </c>
      <c r="U118">
        <v>3</v>
      </c>
      <c r="Y118">
        <f>SmtRes!X207</f>
        <v>2001043145</v>
      </c>
      <c r="Z118">
        <v>1933715310</v>
      </c>
      <c r="AA118">
        <v>1933715310</v>
      </c>
    </row>
    <row r="119" spans="1:27" x14ac:dyDescent="0.2">
      <c r="A119">
        <v>20</v>
      </c>
      <c r="B119">
        <v>206</v>
      </c>
      <c r="C119">
        <v>3</v>
      </c>
      <c r="D119">
        <v>0</v>
      </c>
      <c r="E119">
        <f>SmtRes!AV206</f>
        <v>0</v>
      </c>
      <c r="F119" t="str">
        <f>SmtRes!I206</f>
        <v>21.1-9-13</v>
      </c>
      <c r="G119" t="str">
        <f>SmtRes!K206</f>
        <v>Бруски хвойных пород обрезные, длина 2-6,5 м, сорт III, толщина 50-60 мм</v>
      </c>
      <c r="H119" t="str">
        <f>SmtRes!O206</f>
        <v>м3</v>
      </c>
      <c r="I119">
        <f>SmtRes!Y206*Source!I126</f>
        <v>6.1359999999999995E-5</v>
      </c>
      <c r="J119">
        <f>SmtRes!AO206</f>
        <v>1</v>
      </c>
      <c r="K119">
        <f>SmtRes!AE206</f>
        <v>9080.02</v>
      </c>
      <c r="L119">
        <f>SmtRes!DB206</f>
        <v>1888.64</v>
      </c>
      <c r="M119">
        <f>ROUND(ROUND(L119*Source!I126, 6)*1, 2)</f>
        <v>0.56000000000000005</v>
      </c>
      <c r="N119">
        <f>SmtRes!AA206</f>
        <v>9080.02</v>
      </c>
      <c r="O119">
        <f>ROUND(ROUND(L119*Source!I126, 6)*SmtRes!DA206, 2)</f>
        <v>0.56000000000000005</v>
      </c>
      <c r="P119">
        <f>SmtRes!AG206</f>
        <v>0</v>
      </c>
      <c r="Q119">
        <f>SmtRes!DC206</f>
        <v>0</v>
      </c>
      <c r="R119">
        <f>ROUND(ROUND(Q119*Source!I126, 6)*1, 2)</f>
        <v>0</v>
      </c>
      <c r="S119">
        <f>SmtRes!AC206</f>
        <v>0</v>
      </c>
      <c r="T119">
        <f>ROUND(ROUND(Q119*Source!I126, 6)*SmtRes!AK206, 2)</f>
        <v>0</v>
      </c>
      <c r="U119">
        <v>3</v>
      </c>
      <c r="Y119">
        <f>SmtRes!X206</f>
        <v>1122250432</v>
      </c>
      <c r="Z119">
        <v>-835710367</v>
      </c>
      <c r="AA119">
        <v>-835710367</v>
      </c>
    </row>
    <row r="120" spans="1:27" x14ac:dyDescent="0.2">
      <c r="A120">
        <v>20</v>
      </c>
      <c r="B120">
        <v>205</v>
      </c>
      <c r="C120">
        <v>3</v>
      </c>
      <c r="D120">
        <v>0</v>
      </c>
      <c r="E120">
        <f>SmtRes!AV205</f>
        <v>0</v>
      </c>
      <c r="F120" t="str">
        <f>SmtRes!I205</f>
        <v>21.1-11-46</v>
      </c>
      <c r="G120" t="str">
        <f>SmtRes!K205</f>
        <v>Гвозди строительные</v>
      </c>
      <c r="H120" t="str">
        <f>SmtRes!O205</f>
        <v>т</v>
      </c>
      <c r="I120">
        <f>SmtRes!Y205*Source!I126</f>
        <v>1.7700000000000002E-6</v>
      </c>
      <c r="J120">
        <f>SmtRes!AO205</f>
        <v>1</v>
      </c>
      <c r="K120">
        <f>SmtRes!AE205</f>
        <v>88472.75</v>
      </c>
      <c r="L120">
        <f>SmtRes!DB205</f>
        <v>530.84</v>
      </c>
      <c r="M120">
        <f>ROUND(ROUND(L120*Source!I126, 6)*1, 2)</f>
        <v>0.16</v>
      </c>
      <c r="N120">
        <f>SmtRes!AA205</f>
        <v>88472.75</v>
      </c>
      <c r="O120">
        <f>ROUND(ROUND(L120*Source!I126, 6)*SmtRes!DA205, 2)</f>
        <v>0.16</v>
      </c>
      <c r="P120">
        <f>SmtRes!AG205</f>
        <v>0</v>
      </c>
      <c r="Q120">
        <f>SmtRes!DC205</f>
        <v>0</v>
      </c>
      <c r="R120">
        <f>ROUND(ROUND(Q120*Source!I126, 6)*1, 2)</f>
        <v>0</v>
      </c>
      <c r="S120">
        <f>SmtRes!AC205</f>
        <v>0</v>
      </c>
      <c r="T120">
        <f>ROUND(ROUND(Q120*Source!I126, 6)*SmtRes!AK205, 2)</f>
        <v>0</v>
      </c>
      <c r="U120">
        <v>3</v>
      </c>
      <c r="Y120">
        <f>SmtRes!X205</f>
        <v>2061294312</v>
      </c>
      <c r="Z120">
        <v>1357177832</v>
      </c>
      <c r="AA120">
        <v>1357177832</v>
      </c>
    </row>
    <row r="121" spans="1:27" x14ac:dyDescent="0.2">
      <c r="A121">
        <v>20</v>
      </c>
      <c r="B121">
        <v>221</v>
      </c>
      <c r="C121">
        <v>3</v>
      </c>
      <c r="D121">
        <v>0</v>
      </c>
      <c r="E121">
        <f>SmtRes!AV221</f>
        <v>0</v>
      </c>
      <c r="F121" t="str">
        <f>SmtRes!I221</f>
        <v>21.7-5-6</v>
      </c>
      <c r="G121" t="str">
        <f>SmtRes!K221</f>
        <v>Анкер химический для установки в бетон: капсула HIT-RE 500/330, шпилька резьбовая оцинкованная M12х110</v>
      </c>
      <c r="H121" t="str">
        <f>SmtRes!O221</f>
        <v>компл.</v>
      </c>
      <c r="I121">
        <f>SmtRes!Y221*Source!I129</f>
        <v>2</v>
      </c>
      <c r="J121">
        <f>SmtRes!AO221</f>
        <v>1</v>
      </c>
      <c r="K121">
        <f>SmtRes!AE221</f>
        <v>171.69</v>
      </c>
      <c r="L121">
        <f>SmtRes!DB221</f>
        <v>17169</v>
      </c>
      <c r="M121">
        <f>ROUND(ROUND(L121*Source!I129, 6)*1, 2)</f>
        <v>343.38</v>
      </c>
      <c r="N121">
        <f>SmtRes!AA221</f>
        <v>171.69</v>
      </c>
      <c r="O121">
        <f>ROUND(ROUND(L121*Source!I129, 6)*SmtRes!DA221, 2)</f>
        <v>343.38</v>
      </c>
      <c r="P121">
        <f>SmtRes!AG221</f>
        <v>0</v>
      </c>
      <c r="Q121">
        <f>SmtRes!DC221</f>
        <v>0</v>
      </c>
      <c r="R121">
        <f>ROUND(ROUND(Q121*Source!I129, 6)*1, 2)</f>
        <v>0</v>
      </c>
      <c r="S121">
        <f>SmtRes!AC221</f>
        <v>0</v>
      </c>
      <c r="T121">
        <f>ROUND(ROUND(Q121*Source!I129, 6)*SmtRes!AK221, 2)</f>
        <v>0</v>
      </c>
      <c r="U121">
        <v>3</v>
      </c>
      <c r="Y121">
        <f>SmtRes!X221</f>
        <v>-1768023765</v>
      </c>
      <c r="Z121">
        <v>-184516341</v>
      </c>
      <c r="AA121">
        <v>-184516341</v>
      </c>
    </row>
    <row r="122" spans="1:27" x14ac:dyDescent="0.2">
      <c r="A122">
        <v>20</v>
      </c>
      <c r="B122">
        <v>225</v>
      </c>
      <c r="C122">
        <v>3</v>
      </c>
      <c r="D122">
        <v>0</v>
      </c>
      <c r="E122">
        <f>SmtRes!AV225</f>
        <v>0</v>
      </c>
      <c r="F122" t="str">
        <f>SmtRes!I225</f>
        <v>21.1-23-9</v>
      </c>
      <c r="G122" t="str">
        <f>SmtRes!K225</f>
        <v>Электроды, тип Э-42, 46, 50, диаметр 4 - 6 мм</v>
      </c>
      <c r="H122" t="str">
        <f>SmtRes!O225</f>
        <v>т</v>
      </c>
      <c r="I122">
        <f>SmtRes!Y225*Source!I130</f>
        <v>2.1772799999999999E-5</v>
      </c>
      <c r="J122">
        <f>SmtRes!AO225</f>
        <v>1</v>
      </c>
      <c r="K122">
        <f>SmtRes!AE225</f>
        <v>110835.3</v>
      </c>
      <c r="L122">
        <f>SmtRes!DB225</f>
        <v>372.41</v>
      </c>
      <c r="M122">
        <f>ROUND(ROUND(L122*Source!I130, 6)*1, 2)</f>
        <v>2.41</v>
      </c>
      <c r="N122">
        <f>SmtRes!AA225</f>
        <v>110835.3</v>
      </c>
      <c r="O122">
        <f>ROUND(ROUND(L122*Source!I130, 6)*SmtRes!DA225, 2)</f>
        <v>2.41</v>
      </c>
      <c r="P122">
        <f>SmtRes!AG225</f>
        <v>0</v>
      </c>
      <c r="Q122">
        <f>SmtRes!DC225</f>
        <v>0</v>
      </c>
      <c r="R122">
        <f>ROUND(ROUND(Q122*Source!I130, 6)*1, 2)</f>
        <v>0</v>
      </c>
      <c r="S122">
        <f>SmtRes!AC225</f>
        <v>0</v>
      </c>
      <c r="T122">
        <f>ROUND(ROUND(Q122*Source!I130, 6)*SmtRes!AK225, 2)</f>
        <v>0</v>
      </c>
      <c r="U122">
        <v>3</v>
      </c>
      <c r="Y122">
        <f>SmtRes!X225</f>
        <v>640721353</v>
      </c>
      <c r="Z122">
        <v>524249298</v>
      </c>
      <c r="AA122">
        <v>524249298</v>
      </c>
    </row>
    <row r="123" spans="1:27" x14ac:dyDescent="0.2">
      <c r="A123">
        <v>20</v>
      </c>
      <c r="B123">
        <v>224</v>
      </c>
      <c r="C123">
        <v>3</v>
      </c>
      <c r="D123">
        <v>0</v>
      </c>
      <c r="E123">
        <f>SmtRes!AV224</f>
        <v>0</v>
      </c>
      <c r="F123" t="str">
        <f>SmtRes!I224</f>
        <v>21.1-11-21</v>
      </c>
      <c r="G123" t="str">
        <f>SmtRes!K224</f>
        <v>Болты строительные черные с гайками и шайбами (10х100мм)</v>
      </c>
      <c r="H123" t="str">
        <f>SmtRes!O224</f>
        <v>т</v>
      </c>
      <c r="I123">
        <f>SmtRes!Y224*Source!I130</f>
        <v>1.64592E-5</v>
      </c>
      <c r="J123">
        <f>SmtRes!AO224</f>
        <v>1</v>
      </c>
      <c r="K123">
        <f>SmtRes!AE224</f>
        <v>146451.23000000001</v>
      </c>
      <c r="L123">
        <f>SmtRes!DB224</f>
        <v>371.99</v>
      </c>
      <c r="M123">
        <f>ROUND(ROUND(L123*Source!I130, 6)*1, 2)</f>
        <v>2.41</v>
      </c>
      <c r="N123">
        <f>SmtRes!AA224</f>
        <v>146451.23000000001</v>
      </c>
      <c r="O123">
        <f>ROUND(ROUND(L123*Source!I130, 6)*SmtRes!DA224, 2)</f>
        <v>2.41</v>
      </c>
      <c r="P123">
        <f>SmtRes!AG224</f>
        <v>0</v>
      </c>
      <c r="Q123">
        <f>SmtRes!DC224</f>
        <v>0</v>
      </c>
      <c r="R123">
        <f>ROUND(ROUND(Q123*Source!I130, 6)*1, 2)</f>
        <v>0</v>
      </c>
      <c r="S123">
        <f>SmtRes!AC224</f>
        <v>0</v>
      </c>
      <c r="T123">
        <f>ROUND(ROUND(Q123*Source!I130, 6)*SmtRes!AK224, 2)</f>
        <v>0</v>
      </c>
      <c r="U123">
        <v>3</v>
      </c>
      <c r="Y123">
        <f>SmtRes!X224</f>
        <v>-1288676302</v>
      </c>
      <c r="Z123">
        <v>2018471791</v>
      </c>
      <c r="AA123">
        <v>2018471791</v>
      </c>
    </row>
    <row r="124" spans="1:27" x14ac:dyDescent="0.2">
      <c r="A124">
        <v>20</v>
      </c>
      <c r="B124">
        <v>223</v>
      </c>
      <c r="C124">
        <v>2</v>
      </c>
      <c r="D124">
        <v>0</v>
      </c>
      <c r="E124">
        <f>SmtRes!AV223</f>
        <v>0</v>
      </c>
      <c r="F124" t="str">
        <f>SmtRes!I223</f>
        <v>22.1-13-15</v>
      </c>
      <c r="G124" t="str">
        <f>SmtRes!K223</f>
        <v>Аппараты сварочные</v>
      </c>
      <c r="H124" t="str">
        <f>SmtRes!O223</f>
        <v>маш.-ч</v>
      </c>
      <c r="I124">
        <f>SmtRes!Y223*Source!I130</f>
        <v>9.1497599999999984E-2</v>
      </c>
      <c r="J124">
        <f>SmtRes!AO223</f>
        <v>1</v>
      </c>
      <c r="K124">
        <f>SmtRes!AF223</f>
        <v>366.19</v>
      </c>
      <c r="L124">
        <f>SmtRes!DB223</f>
        <v>5170.6000000000004</v>
      </c>
      <c r="M124">
        <f>ROUND(ROUND(L124*Source!I130, 6)*1, 2)</f>
        <v>33.51</v>
      </c>
      <c r="N124">
        <f>SmtRes!AB223</f>
        <v>366.19</v>
      </c>
      <c r="O124">
        <f>ROUND(ROUND(L124*Source!I130, 6)*SmtRes!DA223, 2)</f>
        <v>33.51</v>
      </c>
      <c r="P124">
        <f>SmtRes!AG223</f>
        <v>7.37</v>
      </c>
      <c r="Q124">
        <f>SmtRes!DC223</f>
        <v>104.06</v>
      </c>
      <c r="R124">
        <f>ROUND(ROUND(Q124*Source!I130, 6)*1, 2)</f>
        <v>0.67</v>
      </c>
      <c r="S124">
        <f>SmtRes!AC223</f>
        <v>7.37</v>
      </c>
      <c r="T124">
        <f>ROUND(ROUND(Q124*Source!I130, 6)*SmtRes!AK223, 2)</f>
        <v>0.67</v>
      </c>
      <c r="U124">
        <v>2</v>
      </c>
      <c r="Y124">
        <f>SmtRes!X223</f>
        <v>829511768</v>
      </c>
      <c r="Z124">
        <v>-115959177</v>
      </c>
      <c r="AA124">
        <v>-115959177</v>
      </c>
    </row>
    <row r="125" spans="1:27" x14ac:dyDescent="0.2">
      <c r="A125">
        <f>Source!A131</f>
        <v>18</v>
      </c>
      <c r="B125">
        <v>131</v>
      </c>
      <c r="C125">
        <v>3</v>
      </c>
      <c r="D125">
        <f>Source!BI131</f>
        <v>4</v>
      </c>
      <c r="E125">
        <f>Source!FS131</f>
        <v>0</v>
      </c>
      <c r="F125" t="str">
        <f>Source!F131</f>
        <v>Цена поставщика</v>
      </c>
      <c r="G125" t="str">
        <f>Source!G131</f>
        <v>Лоток 35260 50х50х0,7 L=3000 перфорированный (ДКС)(или эквивалент)</v>
      </c>
      <c r="H125" t="str">
        <f>Source!H131</f>
        <v>м</v>
      </c>
      <c r="I125">
        <f>Source!I131</f>
        <v>9</v>
      </c>
      <c r="J125">
        <v>1</v>
      </c>
      <c r="K125">
        <f>Source!AC131</f>
        <v>488.8</v>
      </c>
      <c r="M125">
        <f>ROUND(K125*I125, 2)</f>
        <v>4399.2</v>
      </c>
      <c r="N125">
        <f>Source!AC131*IF(Source!BC131&lt;&gt; 0, Source!BC131, 1)</f>
        <v>488.8</v>
      </c>
      <c r="O125">
        <f>ROUND(N125*I125, 2)</f>
        <v>4399.2</v>
      </c>
      <c r="P125">
        <f>Source!AE131</f>
        <v>0</v>
      </c>
      <c r="R125">
        <f>ROUND(P125*I125, 2)</f>
        <v>0</v>
      </c>
      <c r="S125">
        <f>Source!AE131*IF(Source!BS131&lt;&gt; 0, Source!BS131, 1)</f>
        <v>0</v>
      </c>
      <c r="T125">
        <f>ROUND(S125*I125, 2)</f>
        <v>0</v>
      </c>
      <c r="U125">
        <v>3</v>
      </c>
      <c r="Y125">
        <f>Source!GF131</f>
        <v>1541516876</v>
      </c>
      <c r="Z125">
        <v>-724848459</v>
      </c>
      <c r="AA125">
        <v>-724848459</v>
      </c>
    </row>
    <row r="126" spans="1:27" x14ac:dyDescent="0.2">
      <c r="A126">
        <f>Source!A132</f>
        <v>18</v>
      </c>
      <c r="B126">
        <v>132</v>
      </c>
      <c r="C126">
        <v>3</v>
      </c>
      <c r="D126">
        <f>Source!BI132</f>
        <v>4</v>
      </c>
      <c r="E126">
        <f>Source!FS132</f>
        <v>0</v>
      </c>
      <c r="F126" t="str">
        <f>Source!F132</f>
        <v>Цена поставщика</v>
      </c>
      <c r="G126" t="str">
        <f>Source!G132</f>
        <v>М9404. Крышка 35520 L=3000 для лотков шириной 50мм (ДКС)(или эквивалент)</v>
      </c>
      <c r="H126" t="str">
        <f>Source!H132</f>
        <v>м</v>
      </c>
      <c r="I126">
        <f>Source!I132</f>
        <v>9</v>
      </c>
      <c r="J126">
        <v>1</v>
      </c>
      <c r="K126">
        <f>Source!AC132</f>
        <v>272.48</v>
      </c>
      <c r="M126">
        <f>ROUND(K126*I126, 2)</f>
        <v>2452.3200000000002</v>
      </c>
      <c r="N126">
        <f>Source!AC132*IF(Source!BC132&lt;&gt; 0, Source!BC132, 1)</f>
        <v>272.48</v>
      </c>
      <c r="O126">
        <f>ROUND(N126*I126, 2)</f>
        <v>2452.3200000000002</v>
      </c>
      <c r="P126">
        <f>Source!AE132</f>
        <v>0</v>
      </c>
      <c r="R126">
        <f>ROUND(P126*I126, 2)</f>
        <v>0</v>
      </c>
      <c r="S126">
        <f>Source!AE132*IF(Source!BS132&lt;&gt; 0, Source!BS132, 1)</f>
        <v>0</v>
      </c>
      <c r="T126">
        <f>ROUND(S126*I126, 2)</f>
        <v>0</v>
      </c>
      <c r="U126">
        <v>3</v>
      </c>
      <c r="Y126">
        <f>Source!GF132</f>
        <v>-778775767</v>
      </c>
      <c r="Z126">
        <v>-1153929643</v>
      </c>
      <c r="AA126">
        <v>-1153929643</v>
      </c>
    </row>
    <row r="127" spans="1:27" x14ac:dyDescent="0.2">
      <c r="A127">
        <f>Source!A133</f>
        <v>18</v>
      </c>
      <c r="B127">
        <v>133</v>
      </c>
      <c r="C127">
        <v>3</v>
      </c>
      <c r="D127">
        <f>Source!BI133</f>
        <v>4</v>
      </c>
      <c r="E127">
        <f>Source!FS133</f>
        <v>0</v>
      </c>
      <c r="F127" t="str">
        <f>Source!F133</f>
        <v>Цена поставщика</v>
      </c>
      <c r="G127" t="str">
        <f>Source!G133</f>
        <v>М9835. Консоль BBL4010 ML 100мм с опорой, облегченная (ДКС)(или эквивалент)</v>
      </c>
      <c r="H127" t="str">
        <f>Source!H133</f>
        <v>шт.</v>
      </c>
      <c r="I127">
        <f>Source!I133</f>
        <v>9</v>
      </c>
      <c r="J127">
        <v>1</v>
      </c>
      <c r="K127">
        <f>Source!AC133</f>
        <v>482.11</v>
      </c>
      <c r="M127">
        <f>ROUND(K127*I127, 2)</f>
        <v>4338.99</v>
      </c>
      <c r="N127">
        <f>Source!AC133*IF(Source!BC133&lt;&gt; 0, Source!BC133, 1)</f>
        <v>482.11</v>
      </c>
      <c r="O127">
        <f>ROUND(N127*I127, 2)</f>
        <v>4338.99</v>
      </c>
      <c r="P127">
        <f>Source!AE133</f>
        <v>0</v>
      </c>
      <c r="R127">
        <f>ROUND(P127*I127, 2)</f>
        <v>0</v>
      </c>
      <c r="S127">
        <f>Source!AE133*IF(Source!BS133&lt;&gt; 0, Source!BS133, 1)</f>
        <v>0</v>
      </c>
      <c r="T127">
        <f>ROUND(S127*I127, 2)</f>
        <v>0</v>
      </c>
      <c r="U127">
        <v>3</v>
      </c>
      <c r="Y127">
        <f>Source!GF133</f>
        <v>-1244458214</v>
      </c>
      <c r="Z127">
        <v>-1577914614</v>
      </c>
      <c r="AA127">
        <v>-1577914614</v>
      </c>
    </row>
    <row r="128" spans="1:27" x14ac:dyDescent="0.2">
      <c r="A128">
        <v>20</v>
      </c>
      <c r="B128">
        <v>233</v>
      </c>
      <c r="C128">
        <v>3</v>
      </c>
      <c r="D128">
        <v>0</v>
      </c>
      <c r="E128">
        <f>SmtRes!AV233</f>
        <v>0</v>
      </c>
      <c r="F128" t="str">
        <f>SmtRes!I233</f>
        <v>21.1-23-9</v>
      </c>
      <c r="G128" t="str">
        <f>SmtRes!K233</f>
        <v>Электроды, тип Э-42, 46, 50, диаметр 4 - 6 мм</v>
      </c>
      <c r="H128" t="str">
        <f>SmtRes!O233</f>
        <v>т</v>
      </c>
      <c r="I128">
        <f>SmtRes!Y233*Source!I135</f>
        <v>2.354E-4</v>
      </c>
      <c r="J128">
        <f>SmtRes!AO233</f>
        <v>1</v>
      </c>
      <c r="K128">
        <f>SmtRes!AE233</f>
        <v>110835.3</v>
      </c>
      <c r="L128">
        <f>SmtRes!DB233</f>
        <v>237.19</v>
      </c>
      <c r="M128">
        <f>ROUND(ROUND(L128*Source!I135, 6)*1, 2)</f>
        <v>26.09</v>
      </c>
      <c r="N128">
        <f>SmtRes!AA233</f>
        <v>110835.3</v>
      </c>
      <c r="O128">
        <f>ROUND(ROUND(L128*Source!I135, 6)*SmtRes!DA233, 2)</f>
        <v>26.09</v>
      </c>
      <c r="P128">
        <f>SmtRes!AG233</f>
        <v>0</v>
      </c>
      <c r="Q128">
        <f>SmtRes!DC233</f>
        <v>0</v>
      </c>
      <c r="R128">
        <f>ROUND(ROUND(Q128*Source!I135, 6)*1, 2)</f>
        <v>0</v>
      </c>
      <c r="S128">
        <f>SmtRes!AC233</f>
        <v>0</v>
      </c>
      <c r="T128">
        <f>ROUND(ROUND(Q128*Source!I135, 6)*SmtRes!AK233, 2)</f>
        <v>0</v>
      </c>
      <c r="U128">
        <v>3</v>
      </c>
      <c r="Y128">
        <f>SmtRes!X233</f>
        <v>640721353</v>
      </c>
      <c r="Z128">
        <v>524249298</v>
      </c>
      <c r="AA128">
        <v>524249298</v>
      </c>
    </row>
    <row r="129" spans="1:27" x14ac:dyDescent="0.2">
      <c r="A129">
        <v>20</v>
      </c>
      <c r="B129">
        <v>232</v>
      </c>
      <c r="C129">
        <v>3</v>
      </c>
      <c r="D129">
        <v>0</v>
      </c>
      <c r="E129">
        <f>SmtRes!AV232</f>
        <v>0</v>
      </c>
      <c r="F129" t="str">
        <f>SmtRes!I232</f>
        <v>21.1-11-178</v>
      </c>
      <c r="G129" t="str">
        <f>SmtRes!K232</f>
        <v>Дюбели распорные пластмассовые, размеры 6х40 мм</v>
      </c>
      <c r="H129" t="str">
        <f>SmtRes!O232</f>
        <v>100 шт.</v>
      </c>
      <c r="I129">
        <f>SmtRes!Y232*Source!I135</f>
        <v>3.3000000000000002E-2</v>
      </c>
      <c r="J129">
        <f>SmtRes!AO232</f>
        <v>1</v>
      </c>
      <c r="K129">
        <f>SmtRes!AE232</f>
        <v>28.5</v>
      </c>
      <c r="L129">
        <f>SmtRes!DB232</f>
        <v>8.5500000000000007</v>
      </c>
      <c r="M129">
        <f>ROUND(ROUND(L129*Source!I135, 6)*1, 2)</f>
        <v>0.94</v>
      </c>
      <c r="N129">
        <f>SmtRes!AA232</f>
        <v>28.5</v>
      </c>
      <c r="O129">
        <f>ROUND(ROUND(L129*Source!I135, 6)*SmtRes!DA232, 2)</f>
        <v>0.94</v>
      </c>
      <c r="P129">
        <f>SmtRes!AG232</f>
        <v>0</v>
      </c>
      <c r="Q129">
        <f>SmtRes!DC232</f>
        <v>0</v>
      </c>
      <c r="R129">
        <f>ROUND(ROUND(Q129*Source!I135, 6)*1, 2)</f>
        <v>0</v>
      </c>
      <c r="S129">
        <f>SmtRes!AC232</f>
        <v>0</v>
      </c>
      <c r="T129">
        <f>ROUND(ROUND(Q129*Source!I135, 6)*SmtRes!AK232, 2)</f>
        <v>0</v>
      </c>
      <c r="U129">
        <v>3</v>
      </c>
      <c r="Y129">
        <f>SmtRes!X232</f>
        <v>161213493</v>
      </c>
      <c r="Z129">
        <v>1154801573</v>
      </c>
      <c r="AA129">
        <v>1154801573</v>
      </c>
    </row>
    <row r="130" spans="1:27" x14ac:dyDescent="0.2">
      <c r="A130">
        <v>20</v>
      </c>
      <c r="B130">
        <v>231</v>
      </c>
      <c r="C130">
        <v>3</v>
      </c>
      <c r="D130">
        <v>0</v>
      </c>
      <c r="E130">
        <f>SmtRes!AV231</f>
        <v>0</v>
      </c>
      <c r="F130" t="str">
        <f>SmtRes!I231</f>
        <v>21.1-11-16</v>
      </c>
      <c r="G130" t="str">
        <f>SmtRes!K231</f>
        <v>Болты строительные с гайками черные (20х75-100 мм)</v>
      </c>
      <c r="H130" t="str">
        <f>SmtRes!O231</f>
        <v>т</v>
      </c>
      <c r="I130">
        <f>SmtRes!Y231*Source!I135</f>
        <v>1.3750000000000001E-4</v>
      </c>
      <c r="J130">
        <f>SmtRes!AO231</f>
        <v>1</v>
      </c>
      <c r="K130">
        <f>SmtRes!AE231</f>
        <v>134401.64000000001</v>
      </c>
      <c r="L130">
        <f>SmtRes!DB231</f>
        <v>168</v>
      </c>
      <c r="M130">
        <f>ROUND(ROUND(L130*Source!I135, 6)*1, 2)</f>
        <v>18.48</v>
      </c>
      <c r="N130">
        <f>SmtRes!AA231</f>
        <v>134401.64000000001</v>
      </c>
      <c r="O130">
        <f>ROUND(ROUND(L130*Source!I135, 6)*SmtRes!DA231, 2)</f>
        <v>18.48</v>
      </c>
      <c r="P130">
        <f>SmtRes!AG231</f>
        <v>0</v>
      </c>
      <c r="Q130">
        <f>SmtRes!DC231</f>
        <v>0</v>
      </c>
      <c r="R130">
        <f>ROUND(ROUND(Q130*Source!I135, 6)*1, 2)</f>
        <v>0</v>
      </c>
      <c r="S130">
        <f>SmtRes!AC231</f>
        <v>0</v>
      </c>
      <c r="T130">
        <f>ROUND(ROUND(Q130*Source!I135, 6)*SmtRes!AK231, 2)</f>
        <v>0</v>
      </c>
      <c r="U130">
        <v>3</v>
      </c>
      <c r="Y130">
        <f>SmtRes!X231</f>
        <v>-50048475</v>
      </c>
      <c r="Z130">
        <v>1041700358</v>
      </c>
      <c r="AA130">
        <v>1041700358</v>
      </c>
    </row>
    <row r="131" spans="1:27" x14ac:dyDescent="0.2">
      <c r="A131">
        <v>20</v>
      </c>
      <c r="B131">
        <v>230</v>
      </c>
      <c r="C131">
        <v>3</v>
      </c>
      <c r="D131">
        <v>0</v>
      </c>
      <c r="E131">
        <f>SmtRes!AV230</f>
        <v>0</v>
      </c>
      <c r="F131" t="str">
        <f>SmtRes!I230</f>
        <v>21.1-11-133</v>
      </c>
      <c r="G131" t="str">
        <f>SmtRes!K230</f>
        <v>Дюбель-гвоздь с патроном</v>
      </c>
      <c r="H131" t="str">
        <f>SmtRes!O230</f>
        <v>компл.</v>
      </c>
      <c r="I131">
        <f>SmtRes!Y230*Source!I135</f>
        <v>4.774</v>
      </c>
      <c r="J131">
        <f>SmtRes!AO230</f>
        <v>1</v>
      </c>
      <c r="K131">
        <f>SmtRes!AE230</f>
        <v>11.27</v>
      </c>
      <c r="L131">
        <f>SmtRes!DB230</f>
        <v>489.12</v>
      </c>
      <c r="M131">
        <f>ROUND(ROUND(L131*Source!I135, 6)*1, 2)</f>
        <v>53.8</v>
      </c>
      <c r="N131">
        <f>SmtRes!AA230</f>
        <v>11.27</v>
      </c>
      <c r="O131">
        <f>ROUND(ROUND(L131*Source!I135, 6)*SmtRes!DA230, 2)</f>
        <v>53.8</v>
      </c>
      <c r="P131">
        <f>SmtRes!AG230</f>
        <v>0</v>
      </c>
      <c r="Q131">
        <f>SmtRes!DC230</f>
        <v>0</v>
      </c>
      <c r="R131">
        <f>ROUND(ROUND(Q131*Source!I135, 6)*1, 2)</f>
        <v>0</v>
      </c>
      <c r="S131">
        <f>SmtRes!AC230</f>
        <v>0</v>
      </c>
      <c r="T131">
        <f>ROUND(ROUND(Q131*Source!I135, 6)*SmtRes!AK230, 2)</f>
        <v>0</v>
      </c>
      <c r="U131">
        <v>3</v>
      </c>
      <c r="Y131">
        <f>SmtRes!X230</f>
        <v>-1019107836</v>
      </c>
      <c r="Z131">
        <v>-776358892</v>
      </c>
      <c r="AA131">
        <v>-776358892</v>
      </c>
    </row>
    <row r="132" spans="1:27" x14ac:dyDescent="0.2">
      <c r="A132">
        <v>20</v>
      </c>
      <c r="B132">
        <v>229</v>
      </c>
      <c r="C132">
        <v>2</v>
      </c>
      <c r="D132">
        <v>0</v>
      </c>
      <c r="E132">
        <f>SmtRes!AV229</f>
        <v>0</v>
      </c>
      <c r="F132" t="str">
        <f>SmtRes!I229</f>
        <v>22.1-4-22</v>
      </c>
      <c r="G132" t="str">
        <f>SmtRes!K229</f>
        <v>Вышки телескопические на автомобиле, высота до 22 м, грузоподъемность 250-300 кг</v>
      </c>
      <c r="H132" t="str">
        <f>SmtRes!O229</f>
        <v>маш.-ч</v>
      </c>
      <c r="I132">
        <f>SmtRes!Y229*Source!I135</f>
        <v>0.39489999999999997</v>
      </c>
      <c r="J132">
        <f>SmtRes!AO229</f>
        <v>1</v>
      </c>
      <c r="K132">
        <f>SmtRes!AF229</f>
        <v>1120.82</v>
      </c>
      <c r="L132">
        <f>SmtRes!DB229</f>
        <v>4023.74</v>
      </c>
      <c r="M132">
        <f>ROUND(ROUND(L132*Source!I135, 6)*1, 2)</f>
        <v>442.61</v>
      </c>
      <c r="N132">
        <f>SmtRes!AB229</f>
        <v>1120.82</v>
      </c>
      <c r="O132">
        <f>ROUND(ROUND(L132*Source!I135, 6)*SmtRes!DA229, 2)</f>
        <v>442.61</v>
      </c>
      <c r="P132">
        <f>SmtRes!AG229</f>
        <v>545.34</v>
      </c>
      <c r="Q132">
        <f>SmtRes!DC229</f>
        <v>1957.77</v>
      </c>
      <c r="R132">
        <f>ROUND(ROUND(Q132*Source!I135, 6)*1, 2)</f>
        <v>215.35</v>
      </c>
      <c r="S132">
        <f>SmtRes!AC229</f>
        <v>545.34</v>
      </c>
      <c r="T132">
        <f>ROUND(ROUND(Q132*Source!I135, 6)*SmtRes!AK229, 2)</f>
        <v>215.35</v>
      </c>
      <c r="U132">
        <v>2</v>
      </c>
      <c r="Y132">
        <f>SmtRes!X229</f>
        <v>-1567512807</v>
      </c>
      <c r="Z132">
        <v>-2105021908</v>
      </c>
      <c r="AA132">
        <v>-2105021908</v>
      </c>
    </row>
    <row r="133" spans="1:27" x14ac:dyDescent="0.2">
      <c r="A133">
        <v>20</v>
      </c>
      <c r="B133">
        <v>228</v>
      </c>
      <c r="C133">
        <v>2</v>
      </c>
      <c r="D133">
        <v>0</v>
      </c>
      <c r="E133">
        <f>SmtRes!AV228</f>
        <v>0</v>
      </c>
      <c r="F133" t="str">
        <f>SmtRes!I228</f>
        <v>22.1-30-10</v>
      </c>
      <c r="G133" t="str">
        <f>SmtRes!K228</f>
        <v>Перфораторы электрические, мощность до 500 Вт</v>
      </c>
      <c r="H133" t="str">
        <f>SmtRes!O228</f>
        <v>маш.-ч</v>
      </c>
      <c r="I133">
        <f>SmtRes!Y228*Source!I135</f>
        <v>0.26179999999999998</v>
      </c>
      <c r="J133">
        <f>SmtRes!AO228</f>
        <v>1</v>
      </c>
      <c r="K133">
        <f>SmtRes!AF228</f>
        <v>3.14</v>
      </c>
      <c r="L133">
        <f>SmtRes!DB228</f>
        <v>7.47</v>
      </c>
      <c r="M133">
        <f>ROUND(ROUND(L133*Source!I135, 6)*1, 2)</f>
        <v>0.82</v>
      </c>
      <c r="N133">
        <f>SmtRes!AB228</f>
        <v>3.14</v>
      </c>
      <c r="O133">
        <f>ROUND(ROUND(L133*Source!I135, 6)*SmtRes!DA228, 2)</f>
        <v>0.82</v>
      </c>
      <c r="P133">
        <f>SmtRes!AG228</f>
        <v>0.01</v>
      </c>
      <c r="Q133">
        <f>SmtRes!DC228</f>
        <v>0.02</v>
      </c>
      <c r="R133">
        <f>ROUND(ROUND(Q133*Source!I135, 6)*1, 2)</f>
        <v>0</v>
      </c>
      <c r="S133">
        <f>SmtRes!AC228</f>
        <v>0.01</v>
      </c>
      <c r="T133">
        <f>ROUND(ROUND(Q133*Source!I135, 6)*SmtRes!AK228, 2)</f>
        <v>0</v>
      </c>
      <c r="U133">
        <v>2</v>
      </c>
      <c r="Y133">
        <f>SmtRes!X228</f>
        <v>-376097338</v>
      </c>
      <c r="Z133">
        <v>-249007219</v>
      </c>
      <c r="AA133">
        <v>-249007219</v>
      </c>
    </row>
    <row r="134" spans="1:27" x14ac:dyDescent="0.2">
      <c r="A134">
        <v>20</v>
      </c>
      <c r="B134">
        <v>227</v>
      </c>
      <c r="C134">
        <v>2</v>
      </c>
      <c r="D134">
        <v>0</v>
      </c>
      <c r="E134">
        <f>SmtRes!AV227</f>
        <v>0</v>
      </c>
      <c r="F134" t="str">
        <f>SmtRes!I227</f>
        <v>22.1-13-15</v>
      </c>
      <c r="G134" t="str">
        <f>SmtRes!K227</f>
        <v>Аппараты сварочные</v>
      </c>
      <c r="H134" t="str">
        <f>SmtRes!O227</f>
        <v>маш.-ч</v>
      </c>
      <c r="I134">
        <f>SmtRes!Y227*Source!I135</f>
        <v>0.35640000000000005</v>
      </c>
      <c r="J134">
        <f>SmtRes!AO227</f>
        <v>1</v>
      </c>
      <c r="K134">
        <f>SmtRes!AF227</f>
        <v>366.19</v>
      </c>
      <c r="L134">
        <f>SmtRes!DB227</f>
        <v>1186.46</v>
      </c>
      <c r="M134">
        <f>ROUND(ROUND(L134*Source!I135, 6)*1, 2)</f>
        <v>130.51</v>
      </c>
      <c r="N134">
        <f>SmtRes!AB227</f>
        <v>366.19</v>
      </c>
      <c r="O134">
        <f>ROUND(ROUND(L134*Source!I135, 6)*SmtRes!DA227, 2)</f>
        <v>130.51</v>
      </c>
      <c r="P134">
        <f>SmtRes!AG227</f>
        <v>7.37</v>
      </c>
      <c r="Q134">
        <f>SmtRes!DC227</f>
        <v>23.88</v>
      </c>
      <c r="R134">
        <f>ROUND(ROUND(Q134*Source!I135, 6)*1, 2)</f>
        <v>2.63</v>
      </c>
      <c r="S134">
        <f>SmtRes!AC227</f>
        <v>7.37</v>
      </c>
      <c r="T134">
        <f>ROUND(ROUND(Q134*Source!I135, 6)*SmtRes!AK227, 2)</f>
        <v>2.63</v>
      </c>
      <c r="U134">
        <v>2</v>
      </c>
      <c r="Y134">
        <f>SmtRes!X227</f>
        <v>829511768</v>
      </c>
      <c r="Z134">
        <v>-115959177</v>
      </c>
      <c r="AA134">
        <v>-115959177</v>
      </c>
    </row>
    <row r="135" spans="1:27" x14ac:dyDescent="0.2">
      <c r="A135">
        <f>Source!A136</f>
        <v>18</v>
      </c>
      <c r="B135">
        <v>136</v>
      </c>
      <c r="C135">
        <v>3</v>
      </c>
      <c r="D135">
        <f>Source!BI136</f>
        <v>4</v>
      </c>
      <c r="E135">
        <f>Source!FS136</f>
        <v>0</v>
      </c>
      <c r="F135" t="str">
        <f>Source!F136</f>
        <v>Цена поставщика</v>
      </c>
      <c r="G135" t="str">
        <f>Source!G136</f>
        <v>М1914. Швеллер К347Ц перфорированный 32х20х2мм L=2м оцинкованный лист (КЗЭМИ Курган)(или эквивалент)</v>
      </c>
      <c r="H135" t="str">
        <f>Source!H136</f>
        <v>м</v>
      </c>
      <c r="I135">
        <f>Source!I136</f>
        <v>22</v>
      </c>
      <c r="J135">
        <v>1</v>
      </c>
      <c r="K135">
        <f>Source!AC136</f>
        <v>562.38</v>
      </c>
      <c r="M135">
        <f>ROUND(K135*I135, 2)</f>
        <v>12372.36</v>
      </c>
      <c r="N135">
        <f>Source!AC136*IF(Source!BC136&lt;&gt; 0, Source!BC136, 1)</f>
        <v>562.38</v>
      </c>
      <c r="O135">
        <f>ROUND(N135*I135, 2)</f>
        <v>12372.36</v>
      </c>
      <c r="P135">
        <f>Source!AE136</f>
        <v>0</v>
      </c>
      <c r="R135">
        <f>ROUND(P135*I135, 2)</f>
        <v>0</v>
      </c>
      <c r="S135">
        <f>Source!AE136*IF(Source!BS136&lt;&gt; 0, Source!BS136, 1)</f>
        <v>0</v>
      </c>
      <c r="T135">
        <f>ROUND(S135*I135, 2)</f>
        <v>0</v>
      </c>
      <c r="U135">
        <v>3</v>
      </c>
      <c r="Y135">
        <f>Source!GF136</f>
        <v>2059045151</v>
      </c>
      <c r="Z135">
        <v>-1081434224</v>
      </c>
      <c r="AA135">
        <v>-1081434224</v>
      </c>
    </row>
    <row r="136" spans="1:27" x14ac:dyDescent="0.2">
      <c r="A136">
        <f>Source!A151</f>
        <v>17</v>
      </c>
      <c r="B136">
        <v>151</v>
      </c>
      <c r="C136">
        <v>2</v>
      </c>
      <c r="D136">
        <f>Source!BI151</f>
        <v>4</v>
      </c>
      <c r="E136">
        <f>Source!FS151</f>
        <v>0</v>
      </c>
      <c r="F136" t="str">
        <f>Source!F151</f>
        <v>22.1-4-23</v>
      </c>
      <c r="G136" t="str">
        <f>Source!G151</f>
        <v>Вышки телескопические на автомобиле, высота до 25 м</v>
      </c>
      <c r="H136" t="str">
        <f>Source!H151</f>
        <v>маш.-ч</v>
      </c>
      <c r="I136">
        <f>Source!I151</f>
        <v>16</v>
      </c>
      <c r="J136">
        <v>1</v>
      </c>
      <c r="K136">
        <f>Source!AD151</f>
        <v>1070.02</v>
      </c>
      <c r="M136">
        <f>ROUND(K136*I136, 2)</f>
        <v>17120.32</v>
      </c>
      <c r="N136">
        <f>Source!AD151*IF(Source!BB151&lt;&gt; 0, Source!BB151, 1)</f>
        <v>1070.02</v>
      </c>
      <c r="O136">
        <f>ROUND(N136*I136, 2)</f>
        <v>17120.32</v>
      </c>
      <c r="P136">
        <f>Source!AE151</f>
        <v>789.96</v>
      </c>
      <c r="R136">
        <f>ROUND(P136*I136, 2)</f>
        <v>12639.36</v>
      </c>
      <c r="S136">
        <f>Source!AE151*IF(Source!BS151&lt;&gt; 0, Source!BS151, 1)</f>
        <v>789.96</v>
      </c>
      <c r="T136">
        <f>ROUND(S136*I136, 2)</f>
        <v>12639.36</v>
      </c>
      <c r="U136">
        <v>2</v>
      </c>
      <c r="Y136">
        <f>Source!GF151</f>
        <v>-1859537877</v>
      </c>
      <c r="Z136">
        <v>715146094</v>
      </c>
      <c r="AA136">
        <v>715146094</v>
      </c>
    </row>
    <row r="137" spans="1:27" x14ac:dyDescent="0.2">
      <c r="A137">
        <v>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91"/>
  <sheetViews>
    <sheetView workbookViewId="0">
      <selection activeCell="A4" sqref="A4:A6"/>
    </sheetView>
  </sheetViews>
  <sheetFormatPr defaultRowHeight="12.75" x14ac:dyDescent="0.2"/>
  <cols>
    <col min="1" max="1" width="18.7109375" customWidth="1"/>
    <col min="2" max="2" width="40.7109375" customWidth="1"/>
    <col min="3" max="6" width="12.7109375" customWidth="1"/>
    <col min="15" max="15" width="54.28515625" hidden="1" customWidth="1"/>
    <col min="16" max="18" width="0" hidden="1" customWidth="1"/>
  </cols>
  <sheetData>
    <row r="2" spans="1:17" ht="16.5" x14ac:dyDescent="0.2">
      <c r="A2" s="211" t="s">
        <v>905</v>
      </c>
      <c r="B2" s="212"/>
      <c r="C2" s="212"/>
      <c r="D2" s="212"/>
      <c r="E2" s="212"/>
      <c r="F2" s="212"/>
    </row>
    <row r="3" spans="1:17" ht="82.5" x14ac:dyDescent="0.2">
      <c r="A3" s="211" t="s">
        <v>984</v>
      </c>
      <c r="B3" s="212"/>
      <c r="C3" s="212"/>
      <c r="D3" s="212"/>
      <c r="E3" s="212"/>
      <c r="F3" s="212"/>
      <c r="O3" s="50" t="s">
        <v>906</v>
      </c>
    </row>
    <row r="4" spans="1:17" x14ac:dyDescent="0.2">
      <c r="A4" s="105" t="s">
        <v>907</v>
      </c>
      <c r="B4" s="105" t="s">
        <v>908</v>
      </c>
      <c r="C4" s="105" t="s">
        <v>814</v>
      </c>
      <c r="D4" s="105" t="s">
        <v>909</v>
      </c>
      <c r="E4" s="214" t="s">
        <v>910</v>
      </c>
      <c r="F4" s="215"/>
    </row>
    <row r="5" spans="1:17" x14ac:dyDescent="0.2">
      <c r="A5" s="106"/>
      <c r="B5" s="106"/>
      <c r="C5" s="106"/>
      <c r="D5" s="106"/>
      <c r="E5" s="216"/>
      <c r="F5" s="217"/>
    </row>
    <row r="6" spans="1:17" ht="14.25" x14ac:dyDescent="0.2">
      <c r="A6" s="213"/>
      <c r="B6" s="213"/>
      <c r="C6" s="213"/>
      <c r="D6" s="213"/>
      <c r="E6" s="20" t="s">
        <v>911</v>
      </c>
      <c r="F6" s="20" t="s">
        <v>912</v>
      </c>
    </row>
    <row r="7" spans="1:17" ht="14.25" x14ac:dyDescent="0.2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</row>
    <row r="8" spans="1:17" ht="16.5" x14ac:dyDescent="0.2">
      <c r="A8" s="211" t="str">
        <f>CONCATENATE("Локальная смета: ",IF(Source!G22&lt;&gt;"Новая локальная смета", Source!G22, ""))</f>
        <v>Локальная смета: Установка сплит-систем</v>
      </c>
      <c r="B8" s="212"/>
      <c r="C8" s="212"/>
      <c r="D8" s="212"/>
      <c r="E8" s="212"/>
      <c r="F8" s="212"/>
    </row>
    <row r="9" spans="1:17" ht="14.25" x14ac:dyDescent="0.2">
      <c r="A9" s="218" t="s">
        <v>913</v>
      </c>
      <c r="B9" s="219"/>
      <c r="C9" s="219"/>
      <c r="D9" s="219"/>
      <c r="E9" s="219"/>
      <c r="F9" s="219"/>
    </row>
    <row r="10" spans="1:17" ht="28.5" x14ac:dyDescent="0.2">
      <c r="A10" s="53" t="s">
        <v>610</v>
      </c>
      <c r="B10" s="43" t="s">
        <v>612</v>
      </c>
      <c r="C10" s="43" t="s">
        <v>480</v>
      </c>
      <c r="D10" s="44">
        <f>ROUND(SUMIF(RV_DATA!Z7:'RV_DATA'!Z136, 1453364853, RV_DATA!I7:'RV_DATA'!I136), 6)</f>
        <v>4.4000000000000004</v>
      </c>
      <c r="E10" s="54">
        <f>ROUND(RV_DATA!K56, 6)</f>
        <v>782.34</v>
      </c>
      <c r="F10" s="54">
        <f>ROUND(SUMIF(RV_DATA!Z7:'RV_DATA'!Z136, 1453364853, RV_DATA!M7:'RV_DATA'!M136), 6)</f>
        <v>3442.3</v>
      </c>
      <c r="Q10">
        <v>2</v>
      </c>
    </row>
    <row r="11" spans="1:17" ht="28.5" x14ac:dyDescent="0.2">
      <c r="A11" s="53" t="s">
        <v>613</v>
      </c>
      <c r="B11" s="43" t="s">
        <v>615</v>
      </c>
      <c r="C11" s="43" t="s">
        <v>480</v>
      </c>
      <c r="D11" s="44">
        <f>ROUND(SUMIF(RV_DATA!Z7:'RV_DATA'!Z136, 363005238, RV_DATA!I7:'RV_DATA'!I136), 6)</f>
        <v>1.45</v>
      </c>
      <c r="E11" s="54">
        <f>ROUND(RV_DATA!K55, 6)</f>
        <v>28.33</v>
      </c>
      <c r="F11" s="54">
        <f>ROUND(SUMIF(RV_DATA!Z7:'RV_DATA'!Z136, 363005238, RV_DATA!M7:'RV_DATA'!M136), 6)</f>
        <v>41.1</v>
      </c>
      <c r="Q11">
        <v>2</v>
      </c>
    </row>
    <row r="12" spans="1:17" ht="14.25" x14ac:dyDescent="0.2">
      <c r="A12" s="53" t="s">
        <v>690</v>
      </c>
      <c r="B12" s="43" t="s">
        <v>692</v>
      </c>
      <c r="C12" s="43" t="s">
        <v>480</v>
      </c>
      <c r="D12" s="44">
        <f>ROUND(SUMIF(RV_DATA!Z7:'RV_DATA'!Z136, -115959177, RV_DATA!I7:'RV_DATA'!I136), 6)</f>
        <v>5.9358979999999999</v>
      </c>
      <c r="E12" s="54">
        <f>ROUND(RV_DATA!K92, 6)</f>
        <v>366.19</v>
      </c>
      <c r="F12" s="54">
        <f>ROUND(SUMIF(RV_DATA!Z7:'RV_DATA'!Z136, -115959177, RV_DATA!M7:'RV_DATA'!M136), 6)</f>
        <v>2173.8000000000002</v>
      </c>
      <c r="Q12">
        <v>2</v>
      </c>
    </row>
    <row r="13" spans="1:17" ht="14.25" x14ac:dyDescent="0.2">
      <c r="A13" s="53" t="s">
        <v>581</v>
      </c>
      <c r="B13" s="43" t="s">
        <v>583</v>
      </c>
      <c r="C13" s="43" t="s">
        <v>480</v>
      </c>
      <c r="D13" s="44">
        <f>ROUND(SUMIF(RV_DATA!Z7:'RV_DATA'!Z136, 1493344411, RV_DATA!I7:'RV_DATA'!I136), 6)</f>
        <v>1.728</v>
      </c>
      <c r="E13" s="54">
        <f>ROUND(RV_DATA!K43, 6)</f>
        <v>6.37</v>
      </c>
      <c r="F13" s="54">
        <f>ROUND(SUMIF(RV_DATA!Z7:'RV_DATA'!Z136, 1493344411, RV_DATA!M7:'RV_DATA'!M136), 6)</f>
        <v>10.94</v>
      </c>
      <c r="Q13">
        <v>2</v>
      </c>
    </row>
    <row r="14" spans="1:17" ht="28.5" x14ac:dyDescent="0.2">
      <c r="A14" s="53" t="s">
        <v>584</v>
      </c>
      <c r="B14" s="43" t="s">
        <v>586</v>
      </c>
      <c r="C14" s="43" t="s">
        <v>480</v>
      </c>
      <c r="D14" s="44">
        <f>ROUND(SUMIF(RV_DATA!Z7:'RV_DATA'!Z136, 723722512, RV_DATA!I7:'RV_DATA'!I136), 6)</f>
        <v>3.1680000000000001</v>
      </c>
      <c r="E14" s="54">
        <f>ROUND(RV_DATA!K42, 6)</f>
        <v>1187.6300000000001</v>
      </c>
      <c r="F14" s="54">
        <f>ROUND(SUMIF(RV_DATA!Z7:'RV_DATA'!Z136, 723722512, RV_DATA!M7:'RV_DATA'!M136), 6)</f>
        <v>3762.43</v>
      </c>
      <c r="Q14">
        <v>2</v>
      </c>
    </row>
    <row r="15" spans="1:17" ht="28.5" x14ac:dyDescent="0.2">
      <c r="A15" s="53" t="s">
        <v>633</v>
      </c>
      <c r="B15" s="43" t="s">
        <v>635</v>
      </c>
      <c r="C15" s="43" t="s">
        <v>480</v>
      </c>
      <c r="D15" s="44">
        <f>ROUND(SUMIF(RV_DATA!Z7:'RV_DATA'!Z136, -249007219, RV_DATA!I7:'RV_DATA'!I136), 6)</f>
        <v>37.296799999999998</v>
      </c>
      <c r="E15" s="54">
        <f>ROUND(RV_DATA!K71, 6)</f>
        <v>3.14</v>
      </c>
      <c r="F15" s="54">
        <f>ROUND(SUMIF(RV_DATA!Z7:'RV_DATA'!Z136, -249007219, RV_DATA!M7:'RV_DATA'!M136), 6)</f>
        <v>117.2</v>
      </c>
      <c r="Q15">
        <v>2</v>
      </c>
    </row>
    <row r="16" spans="1:17" ht="28.5" x14ac:dyDescent="0.2">
      <c r="A16" s="53" t="s">
        <v>636</v>
      </c>
      <c r="B16" s="43" t="s">
        <v>638</v>
      </c>
      <c r="C16" s="43" t="s">
        <v>480</v>
      </c>
      <c r="D16" s="44">
        <f>ROUND(SUMIF(RV_DATA!Z7:'RV_DATA'!Z136, -2067572800, RV_DATA!I7:'RV_DATA'!I136), 6)</f>
        <v>1.891438</v>
      </c>
      <c r="E16" s="54">
        <f>ROUND(RV_DATA!K70, 6)</f>
        <v>7.81</v>
      </c>
      <c r="F16" s="54">
        <f>ROUND(SUMIF(RV_DATA!Z7:'RV_DATA'!Z136, -2067572800, RV_DATA!M7:'RV_DATA'!M136), 6)</f>
        <v>14.67</v>
      </c>
      <c r="Q16">
        <v>2</v>
      </c>
    </row>
    <row r="17" spans="1:17" ht="28.5" x14ac:dyDescent="0.2">
      <c r="A17" s="53" t="s">
        <v>558</v>
      </c>
      <c r="B17" s="43" t="s">
        <v>560</v>
      </c>
      <c r="C17" s="43" t="s">
        <v>480</v>
      </c>
      <c r="D17" s="44">
        <f>ROUND(SUMIF(RV_DATA!Z7:'RV_DATA'!Z136, 921425808, RV_DATA!I7:'RV_DATA'!I136), 6)</f>
        <v>18.756499999999999</v>
      </c>
      <c r="E17" s="54">
        <f>ROUND(RV_DATA!K10, 6)</f>
        <v>8.1</v>
      </c>
      <c r="F17" s="54">
        <f>ROUND(SUMIF(RV_DATA!Z7:'RV_DATA'!Z136, 921425808, RV_DATA!M7:'RV_DATA'!M136), 6)</f>
        <v>152.11000000000001</v>
      </c>
      <c r="Q17">
        <v>2</v>
      </c>
    </row>
    <row r="18" spans="1:17" ht="28.5" x14ac:dyDescent="0.2">
      <c r="A18" s="53" t="s">
        <v>587</v>
      </c>
      <c r="B18" s="43" t="s">
        <v>589</v>
      </c>
      <c r="C18" s="43" t="s">
        <v>480</v>
      </c>
      <c r="D18" s="44">
        <f>ROUND(SUMIF(RV_DATA!Z7:'RV_DATA'!Z136, -567638061, RV_DATA!I7:'RV_DATA'!I136), 6)</f>
        <v>1.44</v>
      </c>
      <c r="E18" s="54">
        <f>ROUND(RV_DATA!K41, 6)</f>
        <v>530.82000000000005</v>
      </c>
      <c r="F18" s="54">
        <f>ROUND(SUMIF(RV_DATA!Z7:'RV_DATA'!Z136, -567638061, RV_DATA!M7:'RV_DATA'!M136), 6)</f>
        <v>764.35</v>
      </c>
      <c r="Q18">
        <v>2</v>
      </c>
    </row>
    <row r="19" spans="1:17" ht="14.25" x14ac:dyDescent="0.2">
      <c r="A19" s="53" t="s">
        <v>561</v>
      </c>
      <c r="B19" s="43" t="s">
        <v>563</v>
      </c>
      <c r="C19" s="43" t="s">
        <v>480</v>
      </c>
      <c r="D19" s="44">
        <f>ROUND(SUMIF(RV_DATA!Z7:'RV_DATA'!Z136, 1866338156, RV_DATA!I7:'RV_DATA'!I136), 6)</f>
        <v>8.8455750000000002</v>
      </c>
      <c r="E19" s="54">
        <f>ROUND(RV_DATA!K9, 6)</f>
        <v>5.17</v>
      </c>
      <c r="F19" s="54">
        <f>ROUND(SUMIF(RV_DATA!Z7:'RV_DATA'!Z136, 1866338156, RV_DATA!M7:'RV_DATA'!M136), 6)</f>
        <v>45.58</v>
      </c>
      <c r="Q19">
        <v>2</v>
      </c>
    </row>
    <row r="20" spans="1:17" ht="28.5" x14ac:dyDescent="0.2">
      <c r="A20" s="53" t="s">
        <v>687</v>
      </c>
      <c r="B20" s="43" t="s">
        <v>689</v>
      </c>
      <c r="C20" s="43" t="s">
        <v>480</v>
      </c>
      <c r="D20" s="44">
        <f>ROUND(SUMIF(RV_DATA!Z7:'RV_DATA'!Z136, 1934220225, RV_DATA!I7:'RV_DATA'!I136), 6)</f>
        <v>1.2555E-2</v>
      </c>
      <c r="E20" s="54">
        <f>ROUND(RV_DATA!K86, 6)</f>
        <v>664.14</v>
      </c>
      <c r="F20" s="54">
        <f>ROUND(SUMIF(RV_DATA!Z7:'RV_DATA'!Z136, 1934220225, RV_DATA!M7:'RV_DATA'!M136), 6)</f>
        <v>8.34</v>
      </c>
      <c r="Q20">
        <v>2</v>
      </c>
    </row>
    <row r="21" spans="1:17" ht="28.5" x14ac:dyDescent="0.2">
      <c r="A21" s="53" t="s">
        <v>616</v>
      </c>
      <c r="B21" s="43" t="s">
        <v>618</v>
      </c>
      <c r="C21" s="43" t="s">
        <v>480</v>
      </c>
      <c r="D21" s="44">
        <f>ROUND(SUMIF(RV_DATA!Z7:'RV_DATA'!Z136, 1363942550, RV_DATA!I7:'RV_DATA'!I136), 6)</f>
        <v>18.100000000000001</v>
      </c>
      <c r="E21" s="54">
        <f>ROUND(RV_DATA!K54, 6)</f>
        <v>6.78</v>
      </c>
      <c r="F21" s="54">
        <f>ROUND(SUMIF(RV_DATA!Z7:'RV_DATA'!Z136, 1363942550, RV_DATA!M7:'RV_DATA'!M136), 6)</f>
        <v>122.7</v>
      </c>
      <c r="Q21">
        <v>2</v>
      </c>
    </row>
    <row r="22" spans="1:17" ht="42.75" x14ac:dyDescent="0.2">
      <c r="A22" s="53" t="s">
        <v>756</v>
      </c>
      <c r="B22" s="43" t="s">
        <v>758</v>
      </c>
      <c r="C22" s="43" t="s">
        <v>480</v>
      </c>
      <c r="D22" s="44">
        <f>ROUND(SUMIF(RV_DATA!Z7:'RV_DATA'!Z136, -2105021908, RV_DATA!I7:'RV_DATA'!I136), 6)</f>
        <v>0.39489999999999997</v>
      </c>
      <c r="E22" s="54">
        <f>ROUND(RV_DATA!K132, 6)</f>
        <v>1120.82</v>
      </c>
      <c r="F22" s="54">
        <f>ROUND(SUMIF(RV_DATA!Z7:'RV_DATA'!Z136, -2105021908, RV_DATA!M7:'RV_DATA'!M136), 6)</f>
        <v>442.61</v>
      </c>
      <c r="Q22">
        <v>2</v>
      </c>
    </row>
    <row r="23" spans="1:17" ht="28.5" x14ac:dyDescent="0.2">
      <c r="A23" s="53" t="s">
        <v>478</v>
      </c>
      <c r="B23" s="43" t="s">
        <v>479</v>
      </c>
      <c r="C23" s="43" t="s">
        <v>480</v>
      </c>
      <c r="D23" s="44">
        <f>ROUND(SUMIF(RV_DATA!Z7:'RV_DATA'!Z136, 715146094, RV_DATA!I7:'RV_DATA'!I136), 6)</f>
        <v>16</v>
      </c>
      <c r="E23" s="54">
        <f>ROUND(RV_DATA!K136, 6)</f>
        <v>1070.02</v>
      </c>
      <c r="F23" s="54">
        <f>ROUND(SUMIF(RV_DATA!Z7:'RV_DATA'!Z136, 715146094, RV_DATA!M7:'RV_DATA'!M136), 6)</f>
        <v>17120.32</v>
      </c>
      <c r="Q23">
        <v>2</v>
      </c>
    </row>
    <row r="24" spans="1:17" ht="28.5" x14ac:dyDescent="0.2">
      <c r="A24" s="53" t="s">
        <v>570</v>
      </c>
      <c r="B24" s="43" t="s">
        <v>572</v>
      </c>
      <c r="C24" s="43" t="s">
        <v>480</v>
      </c>
      <c r="D24" s="44">
        <f>ROUND(SUMIF(RV_DATA!Z7:'RV_DATA'!Z136, 1306393790, RV_DATA!I7:'RV_DATA'!I136), 6)</f>
        <v>5.46</v>
      </c>
      <c r="E24" s="54">
        <f>ROUND(RV_DATA!K20, 6)</f>
        <v>2.85</v>
      </c>
      <c r="F24" s="54">
        <f>ROUND(SUMIF(RV_DATA!Z7:'RV_DATA'!Z136, 1306393790, RV_DATA!M7:'RV_DATA'!M136), 6)</f>
        <v>15.6</v>
      </c>
      <c r="Q24">
        <v>2</v>
      </c>
    </row>
    <row r="25" spans="1:17" ht="28.5" x14ac:dyDescent="0.2">
      <c r="A25" s="53" t="s">
        <v>590</v>
      </c>
      <c r="B25" s="43" t="s">
        <v>592</v>
      </c>
      <c r="C25" s="43" t="s">
        <v>480</v>
      </c>
      <c r="D25" s="44">
        <f>ROUND(SUMIF(RV_DATA!Z7:'RV_DATA'!Z136, 2129725641, RV_DATA!I7:'RV_DATA'!I136), 6)</f>
        <v>12.96</v>
      </c>
      <c r="E25" s="54">
        <f>ROUND(RV_DATA!K40, 6)</f>
        <v>17.3</v>
      </c>
      <c r="F25" s="54">
        <f>ROUND(SUMIF(RV_DATA!Z7:'RV_DATA'!Z136, 2129725641, RV_DATA!M7:'RV_DATA'!M136), 6)</f>
        <v>224.35</v>
      </c>
      <c r="Q25">
        <v>2</v>
      </c>
    </row>
    <row r="26" spans="1:17" ht="15" x14ac:dyDescent="0.25">
      <c r="A26" s="209" t="s">
        <v>914</v>
      </c>
      <c r="B26" s="209"/>
      <c r="C26" s="209"/>
      <c r="D26" s="209"/>
      <c r="E26" s="210">
        <f>SUMIF(Q10:Q25, 2, F10:F25)</f>
        <v>28458.400000000001</v>
      </c>
      <c r="F26" s="210"/>
    </row>
    <row r="27" spans="1:17" ht="14.25" x14ac:dyDescent="0.2">
      <c r="A27" s="218" t="s">
        <v>915</v>
      </c>
      <c r="B27" s="219"/>
      <c r="C27" s="219"/>
      <c r="D27" s="219"/>
      <c r="E27" s="219"/>
      <c r="F27" s="219"/>
    </row>
    <row r="28" spans="1:17" ht="14.25" x14ac:dyDescent="0.2">
      <c r="A28" s="53" t="s">
        <v>621</v>
      </c>
      <c r="B28" s="43" t="s">
        <v>623</v>
      </c>
      <c r="C28" s="43" t="s">
        <v>402</v>
      </c>
      <c r="D28" s="44">
        <f>ROUND(SUMIF(RV_DATA!Z7:'RV_DATA'!Z136, 580511363, RV_DATA!I7:'RV_DATA'!I136), 6)</f>
        <v>2.3089999999999999E-3</v>
      </c>
      <c r="E28" s="54">
        <f>ROUND(RV_DATA!K63, 6)</f>
        <v>327543.38</v>
      </c>
      <c r="F28" s="54">
        <f>ROUND(SUMIF(RV_DATA!Z7:'RV_DATA'!Z136, 580511363, RV_DATA!M7:'RV_DATA'!M136), 6)</f>
        <v>756.23</v>
      </c>
      <c r="Q28">
        <v>3</v>
      </c>
    </row>
    <row r="29" spans="1:17" ht="14.25" x14ac:dyDescent="0.2">
      <c r="A29" s="53" t="s">
        <v>621</v>
      </c>
      <c r="B29" s="43" t="s">
        <v>623</v>
      </c>
      <c r="C29" s="43" t="s">
        <v>46</v>
      </c>
      <c r="D29" s="44">
        <f>ROUND(SUMIF(RV_DATA!Z7:'RV_DATA'!Z136, 1730502301, RV_DATA!I7:'RV_DATA'!I136), 6)</f>
        <v>1.2475999999999999E-2</v>
      </c>
      <c r="E29" s="54">
        <f>ROUND(RV_DATA!K85, 6)</f>
        <v>327.54338000000001</v>
      </c>
      <c r="F29" s="54">
        <f>ROUND(SUMIF(RV_DATA!Z7:'RV_DATA'!Z136, 1730502301, RV_DATA!M7:'RV_DATA'!M136), 6)</f>
        <v>4.09</v>
      </c>
      <c r="Q29">
        <v>3</v>
      </c>
    </row>
    <row r="30" spans="1:17" ht="28.5" x14ac:dyDescent="0.2">
      <c r="A30" s="53" t="s">
        <v>573</v>
      </c>
      <c r="B30" s="43" t="s">
        <v>574</v>
      </c>
      <c r="C30" s="43" t="s">
        <v>46</v>
      </c>
      <c r="D30" s="44">
        <f>ROUND(SUMIF(RV_DATA!Z7:'RV_DATA'!Z136, 1397574405, RV_DATA!I7:'RV_DATA'!I136), 6)</f>
        <v>20.8</v>
      </c>
      <c r="E30" s="54">
        <f>ROUND(RV_DATA!K19, 6)</f>
        <v>169.23478</v>
      </c>
      <c r="F30" s="54">
        <f>ROUND(SUMIF(RV_DATA!Z7:'RV_DATA'!Z136, 1397574405, RV_DATA!M7:'RV_DATA'!M136), 6)</f>
        <v>3520.14</v>
      </c>
      <c r="Q30">
        <v>3</v>
      </c>
    </row>
    <row r="31" spans="1:17" ht="14.25" x14ac:dyDescent="0.2">
      <c r="A31" s="53" t="s">
        <v>759</v>
      </c>
      <c r="B31" s="43" t="s">
        <v>761</v>
      </c>
      <c r="C31" s="43" t="s">
        <v>752</v>
      </c>
      <c r="D31" s="44">
        <f>ROUND(SUMIF(RV_DATA!Z7:'RV_DATA'!Z136, -776358892, RV_DATA!I7:'RV_DATA'!I136), 6)</f>
        <v>4.774</v>
      </c>
      <c r="E31" s="54">
        <f>ROUND(RV_DATA!K131, 6)</f>
        <v>11.27</v>
      </c>
      <c r="F31" s="54">
        <f>ROUND(SUMIF(RV_DATA!Z7:'RV_DATA'!Z136, -776358892, RV_DATA!M7:'RV_DATA'!M136), 6)</f>
        <v>53.8</v>
      </c>
      <c r="Q31">
        <v>3</v>
      </c>
    </row>
    <row r="32" spans="1:17" ht="14.25" x14ac:dyDescent="0.2">
      <c r="A32" s="53" t="s">
        <v>604</v>
      </c>
      <c r="B32" s="43" t="s">
        <v>606</v>
      </c>
      <c r="C32" s="43" t="s">
        <v>20</v>
      </c>
      <c r="D32" s="44">
        <f>ROUND(SUMIF(RV_DATA!Z7:'RV_DATA'!Z136, 310920131, RV_DATA!I7:'RV_DATA'!I136), 6)</f>
        <v>86.4</v>
      </c>
      <c r="E32" s="54">
        <f>ROUND(RV_DATA!K48, 6)</f>
        <v>2.25</v>
      </c>
      <c r="F32" s="54">
        <f>ROUND(SUMIF(RV_DATA!Z7:'RV_DATA'!Z136, 310920131, RV_DATA!M7:'RV_DATA'!M136), 6)</f>
        <v>194.4</v>
      </c>
      <c r="Q32">
        <v>3</v>
      </c>
    </row>
    <row r="33" spans="1:17" ht="28.5" x14ac:dyDescent="0.2">
      <c r="A33" s="53" t="s">
        <v>762</v>
      </c>
      <c r="B33" s="43" t="s">
        <v>764</v>
      </c>
      <c r="C33" s="43" t="s">
        <v>402</v>
      </c>
      <c r="D33" s="44">
        <f>ROUND(SUMIF(RV_DATA!Z7:'RV_DATA'!Z136, 1041700358, RV_DATA!I7:'RV_DATA'!I136), 6)</f>
        <v>1.3799999999999999E-4</v>
      </c>
      <c r="E33" s="54">
        <f>ROUND(RV_DATA!K130, 6)</f>
        <v>134401.64000000001</v>
      </c>
      <c r="F33" s="54">
        <f>ROUND(SUMIF(RV_DATA!Z7:'RV_DATA'!Z136, 1041700358, RV_DATA!M7:'RV_DATA'!M136), 6)</f>
        <v>18.48</v>
      </c>
      <c r="Q33">
        <v>3</v>
      </c>
    </row>
    <row r="34" spans="1:17" ht="28.5" x14ac:dyDescent="0.2">
      <c r="A34" s="53" t="s">
        <v>765</v>
      </c>
      <c r="B34" s="43" t="s">
        <v>767</v>
      </c>
      <c r="C34" s="43" t="s">
        <v>342</v>
      </c>
      <c r="D34" s="44">
        <f>ROUND(SUMIF(RV_DATA!Z7:'RV_DATA'!Z136, 1154801573, RV_DATA!I7:'RV_DATA'!I136), 6)</f>
        <v>3.3000000000000002E-2</v>
      </c>
      <c r="E34" s="54">
        <f>ROUND(RV_DATA!K129, 6)</f>
        <v>28.5</v>
      </c>
      <c r="F34" s="54">
        <f>ROUND(SUMIF(RV_DATA!Z7:'RV_DATA'!Z136, 1154801573, RV_DATA!M7:'RV_DATA'!M136), 6)</f>
        <v>0.94</v>
      </c>
      <c r="Q34">
        <v>3</v>
      </c>
    </row>
    <row r="35" spans="1:17" ht="14.25" x14ac:dyDescent="0.2">
      <c r="A35" s="53" t="s">
        <v>564</v>
      </c>
      <c r="B35" s="43" t="s">
        <v>566</v>
      </c>
      <c r="C35" s="43" t="s">
        <v>20</v>
      </c>
      <c r="D35" s="44">
        <f>ROUND(SUMIF(RV_DATA!Z7:'RV_DATA'!Z136, 1963942266, RV_DATA!I7:'RV_DATA'!I136), 6)</f>
        <v>266.8</v>
      </c>
      <c r="E35" s="54">
        <f>ROUND(RV_DATA!K8, 6)</f>
        <v>1.43</v>
      </c>
      <c r="F35" s="54">
        <f>ROUND(SUMIF(RV_DATA!Z7:'RV_DATA'!Z136, 1963942266, RV_DATA!M7:'RV_DATA'!M136), 6)</f>
        <v>381.52</v>
      </c>
      <c r="Q35">
        <v>3</v>
      </c>
    </row>
    <row r="36" spans="1:17" ht="28.5" x14ac:dyDescent="0.2">
      <c r="A36" s="53" t="s">
        <v>663</v>
      </c>
      <c r="B36" s="43" t="s">
        <v>665</v>
      </c>
      <c r="C36" s="43" t="s">
        <v>402</v>
      </c>
      <c r="D36" s="44">
        <f>ROUND(SUMIF(RV_DATA!Z7:'RV_DATA'!Z136, 2018471791, RV_DATA!I7:'RV_DATA'!I136), 6)</f>
        <v>1.9480000000000001E-3</v>
      </c>
      <c r="E36" s="54">
        <f>ROUND(RV_DATA!K80, 6)</f>
        <v>146451.23000000001</v>
      </c>
      <c r="F36" s="54">
        <f>ROUND(SUMIF(RV_DATA!Z7:'RV_DATA'!Z136, 2018471791, RV_DATA!M7:'RV_DATA'!M136), 6)</f>
        <v>285.35000000000002</v>
      </c>
      <c r="Q36">
        <v>3</v>
      </c>
    </row>
    <row r="37" spans="1:17" ht="14.25" x14ac:dyDescent="0.2">
      <c r="A37" s="53" t="s">
        <v>711</v>
      </c>
      <c r="B37" s="43" t="s">
        <v>713</v>
      </c>
      <c r="C37" s="43" t="s">
        <v>402</v>
      </c>
      <c r="D37" s="44">
        <f>ROUND(SUMIF(RV_DATA!Z7:'RV_DATA'!Z136, 1357177832, RV_DATA!I7:'RV_DATA'!I136), 6)</f>
        <v>1.9999999999999999E-6</v>
      </c>
      <c r="E37" s="54">
        <f>ROUND(RV_DATA!K120, 6)</f>
        <v>88472.75</v>
      </c>
      <c r="F37" s="54">
        <f>ROUND(SUMIF(RV_DATA!Z7:'RV_DATA'!Z136, 1357177832, RV_DATA!M7:'RV_DATA'!M136), 6)</f>
        <v>0.16</v>
      </c>
      <c r="Q37">
        <v>3</v>
      </c>
    </row>
    <row r="38" spans="1:17" ht="14.25" x14ac:dyDescent="0.2">
      <c r="A38" s="53" t="s">
        <v>639</v>
      </c>
      <c r="B38" s="43" t="s">
        <v>641</v>
      </c>
      <c r="C38" s="43" t="s">
        <v>342</v>
      </c>
      <c r="D38" s="44">
        <f>ROUND(SUMIF(RV_DATA!Z7:'RV_DATA'!Z136, 2117804491, RV_DATA!I7:'RV_DATA'!I136), 6)</f>
        <v>6.6</v>
      </c>
      <c r="E38" s="54">
        <f>ROUND(RV_DATA!K68, 6)</f>
        <v>1126.26</v>
      </c>
      <c r="F38" s="54">
        <f>ROUND(SUMIF(RV_DATA!Z7:'RV_DATA'!Z136, 2117804491, RV_DATA!M7:'RV_DATA'!M136), 6)</f>
        <v>7433.32</v>
      </c>
      <c r="Q38">
        <v>3</v>
      </c>
    </row>
    <row r="39" spans="1:17" ht="71.25" x14ac:dyDescent="0.2">
      <c r="A39" s="53" t="s">
        <v>96</v>
      </c>
      <c r="B39" s="43" t="s">
        <v>97</v>
      </c>
      <c r="C39" s="43" t="s">
        <v>64</v>
      </c>
      <c r="D39" s="44">
        <f>ROUND(SUMIF(RV_DATA!Z7:'RV_DATA'!Z136, 903558844, RV_DATA!I7:'RV_DATA'!I136), 6)</f>
        <v>124.95</v>
      </c>
      <c r="E39" s="54">
        <f>ROUND(RV_DATA!K50, 6)</f>
        <v>28.54</v>
      </c>
      <c r="F39" s="54">
        <f>ROUND(SUMIF(RV_DATA!Z7:'RV_DATA'!Z136, 903558844, RV_DATA!M7:'RV_DATA'!M136), 6)</f>
        <v>3566.07</v>
      </c>
      <c r="Q39">
        <v>3</v>
      </c>
    </row>
    <row r="40" spans="1:17" ht="71.25" x14ac:dyDescent="0.2">
      <c r="A40" s="53" t="s">
        <v>100</v>
      </c>
      <c r="B40" s="43" t="s">
        <v>101</v>
      </c>
      <c r="C40" s="43" t="s">
        <v>64</v>
      </c>
      <c r="D40" s="44">
        <f>ROUND(SUMIF(RV_DATA!Z7:'RV_DATA'!Z136, 900014526, RV_DATA!I7:'RV_DATA'!I136), 6)</f>
        <v>14.45</v>
      </c>
      <c r="E40" s="54">
        <f>ROUND(RV_DATA!K51, 6)</f>
        <v>49.21</v>
      </c>
      <c r="F40" s="54">
        <f>ROUND(SUMIF(RV_DATA!Z7:'RV_DATA'!Z136, 900014526, RV_DATA!M7:'RV_DATA'!M136), 6)</f>
        <v>711.08</v>
      </c>
      <c r="Q40">
        <v>3</v>
      </c>
    </row>
    <row r="41" spans="1:17" ht="71.25" x14ac:dyDescent="0.2">
      <c r="A41" s="53" t="s">
        <v>104</v>
      </c>
      <c r="B41" s="43" t="s">
        <v>105</v>
      </c>
      <c r="C41" s="43" t="s">
        <v>64</v>
      </c>
      <c r="D41" s="44">
        <f>ROUND(SUMIF(RV_DATA!Z7:'RV_DATA'!Z136, -1472929815, RV_DATA!I7:'RV_DATA'!I136), 6)</f>
        <v>36.75</v>
      </c>
      <c r="E41" s="54">
        <f>ROUND(RV_DATA!K52, 6)</f>
        <v>53.95</v>
      </c>
      <c r="F41" s="54">
        <f>ROUND(SUMIF(RV_DATA!Z7:'RV_DATA'!Z136, -1472929815, RV_DATA!M7:'RV_DATA'!M136), 6)</f>
        <v>1982.66</v>
      </c>
      <c r="Q41">
        <v>3</v>
      </c>
    </row>
    <row r="42" spans="1:17" ht="71.25" x14ac:dyDescent="0.2">
      <c r="A42" s="53" t="s">
        <v>108</v>
      </c>
      <c r="B42" s="43" t="s">
        <v>109</v>
      </c>
      <c r="C42" s="43" t="s">
        <v>64</v>
      </c>
      <c r="D42" s="44">
        <f>ROUND(SUMIF(RV_DATA!Z7:'RV_DATA'!Z136, 1660112677, RV_DATA!I7:'RV_DATA'!I136), 6)</f>
        <v>26.25</v>
      </c>
      <c r="E42" s="54">
        <f>ROUND(RV_DATA!K53, 6)</f>
        <v>56.87</v>
      </c>
      <c r="F42" s="54">
        <f>ROUND(SUMIF(RV_DATA!Z7:'RV_DATA'!Z136, 1660112677, RV_DATA!M7:'RV_DATA'!M136), 6)</f>
        <v>1492.84</v>
      </c>
      <c r="Q42">
        <v>3</v>
      </c>
    </row>
    <row r="43" spans="1:17" ht="14.25" x14ac:dyDescent="0.2">
      <c r="A43" s="53" t="s">
        <v>593</v>
      </c>
      <c r="B43" s="43" t="s">
        <v>594</v>
      </c>
      <c r="C43" s="43" t="s">
        <v>46</v>
      </c>
      <c r="D43" s="44">
        <f>ROUND(SUMIF(RV_DATA!Z7:'RV_DATA'!Z136, 1481902069, RV_DATA!I7:'RV_DATA'!I136), 6)</f>
        <v>0.6048</v>
      </c>
      <c r="E43" s="54">
        <f>ROUND(RV_DATA!K39, 6)</f>
        <v>844.32962999999995</v>
      </c>
      <c r="F43" s="54">
        <f>ROUND(SUMIF(RV_DATA!Z7:'RV_DATA'!Z136, 1481902069, RV_DATA!M7:'RV_DATA'!M136), 6)</f>
        <v>510.62</v>
      </c>
      <c r="Q43">
        <v>3</v>
      </c>
    </row>
    <row r="44" spans="1:17" ht="14.25" x14ac:dyDescent="0.2">
      <c r="A44" s="53" t="s">
        <v>595</v>
      </c>
      <c r="B44" s="43" t="s">
        <v>597</v>
      </c>
      <c r="C44" s="43" t="s">
        <v>46</v>
      </c>
      <c r="D44" s="44">
        <f>ROUND(SUMIF(RV_DATA!Z7:'RV_DATA'!Z136, 1152337358, RV_DATA!I7:'RV_DATA'!I136), 6)</f>
        <v>6.0479999999999999E-2</v>
      </c>
      <c r="E44" s="54">
        <f>ROUND(RV_DATA!K38, 6)</f>
        <v>232.27</v>
      </c>
      <c r="F44" s="54">
        <f>ROUND(SUMIF(RV_DATA!Z7:'RV_DATA'!Z136, 1152337358, RV_DATA!M7:'RV_DATA'!M136), 6)</f>
        <v>14.11</v>
      </c>
      <c r="Q44">
        <v>3</v>
      </c>
    </row>
    <row r="45" spans="1:17" ht="28.5" x14ac:dyDescent="0.2">
      <c r="A45" s="53" t="s">
        <v>645</v>
      </c>
      <c r="B45" s="43" t="s">
        <v>647</v>
      </c>
      <c r="C45" s="43" t="s">
        <v>46</v>
      </c>
      <c r="D45" s="44">
        <f>ROUND(SUMIF(RV_DATA!Z7:'RV_DATA'!Z136, -1529386601, RV_DATA!I7:'RV_DATA'!I136), 6)</f>
        <v>0.99839999999999995</v>
      </c>
      <c r="E45" s="54">
        <f>ROUND(RV_DATA!K78, 6)</f>
        <v>151.68</v>
      </c>
      <c r="F45" s="54">
        <f>ROUND(SUMIF(RV_DATA!Z7:'RV_DATA'!Z136, -1529386601, RV_DATA!M7:'RV_DATA'!M136), 6)</f>
        <v>151.44999999999999</v>
      </c>
      <c r="Q45">
        <v>3</v>
      </c>
    </row>
    <row r="46" spans="1:17" ht="28.5" x14ac:dyDescent="0.2">
      <c r="A46" s="53" t="s">
        <v>753</v>
      </c>
      <c r="B46" s="43" t="s">
        <v>755</v>
      </c>
      <c r="C46" s="43" t="s">
        <v>402</v>
      </c>
      <c r="D46" s="44">
        <f>ROUND(SUMIF(RV_DATA!Z7:'RV_DATA'!Z136, 524249298, RV_DATA!I7:'RV_DATA'!I136), 6)</f>
        <v>2.5700000000000001E-4</v>
      </c>
      <c r="E46" s="54">
        <f>ROUND(RV_DATA!K122, 6)</f>
        <v>110835.3</v>
      </c>
      <c r="F46" s="54">
        <f>ROUND(SUMIF(RV_DATA!Z7:'RV_DATA'!Z136, 524249298, RV_DATA!M7:'RV_DATA'!M136), 6)</f>
        <v>28.5</v>
      </c>
      <c r="Q46">
        <v>3</v>
      </c>
    </row>
    <row r="47" spans="1:17" ht="28.5" x14ac:dyDescent="0.2">
      <c r="A47" s="53" t="s">
        <v>696</v>
      </c>
      <c r="B47" s="43" t="s">
        <v>698</v>
      </c>
      <c r="C47" s="43" t="s">
        <v>64</v>
      </c>
      <c r="D47" s="44">
        <f>ROUND(SUMIF(RV_DATA!Z7:'RV_DATA'!Z136, -1362750, RV_DATA!I7:'RV_DATA'!I136), 6)</f>
        <v>74</v>
      </c>
      <c r="E47" s="54">
        <f>ROUND(RV_DATA!K101, 6)</f>
        <v>166.42</v>
      </c>
      <c r="F47" s="54">
        <f>ROUND(SUMIF(RV_DATA!Z7:'RV_DATA'!Z136, -1362750, RV_DATA!M7:'RV_DATA'!M136), 6)</f>
        <v>12315.08</v>
      </c>
      <c r="Q47">
        <v>3</v>
      </c>
    </row>
    <row r="48" spans="1:17" ht="57" x14ac:dyDescent="0.2">
      <c r="A48" s="53" t="s">
        <v>624</v>
      </c>
      <c r="B48" s="43" t="s">
        <v>626</v>
      </c>
      <c r="C48" s="43" t="s">
        <v>64</v>
      </c>
      <c r="D48" s="44">
        <f>ROUND(SUMIF(RV_DATA!Z7:'RV_DATA'!Z136, 916764073, RV_DATA!I7:'RV_DATA'!I136), 6)</f>
        <v>49.98</v>
      </c>
      <c r="E48" s="54">
        <f>ROUND(RV_DATA!K61, 6)</f>
        <v>12.1</v>
      </c>
      <c r="F48" s="54">
        <f>ROUND(SUMIF(RV_DATA!Z7:'RV_DATA'!Z136, 916764073, RV_DATA!M7:'RV_DATA'!M136), 6)</f>
        <v>604.75</v>
      </c>
      <c r="Q48">
        <v>3</v>
      </c>
    </row>
    <row r="49" spans="1:17" ht="28.5" x14ac:dyDescent="0.2">
      <c r="A49" s="53" t="s">
        <v>567</v>
      </c>
      <c r="B49" s="43" t="s">
        <v>569</v>
      </c>
      <c r="C49" s="43" t="s">
        <v>20</v>
      </c>
      <c r="D49" s="44">
        <f>ROUND(SUMIF(RV_DATA!Z7:'RV_DATA'!Z136, -138492900, RV_DATA!I7:'RV_DATA'!I136), 6)</f>
        <v>52</v>
      </c>
      <c r="E49" s="54">
        <f>ROUND(RV_DATA!K7, 6)</f>
        <v>24.65</v>
      </c>
      <c r="F49" s="54">
        <f>ROUND(SUMIF(RV_DATA!Z7:'RV_DATA'!Z136, -138492900, RV_DATA!M7:'RV_DATA'!M136), 6)</f>
        <v>1281.8</v>
      </c>
      <c r="Q49">
        <v>3</v>
      </c>
    </row>
    <row r="50" spans="1:17" ht="14.25" x14ac:dyDescent="0.2">
      <c r="A50" s="53" t="s">
        <v>575</v>
      </c>
      <c r="B50" s="43" t="s">
        <v>577</v>
      </c>
      <c r="C50" s="43" t="s">
        <v>114</v>
      </c>
      <c r="D50" s="44">
        <f>ROUND(SUMIF(RV_DATA!Z7:'RV_DATA'!Z136, -63983842, RV_DATA!I7:'RV_DATA'!I136), 6)</f>
        <v>19.5</v>
      </c>
      <c r="E50" s="54">
        <f>ROUND(RV_DATA!K16, 6)</f>
        <v>265.52999999999997</v>
      </c>
      <c r="F50" s="54">
        <f>ROUND(SUMIF(RV_DATA!Z7:'RV_DATA'!Z136, -63983842, RV_DATA!M7:'RV_DATA'!M136), 6)</f>
        <v>5177.8999999999996</v>
      </c>
      <c r="Q50">
        <v>3</v>
      </c>
    </row>
    <row r="51" spans="1:17" ht="28.5" x14ac:dyDescent="0.2">
      <c r="A51" s="53" t="s">
        <v>226</v>
      </c>
      <c r="B51" s="43" t="s">
        <v>227</v>
      </c>
      <c r="C51" s="43" t="s">
        <v>64</v>
      </c>
      <c r="D51" s="44">
        <f>ROUND(SUMIF(RV_DATA!Z7:'RV_DATA'!Z136, 878513067, RV_DATA!I7:'RV_DATA'!I136), 6)</f>
        <v>161</v>
      </c>
      <c r="E51" s="54">
        <f>ROUND(RV_DATA!K81, 6)</f>
        <v>29.15</v>
      </c>
      <c r="F51" s="54">
        <f>ROUND(SUMIF(RV_DATA!Z7:'RV_DATA'!Z136, 878513067, RV_DATA!M7:'RV_DATA'!M136), 6)</f>
        <v>4693.1499999999996</v>
      </c>
      <c r="Q51">
        <v>3</v>
      </c>
    </row>
    <row r="52" spans="1:17" ht="14.25" x14ac:dyDescent="0.2">
      <c r="A52" s="53" t="s">
        <v>578</v>
      </c>
      <c r="B52" s="43" t="s">
        <v>580</v>
      </c>
      <c r="C52" s="43" t="s">
        <v>46</v>
      </c>
      <c r="D52" s="44">
        <f>ROUND(SUMIF(RV_DATA!Z7:'RV_DATA'!Z136, 974756046, RV_DATA!I7:'RV_DATA'!I136), 6)</f>
        <v>20.8</v>
      </c>
      <c r="E52" s="54">
        <f>ROUND(RV_DATA!K15, 6)</f>
        <v>332.92</v>
      </c>
      <c r="F52" s="54">
        <f>ROUND(SUMIF(RV_DATA!Z7:'RV_DATA'!Z136, 974756046, RV_DATA!M7:'RV_DATA'!M136), 6)</f>
        <v>6924.84</v>
      </c>
      <c r="Q52">
        <v>3</v>
      </c>
    </row>
    <row r="53" spans="1:17" ht="28.5" x14ac:dyDescent="0.2">
      <c r="A53" s="53" t="s">
        <v>88</v>
      </c>
      <c r="B53" s="43" t="s">
        <v>89</v>
      </c>
      <c r="C53" s="43" t="s">
        <v>64</v>
      </c>
      <c r="D53" s="44">
        <f>ROUND(SUMIF(RV_DATA!Z7:'RV_DATA'!Z136, 2040612030, RV_DATA!I7:'RV_DATA'!I136), 6)</f>
        <v>302.39999999999998</v>
      </c>
      <c r="E53" s="54">
        <f>ROUND(RV_DATA!K49, 6)</f>
        <v>44.3</v>
      </c>
      <c r="F53" s="54">
        <f>ROUND(SUMIF(RV_DATA!Z7:'RV_DATA'!Z136, 2040612030, RV_DATA!M7:'RV_DATA'!M136), 6)</f>
        <v>13396.32</v>
      </c>
      <c r="Q53">
        <v>3</v>
      </c>
    </row>
    <row r="54" spans="1:17" ht="57" x14ac:dyDescent="0.2">
      <c r="A54" s="53" t="s">
        <v>67</v>
      </c>
      <c r="B54" s="43" t="s">
        <v>68</v>
      </c>
      <c r="C54" s="43" t="s">
        <v>64</v>
      </c>
      <c r="D54" s="44">
        <f>ROUND(SUMIF(RV_DATA!Z7:'RV_DATA'!Z136, -1870134665, RV_DATA!I7:'RV_DATA'!I136), 6)</f>
        <v>112.27</v>
      </c>
      <c r="E54" s="54">
        <f>ROUND(RV_DATA!K45, 6)</f>
        <v>230.24</v>
      </c>
      <c r="F54" s="54">
        <f>ROUND(SUMIF(RV_DATA!Z7:'RV_DATA'!Z136, -1870134665, RV_DATA!M7:'RV_DATA'!M136), 6)</f>
        <v>25849.040000000001</v>
      </c>
      <c r="Q54">
        <v>3</v>
      </c>
    </row>
    <row r="55" spans="1:17" ht="57" x14ac:dyDescent="0.2">
      <c r="A55" s="53" t="s">
        <v>71</v>
      </c>
      <c r="B55" s="43" t="s">
        <v>72</v>
      </c>
      <c r="C55" s="43" t="s">
        <v>64</v>
      </c>
      <c r="D55" s="44">
        <f>ROUND(SUMIF(RV_DATA!Z7:'RV_DATA'!Z136, 1686514933, RV_DATA!I7:'RV_DATA'!I136), 6)</f>
        <v>36.049999999999997</v>
      </c>
      <c r="E55" s="54">
        <f>ROUND(RV_DATA!K46, 6)</f>
        <v>314.05</v>
      </c>
      <c r="F55" s="54">
        <f>ROUND(SUMIF(RV_DATA!Z7:'RV_DATA'!Z136, 1686514933, RV_DATA!M7:'RV_DATA'!M136), 6)</f>
        <v>11321.5</v>
      </c>
      <c r="Q55">
        <v>3</v>
      </c>
    </row>
    <row r="56" spans="1:17" ht="57" x14ac:dyDescent="0.2">
      <c r="A56" s="53" t="s">
        <v>75</v>
      </c>
      <c r="B56" s="43" t="s">
        <v>76</v>
      </c>
      <c r="C56" s="43" t="s">
        <v>64</v>
      </c>
      <c r="D56" s="44">
        <f>ROUND(SUMIF(RV_DATA!Z7:'RV_DATA'!Z136, -1400386671, RV_DATA!I7:'RV_DATA'!I136), 6)</f>
        <v>25.75</v>
      </c>
      <c r="E56" s="54">
        <f>ROUND(RV_DATA!K47, 6)</f>
        <v>423.43</v>
      </c>
      <c r="F56" s="54">
        <f>ROUND(SUMIF(RV_DATA!Z7:'RV_DATA'!Z136, -1400386671, RV_DATA!M7:'RV_DATA'!M136), 6)</f>
        <v>10903.32</v>
      </c>
      <c r="Q56">
        <v>3</v>
      </c>
    </row>
    <row r="57" spans="1:17" ht="57" x14ac:dyDescent="0.2">
      <c r="A57" s="53" t="s">
        <v>62</v>
      </c>
      <c r="B57" s="43" t="s">
        <v>63</v>
      </c>
      <c r="C57" s="43" t="s">
        <v>64</v>
      </c>
      <c r="D57" s="44">
        <f>ROUND(SUMIF(RV_DATA!Z7:'RV_DATA'!Z136, 1265234879, RV_DATA!I7:'RV_DATA'!I136), 6)</f>
        <v>122.57</v>
      </c>
      <c r="E57" s="54">
        <f>ROUND(RV_DATA!K44, 6)</f>
        <v>128.81</v>
      </c>
      <c r="F57" s="54">
        <f>ROUND(SUMIF(RV_DATA!Z7:'RV_DATA'!Z136, 1265234879, RV_DATA!M7:'RV_DATA'!M136), 6)</f>
        <v>15788.24</v>
      </c>
      <c r="Q57">
        <v>3</v>
      </c>
    </row>
    <row r="58" spans="1:17" ht="14.25" x14ac:dyDescent="0.2">
      <c r="A58" s="53" t="s">
        <v>598</v>
      </c>
      <c r="B58" s="43" t="s">
        <v>600</v>
      </c>
      <c r="C58" s="43" t="s">
        <v>81</v>
      </c>
      <c r="D58" s="44">
        <f>ROUND(SUMIF(RV_DATA!Z7:'RV_DATA'!Z136, 487110707, RV_DATA!I7:'RV_DATA'!I136), 6)</f>
        <v>1.5551999999999999</v>
      </c>
      <c r="E58" s="54">
        <f>ROUND(RV_DATA!K37, 6)</f>
        <v>53.64</v>
      </c>
      <c r="F58" s="54">
        <f>ROUND(SUMIF(RV_DATA!Z7:'RV_DATA'!Z136, 487110707, RV_DATA!M7:'RV_DATA'!M136), 6)</f>
        <v>83.52</v>
      </c>
      <c r="Q58">
        <v>3</v>
      </c>
    </row>
    <row r="59" spans="1:17" ht="14.25" x14ac:dyDescent="0.2">
      <c r="A59" s="53" t="s">
        <v>601</v>
      </c>
      <c r="B59" s="43" t="s">
        <v>603</v>
      </c>
      <c r="C59" s="43" t="s">
        <v>81</v>
      </c>
      <c r="D59" s="44">
        <f>ROUND(SUMIF(RV_DATA!Z7:'RV_DATA'!Z136, 225945017, RV_DATA!I7:'RV_DATA'!I136), 6)</f>
        <v>1.3535999999999999</v>
      </c>
      <c r="E59" s="54">
        <f>ROUND(RV_DATA!K36, 6)</f>
        <v>630.86</v>
      </c>
      <c r="F59" s="54">
        <f>ROUND(SUMIF(RV_DATA!Z7:'RV_DATA'!Z136, 225945017, RV_DATA!M7:'RV_DATA'!M136), 6)</f>
        <v>853.92</v>
      </c>
      <c r="Q59">
        <v>3</v>
      </c>
    </row>
    <row r="60" spans="1:17" ht="42.75" x14ac:dyDescent="0.2">
      <c r="A60" s="53" t="s">
        <v>44</v>
      </c>
      <c r="B60" s="43" t="s">
        <v>45</v>
      </c>
      <c r="C60" s="43" t="s">
        <v>46</v>
      </c>
      <c r="D60" s="44">
        <f>ROUND(SUMIF(RV_DATA!Z7:'RV_DATA'!Z136, -266459654, RV_DATA!I7:'RV_DATA'!I136), 6)</f>
        <v>116.2</v>
      </c>
      <c r="E60" s="54">
        <f>ROUND(RV_DATA!K25, 6)</f>
        <v>156.56</v>
      </c>
      <c r="F60" s="54">
        <f>ROUND(SUMIF(RV_DATA!Z7:'RV_DATA'!Z136, -266459654, RV_DATA!M7:'RV_DATA'!M136), 6)</f>
        <v>18192.27</v>
      </c>
      <c r="Q60">
        <v>3</v>
      </c>
    </row>
    <row r="61" spans="1:17" ht="42.75" x14ac:dyDescent="0.2">
      <c r="A61" s="53" t="s">
        <v>714</v>
      </c>
      <c r="B61" s="43" t="s">
        <v>716</v>
      </c>
      <c r="C61" s="43" t="s">
        <v>81</v>
      </c>
      <c r="D61" s="44">
        <f>ROUND(SUMIF(RV_DATA!Z7:'RV_DATA'!Z136, -835710367, RV_DATA!I7:'RV_DATA'!I136), 6)</f>
        <v>6.0999999999999999E-5</v>
      </c>
      <c r="E61" s="54">
        <f>ROUND(RV_DATA!K119, 6)</f>
        <v>9080.02</v>
      </c>
      <c r="F61" s="54">
        <f>ROUND(SUMIF(RV_DATA!Z7:'RV_DATA'!Z136, -835710367, RV_DATA!M7:'RV_DATA'!M136), 6)</f>
        <v>0.56000000000000005</v>
      </c>
      <c r="Q61">
        <v>3</v>
      </c>
    </row>
    <row r="62" spans="1:17" ht="28.5" x14ac:dyDescent="0.2">
      <c r="A62" s="53" t="s">
        <v>723</v>
      </c>
      <c r="B62" s="43" t="s">
        <v>725</v>
      </c>
      <c r="C62" s="43" t="s">
        <v>81</v>
      </c>
      <c r="D62" s="44">
        <f>ROUND(SUMIF(RV_DATA!Z7:'RV_DATA'!Z136, 1933715310, RV_DATA!I7:'RV_DATA'!I136), 6)</f>
        <v>5.3000000000000001E-5</v>
      </c>
      <c r="E62" s="54">
        <f>ROUND(RV_DATA!K118, 6)</f>
        <v>9420.01</v>
      </c>
      <c r="F62" s="54">
        <f>ROUND(SUMIF(RV_DATA!Z7:'RV_DATA'!Z136, 1933715310, RV_DATA!M7:'RV_DATA'!M136), 6)</f>
        <v>0.5</v>
      </c>
      <c r="Q62">
        <v>3</v>
      </c>
    </row>
    <row r="63" spans="1:17" ht="14.25" x14ac:dyDescent="0.2">
      <c r="A63" s="53" t="s">
        <v>648</v>
      </c>
      <c r="B63" s="43" t="s">
        <v>650</v>
      </c>
      <c r="C63" s="43" t="s">
        <v>64</v>
      </c>
      <c r="D63" s="44">
        <f>ROUND(SUMIF(RV_DATA!Z7:'RV_DATA'!Z136, -811331557, RV_DATA!I7:'RV_DATA'!I136), 6)</f>
        <v>34.32</v>
      </c>
      <c r="E63" s="54">
        <f>ROUND(RV_DATA!K77, 6)</f>
        <v>3.77</v>
      </c>
      <c r="F63" s="54">
        <f>ROUND(SUMIF(RV_DATA!Z7:'RV_DATA'!Z136, -811331557, RV_DATA!M7:'RV_DATA'!M136), 6)</f>
        <v>129.41999999999999</v>
      </c>
      <c r="Q63">
        <v>3</v>
      </c>
    </row>
    <row r="64" spans="1:17" ht="57" x14ac:dyDescent="0.2">
      <c r="A64" s="53" t="s">
        <v>693</v>
      </c>
      <c r="B64" s="43" t="s">
        <v>695</v>
      </c>
      <c r="C64" s="43" t="s">
        <v>20</v>
      </c>
      <c r="D64" s="44">
        <f>ROUND(SUMIF(RV_DATA!Z7:'RV_DATA'!Z136, -1662523923, RV_DATA!I7:'RV_DATA'!I136), 6)</f>
        <v>49</v>
      </c>
      <c r="E64" s="54">
        <f>ROUND(RV_DATA!K90, 6)</f>
        <v>281.12</v>
      </c>
      <c r="F64" s="54">
        <f>ROUND(SUMIF(RV_DATA!Z7:'RV_DATA'!Z136, -1662523923, RV_DATA!M7:'RV_DATA'!M136), 6)</f>
        <v>13774.88</v>
      </c>
      <c r="Q64">
        <v>3</v>
      </c>
    </row>
    <row r="65" spans="1:17" ht="28.5" x14ac:dyDescent="0.2">
      <c r="A65" s="53" t="s">
        <v>651</v>
      </c>
      <c r="B65" s="43" t="s">
        <v>653</v>
      </c>
      <c r="C65" s="43" t="s">
        <v>285</v>
      </c>
      <c r="D65" s="44">
        <f>ROUND(SUMIF(RV_DATA!Z7:'RV_DATA'!Z136, -473207899, RV_DATA!I7:'RV_DATA'!I136), 6)</f>
        <v>3.1199999999999999E-2</v>
      </c>
      <c r="E65" s="54">
        <f>ROUND(RV_DATA!K76, 6)</f>
        <v>495.85</v>
      </c>
      <c r="F65" s="54">
        <f>ROUND(SUMIF(RV_DATA!Z7:'RV_DATA'!Z136, -473207899, RV_DATA!M7:'RV_DATA'!M136), 6)</f>
        <v>15.47</v>
      </c>
      <c r="Q65">
        <v>3</v>
      </c>
    </row>
    <row r="66" spans="1:17" ht="42.75" x14ac:dyDescent="0.2">
      <c r="A66" s="53" t="s">
        <v>654</v>
      </c>
      <c r="B66" s="43" t="s">
        <v>656</v>
      </c>
      <c r="C66" s="43" t="s">
        <v>20</v>
      </c>
      <c r="D66" s="44">
        <f>ROUND(SUMIF(RV_DATA!Z7:'RV_DATA'!Z136, 80072426, RV_DATA!I7:'RV_DATA'!I136), 6)</f>
        <v>62.4</v>
      </c>
      <c r="E66" s="54">
        <f>ROUND(RV_DATA!K75, 6)</f>
        <v>21.08</v>
      </c>
      <c r="F66" s="54">
        <f>ROUND(SUMIF(RV_DATA!Z7:'RV_DATA'!Z136, 80072426, RV_DATA!M7:'RV_DATA'!M136), 6)</f>
        <v>1315.39</v>
      </c>
      <c r="Q66">
        <v>3</v>
      </c>
    </row>
    <row r="67" spans="1:17" ht="28.5" x14ac:dyDescent="0.2">
      <c r="A67" s="53" t="s">
        <v>657</v>
      </c>
      <c r="B67" s="43" t="s">
        <v>659</v>
      </c>
      <c r="C67" s="43" t="s">
        <v>342</v>
      </c>
      <c r="D67" s="44">
        <f>ROUND(SUMIF(RV_DATA!Z7:'RV_DATA'!Z136, 607614968, RV_DATA!I7:'RV_DATA'!I136), 6)</f>
        <v>1.8720000000000001</v>
      </c>
      <c r="E67" s="54">
        <f>ROUND(RV_DATA!K74, 6)</f>
        <v>118.38</v>
      </c>
      <c r="F67" s="54">
        <f>ROUND(SUMIF(RV_DATA!Z7:'RV_DATA'!Z136, 607614968, RV_DATA!M7:'RV_DATA'!M136), 6)</f>
        <v>221.58</v>
      </c>
      <c r="Q67">
        <v>3</v>
      </c>
    </row>
    <row r="68" spans="1:17" ht="42.75" x14ac:dyDescent="0.2">
      <c r="A68" s="53" t="s">
        <v>627</v>
      </c>
      <c r="B68" s="43" t="s">
        <v>629</v>
      </c>
      <c r="C68" s="43" t="s">
        <v>342</v>
      </c>
      <c r="D68" s="44">
        <f>ROUND(SUMIF(RV_DATA!Z7:'RV_DATA'!Z136, -1681806817, RV_DATA!I7:'RV_DATA'!I136), 6)</f>
        <v>0.49</v>
      </c>
      <c r="E68" s="54">
        <f>ROUND(RV_DATA!K60, 6)</f>
        <v>261.24</v>
      </c>
      <c r="F68" s="54">
        <f>ROUND(SUMIF(RV_DATA!Z7:'RV_DATA'!Z136, -1681806817, RV_DATA!M7:'RV_DATA'!M136), 6)</f>
        <v>128</v>
      </c>
      <c r="Q68">
        <v>3</v>
      </c>
    </row>
    <row r="69" spans="1:17" ht="14.25" x14ac:dyDescent="0.2">
      <c r="A69" s="53" t="s">
        <v>660</v>
      </c>
      <c r="B69" s="43" t="s">
        <v>662</v>
      </c>
      <c r="C69" s="43" t="s">
        <v>285</v>
      </c>
      <c r="D69" s="44">
        <f>ROUND(SUMIF(RV_DATA!Z7:'RV_DATA'!Z136, 405370849, RV_DATA!I7:'RV_DATA'!I136), 6)</f>
        <v>0.12479999999999999</v>
      </c>
      <c r="E69" s="54">
        <f>ROUND(RV_DATA!K73, 6)</f>
        <v>187.09</v>
      </c>
      <c r="F69" s="54">
        <f>ROUND(SUMIF(RV_DATA!Z7:'RV_DATA'!Z136, 405370849, RV_DATA!M7:'RV_DATA'!M136), 6)</f>
        <v>23.34</v>
      </c>
      <c r="Q69">
        <v>3</v>
      </c>
    </row>
    <row r="70" spans="1:17" ht="114" x14ac:dyDescent="0.2">
      <c r="A70" s="53" t="s">
        <v>333</v>
      </c>
      <c r="B70" s="43" t="s">
        <v>334</v>
      </c>
      <c r="C70" s="43" t="s">
        <v>219</v>
      </c>
      <c r="D70" s="44">
        <f>ROUND(SUMIF(RV_DATA!Z7:'RV_DATA'!Z136, 952629732, RV_DATA!I7:'RV_DATA'!I136), 6)</f>
        <v>0.52325999999999995</v>
      </c>
      <c r="E70" s="54">
        <f>ROUND(RV_DATA!K106, 6)</f>
        <v>180898.67</v>
      </c>
      <c r="F70" s="54">
        <f>ROUND(SUMIF(RV_DATA!Z7:'RV_DATA'!Z136, 952629732, RV_DATA!M7:'RV_DATA'!M136), 6)</f>
        <v>94657.04</v>
      </c>
      <c r="Q70">
        <v>3</v>
      </c>
    </row>
    <row r="71" spans="1:17" ht="57" x14ac:dyDescent="0.2">
      <c r="A71" s="53" t="s">
        <v>720</v>
      </c>
      <c r="B71" s="43" t="s">
        <v>722</v>
      </c>
      <c r="C71" s="43" t="s">
        <v>81</v>
      </c>
      <c r="D71" s="44">
        <f>ROUND(SUMIF(RV_DATA!Z7:'RV_DATA'!Z136, -1663207614, RV_DATA!I7:'RV_DATA'!I136), 6)</f>
        <v>3.0699999999999998E-4</v>
      </c>
      <c r="E71" s="54">
        <f>ROUND(RV_DATA!K117, 6)</f>
        <v>3917.3</v>
      </c>
      <c r="F71" s="54">
        <f>ROUND(SUMIF(RV_DATA!Z7:'RV_DATA'!Z136, -1663207614, RV_DATA!M7:'RV_DATA'!M136), 6)</f>
        <v>1.2</v>
      </c>
      <c r="Q71">
        <v>3</v>
      </c>
    </row>
    <row r="72" spans="1:17" ht="42.75" x14ac:dyDescent="0.2">
      <c r="A72" s="53" t="s">
        <v>630</v>
      </c>
      <c r="B72" s="43" t="s">
        <v>632</v>
      </c>
      <c r="C72" s="43" t="s">
        <v>20</v>
      </c>
      <c r="D72" s="44">
        <f>ROUND(SUMIF(RV_DATA!Z7:'RV_DATA'!Z136, -630482832, RV_DATA!I7:'RV_DATA'!I136), 6)</f>
        <v>0.73499999999999999</v>
      </c>
      <c r="E72" s="54">
        <f>ROUND(RV_DATA!K59, 6)</f>
        <v>246.94</v>
      </c>
      <c r="F72" s="54">
        <f>ROUND(SUMIF(RV_DATA!Z7:'RV_DATA'!Z136, -630482832, RV_DATA!M7:'RV_DATA'!M136), 6)</f>
        <v>181.5</v>
      </c>
      <c r="Q72">
        <v>3</v>
      </c>
    </row>
    <row r="73" spans="1:17" ht="28.5" x14ac:dyDescent="0.2">
      <c r="A73" s="53" t="s">
        <v>702</v>
      </c>
      <c r="B73" s="43" t="s">
        <v>704</v>
      </c>
      <c r="C73" s="43" t="s">
        <v>20</v>
      </c>
      <c r="D73" s="44">
        <f>ROUND(SUMIF(RV_DATA!Z7:'RV_DATA'!Z136, 1622230942, RV_DATA!I7:'RV_DATA'!I136), 6)</f>
        <v>0.5</v>
      </c>
      <c r="E73" s="54">
        <f>ROUND(RV_DATA!K114, 6)</f>
        <v>2370.54</v>
      </c>
      <c r="F73" s="54">
        <f>ROUND(SUMIF(RV_DATA!Z7:'RV_DATA'!Z136, 1622230942, RV_DATA!M7:'RV_DATA'!M136), 6)</f>
        <v>1185.27</v>
      </c>
      <c r="Q73">
        <v>3</v>
      </c>
    </row>
    <row r="74" spans="1:17" ht="28.5" x14ac:dyDescent="0.2">
      <c r="A74" s="53" t="s">
        <v>642</v>
      </c>
      <c r="B74" s="43" t="s">
        <v>644</v>
      </c>
      <c r="C74" s="43" t="s">
        <v>20</v>
      </c>
      <c r="D74" s="44">
        <f>ROUND(SUMIF(RV_DATA!Z7:'RV_DATA'!Z136, -848729506, RV_DATA!I7:'RV_DATA'!I136), 6)</f>
        <v>6.6</v>
      </c>
      <c r="E74" s="54">
        <f>ROUND(RV_DATA!K67, 6)</f>
        <v>1561.93</v>
      </c>
      <c r="F74" s="54">
        <f>ROUND(SUMIF(RV_DATA!Z7:'RV_DATA'!Z136, -848729506, RV_DATA!M7:'RV_DATA'!M136), 6)</f>
        <v>10308.74</v>
      </c>
      <c r="Q74">
        <v>3</v>
      </c>
    </row>
    <row r="75" spans="1:17" ht="57" x14ac:dyDescent="0.2">
      <c r="A75" s="53" t="s">
        <v>749</v>
      </c>
      <c r="B75" s="43" t="s">
        <v>751</v>
      </c>
      <c r="C75" s="43" t="s">
        <v>752</v>
      </c>
      <c r="D75" s="44">
        <f>ROUND(SUMIF(RV_DATA!Z7:'RV_DATA'!Z136, -184516341, RV_DATA!I7:'RV_DATA'!I136), 6)</f>
        <v>2</v>
      </c>
      <c r="E75" s="54">
        <f>ROUND(RV_DATA!K121, 6)</f>
        <v>171.69</v>
      </c>
      <c r="F75" s="54">
        <f>ROUND(SUMIF(RV_DATA!Z7:'RV_DATA'!Z136, -184516341, RV_DATA!M7:'RV_DATA'!M136), 6)</f>
        <v>343.38</v>
      </c>
      <c r="Q75">
        <v>3</v>
      </c>
    </row>
    <row r="76" spans="1:17" ht="42.75" x14ac:dyDescent="0.2">
      <c r="A76" s="53" t="s">
        <v>34</v>
      </c>
      <c r="B76" s="43" t="s">
        <v>35</v>
      </c>
      <c r="C76" s="43" t="s">
        <v>20</v>
      </c>
      <c r="D76" s="44">
        <f>ROUND(SUMIF(RV_DATA!Z7:'RV_DATA'!Z136, 1037448740, RV_DATA!I7:'RV_DATA'!I136), 6)</f>
        <v>16</v>
      </c>
      <c r="E76" s="54">
        <f>ROUND(RV_DATA!K23, 6)</f>
        <v>44958.33</v>
      </c>
      <c r="F76" s="54">
        <f>ROUND(SUMIF(RV_DATA!Z7:'RV_DATA'!Z136, 1037448740, RV_DATA!M7:'RV_DATA'!M136), 6)</f>
        <v>719333.28</v>
      </c>
      <c r="Q76">
        <v>3</v>
      </c>
    </row>
    <row r="77" spans="1:17" ht="42.75" x14ac:dyDescent="0.2">
      <c r="A77" s="53" t="s">
        <v>34</v>
      </c>
      <c r="B77" s="43" t="s">
        <v>39</v>
      </c>
      <c r="C77" s="43" t="s">
        <v>20</v>
      </c>
      <c r="D77" s="44">
        <f>ROUND(SUMIF(RV_DATA!Z7:'RV_DATA'!Z136, -977204262, RV_DATA!I7:'RV_DATA'!I136), 6)</f>
        <v>7</v>
      </c>
      <c r="E77" s="54">
        <f>ROUND(RV_DATA!K24, 6)</f>
        <v>59583.33</v>
      </c>
      <c r="F77" s="54">
        <f>ROUND(SUMIF(RV_DATA!Z7:'RV_DATA'!Z136, -977204262, RV_DATA!M7:'RV_DATA'!M136), 6)</f>
        <v>417083.31</v>
      </c>
      <c r="Q77">
        <v>3</v>
      </c>
    </row>
    <row r="78" spans="1:17" ht="42.75" x14ac:dyDescent="0.2">
      <c r="A78" s="53" t="s">
        <v>34</v>
      </c>
      <c r="B78" s="43" t="s">
        <v>53</v>
      </c>
      <c r="C78" s="43" t="s">
        <v>20</v>
      </c>
      <c r="D78" s="44">
        <f>ROUND(SUMIF(RV_DATA!Z7:'RV_DATA'!Z136, 1258054017, RV_DATA!I7:'RV_DATA'!I136), 6)</f>
        <v>3</v>
      </c>
      <c r="E78" s="54">
        <f>ROUND(RV_DATA!K34, 6)</f>
        <v>115375</v>
      </c>
      <c r="F78" s="54">
        <f>ROUND(SUMIF(RV_DATA!Z7:'RV_DATA'!Z136, 1258054017, RV_DATA!M7:'RV_DATA'!M136), 6)</f>
        <v>346125</v>
      </c>
      <c r="Q78">
        <v>3</v>
      </c>
    </row>
    <row r="79" spans="1:17" ht="28.5" x14ac:dyDescent="0.2">
      <c r="A79" s="53" t="s">
        <v>34</v>
      </c>
      <c r="B79" s="43" t="s">
        <v>136</v>
      </c>
      <c r="C79" s="43" t="s">
        <v>20</v>
      </c>
      <c r="D79" s="44">
        <f>ROUND(SUMIF(RV_DATA!Z7:'RV_DATA'!Z136, -1461898446, RV_DATA!I7:'RV_DATA'!I136), 6)</f>
        <v>5</v>
      </c>
      <c r="E79" s="54">
        <f>ROUND(RV_DATA!K57, 6)</f>
        <v>8120.67</v>
      </c>
      <c r="F79" s="54">
        <f>ROUND(SUMIF(RV_DATA!Z7:'RV_DATA'!Z136, -1461898446, RV_DATA!M7:'RV_DATA'!M136), 6)</f>
        <v>40603.35</v>
      </c>
      <c r="Q79">
        <v>3</v>
      </c>
    </row>
    <row r="80" spans="1:17" ht="28.5" x14ac:dyDescent="0.2">
      <c r="A80" s="53" t="s">
        <v>34</v>
      </c>
      <c r="B80" s="43" t="s">
        <v>145</v>
      </c>
      <c r="C80" s="43" t="s">
        <v>20</v>
      </c>
      <c r="D80" s="44">
        <f>ROUND(SUMIF(RV_DATA!Z7:'RV_DATA'!Z136, -606803838, RV_DATA!I7:'RV_DATA'!I136), 6)</f>
        <v>23</v>
      </c>
      <c r="E80" s="54">
        <f>ROUND(RV_DATA!K58, 6)</f>
        <v>7895.33</v>
      </c>
      <c r="F80" s="54">
        <f>ROUND(SUMIF(RV_DATA!Z7:'RV_DATA'!Z136, -606803838, RV_DATA!M7:'RV_DATA'!M136), 6)</f>
        <v>181592.59</v>
      </c>
      <c r="Q80">
        <v>3</v>
      </c>
    </row>
    <row r="81" spans="1:17" ht="28.5" x14ac:dyDescent="0.2">
      <c r="A81" s="53" t="s">
        <v>34</v>
      </c>
      <c r="B81" s="43" t="s">
        <v>162</v>
      </c>
      <c r="C81" s="43" t="s">
        <v>20</v>
      </c>
      <c r="D81" s="44">
        <f>ROUND(SUMIF(RV_DATA!Z7:'RV_DATA'!Z136, -235121404, RV_DATA!I7:'RV_DATA'!I136), 6)</f>
        <v>22</v>
      </c>
      <c r="E81" s="54">
        <f>ROUND(RV_DATA!K66, 6)</f>
        <v>650</v>
      </c>
      <c r="F81" s="54">
        <f>ROUND(SUMIF(RV_DATA!Z7:'RV_DATA'!Z136, -235121404, RV_DATA!M7:'RV_DATA'!M136), 6)</f>
        <v>14300</v>
      </c>
      <c r="Q81">
        <v>3</v>
      </c>
    </row>
    <row r="82" spans="1:17" ht="28.5" x14ac:dyDescent="0.2">
      <c r="A82" s="53" t="s">
        <v>34</v>
      </c>
      <c r="B82" s="43" t="s">
        <v>169</v>
      </c>
      <c r="C82" s="43" t="s">
        <v>64</v>
      </c>
      <c r="D82" s="44">
        <f>ROUND(SUMIF(RV_DATA!Z7:'RV_DATA'!Z136, 523703685, RV_DATA!I7:'RV_DATA'!I136), 6)</f>
        <v>91</v>
      </c>
      <c r="E82" s="54">
        <f>ROUND(RV_DATA!K72, 6)</f>
        <v>238.33</v>
      </c>
      <c r="F82" s="54">
        <f>ROUND(SUMIF(RV_DATA!Z7:'RV_DATA'!Z136, 523703685, RV_DATA!M7:'RV_DATA'!M136), 6)</f>
        <v>21688.03</v>
      </c>
      <c r="Q82">
        <v>3</v>
      </c>
    </row>
    <row r="83" spans="1:17" ht="28.5" x14ac:dyDescent="0.2">
      <c r="A83" s="53" t="s">
        <v>34</v>
      </c>
      <c r="B83" s="43" t="s">
        <v>121</v>
      </c>
      <c r="C83" s="43" t="s">
        <v>64</v>
      </c>
      <c r="D83" s="44">
        <f>ROUND(SUMIF(RV_DATA!Z7:'RV_DATA'!Z136, -2098064734, RV_DATA!I7:'RV_DATA'!I136), 6)</f>
        <v>148.32</v>
      </c>
      <c r="E83" s="54">
        <f>ROUND(RV_DATA!K79, 6)</f>
        <v>154.24</v>
      </c>
      <c r="F83" s="54">
        <f>ROUND(SUMIF(RV_DATA!Z7:'RV_DATA'!Z136, -2098064734, RV_DATA!M7:'RV_DATA'!M136), 6)</f>
        <v>22876.880000000001</v>
      </c>
      <c r="Q83">
        <v>3</v>
      </c>
    </row>
    <row r="84" spans="1:17" ht="28.5" x14ac:dyDescent="0.2">
      <c r="A84" s="53" t="s">
        <v>34</v>
      </c>
      <c r="B84" s="43" t="s">
        <v>230</v>
      </c>
      <c r="C84" s="43" t="s">
        <v>64</v>
      </c>
      <c r="D84" s="44">
        <f>ROUND(SUMIF(RV_DATA!Z7:'RV_DATA'!Z136, -1353431255, RV_DATA!I7:'RV_DATA'!I136), 6)</f>
        <v>24</v>
      </c>
      <c r="E84" s="54">
        <f>ROUND(RV_DATA!K82, 6)</f>
        <v>43.33</v>
      </c>
      <c r="F84" s="54">
        <f>ROUND(SUMIF(RV_DATA!Z7:'RV_DATA'!Z136, -1353431255, RV_DATA!M7:'RV_DATA'!M136), 6)</f>
        <v>1039.92</v>
      </c>
      <c r="Q84">
        <v>3</v>
      </c>
    </row>
    <row r="85" spans="1:17" ht="42.75" x14ac:dyDescent="0.2">
      <c r="A85" s="53" t="s">
        <v>34</v>
      </c>
      <c r="B85" s="43" t="s">
        <v>256</v>
      </c>
      <c r="C85" s="43" t="s">
        <v>20</v>
      </c>
      <c r="D85" s="44">
        <f>ROUND(SUMIF(RV_DATA!Z7:'RV_DATA'!Z136, 1487289270, RV_DATA!I7:'RV_DATA'!I136), 6)</f>
        <v>27</v>
      </c>
      <c r="E85" s="54">
        <f>ROUND(RV_DATA!K84, 6)</f>
        <v>313.04000000000002</v>
      </c>
      <c r="F85" s="54">
        <f>ROUND(SUMIF(RV_DATA!Z7:'RV_DATA'!Z136, 1487289270, RV_DATA!M7:'RV_DATA'!M136), 6)</f>
        <v>8452.08</v>
      </c>
      <c r="Q85">
        <v>3</v>
      </c>
    </row>
    <row r="86" spans="1:17" ht="57" x14ac:dyDescent="0.2">
      <c r="A86" s="53" t="s">
        <v>34</v>
      </c>
      <c r="B86" s="43" t="s">
        <v>263</v>
      </c>
      <c r="C86" s="43" t="s">
        <v>20</v>
      </c>
      <c r="D86" s="44">
        <f>ROUND(SUMIF(RV_DATA!Z7:'RV_DATA'!Z136, 1632817074, RV_DATA!I7:'RV_DATA'!I136), 6)</f>
        <v>27</v>
      </c>
      <c r="E86" s="54">
        <f>ROUND(RV_DATA!K89, 6)</f>
        <v>16.510000000000002</v>
      </c>
      <c r="F86" s="54">
        <f>ROUND(SUMIF(RV_DATA!Z7:'RV_DATA'!Z136, 1632817074, RV_DATA!M7:'RV_DATA'!M136), 6)</f>
        <v>445.77</v>
      </c>
      <c r="Q86">
        <v>3</v>
      </c>
    </row>
    <row r="87" spans="1:17" ht="42.75" x14ac:dyDescent="0.2">
      <c r="A87" s="53" t="s">
        <v>34</v>
      </c>
      <c r="B87" s="43" t="s">
        <v>405</v>
      </c>
      <c r="C87" s="43" t="s">
        <v>64</v>
      </c>
      <c r="D87" s="44">
        <f>ROUND(SUMIF(RV_DATA!Z7:'RV_DATA'!Z136, -724848459, RV_DATA!I7:'RV_DATA'!I136), 6)</f>
        <v>9</v>
      </c>
      <c r="E87" s="54">
        <f>ROUND(RV_DATA!K125, 6)</f>
        <v>488.8</v>
      </c>
      <c r="F87" s="54">
        <f>ROUND(SUMIF(RV_DATA!Z7:'RV_DATA'!Z136, -724848459, RV_DATA!M7:'RV_DATA'!M136), 6)</f>
        <v>4399.2</v>
      </c>
      <c r="Q87">
        <v>3</v>
      </c>
    </row>
    <row r="88" spans="1:17" ht="42.75" x14ac:dyDescent="0.2">
      <c r="A88" s="53" t="s">
        <v>34</v>
      </c>
      <c r="B88" s="43" t="s">
        <v>408</v>
      </c>
      <c r="C88" s="43" t="s">
        <v>64</v>
      </c>
      <c r="D88" s="44">
        <f>ROUND(SUMIF(RV_DATA!Z7:'RV_DATA'!Z136, -1153929643, RV_DATA!I7:'RV_DATA'!I136), 6)</f>
        <v>9</v>
      </c>
      <c r="E88" s="54">
        <f>ROUND(RV_DATA!K126, 6)</f>
        <v>272.48</v>
      </c>
      <c r="F88" s="54">
        <f>ROUND(SUMIF(RV_DATA!Z7:'RV_DATA'!Z136, -1153929643, RV_DATA!M7:'RV_DATA'!M136), 6)</f>
        <v>2452.3200000000002</v>
      </c>
      <c r="Q88">
        <v>3</v>
      </c>
    </row>
    <row r="89" spans="1:17" ht="42.75" x14ac:dyDescent="0.2">
      <c r="A89" s="53" t="s">
        <v>34</v>
      </c>
      <c r="B89" s="43" t="s">
        <v>411</v>
      </c>
      <c r="C89" s="43" t="s">
        <v>20</v>
      </c>
      <c r="D89" s="44">
        <f>ROUND(SUMIF(RV_DATA!Z7:'RV_DATA'!Z136, -1577914614, RV_DATA!I7:'RV_DATA'!I136), 6)</f>
        <v>9</v>
      </c>
      <c r="E89" s="54">
        <f>ROUND(RV_DATA!K127, 6)</f>
        <v>482.11</v>
      </c>
      <c r="F89" s="54">
        <f>ROUND(SUMIF(RV_DATA!Z7:'RV_DATA'!Z136, -1577914614, RV_DATA!M7:'RV_DATA'!M136), 6)</f>
        <v>4338.99</v>
      </c>
      <c r="Q89">
        <v>3</v>
      </c>
    </row>
    <row r="90" spans="1:17" ht="57" x14ac:dyDescent="0.2">
      <c r="A90" s="53" t="s">
        <v>34</v>
      </c>
      <c r="B90" s="43" t="s">
        <v>420</v>
      </c>
      <c r="C90" s="43" t="s">
        <v>64</v>
      </c>
      <c r="D90" s="44">
        <f>ROUND(SUMIF(RV_DATA!Z7:'RV_DATA'!Z136, -1081434224, RV_DATA!I7:'RV_DATA'!I136), 6)</f>
        <v>22</v>
      </c>
      <c r="E90" s="54">
        <f>ROUND(RV_DATA!K135, 6)</f>
        <v>562.38</v>
      </c>
      <c r="F90" s="54">
        <f>ROUND(SUMIF(RV_DATA!Z7:'RV_DATA'!Z136, -1081434224, RV_DATA!M7:'RV_DATA'!M136), 6)</f>
        <v>12372.36</v>
      </c>
      <c r="Q90">
        <v>3</v>
      </c>
    </row>
    <row r="91" spans="1:17" ht="15" x14ac:dyDescent="0.25">
      <c r="A91" s="209" t="s">
        <v>916</v>
      </c>
      <c r="B91" s="209"/>
      <c r="C91" s="209"/>
      <c r="D91" s="209"/>
      <c r="E91" s="210">
        <f>SUMIF(Q28:Q90, 3, F28:F90)</f>
        <v>2067880.7600000002</v>
      </c>
      <c r="F91" s="210"/>
    </row>
  </sheetData>
  <sortState ref="A28:Q90">
    <sortCondition ref="A28"/>
  </sortState>
  <mergeCells count="14">
    <mergeCell ref="A91:D91"/>
    <mergeCell ref="E91:F91"/>
    <mergeCell ref="A2:F2"/>
    <mergeCell ref="A3:F3"/>
    <mergeCell ref="A4:A6"/>
    <mergeCell ref="B4:B6"/>
    <mergeCell ref="C4:C6"/>
    <mergeCell ref="D4:D6"/>
    <mergeCell ref="E4:F5"/>
    <mergeCell ref="A8:F8"/>
    <mergeCell ref="A9:F9"/>
    <mergeCell ref="A26:D26"/>
    <mergeCell ref="E26:F26"/>
    <mergeCell ref="A27:F27"/>
  </mergeCells>
  <pageMargins left="0.6" right="0.4" top="0.65" bottom="0.4" header="0.4" footer="0.4"/>
  <pageSetup paperSize="9" scale="85" fitToHeight="0" orientation="portrait" verticalDpi="0" r:id="rId1"/>
  <headerFooter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8"/>
  <sheetViews>
    <sheetView topLeftCell="A191" zoomScaleNormal="100" workbookViewId="0">
      <selection activeCell="A4" sqref="A4:G4"/>
    </sheetView>
  </sheetViews>
  <sheetFormatPr defaultRowHeight="12.75" x14ac:dyDescent="0.2"/>
  <cols>
    <col min="1" max="1" width="6.7109375" customWidth="1"/>
    <col min="2" max="2" width="15.7109375" customWidth="1"/>
    <col min="3" max="3" width="45.7109375" customWidth="1"/>
    <col min="4" max="7" width="12.7109375" customWidth="1"/>
    <col min="18" max="18" width="11.28515625" style="51" customWidth="1"/>
  </cols>
  <sheetData>
    <row r="1" spans="1:18" x14ac:dyDescent="0.2">
      <c r="A1" s="8" t="str">
        <f>Source!B1</f>
        <v>Smeta.RU  (495) 974-1589</v>
      </c>
    </row>
    <row r="2" spans="1:18" ht="14.25" x14ac:dyDescent="0.2">
      <c r="A2" s="11"/>
      <c r="B2" s="11"/>
      <c r="C2" s="11"/>
      <c r="D2" s="11"/>
      <c r="E2" s="11"/>
      <c r="F2" s="11"/>
      <c r="G2" s="11"/>
    </row>
    <row r="3" spans="1:18" ht="54.75" customHeight="1" x14ac:dyDescent="0.25">
      <c r="A3" s="110" t="s">
        <v>983</v>
      </c>
      <c r="B3" s="110"/>
      <c r="C3" s="110"/>
      <c r="D3" s="110"/>
      <c r="E3" s="110"/>
      <c r="F3" s="110"/>
      <c r="G3" s="110"/>
      <c r="R3" s="64"/>
    </row>
    <row r="4" spans="1:18" x14ac:dyDescent="0.2">
      <c r="A4" s="221" t="s">
        <v>917</v>
      </c>
      <c r="B4" s="221"/>
      <c r="C4" s="221"/>
      <c r="D4" s="221"/>
      <c r="E4" s="221"/>
      <c r="F4" s="221"/>
      <c r="G4" s="221"/>
    </row>
    <row r="5" spans="1:18" ht="14.25" x14ac:dyDescent="0.2">
      <c r="A5" s="11"/>
      <c r="B5" s="11"/>
      <c r="C5" s="11"/>
      <c r="D5" s="11"/>
      <c r="E5" s="11"/>
      <c r="F5" s="11"/>
      <c r="G5" s="11"/>
    </row>
    <row r="6" spans="1:18" ht="15.75" x14ac:dyDescent="0.25">
      <c r="A6" s="222" t="str">
        <f>CONCATENATE("ЛОКАЛЬНАЯ РЕСУРСНАЯ ВЕДОМОСТЬ № ",IF(Source!F20&lt;&gt;"Новая локальная смета", Source!F20, ""))</f>
        <v xml:space="preserve">ЛОКАЛЬНАЯ РЕСУРСНАЯ ВЕДОМОСТЬ № </v>
      </c>
      <c r="B6" s="223"/>
      <c r="C6" s="223"/>
      <c r="D6" s="223"/>
      <c r="E6" s="223"/>
      <c r="F6" s="223"/>
      <c r="G6" s="223"/>
    </row>
    <row r="7" spans="1:18" ht="14.25" x14ac:dyDescent="0.2">
      <c r="A7" s="11"/>
      <c r="B7" s="11"/>
      <c r="C7" s="11"/>
      <c r="D7" s="11"/>
      <c r="E7" s="11"/>
      <c r="F7" s="11"/>
      <c r="G7" s="11"/>
    </row>
    <row r="8" spans="1:18" ht="18" x14ac:dyDescent="0.25">
      <c r="A8" s="224" t="str">
        <f>IF(Source!G20&lt;&gt;"Новая локальная смета", Source!G20, "")</f>
        <v>Установка сплит-систем</v>
      </c>
      <c r="B8" s="224"/>
      <c r="C8" s="224"/>
      <c r="D8" s="224"/>
      <c r="E8" s="224"/>
      <c r="F8" s="224"/>
      <c r="G8" s="224"/>
    </row>
    <row r="9" spans="1:18" x14ac:dyDescent="0.2">
      <c r="A9" s="112" t="s">
        <v>918</v>
      </c>
      <c r="B9" s="114"/>
      <c r="C9" s="114"/>
      <c r="D9" s="114"/>
      <c r="E9" s="114"/>
      <c r="F9" s="114"/>
      <c r="G9" s="114"/>
    </row>
    <row r="10" spans="1:18" ht="14.25" x14ac:dyDescent="0.2">
      <c r="A10" s="11"/>
      <c r="B10" s="11"/>
      <c r="C10" s="11"/>
      <c r="D10" s="11"/>
      <c r="E10" s="11"/>
      <c r="F10" s="11"/>
      <c r="G10" s="11"/>
    </row>
    <row r="11" spans="1:18" ht="14.25" x14ac:dyDescent="0.2">
      <c r="A11" s="225" t="s">
        <v>803</v>
      </c>
      <c r="B11" s="225"/>
      <c r="C11" s="55" t="str">
        <f>Source!J20</f>
        <v/>
      </c>
      <c r="D11" s="55"/>
      <c r="E11" s="55"/>
      <c r="F11" s="55"/>
      <c r="G11" s="55"/>
    </row>
    <row r="12" spans="1:18" ht="14.25" x14ac:dyDescent="0.2">
      <c r="A12" s="56"/>
      <c r="B12" s="56"/>
      <c r="C12" s="56"/>
      <c r="D12" s="56"/>
      <c r="E12" s="56"/>
      <c r="F12" s="56"/>
      <c r="G12" s="56"/>
    </row>
    <row r="13" spans="1:18" ht="14.25" x14ac:dyDescent="0.2">
      <c r="A13" s="11"/>
      <c r="B13" s="11"/>
      <c r="C13" s="11"/>
      <c r="D13" s="11"/>
      <c r="E13" s="11"/>
      <c r="F13" s="15"/>
      <c r="G13" s="15"/>
    </row>
    <row r="14" spans="1:18" ht="14.25" x14ac:dyDescent="0.2">
      <c r="A14" s="11" t="s">
        <v>824</v>
      </c>
      <c r="B14" s="11"/>
      <c r="C14" s="11"/>
      <c r="D14" s="11"/>
      <c r="E14" s="11"/>
      <c r="F14" s="15"/>
      <c r="G14" s="15"/>
    </row>
    <row r="15" spans="1:18" ht="57" x14ac:dyDescent="0.2">
      <c r="A15" s="20" t="s">
        <v>860</v>
      </c>
      <c r="B15" s="20" t="s">
        <v>919</v>
      </c>
      <c r="C15" s="20" t="s">
        <v>920</v>
      </c>
      <c r="D15" s="20" t="s">
        <v>814</v>
      </c>
      <c r="E15" s="20" t="s">
        <v>921</v>
      </c>
      <c r="F15" s="38" t="s">
        <v>922</v>
      </c>
      <c r="G15" s="38" t="s">
        <v>923</v>
      </c>
    </row>
    <row r="16" spans="1:18" ht="14.25" x14ac:dyDescent="0.2">
      <c r="A16" s="20">
        <v>1</v>
      </c>
      <c r="B16" s="20">
        <v>2</v>
      </c>
      <c r="C16" s="20">
        <v>3</v>
      </c>
      <c r="D16" s="20">
        <v>4</v>
      </c>
      <c r="E16" s="20">
        <v>5</v>
      </c>
      <c r="F16" s="20">
        <v>6</v>
      </c>
      <c r="G16" s="20">
        <v>7</v>
      </c>
    </row>
    <row r="17" spans="1:7" ht="42.75" x14ac:dyDescent="0.25">
      <c r="A17" s="58" t="str">
        <f>Source!E24</f>
        <v>1</v>
      </c>
      <c r="B17" s="59" t="str">
        <f>Source!F24</f>
        <v>1.18-3403-18-1/1</v>
      </c>
      <c r="C17" s="42" t="str">
        <f>Source!G24</f>
        <v>Установка внутреннего блока сплит-системы весом до 10 кг (без стоимости блока)</v>
      </c>
      <c r="D17" s="61" t="str">
        <f>Source!H24</f>
        <v>шт.</v>
      </c>
      <c r="E17" s="60"/>
      <c r="F17" s="44"/>
      <c r="G17" s="62">
        <f>Source!I24</f>
        <v>23</v>
      </c>
    </row>
    <row r="18" spans="1:7" ht="14.25" x14ac:dyDescent="0.2">
      <c r="A18" s="58">
        <v>1.1000000000000001</v>
      </c>
      <c r="B18" s="42" t="str">
        <f>SmtRes!I1</f>
        <v>9999990008</v>
      </c>
      <c r="C18" s="42" t="str">
        <f>SmtRes!K1</f>
        <v>Трудозатраты рабочих</v>
      </c>
      <c r="D18" s="43" t="str">
        <f>SmtRes!O1</f>
        <v>чел.-ч.</v>
      </c>
      <c r="E18" s="60">
        <f>SmtRes!AT1</f>
        <v>10.42</v>
      </c>
      <c r="F18" s="44" t="str">
        <f>SmtRes!AU1</f>
        <v/>
      </c>
      <c r="G18" s="60">
        <f>SmtRes!Y1*Source!I24</f>
        <v>239.66</v>
      </c>
    </row>
    <row r="19" spans="1:7" ht="28.5" x14ac:dyDescent="0.2">
      <c r="A19" s="58">
        <v>1.2</v>
      </c>
      <c r="B19" s="42" t="str">
        <f>SmtRes!I2</f>
        <v>22.1-30-103</v>
      </c>
      <c r="C19" s="42" t="str">
        <f>SmtRes!K2</f>
        <v>Перфораторы электрические, мощность до 800 Вт</v>
      </c>
      <c r="D19" s="43" t="str">
        <f>SmtRes!O2</f>
        <v>маш.-ч</v>
      </c>
      <c r="E19" s="60">
        <f>SmtRes!AT2</f>
        <v>0.25</v>
      </c>
      <c r="F19" s="44" t="str">
        <f>SmtRes!AU2</f>
        <v/>
      </c>
      <c r="G19" s="60">
        <f>SmtRes!Y2*Source!I24</f>
        <v>5.75</v>
      </c>
    </row>
    <row r="20" spans="1:7" ht="14.25" x14ac:dyDescent="0.2">
      <c r="A20" s="58">
        <v>1.3</v>
      </c>
      <c r="B20" s="42" t="str">
        <f>SmtRes!I3</f>
        <v>22.1-30-56</v>
      </c>
      <c r="C20" s="42" t="str">
        <f>SmtRes!K3</f>
        <v>Шуруповерты</v>
      </c>
      <c r="D20" s="43" t="str">
        <f>SmtRes!O3</f>
        <v>маш.-ч</v>
      </c>
      <c r="E20" s="60">
        <f>SmtRes!AT3</f>
        <v>0.14000000000000001</v>
      </c>
      <c r="F20" s="44" t="str">
        <f>SmtRes!AU3</f>
        <v/>
      </c>
      <c r="G20" s="60">
        <f>SmtRes!Y3*Source!I24</f>
        <v>3.22</v>
      </c>
    </row>
    <row r="21" spans="1:7" ht="14.25" x14ac:dyDescent="0.2">
      <c r="A21" s="58">
        <v>1.4</v>
      </c>
      <c r="B21" s="42" t="str">
        <f>SmtRes!I4</f>
        <v>21.1-11-198</v>
      </c>
      <c r="C21" s="42" t="str">
        <f>SmtRes!K4</f>
        <v>Дюбели пластмассовые</v>
      </c>
      <c r="D21" s="43" t="str">
        <f>SmtRes!O4</f>
        <v>шт.</v>
      </c>
      <c r="E21" s="60">
        <f>SmtRes!AT4</f>
        <v>4</v>
      </c>
      <c r="F21" s="44" t="str">
        <f>SmtRes!AU4</f>
        <v/>
      </c>
      <c r="G21" s="60">
        <f>SmtRes!Y4*Source!I24</f>
        <v>92</v>
      </c>
    </row>
    <row r="22" spans="1:7" ht="14.25" x14ac:dyDescent="0.2">
      <c r="A22" s="58">
        <v>1.5</v>
      </c>
      <c r="B22" s="42" t="str">
        <f>SmtRes!I5</f>
        <v>21.1-25-137</v>
      </c>
      <c r="C22" s="42" t="str">
        <f>SmtRes!K5</f>
        <v>Лента изоляционная ПВХ, размер 15х0,2 мм</v>
      </c>
      <c r="D22" s="43" t="str">
        <f>SmtRes!O5</f>
        <v>шт.</v>
      </c>
      <c r="E22" s="60">
        <f>SmtRes!AT5</f>
        <v>1</v>
      </c>
      <c r="F22" s="44" t="str">
        <f>SmtRes!AU5</f>
        <v/>
      </c>
      <c r="G22" s="60">
        <f>SmtRes!Y5*Source!I24</f>
        <v>23</v>
      </c>
    </row>
    <row r="23" spans="1:7" ht="42.75" x14ac:dyDescent="0.25">
      <c r="A23" s="58" t="str">
        <f>Source!E25</f>
        <v>2</v>
      </c>
      <c r="B23" s="59" t="str">
        <f>Source!F25</f>
        <v>1.18-3403-18-2/1</v>
      </c>
      <c r="C23" s="42" t="str">
        <f>Source!G25</f>
        <v>Установка внутреннего блока сплит-системы весом до 15 кг (без стоимости блока)</v>
      </c>
      <c r="D23" s="61" t="str">
        <f>Source!H25</f>
        <v>шт.</v>
      </c>
      <c r="E23" s="60"/>
      <c r="F23" s="44"/>
      <c r="G23" s="62">
        <f>Source!I25</f>
        <v>3</v>
      </c>
    </row>
    <row r="24" spans="1:7" ht="14.25" x14ac:dyDescent="0.2">
      <c r="A24" s="58">
        <v>2.1</v>
      </c>
      <c r="B24" s="42" t="str">
        <f>SmtRes!I6</f>
        <v>9999990008</v>
      </c>
      <c r="C24" s="42" t="str">
        <f>SmtRes!K6</f>
        <v>Трудозатраты рабочих</v>
      </c>
      <c r="D24" s="43" t="str">
        <f>SmtRes!O6</f>
        <v>чел.-ч.</v>
      </c>
      <c r="E24" s="60">
        <f>SmtRes!AT6</f>
        <v>14.22</v>
      </c>
      <c r="F24" s="44" t="str">
        <f>SmtRes!AU6</f>
        <v/>
      </c>
      <c r="G24" s="60">
        <f>SmtRes!Y6*Source!I25</f>
        <v>42.660000000000004</v>
      </c>
    </row>
    <row r="25" spans="1:7" ht="28.5" x14ac:dyDescent="0.2">
      <c r="A25" s="58">
        <v>2.2000000000000002</v>
      </c>
      <c r="B25" s="42" t="str">
        <f>SmtRes!I7</f>
        <v>22.1-30-103</v>
      </c>
      <c r="C25" s="42" t="str">
        <f>SmtRes!K7</f>
        <v>Перфораторы электрические, мощность до 800 Вт</v>
      </c>
      <c r="D25" s="43" t="str">
        <f>SmtRes!O7</f>
        <v>маш.-ч</v>
      </c>
      <c r="E25" s="60">
        <f>SmtRes!AT7</f>
        <v>0.25</v>
      </c>
      <c r="F25" s="44" t="str">
        <f>SmtRes!AU7</f>
        <v/>
      </c>
      <c r="G25" s="60">
        <f>SmtRes!Y7*Source!I25</f>
        <v>0.75</v>
      </c>
    </row>
    <row r="26" spans="1:7" ht="14.25" x14ac:dyDescent="0.2">
      <c r="A26" s="58">
        <v>2.2999999999999998</v>
      </c>
      <c r="B26" s="42" t="str">
        <f>SmtRes!I8</f>
        <v>22.1-30-56</v>
      </c>
      <c r="C26" s="42" t="str">
        <f>SmtRes!K8</f>
        <v>Шуруповерты</v>
      </c>
      <c r="D26" s="43" t="str">
        <f>SmtRes!O8</f>
        <v>маш.-ч</v>
      </c>
      <c r="E26" s="60">
        <f>SmtRes!AT8</f>
        <v>0.14000000000000001</v>
      </c>
      <c r="F26" s="44" t="str">
        <f>SmtRes!AU8</f>
        <v/>
      </c>
      <c r="G26" s="60">
        <f>SmtRes!Y8*Source!I25</f>
        <v>0.42000000000000004</v>
      </c>
    </row>
    <row r="27" spans="1:7" ht="14.25" x14ac:dyDescent="0.2">
      <c r="A27" s="58">
        <v>2.4</v>
      </c>
      <c r="B27" s="42" t="str">
        <f>SmtRes!I9</f>
        <v>21.1-11-198</v>
      </c>
      <c r="C27" s="42" t="str">
        <f>SmtRes!K9</f>
        <v>Дюбели пластмассовые</v>
      </c>
      <c r="D27" s="43" t="str">
        <f>SmtRes!O9</f>
        <v>шт.</v>
      </c>
      <c r="E27" s="60">
        <f>SmtRes!AT9</f>
        <v>4</v>
      </c>
      <c r="F27" s="44" t="str">
        <f>SmtRes!AU9</f>
        <v/>
      </c>
      <c r="G27" s="60">
        <f>SmtRes!Y9*Source!I25</f>
        <v>12</v>
      </c>
    </row>
    <row r="28" spans="1:7" ht="14.25" x14ac:dyDescent="0.2">
      <c r="A28" s="58">
        <v>2.5</v>
      </c>
      <c r="B28" s="42" t="str">
        <f>SmtRes!I10</f>
        <v>21.1-25-137</v>
      </c>
      <c r="C28" s="42" t="str">
        <f>SmtRes!K10</f>
        <v>Лента изоляционная ПВХ, размер 15х0,2 мм</v>
      </c>
      <c r="D28" s="43" t="str">
        <f>SmtRes!O10</f>
        <v>шт.</v>
      </c>
      <c r="E28" s="60">
        <f>SmtRes!AT10</f>
        <v>1</v>
      </c>
      <c r="F28" s="44" t="str">
        <f>SmtRes!AU10</f>
        <v/>
      </c>
      <c r="G28" s="60">
        <f>SmtRes!Y10*Source!I25</f>
        <v>3</v>
      </c>
    </row>
    <row r="29" spans="1:7" ht="42.75" x14ac:dyDescent="0.25">
      <c r="A29" s="58" t="str">
        <f>Source!E26</f>
        <v>3</v>
      </c>
      <c r="B29" s="59" t="str">
        <f>Source!F26</f>
        <v>1.18-3403-17-1/1</v>
      </c>
      <c r="C29" s="42" t="str">
        <f>Source!G26</f>
        <v>Установка наружного блока сплит-системы весом до 30 кг (без стоимости блока и кронштейнов)</v>
      </c>
      <c r="D29" s="61" t="str">
        <f>Source!H26</f>
        <v>шт.</v>
      </c>
      <c r="E29" s="60"/>
      <c r="F29" s="44"/>
      <c r="G29" s="62">
        <f>Source!I26</f>
        <v>23</v>
      </c>
    </row>
    <row r="30" spans="1:7" ht="14.25" x14ac:dyDescent="0.2">
      <c r="A30" s="58">
        <v>3.1</v>
      </c>
      <c r="B30" s="42" t="str">
        <f>SmtRes!I11</f>
        <v>9999990008</v>
      </c>
      <c r="C30" s="42" t="str">
        <f>SmtRes!K11</f>
        <v>Трудозатраты рабочих</v>
      </c>
      <c r="D30" s="43" t="str">
        <f>SmtRes!O11</f>
        <v>чел.-ч.</v>
      </c>
      <c r="E30" s="60">
        <f>SmtRes!AT11</f>
        <v>15.78</v>
      </c>
      <c r="F30" s="44" t="str">
        <f>SmtRes!AU11</f>
        <v/>
      </c>
      <c r="G30" s="60">
        <f>SmtRes!Y11*Source!I26</f>
        <v>362.94</v>
      </c>
    </row>
    <row r="31" spans="1:7" ht="28.5" x14ac:dyDescent="0.2">
      <c r="A31" s="58">
        <v>3.2</v>
      </c>
      <c r="B31" s="42" t="str">
        <f>SmtRes!I12</f>
        <v>22.1-30-103</v>
      </c>
      <c r="C31" s="42" t="str">
        <f>SmtRes!K12</f>
        <v>Перфораторы электрические, мощность до 800 Вт</v>
      </c>
      <c r="D31" s="43" t="str">
        <f>SmtRes!O12</f>
        <v>маш.-ч</v>
      </c>
      <c r="E31" s="60">
        <f>SmtRes!AT12</f>
        <v>0.38</v>
      </c>
      <c r="F31" s="44" t="str">
        <f>SmtRes!AU12</f>
        <v/>
      </c>
      <c r="G31" s="60">
        <f>SmtRes!Y12*Source!I26</f>
        <v>8.74</v>
      </c>
    </row>
    <row r="32" spans="1:7" ht="14.25" x14ac:dyDescent="0.2">
      <c r="A32" s="58">
        <v>3.3</v>
      </c>
      <c r="B32" s="42" t="str">
        <f>SmtRes!I13</f>
        <v>22.1-30-56</v>
      </c>
      <c r="C32" s="42" t="str">
        <f>SmtRes!K13</f>
        <v>Шуруповерты</v>
      </c>
      <c r="D32" s="43" t="str">
        <f>SmtRes!O13</f>
        <v>маш.-ч</v>
      </c>
      <c r="E32" s="60">
        <f>SmtRes!AT13</f>
        <v>0.19</v>
      </c>
      <c r="F32" s="44" t="str">
        <f>SmtRes!AU13</f>
        <v/>
      </c>
      <c r="G32" s="60">
        <f>SmtRes!Y13*Source!I26</f>
        <v>4.37</v>
      </c>
    </row>
    <row r="33" spans="1:7" ht="14.25" x14ac:dyDescent="0.2">
      <c r="A33" s="58">
        <v>3.4</v>
      </c>
      <c r="B33" s="42" t="str">
        <f>SmtRes!I14</f>
        <v>22.1-4-26</v>
      </c>
      <c r="C33" s="42" t="str">
        <f>SmtRes!K14</f>
        <v>Лебедки ручные, грузоподъемность до 1 т</v>
      </c>
      <c r="D33" s="43" t="str">
        <f>SmtRes!O14</f>
        <v>маш.-ч</v>
      </c>
      <c r="E33" s="60">
        <f>SmtRes!AT14</f>
        <v>0.21</v>
      </c>
      <c r="F33" s="44" t="str">
        <f>SmtRes!AU14</f>
        <v/>
      </c>
      <c r="G33" s="60">
        <f>SmtRes!Y14*Source!I26</f>
        <v>4.83</v>
      </c>
    </row>
    <row r="34" spans="1:7" ht="14.25" x14ac:dyDescent="0.2">
      <c r="A34" s="58">
        <v>3.5</v>
      </c>
      <c r="B34" s="42" t="str">
        <f>SmtRes!I15</f>
        <v>21.1-11-13</v>
      </c>
      <c r="C34" s="42" t="str">
        <f>SmtRes!K15</f>
        <v>Болты строительные анкерные с гайками</v>
      </c>
      <c r="D34" s="43" t="str">
        <f>SmtRes!O15</f>
        <v>кг</v>
      </c>
      <c r="E34" s="60">
        <f>SmtRes!AT15</f>
        <v>0.8</v>
      </c>
      <c r="F34" s="44" t="str">
        <f>SmtRes!AU15</f>
        <v/>
      </c>
      <c r="G34" s="60">
        <f>SmtRes!Y15*Source!I26</f>
        <v>18.400000000000002</v>
      </c>
    </row>
    <row r="35" spans="1:7" ht="14.25" x14ac:dyDescent="0.2">
      <c r="A35" s="58">
        <v>3.6</v>
      </c>
      <c r="B35" s="42" t="str">
        <f>SmtRes!I16</f>
        <v>21.1-11-198</v>
      </c>
      <c r="C35" s="42" t="str">
        <f>SmtRes!K16</f>
        <v>Дюбели пластмассовые</v>
      </c>
      <c r="D35" s="43" t="str">
        <f>SmtRes!O16</f>
        <v>шт.</v>
      </c>
      <c r="E35" s="60">
        <f>SmtRes!AT16</f>
        <v>4</v>
      </c>
      <c r="F35" s="44" t="str">
        <f>SmtRes!AU16</f>
        <v/>
      </c>
      <c r="G35" s="60">
        <f>SmtRes!Y16*Source!I26</f>
        <v>92</v>
      </c>
    </row>
    <row r="36" spans="1:7" ht="14.25" x14ac:dyDescent="0.2">
      <c r="A36" s="58">
        <v>3.7</v>
      </c>
      <c r="B36" s="42" t="str">
        <f>SmtRes!I17</f>
        <v>21.1-25-137</v>
      </c>
      <c r="C36" s="42" t="str">
        <f>SmtRes!K17</f>
        <v>Лента изоляционная ПВХ, размер 15х0,2 мм</v>
      </c>
      <c r="D36" s="43" t="str">
        <f>SmtRes!O17</f>
        <v>шт.</v>
      </c>
      <c r="E36" s="60">
        <f>SmtRes!AT17</f>
        <v>1</v>
      </c>
      <c r="F36" s="44" t="str">
        <f>SmtRes!AU17</f>
        <v/>
      </c>
      <c r="G36" s="60">
        <f>SmtRes!Y17*Source!I26</f>
        <v>23</v>
      </c>
    </row>
    <row r="37" spans="1:7" ht="14.25" x14ac:dyDescent="0.2">
      <c r="A37" s="58">
        <v>3.8</v>
      </c>
      <c r="B37" s="42" t="str">
        <f>SmtRes!I18</f>
        <v>21.1-25-219</v>
      </c>
      <c r="C37" s="42" t="str">
        <f>SmtRes!K18</f>
        <v>Пена монтажная</v>
      </c>
      <c r="D37" s="43" t="str">
        <f>SmtRes!O18</f>
        <v>л</v>
      </c>
      <c r="E37" s="60">
        <f>SmtRes!AT18</f>
        <v>0.75</v>
      </c>
      <c r="F37" s="44" t="str">
        <f>SmtRes!AU18</f>
        <v/>
      </c>
      <c r="G37" s="60">
        <f>SmtRes!Y18*Source!I26</f>
        <v>17.25</v>
      </c>
    </row>
    <row r="38" spans="1:7" ht="14.25" x14ac:dyDescent="0.2">
      <c r="A38" s="58">
        <v>3.9</v>
      </c>
      <c r="B38" s="42" t="str">
        <f>SmtRes!I19</f>
        <v>21.1-25-303</v>
      </c>
      <c r="C38" s="42" t="str">
        <f>SmtRes!K19</f>
        <v>Резина листовая вулканизированная</v>
      </c>
      <c r="D38" s="43" t="str">
        <f>SmtRes!O19</f>
        <v>кг</v>
      </c>
      <c r="E38" s="60">
        <f>SmtRes!AT19</f>
        <v>0.8</v>
      </c>
      <c r="F38" s="44" t="str">
        <f>SmtRes!AU19</f>
        <v/>
      </c>
      <c r="G38" s="60">
        <f>SmtRes!Y19*Source!I26</f>
        <v>18.400000000000002</v>
      </c>
    </row>
    <row r="39" spans="1:7" ht="42.75" x14ac:dyDescent="0.2">
      <c r="A39" s="58">
        <v>3.1</v>
      </c>
      <c r="B39" s="42" t="str">
        <f>SmtRes!I20</f>
        <v>21.19-12-33</v>
      </c>
      <c r="C39" s="42" t="str">
        <f>SmtRes!K20</f>
        <v>Средства крепления - кронштейн и подставка под оборудование из сортовой стали</v>
      </c>
      <c r="D39" s="43" t="str">
        <f>SmtRes!O20</f>
        <v>кг</v>
      </c>
      <c r="E39" s="60">
        <f>SmtRes!AT20</f>
        <v>4.4000000000000004</v>
      </c>
      <c r="F39" s="44" t="str">
        <f>SmtRes!AU20</f>
        <v/>
      </c>
      <c r="G39" s="60">
        <f>SmtRes!Y20*Source!I26</f>
        <v>101.2</v>
      </c>
    </row>
    <row r="40" spans="1:7" ht="42.75" x14ac:dyDescent="0.25">
      <c r="A40" s="58" t="str">
        <f>Source!E31</f>
        <v>4</v>
      </c>
      <c r="B40" s="59" t="str">
        <f>Source!F31</f>
        <v>1.18-3403-17-3/1</v>
      </c>
      <c r="C40" s="42" t="str">
        <f>Source!G31</f>
        <v>Установка наружного блока сплит-системы весом до 50 кг (без стоимости блока и кронштейнов)</v>
      </c>
      <c r="D40" s="61" t="str">
        <f>Source!H31</f>
        <v>шт.</v>
      </c>
      <c r="E40" s="60"/>
      <c r="F40" s="44"/>
      <c r="G40" s="62">
        <f>Source!I31</f>
        <v>3</v>
      </c>
    </row>
    <row r="41" spans="1:7" ht="14.25" x14ac:dyDescent="0.2">
      <c r="A41" s="58">
        <v>4.0999999999999996</v>
      </c>
      <c r="B41" s="42" t="str">
        <f>SmtRes!I21</f>
        <v>9999990008</v>
      </c>
      <c r="C41" s="42" t="str">
        <f>SmtRes!K21</f>
        <v>Трудозатраты рабочих</v>
      </c>
      <c r="D41" s="43" t="str">
        <f>SmtRes!O21</f>
        <v>чел.-ч.</v>
      </c>
      <c r="E41" s="60">
        <f>SmtRes!AT21</f>
        <v>22.01</v>
      </c>
      <c r="F41" s="44" t="str">
        <f>SmtRes!AU21</f>
        <v/>
      </c>
      <c r="G41" s="60">
        <f>SmtRes!Y21*Source!I31</f>
        <v>66.03</v>
      </c>
    </row>
    <row r="42" spans="1:7" ht="28.5" x14ac:dyDescent="0.2">
      <c r="A42" s="58">
        <v>4.2</v>
      </c>
      <c r="B42" s="42" t="str">
        <f>SmtRes!I22</f>
        <v>22.1-30-103</v>
      </c>
      <c r="C42" s="42" t="str">
        <f>SmtRes!K22</f>
        <v>Перфораторы электрические, мощность до 800 Вт</v>
      </c>
      <c r="D42" s="43" t="str">
        <f>SmtRes!O22</f>
        <v>маш.-ч</v>
      </c>
      <c r="E42" s="60">
        <f>SmtRes!AT22</f>
        <v>0.38</v>
      </c>
      <c r="F42" s="44" t="str">
        <f>SmtRes!AU22</f>
        <v/>
      </c>
      <c r="G42" s="60">
        <f>SmtRes!Y22*Source!I31</f>
        <v>1.1400000000000001</v>
      </c>
    </row>
    <row r="43" spans="1:7" ht="14.25" x14ac:dyDescent="0.2">
      <c r="A43" s="58">
        <v>4.3</v>
      </c>
      <c r="B43" s="42" t="str">
        <f>SmtRes!I23</f>
        <v>22.1-30-56</v>
      </c>
      <c r="C43" s="42" t="str">
        <f>SmtRes!K23</f>
        <v>Шуруповерты</v>
      </c>
      <c r="D43" s="43" t="str">
        <f>SmtRes!O23</f>
        <v>маш.-ч</v>
      </c>
      <c r="E43" s="60">
        <f>SmtRes!AT23</f>
        <v>0.19</v>
      </c>
      <c r="F43" s="44" t="str">
        <f>SmtRes!AU23</f>
        <v/>
      </c>
      <c r="G43" s="60">
        <f>SmtRes!Y23*Source!I31</f>
        <v>0.57000000000000006</v>
      </c>
    </row>
    <row r="44" spans="1:7" ht="14.25" x14ac:dyDescent="0.2">
      <c r="A44" s="58">
        <v>4.4000000000000004</v>
      </c>
      <c r="B44" s="42" t="str">
        <f>SmtRes!I24</f>
        <v>22.1-4-26</v>
      </c>
      <c r="C44" s="42" t="str">
        <f>SmtRes!K24</f>
        <v>Лебедки ручные, грузоподъемность до 1 т</v>
      </c>
      <c r="D44" s="43" t="str">
        <f>SmtRes!O24</f>
        <v>маш.-ч</v>
      </c>
      <c r="E44" s="60">
        <f>SmtRes!AT24</f>
        <v>0.21</v>
      </c>
      <c r="F44" s="44" t="str">
        <f>SmtRes!AU24</f>
        <v/>
      </c>
      <c r="G44" s="60">
        <f>SmtRes!Y24*Source!I31</f>
        <v>0.63</v>
      </c>
    </row>
    <row r="45" spans="1:7" ht="14.25" x14ac:dyDescent="0.2">
      <c r="A45" s="58">
        <v>4.5</v>
      </c>
      <c r="B45" s="42" t="str">
        <f>SmtRes!I25</f>
        <v>21.1-11-13</v>
      </c>
      <c r="C45" s="42" t="str">
        <f>SmtRes!K25</f>
        <v>Болты строительные анкерные с гайками</v>
      </c>
      <c r="D45" s="43" t="str">
        <f>SmtRes!O25</f>
        <v>кг</v>
      </c>
      <c r="E45" s="60">
        <f>SmtRes!AT25</f>
        <v>0.8</v>
      </c>
      <c r="F45" s="44" t="str">
        <f>SmtRes!AU25</f>
        <v/>
      </c>
      <c r="G45" s="60">
        <f>SmtRes!Y25*Source!I31</f>
        <v>2.4000000000000004</v>
      </c>
    </row>
    <row r="46" spans="1:7" ht="14.25" x14ac:dyDescent="0.2">
      <c r="A46" s="58">
        <v>4.5999999999999996</v>
      </c>
      <c r="B46" s="42" t="str">
        <f>SmtRes!I26</f>
        <v>21.1-11-198</v>
      </c>
      <c r="C46" s="42" t="str">
        <f>SmtRes!K26</f>
        <v>Дюбели пластмассовые</v>
      </c>
      <c r="D46" s="43" t="str">
        <f>SmtRes!O26</f>
        <v>шт.</v>
      </c>
      <c r="E46" s="60">
        <f>SmtRes!AT26</f>
        <v>4</v>
      </c>
      <c r="F46" s="44" t="str">
        <f>SmtRes!AU26</f>
        <v/>
      </c>
      <c r="G46" s="60">
        <f>SmtRes!Y26*Source!I31</f>
        <v>12</v>
      </c>
    </row>
    <row r="47" spans="1:7" ht="14.25" x14ac:dyDescent="0.2">
      <c r="A47" s="58">
        <v>4.7</v>
      </c>
      <c r="B47" s="42" t="str">
        <f>SmtRes!I27</f>
        <v>21.1-25-137</v>
      </c>
      <c r="C47" s="42" t="str">
        <f>SmtRes!K27</f>
        <v>Лента изоляционная ПВХ, размер 15х0,2 мм</v>
      </c>
      <c r="D47" s="43" t="str">
        <f>SmtRes!O27</f>
        <v>шт.</v>
      </c>
      <c r="E47" s="60">
        <f>SmtRes!AT27</f>
        <v>1</v>
      </c>
      <c r="F47" s="44" t="str">
        <f>SmtRes!AU27</f>
        <v/>
      </c>
      <c r="G47" s="60">
        <f>SmtRes!Y27*Source!I31</f>
        <v>3</v>
      </c>
    </row>
    <row r="48" spans="1:7" ht="14.25" x14ac:dyDescent="0.2">
      <c r="A48" s="58">
        <v>4.8</v>
      </c>
      <c r="B48" s="42" t="str">
        <f>SmtRes!I28</f>
        <v>21.1-25-219</v>
      </c>
      <c r="C48" s="42" t="str">
        <f>SmtRes!K28</f>
        <v>Пена монтажная</v>
      </c>
      <c r="D48" s="43" t="str">
        <f>SmtRes!O28</f>
        <v>л</v>
      </c>
      <c r="E48" s="60">
        <f>SmtRes!AT28</f>
        <v>0.75</v>
      </c>
      <c r="F48" s="44" t="str">
        <f>SmtRes!AU28</f>
        <v/>
      </c>
      <c r="G48" s="60">
        <f>SmtRes!Y28*Source!I31</f>
        <v>2.25</v>
      </c>
    </row>
    <row r="49" spans="1:7" ht="14.25" x14ac:dyDescent="0.2">
      <c r="A49" s="58">
        <v>4.9000000000000004</v>
      </c>
      <c r="B49" s="42" t="str">
        <f>SmtRes!I29</f>
        <v>21.1-25-303</v>
      </c>
      <c r="C49" s="42" t="str">
        <f>SmtRes!K29</f>
        <v>Резина листовая вулканизированная</v>
      </c>
      <c r="D49" s="43" t="str">
        <f>SmtRes!O29</f>
        <v>кг</v>
      </c>
      <c r="E49" s="60">
        <f>SmtRes!AT29</f>
        <v>0.8</v>
      </c>
      <c r="F49" s="44" t="str">
        <f>SmtRes!AU29</f>
        <v/>
      </c>
      <c r="G49" s="60">
        <f>SmtRes!Y29*Source!I31</f>
        <v>2.4000000000000004</v>
      </c>
    </row>
    <row r="50" spans="1:7" ht="42.75" x14ac:dyDescent="0.2">
      <c r="A50" s="58">
        <v>4.0999999999999996</v>
      </c>
      <c r="B50" s="42" t="str">
        <f>SmtRes!I30</f>
        <v>21.19-12-33</v>
      </c>
      <c r="C50" s="42" t="str">
        <f>SmtRes!K30</f>
        <v>Средства крепления - кронштейн и подставка под оборудование из сортовой стали</v>
      </c>
      <c r="D50" s="43" t="str">
        <f>SmtRes!O30</f>
        <v>кг</v>
      </c>
      <c r="E50" s="60">
        <f>SmtRes!AT30</f>
        <v>5</v>
      </c>
      <c r="F50" s="44" t="str">
        <f>SmtRes!AU30</f>
        <v/>
      </c>
      <c r="G50" s="60">
        <f>SmtRes!Y30*Source!I31</f>
        <v>15</v>
      </c>
    </row>
    <row r="51" spans="1:7" ht="42.75" x14ac:dyDescent="0.25">
      <c r="A51" s="58" t="str">
        <f>Source!E34</f>
        <v>5</v>
      </c>
      <c r="B51" s="59" t="str">
        <f>Source!F34</f>
        <v>1.24-3203-1-1/1</v>
      </c>
      <c r="C51" s="42" t="str">
        <f>Source!G34</f>
        <v>Прокладка трубопроводов из медных труб на условное давление до 2,5 МПа: наружный диаметр труб 18 мм (без стоимости труб)</v>
      </c>
      <c r="D51" s="61" t="str">
        <f>Source!H34</f>
        <v>10 м</v>
      </c>
      <c r="E51" s="60"/>
      <c r="F51" s="44"/>
      <c r="G51" s="62">
        <f>Source!I34</f>
        <v>28.8</v>
      </c>
    </row>
    <row r="52" spans="1:7" x14ac:dyDescent="0.2">
      <c r="A52" s="52"/>
      <c r="B52" s="52"/>
      <c r="C52" s="63" t="str">
        <f>"Объем: "&amp;Source!I34&amp;"=288/"&amp;"10"</f>
        <v>Объем: 28,8=288/10</v>
      </c>
      <c r="D52" s="52"/>
      <c r="E52" s="52"/>
      <c r="F52" s="52"/>
      <c r="G52" s="52"/>
    </row>
    <row r="53" spans="1:7" ht="14.25" x14ac:dyDescent="0.2">
      <c r="A53" s="58">
        <v>5.0999999999999996</v>
      </c>
      <c r="B53" s="42" t="str">
        <f>SmtRes!I31</f>
        <v>9999990008</v>
      </c>
      <c r="C53" s="42" t="str">
        <f>SmtRes!K31</f>
        <v>Трудозатраты рабочих</v>
      </c>
      <c r="D53" s="43" t="str">
        <f>SmtRes!O31</f>
        <v>чел.-ч.</v>
      </c>
      <c r="E53" s="60">
        <f>SmtRes!AT31</f>
        <v>9.1999999999999993</v>
      </c>
      <c r="F53" s="44" t="str">
        <f>SmtRes!AU31</f>
        <v/>
      </c>
      <c r="G53" s="60">
        <f>SmtRes!Y31*Source!I34</f>
        <v>264.95999999999998</v>
      </c>
    </row>
    <row r="54" spans="1:7" ht="14.25" x14ac:dyDescent="0.2">
      <c r="A54" s="58">
        <v>5.2</v>
      </c>
      <c r="B54" s="42" t="str">
        <f>SmtRes!I32</f>
        <v>22.1-17-23</v>
      </c>
      <c r="C54" s="42" t="str">
        <f>SmtRes!K32</f>
        <v>Газовые горелки</v>
      </c>
      <c r="D54" s="43" t="str">
        <f>SmtRes!O32</f>
        <v>маш.-ч</v>
      </c>
      <c r="E54" s="60">
        <f>SmtRes!AT32</f>
        <v>0.06</v>
      </c>
      <c r="F54" s="44" t="str">
        <f>SmtRes!AU32</f>
        <v/>
      </c>
      <c r="G54" s="60">
        <f>SmtRes!Y32*Source!I34</f>
        <v>1.728</v>
      </c>
    </row>
    <row r="55" spans="1:7" ht="28.5" x14ac:dyDescent="0.2">
      <c r="A55" s="58">
        <v>5.3</v>
      </c>
      <c r="B55" s="42" t="str">
        <f>SmtRes!I33</f>
        <v>22.1-18-7</v>
      </c>
      <c r="C55" s="42" t="str">
        <f>SmtRes!K33</f>
        <v>Автомобили грузовые бортовые, грузоподъемность до 5 т</v>
      </c>
      <c r="D55" s="43" t="str">
        <f>SmtRes!O33</f>
        <v>маш.-ч</v>
      </c>
      <c r="E55" s="60">
        <f>SmtRes!AT33</f>
        <v>0.11</v>
      </c>
      <c r="F55" s="44" t="str">
        <f>SmtRes!AU33</f>
        <v/>
      </c>
      <c r="G55" s="60">
        <f>SmtRes!Y33*Source!I34</f>
        <v>3.1680000000000001</v>
      </c>
    </row>
    <row r="56" spans="1:7" ht="28.5" x14ac:dyDescent="0.2">
      <c r="A56" s="58">
        <v>5.4</v>
      </c>
      <c r="B56" s="42" t="str">
        <f>SmtRes!I34</f>
        <v>22.1-30-41</v>
      </c>
      <c r="C56" s="42" t="str">
        <f>SmtRes!K34</f>
        <v>Станки трубогибочные для труб диаметром 200-500 мм</v>
      </c>
      <c r="D56" s="43" t="str">
        <f>SmtRes!O34</f>
        <v>маш.-ч</v>
      </c>
      <c r="E56" s="60">
        <f>SmtRes!AT34</f>
        <v>0.05</v>
      </c>
      <c r="F56" s="44" t="str">
        <f>SmtRes!AU34</f>
        <v/>
      </c>
      <c r="G56" s="60">
        <f>SmtRes!Y34*Source!I34</f>
        <v>1.4400000000000002</v>
      </c>
    </row>
    <row r="57" spans="1:7" ht="28.5" x14ac:dyDescent="0.2">
      <c r="A57" s="58">
        <v>5.5</v>
      </c>
      <c r="B57" s="42" t="str">
        <f>SmtRes!I35</f>
        <v>22.1-4-30</v>
      </c>
      <c r="C57" s="42" t="str">
        <f>SmtRes!K35</f>
        <v>Лебедки электрические, грузоподъемность до 0,5 т</v>
      </c>
      <c r="D57" s="43" t="str">
        <f>SmtRes!O35</f>
        <v>маш.-ч</v>
      </c>
      <c r="E57" s="60">
        <f>SmtRes!AT35</f>
        <v>0.45</v>
      </c>
      <c r="F57" s="44" t="str">
        <f>SmtRes!AU35</f>
        <v/>
      </c>
      <c r="G57" s="60">
        <f>SmtRes!Y35*Source!I34</f>
        <v>12.96</v>
      </c>
    </row>
    <row r="58" spans="1:7" ht="14.25" x14ac:dyDescent="0.2">
      <c r="A58" s="58">
        <v>5.6</v>
      </c>
      <c r="B58" s="42" t="str">
        <f>SmtRes!I36</f>
        <v>21.1-15-50</v>
      </c>
      <c r="C58" s="42" t="str">
        <f>SmtRes!K36</f>
        <v>Припой, сплав "Вуда"</v>
      </c>
      <c r="D58" s="43" t="str">
        <f>SmtRes!O36</f>
        <v>кг</v>
      </c>
      <c r="E58" s="60">
        <f>SmtRes!AT36</f>
        <v>2.1000000000000001E-2</v>
      </c>
      <c r="F58" s="44" t="str">
        <f>SmtRes!AU36</f>
        <v/>
      </c>
      <c r="G58" s="60">
        <f>SmtRes!Y36*Source!I34</f>
        <v>0.6048</v>
      </c>
    </row>
    <row r="59" spans="1:7" ht="14.25" x14ac:dyDescent="0.2">
      <c r="A59" s="58">
        <v>5.7</v>
      </c>
      <c r="B59" s="42" t="str">
        <f>SmtRes!I37</f>
        <v>21.1-16-16</v>
      </c>
      <c r="C59" s="42" t="str">
        <f>SmtRes!K37</f>
        <v>Бура техническая</v>
      </c>
      <c r="D59" s="43" t="str">
        <f>SmtRes!O37</f>
        <v>кг</v>
      </c>
      <c r="E59" s="60">
        <f>SmtRes!AT37</f>
        <v>2.0999999999999999E-3</v>
      </c>
      <c r="F59" s="44" t="str">
        <f>SmtRes!AU37</f>
        <v/>
      </c>
      <c r="G59" s="60">
        <f>SmtRes!Y37*Source!I34</f>
        <v>6.0479999999999999E-2</v>
      </c>
    </row>
    <row r="60" spans="1:7" ht="42.75" x14ac:dyDescent="0.2">
      <c r="A60" s="58">
        <v>5.8</v>
      </c>
      <c r="B60" s="42" t="str">
        <f>SmtRes!I39</f>
        <v>21.12-7-31</v>
      </c>
      <c r="C60" s="42" t="str">
        <f>SmtRes!K39</f>
        <v>Трубы медные для систем кондиционирования, наружный диаметр (толщина стенки), мм, 9,52 (0,81)</v>
      </c>
      <c r="D60" s="43" t="str">
        <f>SmtRes!O39</f>
        <v>м</v>
      </c>
      <c r="E60" s="60">
        <f>SmtRes!AT39</f>
        <v>3.8982640000000002</v>
      </c>
      <c r="F60" s="44" t="str">
        <f>SmtRes!AU39</f>
        <v/>
      </c>
      <c r="G60" s="60">
        <f>SmtRes!Y39*Source!I34</f>
        <v>112.2700032</v>
      </c>
    </row>
    <row r="61" spans="1:7" ht="42.75" x14ac:dyDescent="0.2">
      <c r="A61" s="58">
        <v>5.9</v>
      </c>
      <c r="B61" s="42" t="str">
        <f>SmtRes!I40</f>
        <v>21.12-7-32</v>
      </c>
      <c r="C61" s="42" t="str">
        <f>SmtRes!K40</f>
        <v>Трубы медные для систем кондиционирования, наружный диаметр (толщина стенки), мм, 12,7 (0,81)</v>
      </c>
      <c r="D61" s="43" t="str">
        <f>SmtRes!O40</f>
        <v>м</v>
      </c>
      <c r="E61" s="60">
        <f>SmtRes!AT40</f>
        <v>1.251736</v>
      </c>
      <c r="F61" s="44" t="str">
        <f>SmtRes!AU40</f>
        <v/>
      </c>
      <c r="G61" s="60">
        <f>SmtRes!Y40*Source!I34</f>
        <v>36.049996800000002</v>
      </c>
    </row>
    <row r="62" spans="1:7" ht="42.75" x14ac:dyDescent="0.2">
      <c r="A62" s="58">
        <v>5.0999999999999996</v>
      </c>
      <c r="B62" s="42" t="str">
        <f>SmtRes!I41</f>
        <v>21.12-7-36</v>
      </c>
      <c r="C62" s="42" t="str">
        <f>SmtRes!K41</f>
        <v>Трубы медные для систем кондиционирования, наружный диаметр (толщина стенки), мм, 15,9 (0,89)</v>
      </c>
      <c r="D62" s="43" t="str">
        <f>SmtRes!O41</f>
        <v>м</v>
      </c>
      <c r="E62" s="60">
        <f>SmtRes!AT41</f>
        <v>0.89409700000000003</v>
      </c>
      <c r="F62" s="44" t="str">
        <f>SmtRes!AU41</f>
        <v/>
      </c>
      <c r="G62" s="60">
        <f>SmtRes!Y41*Source!I34</f>
        <v>25.7499936</v>
      </c>
    </row>
    <row r="63" spans="1:7" ht="42.75" x14ac:dyDescent="0.2">
      <c r="A63" s="58">
        <v>5.1100000000000003</v>
      </c>
      <c r="B63" s="42" t="str">
        <f>SmtRes!I42</f>
        <v>21.12-7-37</v>
      </c>
      <c r="C63" s="42" t="str">
        <f>SmtRes!K42</f>
        <v>Трубы медные для систем кондиционирования, наружный диаметр (толщина стенки), мм, 6,35 (0,76)</v>
      </c>
      <c r="D63" s="43" t="str">
        <f>SmtRes!O42</f>
        <v>м</v>
      </c>
      <c r="E63" s="60">
        <f>SmtRes!AT42</f>
        <v>4.255903</v>
      </c>
      <c r="F63" s="44" t="str">
        <f>SmtRes!AU42</f>
        <v/>
      </c>
      <c r="G63" s="60">
        <f>SmtRes!Y42*Source!I34</f>
        <v>122.5700064</v>
      </c>
    </row>
    <row r="64" spans="1:7" ht="14.25" x14ac:dyDescent="0.2">
      <c r="A64" s="58">
        <v>5.12</v>
      </c>
      <c r="B64" s="42" t="str">
        <f>SmtRes!I43</f>
        <v>21.1-4-10</v>
      </c>
      <c r="C64" s="42" t="str">
        <f>SmtRes!K43</f>
        <v>Кислород технический газообразный</v>
      </c>
      <c r="D64" s="43" t="str">
        <f>SmtRes!O43</f>
        <v>м3</v>
      </c>
      <c r="E64" s="60">
        <f>SmtRes!AT43</f>
        <v>5.3999999999999999E-2</v>
      </c>
      <c r="F64" s="44" t="str">
        <f>SmtRes!AU43</f>
        <v/>
      </c>
      <c r="G64" s="60">
        <f>SmtRes!Y43*Source!I34</f>
        <v>1.5551999999999999</v>
      </c>
    </row>
    <row r="65" spans="1:7" ht="14.25" x14ac:dyDescent="0.2">
      <c r="A65" s="58">
        <v>5.13</v>
      </c>
      <c r="B65" s="42" t="str">
        <f>SmtRes!I44</f>
        <v>21.1-4-2</v>
      </c>
      <c r="C65" s="42" t="str">
        <f>SmtRes!K44</f>
        <v>Ацетилен технический</v>
      </c>
      <c r="D65" s="43" t="str">
        <f>SmtRes!O44</f>
        <v>м3</v>
      </c>
      <c r="E65" s="60">
        <f>SmtRes!AT44</f>
        <v>4.7E-2</v>
      </c>
      <c r="F65" s="44" t="str">
        <f>SmtRes!AU44</f>
        <v/>
      </c>
      <c r="G65" s="60">
        <f>SmtRes!Y44*Source!I34</f>
        <v>1.3536000000000001</v>
      </c>
    </row>
    <row r="66" spans="1:7" ht="85.5" x14ac:dyDescent="0.25">
      <c r="A66" s="58" t="str">
        <f>Source!E40</f>
        <v>6</v>
      </c>
      <c r="B66" s="59" t="str">
        <f>Source!F40</f>
        <v>1.17-3703-23-1/1</v>
      </c>
      <c r="C66" s="42" t="str">
        <f>Source!G40</f>
        <v>Изоляция трубопроводов изделиями из вспененного каучука, вспененного полиэтилена, трубками без нанесения на поверхность изоляции защитной окраски (без стоимости трубок, клея, листов, лент изоляционных)</v>
      </c>
      <c r="D66" s="61" t="str">
        <f>Source!H40</f>
        <v>10 м</v>
      </c>
      <c r="E66" s="60"/>
      <c r="F66" s="44"/>
      <c r="G66" s="62">
        <f>Source!I40</f>
        <v>28.8</v>
      </c>
    </row>
    <row r="67" spans="1:7" x14ac:dyDescent="0.2">
      <c r="A67" s="52"/>
      <c r="B67" s="52"/>
      <c r="C67" s="63" t="str">
        <f>"Объем: "&amp;Source!I40&amp;"=288/"&amp;"10"</f>
        <v>Объем: 28,8=288/10</v>
      </c>
      <c r="D67" s="52"/>
      <c r="E67" s="52"/>
      <c r="F67" s="52"/>
      <c r="G67" s="52"/>
    </row>
    <row r="68" spans="1:7" ht="14.25" x14ac:dyDescent="0.2">
      <c r="A68" s="58">
        <v>6.1</v>
      </c>
      <c r="B68" s="42" t="str">
        <f>SmtRes!I45</f>
        <v>9999990008</v>
      </c>
      <c r="C68" s="42" t="str">
        <f>SmtRes!K45</f>
        <v>Трудозатраты рабочих</v>
      </c>
      <c r="D68" s="43" t="str">
        <f>SmtRes!O45</f>
        <v>чел.-ч.</v>
      </c>
      <c r="E68" s="60">
        <f>SmtRes!AT45</f>
        <v>2.15</v>
      </c>
      <c r="F68" s="44" t="str">
        <f>SmtRes!AU45</f>
        <v/>
      </c>
      <c r="G68" s="60">
        <f>SmtRes!Y45*Source!I40</f>
        <v>61.92</v>
      </c>
    </row>
    <row r="69" spans="1:7" ht="14.25" x14ac:dyDescent="0.2">
      <c r="A69" s="58">
        <v>6.2</v>
      </c>
      <c r="B69" s="42" t="str">
        <f>SmtRes!I46</f>
        <v>21.1-11-134</v>
      </c>
      <c r="C69" s="42" t="str">
        <f>SmtRes!K46</f>
        <v>Клипсы для крепления изоляции</v>
      </c>
      <c r="D69" s="43" t="str">
        <f>SmtRes!O46</f>
        <v>шт.</v>
      </c>
      <c r="E69" s="60">
        <f>SmtRes!AT46</f>
        <v>3</v>
      </c>
      <c r="F69" s="44" t="str">
        <f>SmtRes!AU46</f>
        <v/>
      </c>
      <c r="G69" s="60">
        <f>SmtRes!Y46*Source!I40</f>
        <v>86.4</v>
      </c>
    </row>
    <row r="70" spans="1:7" ht="57" x14ac:dyDescent="0.2">
      <c r="A70" s="58">
        <v>6.3</v>
      </c>
      <c r="B70" s="42" t="str">
        <f>SmtRes!I47</f>
        <v>21.1-14-83</v>
      </c>
      <c r="C70" s="42" t="str">
        <f>SmtRes!K47</f>
        <v>Трубки теплоизоляционные из вспененного каучука типа "К-Flex ST" для поверхностей с температурой от -40°C до +105°С, внутренний диаметр (толщина) 6 (9) мм</v>
      </c>
      <c r="D70" s="43" t="str">
        <f>SmtRes!O47</f>
        <v>м</v>
      </c>
      <c r="E70" s="60">
        <f>SmtRes!AT47</f>
        <v>4.3385420000000003</v>
      </c>
      <c r="F70" s="44" t="str">
        <f>SmtRes!AU47</f>
        <v/>
      </c>
      <c r="G70" s="60">
        <f>SmtRes!Y47*Source!I40</f>
        <v>124.95000960000002</v>
      </c>
    </row>
    <row r="71" spans="1:7" ht="57" x14ac:dyDescent="0.2">
      <c r="A71" s="58">
        <v>6.4</v>
      </c>
      <c r="B71" s="42" t="str">
        <f>SmtRes!I48</f>
        <v>21.1-14-84</v>
      </c>
      <c r="C71" s="42" t="str">
        <f>SmtRes!K48</f>
        <v>Трубки теплоизоляционные из вспененного каучука типа "К-Flex ST" для поверхностей с температурой от -40°C до +105°С, внутренний диаметр (толщина) 10 (13) мм</v>
      </c>
      <c r="D71" s="43" t="str">
        <f>SmtRes!O48</f>
        <v>м</v>
      </c>
      <c r="E71" s="60">
        <f>SmtRes!AT48</f>
        <v>0.50173599999999996</v>
      </c>
      <c r="F71" s="44" t="str">
        <f>SmtRes!AU48</f>
        <v/>
      </c>
      <c r="G71" s="60">
        <f>SmtRes!Y48*Source!I40</f>
        <v>14.449996799999999</v>
      </c>
    </row>
    <row r="72" spans="1:7" ht="57" x14ac:dyDescent="0.2">
      <c r="A72" s="58">
        <v>6.5</v>
      </c>
      <c r="B72" s="42" t="str">
        <f>SmtRes!I49</f>
        <v>21.1-14-86</v>
      </c>
      <c r="C72" s="42" t="str">
        <f>SmtRes!K49</f>
        <v>Трубки теплоизоляционные из вспененного каучука типа "К-Flex ST" для поверхностей с температурой от -40°C до +105°С, внутренний диаметр (толщина) 15 (13) мм</v>
      </c>
      <c r="D72" s="43" t="str">
        <f>SmtRes!O49</f>
        <v>м</v>
      </c>
      <c r="E72" s="60">
        <f>SmtRes!AT49</f>
        <v>1.2760419999999999</v>
      </c>
      <c r="F72" s="44" t="str">
        <f>SmtRes!AU49</f>
        <v/>
      </c>
      <c r="G72" s="60">
        <f>SmtRes!Y49*Source!I40</f>
        <v>36.750009599999998</v>
      </c>
    </row>
    <row r="73" spans="1:7" ht="57" x14ac:dyDescent="0.2">
      <c r="A73" s="58">
        <v>6.6</v>
      </c>
      <c r="B73" s="42" t="str">
        <f>SmtRes!I50</f>
        <v>21.1-14-87</v>
      </c>
      <c r="C73" s="42" t="str">
        <f>SmtRes!K50</f>
        <v>Трубки теплоизоляционные из вспененного каучука типа "К-Flex ST" для поверхностей с температурой от -40°C до +105°С, внутренний диаметр (толщина) 18 (13) мм</v>
      </c>
      <c r="D73" s="43" t="str">
        <f>SmtRes!O50</f>
        <v>м</v>
      </c>
      <c r="E73" s="60">
        <f>SmtRes!AT50</f>
        <v>0.91145799999999999</v>
      </c>
      <c r="F73" s="44" t="str">
        <f>SmtRes!AU50</f>
        <v/>
      </c>
      <c r="G73" s="60">
        <f>SmtRes!Y50*Source!I40</f>
        <v>26.249990400000002</v>
      </c>
    </row>
    <row r="74" spans="1:7" ht="28.5" x14ac:dyDescent="0.2">
      <c r="A74" s="58">
        <v>6.7</v>
      </c>
      <c r="B74" s="42" t="str">
        <f>SmtRes!I51</f>
        <v>21.1-25-623</v>
      </c>
      <c r="C74" s="42" t="str">
        <f>SmtRes!K51</f>
        <v>Лента самоклеящаяся, ширина 50 мм, толщина 3 мм, тип "K-Flex ST"</v>
      </c>
      <c r="D74" s="43" t="str">
        <f>SmtRes!O51</f>
        <v>м</v>
      </c>
      <c r="E74" s="60">
        <f>SmtRes!AT51</f>
        <v>10.5</v>
      </c>
      <c r="F74" s="44" t="str">
        <f>SmtRes!AU51</f>
        <v/>
      </c>
      <c r="G74" s="60">
        <f>SmtRes!Y51*Source!I40</f>
        <v>302.40000000000003</v>
      </c>
    </row>
    <row r="75" spans="1:7" ht="57" x14ac:dyDescent="0.25">
      <c r="A75" s="58" t="str">
        <f>Source!E55</f>
        <v>9</v>
      </c>
      <c r="B75" s="59" t="str">
        <f>Source!F55</f>
        <v>1.23-3103-5-1/1</v>
      </c>
      <c r="C75" s="42" t="str">
        <f>Source!G55</f>
        <v>Установка сосуда влагоотделительного, разделительного, конденсационного, уравнительного (без стоимости материалов)</v>
      </c>
      <c r="D75" s="61" t="str">
        <f>Source!H55</f>
        <v>шт.</v>
      </c>
      <c r="E75" s="60"/>
      <c r="F75" s="44"/>
      <c r="G75" s="62">
        <f>Source!I55</f>
        <v>5</v>
      </c>
    </row>
    <row r="76" spans="1:7" ht="14.25" x14ac:dyDescent="0.2">
      <c r="A76" s="58">
        <v>9.1</v>
      </c>
      <c r="B76" s="42" t="str">
        <f>SmtRes!I59</f>
        <v>9999990008</v>
      </c>
      <c r="C76" s="42" t="str">
        <f>SmtRes!K59</f>
        <v>Трудозатраты рабочих</v>
      </c>
      <c r="D76" s="43" t="str">
        <f>SmtRes!O59</f>
        <v>чел.-ч.</v>
      </c>
      <c r="E76" s="60">
        <f>SmtRes!AT59</f>
        <v>1.18</v>
      </c>
      <c r="F76" s="44" t="str">
        <f>SmtRes!AU59</f>
        <v/>
      </c>
      <c r="G76" s="60">
        <f>SmtRes!Y59*Source!I55</f>
        <v>5.8999999999999995</v>
      </c>
    </row>
    <row r="77" spans="1:7" ht="28.5" x14ac:dyDescent="0.2">
      <c r="A77" s="58">
        <v>9.1999999999999993</v>
      </c>
      <c r="B77" s="42" t="str">
        <f>SmtRes!I60</f>
        <v>22.1-10-5</v>
      </c>
      <c r="C77" s="42" t="str">
        <f>SmtRes!K60</f>
        <v>Компрессоры с дизельным двигателем прицепные до 5 м3/мин</v>
      </c>
      <c r="D77" s="43" t="str">
        <f>SmtRes!O60</f>
        <v>маш.-ч</v>
      </c>
      <c r="E77" s="60">
        <f>SmtRes!AT60</f>
        <v>0.88</v>
      </c>
      <c r="F77" s="44" t="str">
        <f>SmtRes!AU60</f>
        <v/>
      </c>
      <c r="G77" s="60">
        <f>SmtRes!Y60*Source!I55</f>
        <v>4.4000000000000004</v>
      </c>
    </row>
    <row r="78" spans="1:7" ht="28.5" x14ac:dyDescent="0.2">
      <c r="A78" s="58">
        <v>9.3000000000000007</v>
      </c>
      <c r="B78" s="42" t="str">
        <f>SmtRes!I61</f>
        <v>22.1-13-14</v>
      </c>
      <c r="C78" s="42" t="str">
        <f>SmtRes!K61</f>
        <v>Установки для сварки ручной дуговой (постоянного тока)</v>
      </c>
      <c r="D78" s="43" t="str">
        <f>SmtRes!O61</f>
        <v>маш.-ч</v>
      </c>
      <c r="E78" s="60">
        <f>SmtRes!AT61</f>
        <v>0.28999999999999998</v>
      </c>
      <c r="F78" s="44" t="str">
        <f>SmtRes!AU61</f>
        <v/>
      </c>
      <c r="G78" s="60">
        <f>SmtRes!Y61*Source!I55</f>
        <v>1.45</v>
      </c>
    </row>
    <row r="79" spans="1:7" ht="14.25" x14ac:dyDescent="0.2">
      <c r="A79" s="58">
        <v>9.4</v>
      </c>
      <c r="B79" s="42" t="str">
        <f>SmtRes!I62</f>
        <v>22.1-30-67</v>
      </c>
      <c r="C79" s="42" t="str">
        <f>SmtRes!K62</f>
        <v>Прессы гидравлические с электроприводом</v>
      </c>
      <c r="D79" s="43" t="str">
        <f>SmtRes!O62</f>
        <v>маш.-ч</v>
      </c>
      <c r="E79" s="60">
        <f>SmtRes!AT62</f>
        <v>3.62</v>
      </c>
      <c r="F79" s="44" t="str">
        <f>SmtRes!AU62</f>
        <v/>
      </c>
      <c r="G79" s="60">
        <f>SmtRes!Y62*Source!I55</f>
        <v>18.100000000000001</v>
      </c>
    </row>
    <row r="80" spans="1:7" ht="14.25" x14ac:dyDescent="0.2">
      <c r="A80" s="58">
        <v>9.5</v>
      </c>
      <c r="B80" s="42" t="str">
        <f>SmtRes!I63</f>
        <v>9999990002</v>
      </c>
      <c r="C80" s="42" t="str">
        <f>SmtRes!K63</f>
        <v>Масса оборудования</v>
      </c>
      <c r="D80" s="43" t="str">
        <f>SmtRes!O63</f>
        <v>т</v>
      </c>
      <c r="E80" s="60">
        <f>SmtRes!AT63</f>
        <v>0.01</v>
      </c>
      <c r="F80" s="44" t="str">
        <f>SmtRes!AU63</f>
        <v/>
      </c>
      <c r="G80" s="60">
        <f>SmtRes!Y63*Source!I55</f>
        <v>0.05</v>
      </c>
    </row>
    <row r="81" spans="1:7" ht="42.75" x14ac:dyDescent="0.25">
      <c r="A81" s="58" t="str">
        <f>Source!E58</f>
        <v>10</v>
      </c>
      <c r="B81" s="59" t="str">
        <f>Source!F58</f>
        <v>1.23-3103-4-1/1</v>
      </c>
      <c r="C81" s="42" t="str">
        <f>Source!G58</f>
        <v>Установка механизма исполнительного массой до 20 кг (без стоимости материалов)</v>
      </c>
      <c r="D81" s="61" t="str">
        <f>Source!H58</f>
        <v>шт.</v>
      </c>
      <c r="E81" s="60"/>
      <c r="F81" s="44"/>
      <c r="G81" s="62">
        <f>Source!I58</f>
        <v>23</v>
      </c>
    </row>
    <row r="82" spans="1:7" ht="14.25" x14ac:dyDescent="0.2">
      <c r="A82" s="58">
        <v>10.1</v>
      </c>
      <c r="B82" s="42" t="str">
        <f>SmtRes!I64</f>
        <v>9999990008</v>
      </c>
      <c r="C82" s="42" t="str">
        <f>SmtRes!K64</f>
        <v>Трудозатраты рабочих</v>
      </c>
      <c r="D82" s="43" t="str">
        <f>SmtRes!O64</f>
        <v>чел.-ч.</v>
      </c>
      <c r="E82" s="60">
        <f>SmtRes!AT64</f>
        <v>0.6</v>
      </c>
      <c r="F82" s="44" t="str">
        <f>SmtRes!AU64</f>
        <v/>
      </c>
      <c r="G82" s="60">
        <f>SmtRes!Y64*Source!I58</f>
        <v>13.799999999999999</v>
      </c>
    </row>
    <row r="83" spans="1:7" ht="57" x14ac:dyDescent="0.25">
      <c r="A83" s="58" t="str">
        <f>Source!E60</f>
        <v>11</v>
      </c>
      <c r="B83" s="59" t="str">
        <f>Source!F60</f>
        <v>1.21-3103-33-2/1</v>
      </c>
      <c r="C83" s="42" t="str">
        <f>Source!G60</f>
        <v>Прокладка труб гофрированных поливинилхлоридных наружным диаметром 20 мм открыто по стенам и потолкам с установкой соединительных коробок</v>
      </c>
      <c r="D83" s="61" t="str">
        <f>Source!H60</f>
        <v>100 м</v>
      </c>
      <c r="E83" s="60"/>
      <c r="F83" s="44"/>
      <c r="G83" s="62">
        <f>Source!I60</f>
        <v>0.22</v>
      </c>
    </row>
    <row r="84" spans="1:7" x14ac:dyDescent="0.2">
      <c r="A84" s="52"/>
      <c r="B84" s="52"/>
      <c r="C84" s="63" t="str">
        <f>"Объем: "&amp;Source!I60&amp;"=22/"&amp;"100"</f>
        <v>Объем: 0,22=22/100</v>
      </c>
      <c r="D84" s="52"/>
      <c r="E84" s="52"/>
      <c r="F84" s="52"/>
      <c r="G84" s="52"/>
    </row>
    <row r="85" spans="1:7" ht="14.25" x14ac:dyDescent="0.2">
      <c r="A85" s="58">
        <v>11.1</v>
      </c>
      <c r="B85" s="42" t="str">
        <f>SmtRes!I65</f>
        <v>9999990008</v>
      </c>
      <c r="C85" s="42" t="str">
        <f>SmtRes!K65</f>
        <v>Трудозатраты рабочих</v>
      </c>
      <c r="D85" s="43" t="str">
        <f>SmtRes!O65</f>
        <v>чел.-ч.</v>
      </c>
      <c r="E85" s="60">
        <f>SmtRes!AT65</f>
        <v>17.260000000000002</v>
      </c>
      <c r="F85" s="44" t="str">
        <f>SmtRes!AU65</f>
        <v/>
      </c>
      <c r="G85" s="60">
        <f>SmtRes!Y65*Source!I60</f>
        <v>3.7972000000000006</v>
      </c>
    </row>
    <row r="86" spans="1:7" ht="28.5" x14ac:dyDescent="0.2">
      <c r="A86" s="58">
        <v>11.2</v>
      </c>
      <c r="B86" s="42" t="str">
        <f>SmtRes!I66</f>
        <v>22.1-30-103</v>
      </c>
      <c r="C86" s="42" t="str">
        <f>SmtRes!K66</f>
        <v>Перфораторы электрические, мощность до 800 Вт</v>
      </c>
      <c r="D86" s="43" t="str">
        <f>SmtRes!O66</f>
        <v>маш.-ч</v>
      </c>
      <c r="E86" s="60">
        <f>SmtRes!AT66</f>
        <v>4.8499999999999996</v>
      </c>
      <c r="F86" s="44" t="str">
        <f>SmtRes!AU66</f>
        <v/>
      </c>
      <c r="G86" s="60">
        <f>SmtRes!Y66*Source!I60</f>
        <v>1.0669999999999999</v>
      </c>
    </row>
    <row r="87" spans="1:7" ht="14.25" x14ac:dyDescent="0.2">
      <c r="A87" s="58">
        <v>11.3</v>
      </c>
      <c r="B87" s="42" t="str">
        <f>SmtRes!I67</f>
        <v>22.1-30-56</v>
      </c>
      <c r="C87" s="42" t="str">
        <f>SmtRes!K67</f>
        <v>Шуруповерты</v>
      </c>
      <c r="D87" s="43" t="str">
        <f>SmtRes!O67</f>
        <v>маш.-ч</v>
      </c>
      <c r="E87" s="60">
        <f>SmtRes!AT67</f>
        <v>0.48</v>
      </c>
      <c r="F87" s="44" t="str">
        <f>SmtRes!AU67</f>
        <v/>
      </c>
      <c r="G87" s="60">
        <f>SmtRes!Y67*Source!I60</f>
        <v>0.1056</v>
      </c>
    </row>
    <row r="88" spans="1:7" ht="14.25" x14ac:dyDescent="0.2">
      <c r="A88" s="58">
        <v>11.4</v>
      </c>
      <c r="B88" s="42" t="str">
        <f>SmtRes!I68</f>
        <v>21.1-11-108</v>
      </c>
      <c r="C88" s="42" t="str">
        <f>SmtRes!K68</f>
        <v>Шурупы - саморезы, размер 3,5х45 мм</v>
      </c>
      <c r="D88" s="43" t="str">
        <f>SmtRes!O68</f>
        <v>т</v>
      </c>
      <c r="E88" s="60">
        <f>SmtRes!AT68</f>
        <v>2.2200000000000002E-3</v>
      </c>
      <c r="F88" s="44" t="str">
        <f>SmtRes!AU68</f>
        <v/>
      </c>
      <c r="G88" s="60">
        <f>SmtRes!Y68*Source!I60</f>
        <v>4.8840000000000005E-4</v>
      </c>
    </row>
    <row r="89" spans="1:7" ht="14.25" x14ac:dyDescent="0.2">
      <c r="A89" s="58">
        <v>11.5</v>
      </c>
      <c r="B89" s="42" t="str">
        <f>SmtRes!I69</f>
        <v>21.1-11-198</v>
      </c>
      <c r="C89" s="42" t="str">
        <f>SmtRes!K69</f>
        <v>Дюбели пластмассовые</v>
      </c>
      <c r="D89" s="43" t="str">
        <f>SmtRes!O69</f>
        <v>шт.</v>
      </c>
      <c r="E89" s="60">
        <f>SmtRes!AT69</f>
        <v>120</v>
      </c>
      <c r="F89" s="44" t="str">
        <f>SmtRes!AU69</f>
        <v/>
      </c>
      <c r="G89" s="60">
        <f>SmtRes!Y69*Source!I60</f>
        <v>26.4</v>
      </c>
    </row>
    <row r="90" spans="1:7" ht="42.75" x14ac:dyDescent="0.2">
      <c r="A90" s="58">
        <v>11.6</v>
      </c>
      <c r="B90" s="42" t="str">
        <f>SmtRes!I70</f>
        <v>21.12-5-136</v>
      </c>
      <c r="C90" s="42" t="str">
        <f>SmtRes!K70</f>
        <v>Трубы электротехнические гофрированные, поливинилхлоридные, негорючие, с зондом, наружный диаметр 20 мм</v>
      </c>
      <c r="D90" s="43" t="str">
        <f>SmtRes!O70</f>
        <v>м</v>
      </c>
      <c r="E90" s="60">
        <f>SmtRes!AT70</f>
        <v>102</v>
      </c>
      <c r="F90" s="44" t="str">
        <f>SmtRes!AU70</f>
        <v/>
      </c>
      <c r="G90" s="60">
        <f>SmtRes!Y70*Source!I60</f>
        <v>22.44</v>
      </c>
    </row>
    <row r="91" spans="1:7" ht="42.75" x14ac:dyDescent="0.2">
      <c r="A91" s="58">
        <v>11.7</v>
      </c>
      <c r="B91" s="42" t="str">
        <f>SmtRes!I71</f>
        <v>21.21-5-358</v>
      </c>
      <c r="C91" s="42" t="str">
        <f>SmtRes!K71</f>
        <v>Держатели пластиковые с защелкой для крепления труб, рукавов и гибких вводов диаметром 20 мм</v>
      </c>
      <c r="D91" s="43" t="str">
        <f>SmtRes!O71</f>
        <v>100 шт.</v>
      </c>
      <c r="E91" s="60">
        <f>SmtRes!AT71</f>
        <v>1</v>
      </c>
      <c r="F91" s="44" t="str">
        <f>SmtRes!AU71</f>
        <v/>
      </c>
      <c r="G91" s="60">
        <f>SmtRes!Y71*Source!I60</f>
        <v>0.22</v>
      </c>
    </row>
    <row r="92" spans="1:7" ht="28.5" x14ac:dyDescent="0.2">
      <c r="A92" s="58">
        <v>11.8</v>
      </c>
      <c r="B92" s="42" t="str">
        <f>SmtRes!I73</f>
        <v>21.7-3-2</v>
      </c>
      <c r="C92" s="42" t="str">
        <f>SmtRes!K73</f>
        <v>Буры с победитовым наконечником, с хвостовиком SDS-plus, размеры 10х160 мм</v>
      </c>
      <c r="D92" s="43" t="str">
        <f>SmtRes!O73</f>
        <v>шт.</v>
      </c>
      <c r="E92" s="60">
        <f>SmtRes!AT73</f>
        <v>1.5</v>
      </c>
      <c r="F92" s="44" t="str">
        <f>SmtRes!AU73</f>
        <v/>
      </c>
      <c r="G92" s="60">
        <f>SmtRes!Y73*Source!I60</f>
        <v>0.33</v>
      </c>
    </row>
    <row r="93" spans="1:7" ht="85.5" x14ac:dyDescent="0.25">
      <c r="A93" s="58" t="str">
        <f>Source!E62</f>
        <v>12</v>
      </c>
      <c r="B93" s="59" t="str">
        <f>Source!F62</f>
        <v>1.21-3103-21-3/1</v>
      </c>
      <c r="C93" s="42" t="str">
        <f>Source!G62</f>
        <v>Затягивание проводов и кабелей в проложенные трубы и металлические рукава, провод первый одножильный или многожильный в общей оплетке, суммарное сечение до 16 мм2 (без стоимости материалов)</v>
      </c>
      <c r="D93" s="61" t="str">
        <f>Source!H62</f>
        <v>100 м</v>
      </c>
      <c r="E93" s="60"/>
      <c r="F93" s="44"/>
      <c r="G93" s="62">
        <f>Source!I62</f>
        <v>0.22</v>
      </c>
    </row>
    <row r="94" spans="1:7" x14ac:dyDescent="0.2">
      <c r="A94" s="52"/>
      <c r="B94" s="52"/>
      <c r="C94" s="63" t="str">
        <f>"Объем: "&amp;Source!I62&amp;"=22/"&amp;"100"</f>
        <v>Объем: 0,22=22/100</v>
      </c>
      <c r="D94" s="52"/>
      <c r="E94" s="52"/>
      <c r="F94" s="52"/>
      <c r="G94" s="52"/>
    </row>
    <row r="95" spans="1:7" ht="14.25" x14ac:dyDescent="0.2">
      <c r="A95" s="58">
        <v>12.1</v>
      </c>
      <c r="B95" s="42" t="str">
        <f>SmtRes!I74</f>
        <v>9999990008</v>
      </c>
      <c r="C95" s="42" t="str">
        <f>SmtRes!K74</f>
        <v>Трудозатраты рабочих</v>
      </c>
      <c r="D95" s="43" t="str">
        <f>SmtRes!O74</f>
        <v>чел.-ч.</v>
      </c>
      <c r="E95" s="60">
        <f>SmtRes!AT74</f>
        <v>8.2899999999999991</v>
      </c>
      <c r="F95" s="44" t="str">
        <f>SmtRes!AU74</f>
        <v/>
      </c>
      <c r="G95" s="60">
        <f>SmtRes!Y74*Source!I62</f>
        <v>1.8237999999999999</v>
      </c>
    </row>
    <row r="96" spans="1:7" ht="30" x14ac:dyDescent="0.25">
      <c r="A96" s="58" t="str">
        <f>Source!E65</f>
        <v>13</v>
      </c>
      <c r="B96" s="59" t="str">
        <f>Source!F65</f>
        <v>1.21-3103-31-2/3</v>
      </c>
      <c r="C96" s="42" t="str">
        <f>Source!G65</f>
        <v>Прокладка пластикового кабель-канала - по бетонному основанию / сечение 60х40 мм</v>
      </c>
      <c r="D96" s="61" t="str">
        <f>Source!H65</f>
        <v>100 м</v>
      </c>
      <c r="E96" s="60"/>
      <c r="F96" s="44"/>
      <c r="G96" s="62">
        <f>Source!I65</f>
        <v>0.91</v>
      </c>
    </row>
    <row r="97" spans="1:7" x14ac:dyDescent="0.2">
      <c r="A97" s="52"/>
      <c r="B97" s="52"/>
      <c r="C97" s="63" t="str">
        <f>"Объем: "&amp;Source!I65&amp;"=91/"&amp;"100"</f>
        <v>Объем: 0,91=91/100</v>
      </c>
      <c r="D97" s="52"/>
      <c r="E97" s="52"/>
      <c r="F97" s="52"/>
      <c r="G97" s="52"/>
    </row>
    <row r="98" spans="1:7" ht="14.25" x14ac:dyDescent="0.2">
      <c r="A98" s="58">
        <v>13.1</v>
      </c>
      <c r="B98" s="42" t="str">
        <f>SmtRes!I75</f>
        <v>9999990008</v>
      </c>
      <c r="C98" s="42" t="str">
        <f>SmtRes!K75</f>
        <v>Трудозатраты рабочих</v>
      </c>
      <c r="D98" s="43" t="str">
        <f>SmtRes!O75</f>
        <v>чел.-ч.</v>
      </c>
      <c r="E98" s="60">
        <f>SmtRes!AT75</f>
        <v>46.78</v>
      </c>
      <c r="F98" s="44" t="str">
        <f>SmtRes!AU75</f>
        <v/>
      </c>
      <c r="G98" s="60">
        <f>SmtRes!Y75*Source!I65</f>
        <v>42.569800000000001</v>
      </c>
    </row>
    <row r="99" spans="1:7" ht="28.5" x14ac:dyDescent="0.2">
      <c r="A99" s="58">
        <v>13.2</v>
      </c>
      <c r="B99" s="42" t="str">
        <f>SmtRes!I76</f>
        <v>22.1-30-10</v>
      </c>
      <c r="C99" s="42" t="str">
        <f>SmtRes!K76</f>
        <v>Перфораторы электрические, мощность до 500 Вт</v>
      </c>
      <c r="D99" s="43" t="str">
        <f>SmtRes!O76</f>
        <v>маш.-ч</v>
      </c>
      <c r="E99" s="60">
        <f>SmtRes!AT76</f>
        <v>13</v>
      </c>
      <c r="F99" s="44" t="str">
        <f>SmtRes!AU76</f>
        <v/>
      </c>
      <c r="G99" s="60">
        <f>SmtRes!Y76*Source!I65</f>
        <v>11.83</v>
      </c>
    </row>
    <row r="100" spans="1:7" ht="28.5" x14ac:dyDescent="0.2">
      <c r="A100" s="58">
        <v>13.3</v>
      </c>
      <c r="B100" s="42" t="str">
        <f>SmtRes!I77</f>
        <v>22.1-30-102</v>
      </c>
      <c r="C100" s="42" t="str">
        <f>SmtRes!K77</f>
        <v>Дрели электрические, двухскоростные, мощностью 600 Вт</v>
      </c>
      <c r="D100" s="43" t="str">
        <f>SmtRes!O77</f>
        <v>маш.-ч</v>
      </c>
      <c r="E100" s="60">
        <f>SmtRes!AT77</f>
        <v>0.15</v>
      </c>
      <c r="F100" s="44" t="str">
        <f>SmtRes!AU77</f>
        <v/>
      </c>
      <c r="G100" s="60">
        <f>SmtRes!Y77*Source!I65</f>
        <v>0.13650000000000001</v>
      </c>
    </row>
    <row r="101" spans="1:7" ht="14.25" x14ac:dyDescent="0.2">
      <c r="A101" s="58">
        <v>13.4</v>
      </c>
      <c r="B101" s="42" t="str">
        <f>SmtRes!I78</f>
        <v>21.1-11-108</v>
      </c>
      <c r="C101" s="42" t="str">
        <f>SmtRes!K78</f>
        <v>Шурупы - саморезы, размер 3,5х45 мм</v>
      </c>
      <c r="D101" s="43" t="str">
        <f>SmtRes!O78</f>
        <v>т</v>
      </c>
      <c r="E101" s="60">
        <f>SmtRes!AT78</f>
        <v>7.3999999999999999E-4</v>
      </c>
      <c r="F101" s="44" t="str">
        <f>SmtRes!AU78</f>
        <v/>
      </c>
      <c r="G101" s="60">
        <f>SmtRes!Y78*Source!I65</f>
        <v>6.734E-4</v>
      </c>
    </row>
    <row r="102" spans="1:7" ht="14.25" x14ac:dyDescent="0.2">
      <c r="A102" s="58">
        <v>13.5</v>
      </c>
      <c r="B102" s="42" t="str">
        <f>SmtRes!I79</f>
        <v>21.1-11-81</v>
      </c>
      <c r="C102" s="42" t="str">
        <f>SmtRes!K79</f>
        <v>Патроны, калибр 6,8/11 М для дюбеля</v>
      </c>
      <c r="D102" s="43" t="str">
        <f>SmtRes!O79</f>
        <v>100 шт.</v>
      </c>
      <c r="E102" s="60">
        <f>SmtRes!AT79</f>
        <v>4</v>
      </c>
      <c r="F102" s="44" t="str">
        <f>SmtRes!AU79</f>
        <v/>
      </c>
      <c r="G102" s="60">
        <f>SmtRes!Y79*Source!I65</f>
        <v>3.64</v>
      </c>
    </row>
    <row r="103" spans="1:7" ht="28.5" x14ac:dyDescent="0.2">
      <c r="A103" s="58">
        <v>13.6</v>
      </c>
      <c r="B103" s="42" t="str">
        <f>SmtRes!I87</f>
        <v>21.7-3-54</v>
      </c>
      <c r="C103" s="42" t="str">
        <f>SmtRes!K87</f>
        <v>Сверло с алмазным покрытием, диаметр 6 мм</v>
      </c>
      <c r="D103" s="43" t="str">
        <f>SmtRes!O87</f>
        <v>шт.</v>
      </c>
      <c r="E103" s="60">
        <f>SmtRes!AT87</f>
        <v>4</v>
      </c>
      <c r="F103" s="44" t="str">
        <f>SmtRes!AU87</f>
        <v/>
      </c>
      <c r="G103" s="60">
        <f>SmtRes!Y87*Source!I65</f>
        <v>3.64</v>
      </c>
    </row>
    <row r="104" spans="1:7" ht="30" x14ac:dyDescent="0.25">
      <c r="A104" s="58" t="str">
        <f>Source!E78</f>
        <v>14</v>
      </c>
      <c r="B104" s="59" t="str">
        <f>Source!F78</f>
        <v>1.21-3103-8-2/1</v>
      </c>
      <c r="C104" s="42" t="str">
        <f>Source!G78</f>
        <v>Прокладка проводов и кабелей в коробах, провод сечением до 35 мм2</v>
      </c>
      <c r="D104" s="61" t="str">
        <f>Source!H78</f>
        <v>100 м</v>
      </c>
      <c r="E104" s="60"/>
      <c r="F104" s="44"/>
      <c r="G104" s="62">
        <f>Source!I78</f>
        <v>1.44</v>
      </c>
    </row>
    <row r="105" spans="1:7" x14ac:dyDescent="0.2">
      <c r="A105" s="52"/>
      <c r="B105" s="52"/>
      <c r="C105" s="63" t="str">
        <f>"Объем: "&amp;Source!I78&amp;"=144/"&amp;"100"</f>
        <v>Объем: 1,44=144/100</v>
      </c>
      <c r="D105" s="52"/>
      <c r="E105" s="52"/>
      <c r="F105" s="52"/>
      <c r="G105" s="52"/>
    </row>
    <row r="106" spans="1:7" ht="14.25" x14ac:dyDescent="0.2">
      <c r="A106" s="58">
        <v>14.1</v>
      </c>
      <c r="B106" s="42" t="str">
        <f>SmtRes!I92</f>
        <v>9999990008</v>
      </c>
      <c r="C106" s="42" t="str">
        <f>SmtRes!K92</f>
        <v>Трудозатраты рабочих</v>
      </c>
      <c r="D106" s="43" t="str">
        <f>SmtRes!O92</f>
        <v>чел.-ч.</v>
      </c>
      <c r="E106" s="60">
        <f>SmtRes!AT92</f>
        <v>4.74</v>
      </c>
      <c r="F106" s="44" t="str">
        <f>SmtRes!AU92</f>
        <v/>
      </c>
      <c r="G106" s="60">
        <f>SmtRes!Y92*Source!I78</f>
        <v>6.8255999999999997</v>
      </c>
    </row>
    <row r="107" spans="1:7" ht="14.25" x14ac:dyDescent="0.2">
      <c r="A107" s="58">
        <v>14.2</v>
      </c>
      <c r="B107" s="42" t="str">
        <f>SmtRes!I93</f>
        <v>21.1-20-10</v>
      </c>
      <c r="C107" s="42" t="str">
        <f>SmtRes!K93</f>
        <v>Лента изоляционная хлопчатобумажная</v>
      </c>
      <c r="D107" s="43" t="str">
        <f>SmtRes!O93</f>
        <v>кг</v>
      </c>
      <c r="E107" s="60">
        <f>SmtRes!AT93</f>
        <v>0.16</v>
      </c>
      <c r="F107" s="44" t="str">
        <f>SmtRes!AU93</f>
        <v/>
      </c>
      <c r="G107" s="60">
        <f>SmtRes!Y93*Source!I78</f>
        <v>0.23039999999999999</v>
      </c>
    </row>
    <row r="108" spans="1:7" ht="14.25" x14ac:dyDescent="0.2">
      <c r="A108" s="58">
        <v>14.3</v>
      </c>
      <c r="B108" s="42" t="str">
        <f>SmtRes!I94</f>
        <v>21.21-5-114</v>
      </c>
      <c r="C108" s="42" t="str">
        <f>SmtRes!K94</f>
        <v>Лента монтажная, тип ЛМ-5</v>
      </c>
      <c r="D108" s="43" t="str">
        <f>SmtRes!O94</f>
        <v>м</v>
      </c>
      <c r="E108" s="60">
        <f>SmtRes!AT94</f>
        <v>5.5</v>
      </c>
      <c r="F108" s="44" t="str">
        <f>SmtRes!AU94</f>
        <v/>
      </c>
      <c r="G108" s="60">
        <f>SmtRes!Y94*Source!I78</f>
        <v>7.92</v>
      </c>
    </row>
    <row r="109" spans="1:7" ht="28.5" x14ac:dyDescent="0.2">
      <c r="A109" s="58">
        <v>14.4</v>
      </c>
      <c r="B109" s="42" t="str">
        <f>SmtRes!I95</f>
        <v>21.21-5-2</v>
      </c>
      <c r="C109" s="42" t="str">
        <f>SmtRes!K95</f>
        <v>Бирки маркировочные для кабелей и проводов, тип У153 У3,5</v>
      </c>
      <c r="D109" s="43" t="str">
        <f>SmtRes!O95</f>
        <v>1000 шт.</v>
      </c>
      <c r="E109" s="60">
        <f>SmtRes!AT95</f>
        <v>5.0000000000000001E-3</v>
      </c>
      <c r="F109" s="44" t="str">
        <f>SmtRes!AU95</f>
        <v/>
      </c>
      <c r="G109" s="60">
        <f>SmtRes!Y95*Source!I78</f>
        <v>7.1999999999999998E-3</v>
      </c>
    </row>
    <row r="110" spans="1:7" ht="42.75" x14ac:dyDescent="0.2">
      <c r="A110" s="58">
        <v>14.5</v>
      </c>
      <c r="B110" s="42" t="str">
        <f>SmtRes!I96</f>
        <v>21.21-5-305</v>
      </c>
      <c r="C110" s="42" t="str">
        <f>SmtRes!K96</f>
        <v>Сжимы, тип У731М для проводников магистральных сечением от 4 до 10 мм2 и ответвительных от 1,5 до 10 мм2</v>
      </c>
      <c r="D110" s="43" t="str">
        <f>SmtRes!O96</f>
        <v>шт.</v>
      </c>
      <c r="E110" s="60">
        <f>SmtRes!AT96</f>
        <v>10</v>
      </c>
      <c r="F110" s="44" t="str">
        <f>SmtRes!AU96</f>
        <v/>
      </c>
      <c r="G110" s="60">
        <f>SmtRes!Y96*Source!I78</f>
        <v>14.399999999999999</v>
      </c>
    </row>
    <row r="111" spans="1:7" ht="28.5" x14ac:dyDescent="0.2">
      <c r="A111" s="58">
        <v>14.6</v>
      </c>
      <c r="B111" s="42" t="str">
        <f>SmtRes!I97</f>
        <v>21.21-5-342</v>
      </c>
      <c r="C111" s="42" t="str">
        <f>SmtRes!K97</f>
        <v>Хомуты (стяжки) кабельные из полиамида, размеры 3,6х200 мм</v>
      </c>
      <c r="D111" s="43" t="str">
        <f>SmtRes!O97</f>
        <v>100 шт.</v>
      </c>
      <c r="E111" s="60">
        <f>SmtRes!AT97</f>
        <v>0.3</v>
      </c>
      <c r="F111" s="44" t="str">
        <f>SmtRes!AU97</f>
        <v/>
      </c>
      <c r="G111" s="60">
        <f>SmtRes!Y97*Source!I78</f>
        <v>0.432</v>
      </c>
    </row>
    <row r="112" spans="1:7" ht="14.25" x14ac:dyDescent="0.2">
      <c r="A112" s="58">
        <v>14.7</v>
      </c>
      <c r="B112" s="42" t="str">
        <f>SmtRes!I98</f>
        <v>21.21-5-44</v>
      </c>
      <c r="C112" s="42" t="str">
        <f>SmtRes!K98</f>
        <v>Кнопки для ленты ЛМ, тип 3,5</v>
      </c>
      <c r="D112" s="43" t="str">
        <f>SmtRes!O98</f>
        <v>1000 шт.</v>
      </c>
      <c r="E112" s="60">
        <f>SmtRes!AT98</f>
        <v>0.02</v>
      </c>
      <c r="F112" s="44" t="str">
        <f>SmtRes!AU98</f>
        <v/>
      </c>
      <c r="G112" s="60">
        <f>SmtRes!Y98*Source!I78</f>
        <v>2.8799999999999999E-2</v>
      </c>
    </row>
    <row r="113" spans="1:7" ht="42.75" x14ac:dyDescent="0.25">
      <c r="A113" s="58" t="str">
        <f>Source!E81</f>
        <v>15</v>
      </c>
      <c r="B113" s="59" t="str">
        <f>Source!F81</f>
        <v>1.16-3103-4-1/1</v>
      </c>
      <c r="C113" s="42" t="str">
        <f>Source!G81</f>
        <v>Прокладка трубопроводов канализации из ПВХ труб диаметром до 50 мм (без стоимости арматуры)</v>
      </c>
      <c r="D113" s="61" t="str">
        <f>Source!H81</f>
        <v>100 м</v>
      </c>
      <c r="E113" s="60"/>
      <c r="F113" s="44"/>
      <c r="G113" s="62">
        <f>Source!I81</f>
        <v>1.61</v>
      </c>
    </row>
    <row r="114" spans="1:7" x14ac:dyDescent="0.2">
      <c r="A114" s="52"/>
      <c r="B114" s="52"/>
      <c r="C114" s="63" t="str">
        <f>"Объем: "&amp;Source!I81&amp;"=161/"&amp;"100"</f>
        <v>Объем: 1,61=161/100</v>
      </c>
      <c r="D114" s="52"/>
      <c r="E114" s="52"/>
      <c r="F114" s="52"/>
      <c r="G114" s="52"/>
    </row>
    <row r="115" spans="1:7" ht="14.25" x14ac:dyDescent="0.2">
      <c r="A115" s="58">
        <v>15.1</v>
      </c>
      <c r="B115" s="42" t="str">
        <f>SmtRes!I100</f>
        <v>9999990008</v>
      </c>
      <c r="C115" s="42" t="str">
        <f>SmtRes!K100</f>
        <v>Трудозатраты рабочих</v>
      </c>
      <c r="D115" s="43" t="str">
        <f>SmtRes!O100</f>
        <v>чел.-ч.</v>
      </c>
      <c r="E115" s="60">
        <f>SmtRes!AT100</f>
        <v>67.16</v>
      </c>
      <c r="F115" s="44" t="str">
        <f>SmtRes!AU100</f>
        <v/>
      </c>
      <c r="G115" s="60">
        <f>SmtRes!Y100*Source!I81</f>
        <v>108.1276</v>
      </c>
    </row>
    <row r="116" spans="1:7" ht="28.5" x14ac:dyDescent="0.2">
      <c r="A116" s="58">
        <v>15.2</v>
      </c>
      <c r="B116" s="42" t="str">
        <f>SmtRes!I101</f>
        <v>21.1-11-21</v>
      </c>
      <c r="C116" s="42" t="str">
        <f>SmtRes!K101</f>
        <v>Болты строительные черные с гайками и шайбами (10х100мм)</v>
      </c>
      <c r="D116" s="43" t="str">
        <f>SmtRes!O101</f>
        <v>т</v>
      </c>
      <c r="E116" s="60">
        <f>SmtRes!AT101</f>
        <v>1.1999999999999999E-3</v>
      </c>
      <c r="F116" s="44" t="str">
        <f>SmtRes!AU101</f>
        <v/>
      </c>
      <c r="G116" s="60">
        <f>SmtRes!Y101*Source!I81</f>
        <v>1.9319999999999999E-3</v>
      </c>
    </row>
    <row r="117" spans="1:7" ht="28.5" x14ac:dyDescent="0.2">
      <c r="A117" s="58">
        <v>15.3</v>
      </c>
      <c r="B117" s="42" t="str">
        <f>SmtRes!I104</f>
        <v>21.12-5-235</v>
      </c>
      <c r="C117" s="42" t="str">
        <f>SmtRes!K104</f>
        <v>Трубки дренажные поливинилхлоридные, диаметр 16мм</v>
      </c>
      <c r="D117" s="43" t="str">
        <f>SmtRes!O104</f>
        <v>м</v>
      </c>
      <c r="E117" s="60">
        <f>SmtRes!AT104</f>
        <v>100</v>
      </c>
      <c r="F117" s="44" t="str">
        <f>SmtRes!AU104</f>
        <v/>
      </c>
      <c r="G117" s="60">
        <f>SmtRes!Y104*Source!I81</f>
        <v>161</v>
      </c>
    </row>
    <row r="118" spans="1:7" ht="42.75" x14ac:dyDescent="0.25">
      <c r="A118" s="58" t="str">
        <f>Source!E90</f>
        <v>17</v>
      </c>
      <c r="B118" s="59" t="str">
        <f>Source!F90</f>
        <v>1.20-3203-1-9/1</v>
      </c>
      <c r="C118" s="42" t="str">
        <f>Source!G90</f>
        <v>Установка щитков осветительных на стене распорными дюбелями, масса щитка до 6 кг (без стоимости щитков)</v>
      </c>
      <c r="D118" s="61" t="str">
        <f>Source!H90</f>
        <v>шт.</v>
      </c>
      <c r="E118" s="60"/>
      <c r="F118" s="44"/>
      <c r="G118" s="62">
        <f>Source!I90</f>
        <v>27</v>
      </c>
    </row>
    <row r="119" spans="1:7" ht="14.25" x14ac:dyDescent="0.2">
      <c r="A119" s="58">
        <v>17.100000000000001</v>
      </c>
      <c r="B119" s="42" t="str">
        <f>SmtRes!I121</f>
        <v>9999990008</v>
      </c>
      <c r="C119" s="42" t="str">
        <f>SmtRes!K121</f>
        <v>Трудозатраты рабочих</v>
      </c>
      <c r="D119" s="43" t="str">
        <f>SmtRes!O121</f>
        <v>чел.-ч.</v>
      </c>
      <c r="E119" s="60">
        <f>SmtRes!AT121</f>
        <v>3.34</v>
      </c>
      <c r="F119" s="44" t="str">
        <f>SmtRes!AU121</f>
        <v/>
      </c>
      <c r="G119" s="60">
        <f>SmtRes!Y121*Source!I90</f>
        <v>90.179999999999993</v>
      </c>
    </row>
    <row r="120" spans="1:7" ht="28.5" x14ac:dyDescent="0.2">
      <c r="A120" s="58">
        <v>17.2</v>
      </c>
      <c r="B120" s="42" t="str">
        <f>SmtRes!I122</f>
        <v>22.1-30-10</v>
      </c>
      <c r="C120" s="42" t="str">
        <f>SmtRes!K122</f>
        <v>Перфораторы электрические, мощность до 500 Вт</v>
      </c>
      <c r="D120" s="43" t="str">
        <f>SmtRes!O122</f>
        <v>маш.-ч</v>
      </c>
      <c r="E120" s="60">
        <f>SmtRes!AT122</f>
        <v>0.55000000000000004</v>
      </c>
      <c r="F120" s="44" t="str">
        <f>SmtRes!AU122</f>
        <v/>
      </c>
      <c r="G120" s="60">
        <f>SmtRes!Y122*Source!I90</f>
        <v>14.850000000000001</v>
      </c>
    </row>
    <row r="121" spans="1:7" ht="30" x14ac:dyDescent="0.25">
      <c r="A121" s="58" t="str">
        <f>Source!E92</f>
        <v>18</v>
      </c>
      <c r="B121" s="59" t="str">
        <f>Source!F92</f>
        <v>1.21-3203-3-1/1</v>
      </c>
      <c r="C121" s="42" t="str">
        <f>Source!G92</f>
        <v>Установка DIN-рейки (без стоимости DIN-рейки)</v>
      </c>
      <c r="D121" s="61" t="str">
        <f>Source!H92</f>
        <v>100 м</v>
      </c>
      <c r="E121" s="60"/>
      <c r="F121" s="44"/>
      <c r="G121" s="62">
        <f>Source!I92</f>
        <v>2.0250000000000001E-2</v>
      </c>
    </row>
    <row r="122" spans="1:7" x14ac:dyDescent="0.2">
      <c r="A122" s="52"/>
      <c r="B122" s="52"/>
      <c r="C122" s="63" t="str">
        <f>"Объем: "&amp;Source!I92&amp;"=2,025/"&amp;"100"</f>
        <v>Объем: 0,02025=2,025/100</v>
      </c>
      <c r="D122" s="52"/>
      <c r="E122" s="52"/>
      <c r="F122" s="52"/>
      <c r="G122" s="52"/>
    </row>
    <row r="123" spans="1:7" ht="14.25" x14ac:dyDescent="0.2">
      <c r="A123" s="58">
        <v>18.100000000000001</v>
      </c>
      <c r="B123" s="42" t="str">
        <f>SmtRes!I123</f>
        <v>9999990008</v>
      </c>
      <c r="C123" s="42" t="str">
        <f>SmtRes!K123</f>
        <v>Трудозатраты рабочих</v>
      </c>
      <c r="D123" s="43" t="str">
        <f>SmtRes!O123</f>
        <v>чел.-ч.</v>
      </c>
      <c r="E123" s="60">
        <f>SmtRes!AT123</f>
        <v>31.59</v>
      </c>
      <c r="F123" s="44" t="str">
        <f>SmtRes!AU123</f>
        <v/>
      </c>
      <c r="G123" s="60">
        <f>SmtRes!Y123*Source!I92</f>
        <v>0.63969750000000003</v>
      </c>
    </row>
    <row r="124" spans="1:7" ht="28.5" x14ac:dyDescent="0.2">
      <c r="A124" s="58">
        <v>18.2</v>
      </c>
      <c r="B124" s="42" t="str">
        <f>SmtRes!I124</f>
        <v>22.1-30-102</v>
      </c>
      <c r="C124" s="42" t="str">
        <f>SmtRes!K124</f>
        <v>Дрели электрические, двухскоростные, мощностью 600 Вт</v>
      </c>
      <c r="D124" s="43" t="str">
        <f>SmtRes!O124</f>
        <v>маш.-ч</v>
      </c>
      <c r="E124" s="60">
        <f>SmtRes!AT124</f>
        <v>3.75</v>
      </c>
      <c r="F124" s="44" t="str">
        <f>SmtRes!AU124</f>
        <v/>
      </c>
      <c r="G124" s="60">
        <f>SmtRes!Y124*Source!I92</f>
        <v>7.5937500000000005E-2</v>
      </c>
    </row>
    <row r="125" spans="1:7" ht="14.25" x14ac:dyDescent="0.2">
      <c r="A125" s="58">
        <v>18.3</v>
      </c>
      <c r="B125" s="42" t="str">
        <f>SmtRes!I125</f>
        <v>22.1-30-56</v>
      </c>
      <c r="C125" s="42" t="str">
        <f>SmtRes!K125</f>
        <v>Шуруповерты</v>
      </c>
      <c r="D125" s="43" t="str">
        <f>SmtRes!O125</f>
        <v>маш.-ч</v>
      </c>
      <c r="E125" s="60">
        <f>SmtRes!AT125</f>
        <v>1.5</v>
      </c>
      <c r="F125" s="44" t="str">
        <f>SmtRes!AU125</f>
        <v/>
      </c>
      <c r="G125" s="60">
        <f>SmtRes!Y125*Source!I92</f>
        <v>3.0374999999999999E-2</v>
      </c>
    </row>
    <row r="126" spans="1:7" ht="28.5" x14ac:dyDescent="0.2">
      <c r="A126" s="58">
        <v>18.399999999999999</v>
      </c>
      <c r="B126" s="42" t="str">
        <f>SmtRes!I126</f>
        <v>22.1-30-63</v>
      </c>
      <c r="C126" s="42" t="str">
        <f>SmtRes!K126</f>
        <v>Ножницы листовые кривошипные (гильотинные)</v>
      </c>
      <c r="D126" s="43" t="str">
        <f>SmtRes!O126</f>
        <v>маш.-ч</v>
      </c>
      <c r="E126" s="60">
        <f>SmtRes!AT126</f>
        <v>0.62</v>
      </c>
      <c r="F126" s="44" t="str">
        <f>SmtRes!AU126</f>
        <v/>
      </c>
      <c r="G126" s="60">
        <f>SmtRes!Y126*Source!I92</f>
        <v>1.2555E-2</v>
      </c>
    </row>
    <row r="127" spans="1:7" ht="14.25" x14ac:dyDescent="0.2">
      <c r="A127" s="58">
        <v>18.5</v>
      </c>
      <c r="B127" s="42" t="str">
        <f>SmtRes!I127</f>
        <v>21.1-11-108</v>
      </c>
      <c r="C127" s="42" t="str">
        <f>SmtRes!K127</f>
        <v>Шурупы - саморезы, размер 3,5х45 мм</v>
      </c>
      <c r="D127" s="43" t="str">
        <f>SmtRes!O127</f>
        <v>кг</v>
      </c>
      <c r="E127" s="60">
        <f>SmtRes!AT127</f>
        <v>0.61609999999999998</v>
      </c>
      <c r="F127" s="44" t="str">
        <f>SmtRes!AU127</f>
        <v/>
      </c>
      <c r="G127" s="60">
        <f>SmtRes!Y127*Source!I92</f>
        <v>1.2476025E-2</v>
      </c>
    </row>
    <row r="128" spans="1:7" ht="156.75" x14ac:dyDescent="0.25">
      <c r="A128" s="58" t="str">
        <f>Source!E94</f>
        <v>19</v>
      </c>
      <c r="B128" s="59" t="str">
        <f>Source!F94</f>
        <v>1.21-3603-6-1/1</v>
      </c>
      <c r="C128" s="42" t="s">
        <v>924</v>
      </c>
      <c r="D128" s="61" t="str">
        <f>Source!H94</f>
        <v>шт.</v>
      </c>
      <c r="E128" s="60"/>
      <c r="F128" s="44"/>
      <c r="G128" s="62">
        <f>Source!I94</f>
        <v>49</v>
      </c>
    </row>
    <row r="129" spans="1:7" ht="14.25" x14ac:dyDescent="0.2">
      <c r="A129" s="58">
        <v>19.100000000000001</v>
      </c>
      <c r="B129" s="42" t="str">
        <f>SmtRes!I128</f>
        <v>9999990008</v>
      </c>
      <c r="C129" s="42" t="str">
        <f>SmtRes!K128</f>
        <v>Трудозатраты рабочих</v>
      </c>
      <c r="D129" s="43" t="str">
        <f>SmtRes!O128</f>
        <v>чел.-ч.</v>
      </c>
      <c r="E129" s="60">
        <f>SmtRes!AT128</f>
        <v>1.54</v>
      </c>
      <c r="F129" s="44" t="str">
        <f>SmtRes!AU128</f>
        <v>)*0,8</v>
      </c>
      <c r="G129" s="60">
        <f>SmtRes!Y128*Source!I94</f>
        <v>60.368000000000009</v>
      </c>
    </row>
    <row r="130" spans="1:7" ht="14.25" x14ac:dyDescent="0.2">
      <c r="A130" s="58">
        <v>19.2</v>
      </c>
      <c r="B130" s="42" t="str">
        <f>SmtRes!I129</f>
        <v>22.1-13-15</v>
      </c>
      <c r="C130" s="42" t="str">
        <f>SmtRes!K129</f>
        <v>Аппараты сварочные</v>
      </c>
      <c r="D130" s="43" t="str">
        <f>SmtRes!O129</f>
        <v>маш.-ч</v>
      </c>
      <c r="E130" s="60">
        <f>SmtRes!AT129</f>
        <v>0.14000000000000001</v>
      </c>
      <c r="F130" s="44" t="str">
        <f>SmtRes!AU129</f>
        <v>)*0,8</v>
      </c>
      <c r="G130" s="60">
        <f>SmtRes!Y129*Source!I94</f>
        <v>5.4880000000000004</v>
      </c>
    </row>
    <row r="131" spans="1:7" ht="28.5" x14ac:dyDescent="0.2">
      <c r="A131" s="58">
        <v>19.3</v>
      </c>
      <c r="B131" s="42" t="str">
        <f>SmtRes!I130</f>
        <v>22.1-30-102</v>
      </c>
      <c r="C131" s="42" t="str">
        <f>SmtRes!K130</f>
        <v>Дрели электрические, двухскоростные, мощностью 600 Вт</v>
      </c>
      <c r="D131" s="43" t="str">
        <f>SmtRes!O130</f>
        <v>маш.-ч</v>
      </c>
      <c r="E131" s="60">
        <f>SmtRes!AT130</f>
        <v>0.04</v>
      </c>
      <c r="F131" s="44" t="str">
        <f>SmtRes!AU130</f>
        <v>)*0,8</v>
      </c>
      <c r="G131" s="60">
        <f>SmtRes!Y130*Source!I94</f>
        <v>1.5680000000000001</v>
      </c>
    </row>
    <row r="132" spans="1:7" ht="42.75" x14ac:dyDescent="0.2">
      <c r="A132" s="58">
        <v>19.399999999999999</v>
      </c>
      <c r="B132" s="42" t="str">
        <f>SmtRes!I131</f>
        <v>21.21-5-15</v>
      </c>
      <c r="C132" s="42" t="str">
        <f>SmtRes!K131</f>
        <v>Выключатели автоматические, серия "Домовой", однополюсные с нейтралью, тип ВА 63(С), на ток: 10 А - 40 А</v>
      </c>
      <c r="D132" s="43" t="str">
        <f>SmtRes!O131</f>
        <v>шт.</v>
      </c>
      <c r="E132" s="60">
        <f>SmtRes!AT131</f>
        <v>1</v>
      </c>
      <c r="F132" s="44" t="str">
        <f>SmtRes!AU131</f>
        <v/>
      </c>
      <c r="G132" s="60">
        <f>SmtRes!Y131*Source!I94</f>
        <v>49</v>
      </c>
    </row>
    <row r="133" spans="1:7" ht="57" x14ac:dyDescent="0.25">
      <c r="A133" s="58" t="str">
        <f>Source!E95</f>
        <v>20</v>
      </c>
      <c r="B133" s="59" t="str">
        <f>Source!F95</f>
        <v>1.21-3103-33-2/1</v>
      </c>
      <c r="C133" s="42" t="str">
        <f>Source!G95</f>
        <v>Прокладка труб гофрированных поливинилхлоридных наружным диаметром 20 мм открыто по стенам и потолкам с установкой соединительных коробок</v>
      </c>
      <c r="D133" s="61" t="str">
        <f>Source!H95</f>
        <v>100 м</v>
      </c>
      <c r="E133" s="60"/>
      <c r="F133" s="44"/>
      <c r="G133" s="62">
        <f>Source!I95</f>
        <v>0.27</v>
      </c>
    </row>
    <row r="134" spans="1:7" x14ac:dyDescent="0.2">
      <c r="A134" s="52"/>
      <c r="B134" s="52"/>
      <c r="C134" s="63" t="str">
        <f>"Объем: "&amp;Source!I95&amp;"=27/"&amp;"100"</f>
        <v>Объем: 0,27=27/100</v>
      </c>
      <c r="D134" s="52"/>
      <c r="E134" s="52"/>
      <c r="F134" s="52"/>
      <c r="G134" s="52"/>
    </row>
    <row r="135" spans="1:7" ht="14.25" x14ac:dyDescent="0.2">
      <c r="A135" s="58">
        <v>20.100000000000001</v>
      </c>
      <c r="B135" s="42" t="str">
        <f>SmtRes!I132</f>
        <v>9999990008</v>
      </c>
      <c r="C135" s="42" t="str">
        <f>SmtRes!K132</f>
        <v>Трудозатраты рабочих</v>
      </c>
      <c r="D135" s="43" t="str">
        <f>SmtRes!O132</f>
        <v>чел.-ч.</v>
      </c>
      <c r="E135" s="60">
        <f>SmtRes!AT132</f>
        <v>17.260000000000002</v>
      </c>
      <c r="F135" s="44" t="str">
        <f>SmtRes!AU132</f>
        <v/>
      </c>
      <c r="G135" s="60">
        <f>SmtRes!Y132*Source!I95</f>
        <v>4.6602000000000006</v>
      </c>
    </row>
    <row r="136" spans="1:7" ht="28.5" x14ac:dyDescent="0.2">
      <c r="A136" s="58">
        <v>20.2</v>
      </c>
      <c r="B136" s="42" t="str">
        <f>SmtRes!I133</f>
        <v>22.1-30-103</v>
      </c>
      <c r="C136" s="42" t="str">
        <f>SmtRes!K133</f>
        <v>Перфораторы электрические, мощность до 800 Вт</v>
      </c>
      <c r="D136" s="43" t="str">
        <f>SmtRes!O133</f>
        <v>маш.-ч</v>
      </c>
      <c r="E136" s="60">
        <f>SmtRes!AT133</f>
        <v>4.8499999999999996</v>
      </c>
      <c r="F136" s="44" t="str">
        <f>SmtRes!AU133</f>
        <v/>
      </c>
      <c r="G136" s="60">
        <f>SmtRes!Y133*Source!I95</f>
        <v>1.3094999999999999</v>
      </c>
    </row>
    <row r="137" spans="1:7" ht="14.25" x14ac:dyDescent="0.2">
      <c r="A137" s="58">
        <v>20.3</v>
      </c>
      <c r="B137" s="42" t="str">
        <f>SmtRes!I134</f>
        <v>22.1-30-56</v>
      </c>
      <c r="C137" s="42" t="str">
        <f>SmtRes!K134</f>
        <v>Шуруповерты</v>
      </c>
      <c r="D137" s="43" t="str">
        <f>SmtRes!O134</f>
        <v>маш.-ч</v>
      </c>
      <c r="E137" s="60">
        <f>SmtRes!AT134</f>
        <v>0.48</v>
      </c>
      <c r="F137" s="44" t="str">
        <f>SmtRes!AU134</f>
        <v/>
      </c>
      <c r="G137" s="60">
        <f>SmtRes!Y134*Source!I95</f>
        <v>0.12959999999999999</v>
      </c>
    </row>
    <row r="138" spans="1:7" ht="14.25" x14ac:dyDescent="0.2">
      <c r="A138" s="58">
        <v>20.399999999999999</v>
      </c>
      <c r="B138" s="42" t="str">
        <f>SmtRes!I135</f>
        <v>21.1-11-108</v>
      </c>
      <c r="C138" s="42" t="str">
        <f>SmtRes!K135</f>
        <v>Шурупы - саморезы, размер 3,5х45 мм</v>
      </c>
      <c r="D138" s="43" t="str">
        <f>SmtRes!O135</f>
        <v>т</v>
      </c>
      <c r="E138" s="60">
        <f>SmtRes!AT135</f>
        <v>2.2200000000000002E-3</v>
      </c>
      <c r="F138" s="44" t="str">
        <f>SmtRes!AU135</f>
        <v/>
      </c>
      <c r="G138" s="60">
        <f>SmtRes!Y135*Source!I95</f>
        <v>5.9940000000000004E-4</v>
      </c>
    </row>
    <row r="139" spans="1:7" ht="14.25" x14ac:dyDescent="0.2">
      <c r="A139" s="58">
        <v>20.5</v>
      </c>
      <c r="B139" s="42" t="str">
        <f>SmtRes!I136</f>
        <v>21.1-11-198</v>
      </c>
      <c r="C139" s="42" t="str">
        <f>SmtRes!K136</f>
        <v>Дюбели пластмассовые</v>
      </c>
      <c r="D139" s="43" t="str">
        <f>SmtRes!O136</f>
        <v>шт.</v>
      </c>
      <c r="E139" s="60">
        <f>SmtRes!AT136</f>
        <v>120</v>
      </c>
      <c r="F139" s="44" t="str">
        <f>SmtRes!AU136</f>
        <v/>
      </c>
      <c r="G139" s="60">
        <f>SmtRes!Y136*Source!I95</f>
        <v>32.400000000000006</v>
      </c>
    </row>
    <row r="140" spans="1:7" ht="42.75" x14ac:dyDescent="0.2">
      <c r="A140" s="58">
        <v>20.6</v>
      </c>
      <c r="B140" s="42" t="str">
        <f>SmtRes!I137</f>
        <v>21.12-5-136</v>
      </c>
      <c r="C140" s="42" t="str">
        <f>SmtRes!K137</f>
        <v>Трубы электротехнические гофрированные, поливинилхлоридные, негорючие, с зондом, наружный диаметр 20 мм</v>
      </c>
      <c r="D140" s="43" t="str">
        <f>SmtRes!O137</f>
        <v>м</v>
      </c>
      <c r="E140" s="60">
        <f>SmtRes!AT137</f>
        <v>102</v>
      </c>
      <c r="F140" s="44" t="str">
        <f>SmtRes!AU137</f>
        <v/>
      </c>
      <c r="G140" s="60">
        <f>SmtRes!Y137*Source!I95</f>
        <v>27.540000000000003</v>
      </c>
    </row>
    <row r="141" spans="1:7" ht="42.75" x14ac:dyDescent="0.2">
      <c r="A141" s="58">
        <v>20.7</v>
      </c>
      <c r="B141" s="42" t="str">
        <f>SmtRes!I138</f>
        <v>21.21-5-358</v>
      </c>
      <c r="C141" s="42" t="str">
        <f>SmtRes!K138</f>
        <v>Держатели пластиковые с защелкой для крепления труб, рукавов и гибких вводов диаметром 20 мм</v>
      </c>
      <c r="D141" s="43" t="str">
        <f>SmtRes!O138</f>
        <v>100 шт.</v>
      </c>
      <c r="E141" s="60">
        <f>SmtRes!AT138</f>
        <v>1</v>
      </c>
      <c r="F141" s="44" t="str">
        <f>SmtRes!AU138</f>
        <v/>
      </c>
      <c r="G141" s="60">
        <f>SmtRes!Y138*Source!I95</f>
        <v>0.27</v>
      </c>
    </row>
    <row r="142" spans="1:7" ht="28.5" x14ac:dyDescent="0.2">
      <c r="A142" s="58">
        <v>20.8</v>
      </c>
      <c r="B142" s="42" t="str">
        <f>SmtRes!I140</f>
        <v>21.7-3-2</v>
      </c>
      <c r="C142" s="42" t="str">
        <f>SmtRes!K140</f>
        <v>Буры с победитовым наконечником, с хвостовиком SDS-plus, размеры 10х160 мм</v>
      </c>
      <c r="D142" s="43" t="str">
        <f>SmtRes!O140</f>
        <v>шт.</v>
      </c>
      <c r="E142" s="60">
        <f>SmtRes!AT140</f>
        <v>1.5</v>
      </c>
      <c r="F142" s="44" t="str">
        <f>SmtRes!AU140</f>
        <v/>
      </c>
      <c r="G142" s="60">
        <f>SmtRes!Y140*Source!I95</f>
        <v>0.40500000000000003</v>
      </c>
    </row>
    <row r="143" spans="1:7" ht="30" x14ac:dyDescent="0.25">
      <c r="A143" s="58" t="str">
        <f>Source!E105</f>
        <v>22</v>
      </c>
      <c r="B143" s="59" t="str">
        <f>Source!F105</f>
        <v>1.21-3103-31-2/2</v>
      </c>
      <c r="C143" s="42" t="str">
        <f>Source!G105</f>
        <v>Прокладка пластикового кабель-канала - по бетонному основанию / сечение 40х20 мм</v>
      </c>
      <c r="D143" s="61" t="str">
        <f>Source!H105</f>
        <v>100 м</v>
      </c>
      <c r="E143" s="60"/>
      <c r="F143" s="44"/>
      <c r="G143" s="62">
        <f>Source!I105</f>
        <v>0.74</v>
      </c>
    </row>
    <row r="144" spans="1:7" x14ac:dyDescent="0.2">
      <c r="A144" s="52"/>
      <c r="B144" s="52"/>
      <c r="C144" s="63" t="str">
        <f>"Объем: "&amp;Source!I105&amp;"=74/"&amp;"100"</f>
        <v>Объем: 0,74=74/100</v>
      </c>
      <c r="D144" s="52"/>
      <c r="E144" s="52"/>
      <c r="F144" s="52"/>
      <c r="G144" s="52"/>
    </row>
    <row r="145" spans="1:7" ht="14.25" x14ac:dyDescent="0.2">
      <c r="A145" s="58">
        <v>22.1</v>
      </c>
      <c r="B145" s="42" t="str">
        <f>SmtRes!I154</f>
        <v>9999990008</v>
      </c>
      <c r="C145" s="42" t="str">
        <f>SmtRes!K154</f>
        <v>Трудозатраты рабочих</v>
      </c>
      <c r="D145" s="43" t="str">
        <f>SmtRes!O154</f>
        <v>чел.-ч.</v>
      </c>
      <c r="E145" s="60">
        <f>SmtRes!AT154</f>
        <v>46.78</v>
      </c>
      <c r="F145" s="44" t="str">
        <f>SmtRes!AU154</f>
        <v/>
      </c>
      <c r="G145" s="60">
        <f>SmtRes!Y154*Source!I105</f>
        <v>34.617200000000004</v>
      </c>
    </row>
    <row r="146" spans="1:7" ht="28.5" x14ac:dyDescent="0.2">
      <c r="A146" s="58">
        <v>22.2</v>
      </c>
      <c r="B146" s="42" t="str">
        <f>SmtRes!I155</f>
        <v>22.1-30-10</v>
      </c>
      <c r="C146" s="42" t="str">
        <f>SmtRes!K155</f>
        <v>Перфораторы электрические, мощность до 500 Вт</v>
      </c>
      <c r="D146" s="43" t="str">
        <f>SmtRes!O155</f>
        <v>маш.-ч</v>
      </c>
      <c r="E146" s="60">
        <f>SmtRes!AT155</f>
        <v>13</v>
      </c>
      <c r="F146" s="44" t="str">
        <f>SmtRes!AU155</f>
        <v/>
      </c>
      <c r="G146" s="60">
        <f>SmtRes!Y155*Source!I105</f>
        <v>9.6199999999999992</v>
      </c>
    </row>
    <row r="147" spans="1:7" ht="28.5" x14ac:dyDescent="0.2">
      <c r="A147" s="58">
        <v>22.3</v>
      </c>
      <c r="B147" s="42" t="str">
        <f>SmtRes!I156</f>
        <v>22.1-30-102</v>
      </c>
      <c r="C147" s="42" t="str">
        <f>SmtRes!K156</f>
        <v>Дрели электрические, двухскоростные, мощностью 600 Вт</v>
      </c>
      <c r="D147" s="43" t="str">
        <f>SmtRes!O156</f>
        <v>маш.-ч</v>
      </c>
      <c r="E147" s="60">
        <f>SmtRes!AT156</f>
        <v>0.15</v>
      </c>
      <c r="F147" s="44" t="str">
        <f>SmtRes!AU156</f>
        <v/>
      </c>
      <c r="G147" s="60">
        <f>SmtRes!Y156*Source!I105</f>
        <v>0.111</v>
      </c>
    </row>
    <row r="148" spans="1:7" ht="14.25" x14ac:dyDescent="0.2">
      <c r="A148" s="58">
        <v>22.4</v>
      </c>
      <c r="B148" s="42" t="str">
        <f>SmtRes!I157</f>
        <v>21.1-11-108</v>
      </c>
      <c r="C148" s="42" t="str">
        <f>SmtRes!K157</f>
        <v>Шурупы - саморезы, размер 3,5х45 мм</v>
      </c>
      <c r="D148" s="43" t="str">
        <f>SmtRes!O157</f>
        <v>т</v>
      </c>
      <c r="E148" s="60">
        <f>SmtRes!AT157</f>
        <v>7.3999999999999999E-4</v>
      </c>
      <c r="F148" s="44" t="str">
        <f>SmtRes!AU157</f>
        <v/>
      </c>
      <c r="G148" s="60">
        <f>SmtRes!Y157*Source!I105</f>
        <v>5.4759999999999997E-4</v>
      </c>
    </row>
    <row r="149" spans="1:7" ht="14.25" x14ac:dyDescent="0.2">
      <c r="A149" s="58">
        <v>22.5</v>
      </c>
      <c r="B149" s="42" t="str">
        <f>SmtRes!I158</f>
        <v>21.1-11-81</v>
      </c>
      <c r="C149" s="42" t="str">
        <f>SmtRes!K158</f>
        <v>Патроны, калибр 6,8/11 М для дюбеля</v>
      </c>
      <c r="D149" s="43" t="str">
        <f>SmtRes!O158</f>
        <v>100 шт.</v>
      </c>
      <c r="E149" s="60">
        <f>SmtRes!AT158</f>
        <v>4</v>
      </c>
      <c r="F149" s="44" t="str">
        <f>SmtRes!AU158</f>
        <v/>
      </c>
      <c r="G149" s="60">
        <f>SmtRes!Y158*Source!I105</f>
        <v>2.96</v>
      </c>
    </row>
    <row r="150" spans="1:7" ht="28.5" x14ac:dyDescent="0.2">
      <c r="A150" s="58">
        <v>22.6</v>
      </c>
      <c r="B150" s="42" t="str">
        <f>SmtRes!I159</f>
        <v>21.1-25-1021</v>
      </c>
      <c r="C150" s="42" t="str">
        <f>SmtRes!K159</f>
        <v>Кабель-каналы, размер 40х20 мм: кабель-каналы</v>
      </c>
      <c r="D150" s="43" t="str">
        <f>SmtRes!O159</f>
        <v>м</v>
      </c>
      <c r="E150" s="60">
        <f>SmtRes!AT159</f>
        <v>100</v>
      </c>
      <c r="F150" s="44" t="str">
        <f>SmtRes!AU159</f>
        <v/>
      </c>
      <c r="G150" s="60">
        <f>SmtRes!Y159*Source!I105</f>
        <v>74</v>
      </c>
    </row>
    <row r="151" spans="1:7" ht="28.5" x14ac:dyDescent="0.2">
      <c r="A151" s="58">
        <v>22.7</v>
      </c>
      <c r="B151" s="42" t="str">
        <f>SmtRes!I165</f>
        <v>21.7-3-54</v>
      </c>
      <c r="C151" s="42" t="str">
        <f>SmtRes!K165</f>
        <v>Сверло с алмазным покрытием, диаметр 6 мм</v>
      </c>
      <c r="D151" s="43" t="str">
        <f>SmtRes!O165</f>
        <v>шт.</v>
      </c>
      <c r="E151" s="60">
        <f>SmtRes!AT165</f>
        <v>4</v>
      </c>
      <c r="F151" s="44" t="str">
        <f>SmtRes!AU165</f>
        <v/>
      </c>
      <c r="G151" s="60">
        <f>SmtRes!Y165*Source!I105</f>
        <v>2.96</v>
      </c>
    </row>
    <row r="152" spans="1:7" ht="85.5" x14ac:dyDescent="0.25">
      <c r="A152" s="58" t="str">
        <f>Source!E111</f>
        <v>23</v>
      </c>
      <c r="B152" s="59" t="str">
        <f>Source!F111</f>
        <v>1.21-3103-21-3/1</v>
      </c>
      <c r="C152" s="42" t="str">
        <f>Source!G111</f>
        <v>Затягивание проводов и кабелей в проложенные трубы и металлические рукава, провод первый одножильный или многожильный в общей оплетке, суммарное сечение до 16 мм2 (без стоимости материалов)</v>
      </c>
      <c r="D152" s="61" t="str">
        <f>Source!H111</f>
        <v>100 м</v>
      </c>
      <c r="E152" s="60"/>
      <c r="F152" s="44"/>
      <c r="G152" s="62">
        <f>Source!I111</f>
        <v>0.33</v>
      </c>
    </row>
    <row r="153" spans="1:7" x14ac:dyDescent="0.2">
      <c r="A153" s="52"/>
      <c r="B153" s="52"/>
      <c r="C153" s="63" t="str">
        <f>"Объем: "&amp;Source!I111&amp;"=33/"&amp;"100"</f>
        <v>Объем: 0,33=33/100</v>
      </c>
      <c r="D153" s="52"/>
      <c r="E153" s="52"/>
      <c r="F153" s="52"/>
      <c r="G153" s="52"/>
    </row>
    <row r="154" spans="1:7" ht="14.25" x14ac:dyDescent="0.2">
      <c r="A154" s="58">
        <v>23.1</v>
      </c>
      <c r="B154" s="42" t="str">
        <f>SmtRes!I166</f>
        <v>9999990008</v>
      </c>
      <c r="C154" s="42" t="str">
        <f>SmtRes!K166</f>
        <v>Трудозатраты рабочих</v>
      </c>
      <c r="D154" s="43" t="str">
        <f>SmtRes!O166</f>
        <v>чел.-ч.</v>
      </c>
      <c r="E154" s="60">
        <f>SmtRes!AT166</f>
        <v>8.2899999999999991</v>
      </c>
      <c r="F154" s="44" t="str">
        <f>SmtRes!AU166</f>
        <v/>
      </c>
      <c r="G154" s="60">
        <f>SmtRes!Y166*Source!I111</f>
        <v>2.7357</v>
      </c>
    </row>
    <row r="155" spans="1:7" ht="114" x14ac:dyDescent="0.2">
      <c r="A155" s="58">
        <v>23.2</v>
      </c>
      <c r="B155" s="42" t="str">
        <f>SmtRes!I167</f>
        <v>21.23-8-270</v>
      </c>
      <c r="C155" s="42" t="str">
        <f>SmtRes!K167</f>
        <v>Кабели силовые, с медными жилами, с изоляц. и оболоч.из ПВХ пластиката пониж.пожар.опасности, не распростр.горение, с пониж.дымо- и газовыделением и с низк.токсич-тью продуктов горения, напряж.1000 В, марка ВВГнг(А)-LSLTx, число жил и сечение, мм2: 3х2,5</v>
      </c>
      <c r="D155" s="43" t="str">
        <f>SmtRes!O167</f>
        <v>км</v>
      </c>
      <c r="E155" s="60">
        <f>SmtRes!AT167</f>
        <v>0.10199999999999999</v>
      </c>
      <c r="F155" s="44" t="str">
        <f>SmtRes!AU167</f>
        <v/>
      </c>
      <c r="G155" s="60">
        <f>SmtRes!Y167*Source!I111</f>
        <v>3.3660000000000002E-2</v>
      </c>
    </row>
    <row r="156" spans="1:7" ht="30" x14ac:dyDescent="0.25">
      <c r="A156" s="58" t="str">
        <f>Source!E113</f>
        <v>24</v>
      </c>
      <c r="B156" s="59" t="str">
        <f>Source!F113</f>
        <v>1.21-3103-8-2/1</v>
      </c>
      <c r="C156" s="42" t="str">
        <f>Source!G113</f>
        <v>Прокладка проводов и кабелей в коробах, провод сечением до 35 мм2</v>
      </c>
      <c r="D156" s="61" t="str">
        <f>Source!H113</f>
        <v>100 м</v>
      </c>
      <c r="E156" s="60"/>
      <c r="F156" s="44"/>
      <c r="G156" s="62">
        <f>Source!I113</f>
        <v>4.8</v>
      </c>
    </row>
    <row r="157" spans="1:7" x14ac:dyDescent="0.2">
      <c r="A157" s="52"/>
      <c r="B157" s="52"/>
      <c r="C157" s="63" t="str">
        <f>"Объем: "&amp;Source!I113&amp;"=480/"&amp;"100"</f>
        <v>Объем: 4,8=480/100</v>
      </c>
      <c r="D157" s="52"/>
      <c r="E157" s="52"/>
      <c r="F157" s="52"/>
      <c r="G157" s="52"/>
    </row>
    <row r="158" spans="1:7" ht="14.25" x14ac:dyDescent="0.2">
      <c r="A158" s="58">
        <v>24.1</v>
      </c>
      <c r="B158" s="42" t="str">
        <f>SmtRes!I168</f>
        <v>9999990008</v>
      </c>
      <c r="C158" s="42" t="str">
        <f>SmtRes!K168</f>
        <v>Трудозатраты рабочих</v>
      </c>
      <c r="D158" s="43" t="str">
        <f>SmtRes!O168</f>
        <v>чел.-ч.</v>
      </c>
      <c r="E158" s="60">
        <f>SmtRes!AT168</f>
        <v>4.74</v>
      </c>
      <c r="F158" s="44" t="str">
        <f>SmtRes!AU168</f>
        <v/>
      </c>
      <c r="G158" s="60">
        <f>SmtRes!Y168*Source!I113</f>
        <v>22.751999999999999</v>
      </c>
    </row>
    <row r="159" spans="1:7" ht="14.25" x14ac:dyDescent="0.2">
      <c r="A159" s="58">
        <v>24.2</v>
      </c>
      <c r="B159" s="42" t="str">
        <f>SmtRes!I169</f>
        <v>21.1-20-10</v>
      </c>
      <c r="C159" s="42" t="str">
        <f>SmtRes!K169</f>
        <v>Лента изоляционная хлопчатобумажная</v>
      </c>
      <c r="D159" s="43" t="str">
        <f>SmtRes!O169</f>
        <v>кг</v>
      </c>
      <c r="E159" s="60">
        <f>SmtRes!AT169</f>
        <v>0.16</v>
      </c>
      <c r="F159" s="44" t="str">
        <f>SmtRes!AU169</f>
        <v/>
      </c>
      <c r="G159" s="60">
        <f>SmtRes!Y169*Source!I113</f>
        <v>0.76800000000000002</v>
      </c>
    </row>
    <row r="160" spans="1:7" ht="14.25" x14ac:dyDescent="0.2">
      <c r="A160" s="58">
        <v>24.3</v>
      </c>
      <c r="B160" s="42" t="str">
        <f>SmtRes!I170</f>
        <v>21.21-5-114</v>
      </c>
      <c r="C160" s="42" t="str">
        <f>SmtRes!K170</f>
        <v>Лента монтажная, тип ЛМ-5</v>
      </c>
      <c r="D160" s="43" t="str">
        <f>SmtRes!O170</f>
        <v>м</v>
      </c>
      <c r="E160" s="60">
        <f>SmtRes!AT170</f>
        <v>5.5</v>
      </c>
      <c r="F160" s="44" t="str">
        <f>SmtRes!AU170</f>
        <v/>
      </c>
      <c r="G160" s="60">
        <f>SmtRes!Y170*Source!I113</f>
        <v>26.4</v>
      </c>
    </row>
    <row r="161" spans="1:7" ht="28.5" x14ac:dyDescent="0.2">
      <c r="A161" s="58">
        <v>24.4</v>
      </c>
      <c r="B161" s="42" t="str">
        <f>SmtRes!I171</f>
        <v>21.21-5-2</v>
      </c>
      <c r="C161" s="42" t="str">
        <f>SmtRes!K171</f>
        <v>Бирки маркировочные для кабелей и проводов, тип У153 У3,5</v>
      </c>
      <c r="D161" s="43" t="str">
        <f>SmtRes!O171</f>
        <v>1000 шт.</v>
      </c>
      <c r="E161" s="60">
        <f>SmtRes!AT171</f>
        <v>5.0000000000000001E-3</v>
      </c>
      <c r="F161" s="44" t="str">
        <f>SmtRes!AU171</f>
        <v/>
      </c>
      <c r="G161" s="60">
        <f>SmtRes!Y171*Source!I113</f>
        <v>2.4E-2</v>
      </c>
    </row>
    <row r="162" spans="1:7" ht="42.75" x14ac:dyDescent="0.2">
      <c r="A162" s="58">
        <v>24.5</v>
      </c>
      <c r="B162" s="42" t="str">
        <f>SmtRes!I172</f>
        <v>21.21-5-305</v>
      </c>
      <c r="C162" s="42" t="str">
        <f>SmtRes!K172</f>
        <v>Сжимы, тип У731М для проводников магистральных сечением от 4 до 10 мм2 и ответвительных от 1,5 до 10 мм2</v>
      </c>
      <c r="D162" s="43" t="str">
        <f>SmtRes!O172</f>
        <v>шт.</v>
      </c>
      <c r="E162" s="60">
        <f>SmtRes!AT172</f>
        <v>10</v>
      </c>
      <c r="F162" s="44" t="str">
        <f>SmtRes!AU172</f>
        <v/>
      </c>
      <c r="G162" s="60">
        <f>SmtRes!Y172*Source!I113</f>
        <v>48</v>
      </c>
    </row>
    <row r="163" spans="1:7" ht="28.5" x14ac:dyDescent="0.2">
      <c r="A163" s="58">
        <v>24.6</v>
      </c>
      <c r="B163" s="42" t="str">
        <f>SmtRes!I173</f>
        <v>21.21-5-342</v>
      </c>
      <c r="C163" s="42" t="str">
        <f>SmtRes!K173</f>
        <v>Хомуты (стяжки) кабельные из полиамида, размеры 3,6х200 мм</v>
      </c>
      <c r="D163" s="43" t="str">
        <f>SmtRes!O173</f>
        <v>100 шт.</v>
      </c>
      <c r="E163" s="60">
        <f>SmtRes!AT173</f>
        <v>0.3</v>
      </c>
      <c r="F163" s="44" t="str">
        <f>SmtRes!AU173</f>
        <v/>
      </c>
      <c r="G163" s="60">
        <f>SmtRes!Y173*Source!I113</f>
        <v>1.44</v>
      </c>
    </row>
    <row r="164" spans="1:7" ht="14.25" x14ac:dyDescent="0.2">
      <c r="A164" s="58">
        <v>24.7</v>
      </c>
      <c r="B164" s="42" t="str">
        <f>SmtRes!I174</f>
        <v>21.21-5-44</v>
      </c>
      <c r="C164" s="42" t="str">
        <f>SmtRes!K174</f>
        <v>Кнопки для ленты ЛМ, тип 3,5</v>
      </c>
      <c r="D164" s="43" t="str">
        <f>SmtRes!O174</f>
        <v>1000 шт.</v>
      </c>
      <c r="E164" s="60">
        <f>SmtRes!AT174</f>
        <v>0.02</v>
      </c>
      <c r="F164" s="44" t="str">
        <f>SmtRes!AU174</f>
        <v/>
      </c>
      <c r="G164" s="60">
        <f>SmtRes!Y174*Source!I113</f>
        <v>9.6000000000000002E-2</v>
      </c>
    </row>
    <row r="165" spans="1:7" ht="114" x14ac:dyDescent="0.2">
      <c r="A165" s="58">
        <v>24.8</v>
      </c>
      <c r="B165" s="42" t="str">
        <f>SmtRes!I176</f>
        <v>21.23-8-270</v>
      </c>
      <c r="C165" s="42" t="str">
        <f>SmtRes!K176</f>
        <v>Кабели силовые, с медными жилами, с изоляц. и оболоч.из ПВХ пластиката пониж.пожар.опасности, не распростр.горение, с пониж.дымо- и газовыделением и с низк.токсич-тью продуктов горения, напряж.1000 В, марка ВВГнг(А)-LSLTx, число жил и сечение, мм2: 3х2,5</v>
      </c>
      <c r="D165" s="43" t="str">
        <f>SmtRes!O176</f>
        <v>км</v>
      </c>
      <c r="E165" s="60">
        <f>SmtRes!AT176</f>
        <v>0.10199999999999999</v>
      </c>
      <c r="F165" s="44" t="str">
        <f>SmtRes!AU176</f>
        <v/>
      </c>
      <c r="G165" s="60">
        <f>SmtRes!Y176*Source!I113</f>
        <v>0.48959999999999992</v>
      </c>
    </row>
    <row r="166" spans="1:7" ht="57" x14ac:dyDescent="0.25">
      <c r="A166" s="58" t="str">
        <f>Source!E120</f>
        <v>29</v>
      </c>
      <c r="B166" s="59" t="str">
        <f>Source!F120</f>
        <v>1.50-3204-11-9/1</v>
      </c>
      <c r="C166" s="42" t="str">
        <f>Source!G120</f>
        <v>Сверление сквозных отверстий в бетонных стенах и полах электроперфоратором, диаметр отверстия до 30 мм, глубина сверления 100 мм</v>
      </c>
      <c r="D166" s="61" t="str">
        <f>Source!H120</f>
        <v>100 отверстий</v>
      </c>
      <c r="E166" s="60"/>
      <c r="F166" s="44"/>
      <c r="G166" s="62">
        <f>Source!I120</f>
        <v>0.05</v>
      </c>
    </row>
    <row r="167" spans="1:7" x14ac:dyDescent="0.2">
      <c r="A167" s="52"/>
      <c r="B167" s="52"/>
      <c r="C167" s="63" t="str">
        <f>"Объем: "&amp;Source!I120&amp;"=5/"&amp;"100"</f>
        <v>Объем: 0,05=5/100</v>
      </c>
      <c r="D167" s="52"/>
      <c r="E167" s="52"/>
      <c r="F167" s="52"/>
      <c r="G167" s="52"/>
    </row>
    <row r="168" spans="1:7" ht="14.25" x14ac:dyDescent="0.2">
      <c r="A168" s="58">
        <v>29.1</v>
      </c>
      <c r="B168" s="42" t="str">
        <f>SmtRes!I186</f>
        <v>9999990008</v>
      </c>
      <c r="C168" s="42" t="str">
        <f>SmtRes!K186</f>
        <v>Трудозатраты рабочих</v>
      </c>
      <c r="D168" s="43" t="str">
        <f>SmtRes!O186</f>
        <v>чел.-ч.</v>
      </c>
      <c r="E168" s="60">
        <f>SmtRes!AT186</f>
        <v>11</v>
      </c>
      <c r="F168" s="44" t="str">
        <f>SmtRes!AU186</f>
        <v/>
      </c>
      <c r="G168" s="60">
        <f>SmtRes!Y186*Source!I120</f>
        <v>0.55000000000000004</v>
      </c>
    </row>
    <row r="169" spans="1:7" ht="28.5" x14ac:dyDescent="0.2">
      <c r="A169" s="58">
        <v>29.2</v>
      </c>
      <c r="B169" s="42" t="str">
        <f>SmtRes!I187</f>
        <v>22.1-30-10</v>
      </c>
      <c r="C169" s="42" t="str">
        <f>SmtRes!K187</f>
        <v>Перфораторы электрические, мощность до 500 Вт</v>
      </c>
      <c r="D169" s="43" t="str">
        <f>SmtRes!O187</f>
        <v>маш.-ч</v>
      </c>
      <c r="E169" s="60">
        <f>SmtRes!AT187</f>
        <v>11</v>
      </c>
      <c r="F169" s="44" t="str">
        <f>SmtRes!AU187</f>
        <v/>
      </c>
      <c r="G169" s="60">
        <f>SmtRes!Y187*Source!I120</f>
        <v>0.55000000000000004</v>
      </c>
    </row>
    <row r="170" spans="1:7" ht="28.5" x14ac:dyDescent="0.2">
      <c r="A170" s="58">
        <v>29.3</v>
      </c>
      <c r="B170" s="42" t="str">
        <f>SmtRes!I188</f>
        <v>21.7-3-52</v>
      </c>
      <c r="C170" s="42" t="str">
        <f>SmtRes!K188</f>
        <v>Сверло победитовое, диаметр 25 мм, длина 400 мм</v>
      </c>
      <c r="D170" s="43" t="str">
        <f>SmtRes!O188</f>
        <v>шт.</v>
      </c>
      <c r="E170" s="60">
        <f>SmtRes!AT188</f>
        <v>10</v>
      </c>
      <c r="F170" s="44" t="str">
        <f>SmtRes!AU188</f>
        <v/>
      </c>
      <c r="G170" s="60">
        <f>SmtRes!Y188*Source!I120</f>
        <v>0.5</v>
      </c>
    </row>
    <row r="171" spans="1:7" ht="30" x14ac:dyDescent="0.25">
      <c r="A171" s="58" t="str">
        <f>Source!E121</f>
        <v>30</v>
      </c>
      <c r="B171" s="59" t="str">
        <f>Source!F121</f>
        <v>1.50-3204-11-10/1</v>
      </c>
      <c r="C171" s="42" t="str">
        <f>Source!G121</f>
        <v>Добавлять на каждые 50 мм глубины сверления сверх 100 мм к поз. 50-3204-11-9</v>
      </c>
      <c r="D171" s="61" t="str">
        <f>Source!H121</f>
        <v>100 отверстий</v>
      </c>
      <c r="E171" s="60"/>
      <c r="F171" s="44"/>
      <c r="G171" s="62">
        <f>Source!I121</f>
        <v>0.05</v>
      </c>
    </row>
    <row r="172" spans="1:7" x14ac:dyDescent="0.2">
      <c r="A172" s="52"/>
      <c r="B172" s="52"/>
      <c r="C172" s="63" t="str">
        <f>"Объем: "&amp;Source!I121&amp;"=5/"&amp;"100"</f>
        <v>Объем: 0,05=5/100</v>
      </c>
      <c r="D172" s="52"/>
      <c r="E172" s="52"/>
      <c r="F172" s="52"/>
      <c r="G172" s="52"/>
    </row>
    <row r="173" spans="1:7" ht="14.25" x14ac:dyDescent="0.2">
      <c r="A173" s="58">
        <v>30.1</v>
      </c>
      <c r="B173" s="42" t="str">
        <f>SmtRes!I189</f>
        <v>9999990008</v>
      </c>
      <c r="C173" s="42" t="str">
        <f>SmtRes!K189</f>
        <v>Трудозатраты рабочих</v>
      </c>
      <c r="D173" s="43" t="str">
        <f>SmtRes!O189</f>
        <v>чел.-ч.</v>
      </c>
      <c r="E173" s="60">
        <f>SmtRes!AT189</f>
        <v>3.7</v>
      </c>
      <c r="F173" s="44" t="str">
        <f>SmtRes!AU189</f>
        <v/>
      </c>
      <c r="G173" s="60">
        <f>SmtRes!Y189*Source!I121</f>
        <v>0.18500000000000003</v>
      </c>
    </row>
    <row r="174" spans="1:7" ht="28.5" x14ac:dyDescent="0.2">
      <c r="A174" s="58">
        <v>30.2</v>
      </c>
      <c r="B174" s="42" t="str">
        <f>SmtRes!I190</f>
        <v>22.1-30-10</v>
      </c>
      <c r="C174" s="42" t="str">
        <f>SmtRes!K190</f>
        <v>Перфораторы электрические, мощность до 500 Вт</v>
      </c>
      <c r="D174" s="43" t="str">
        <f>SmtRes!O190</f>
        <v>маш.-ч</v>
      </c>
      <c r="E174" s="60">
        <f>SmtRes!AT190</f>
        <v>3.7</v>
      </c>
      <c r="F174" s="44" t="str">
        <f>SmtRes!AU190</f>
        <v/>
      </c>
      <c r="G174" s="60">
        <f>SmtRes!Y190*Source!I121</f>
        <v>0.18500000000000003</v>
      </c>
    </row>
    <row r="175" spans="1:7" ht="30" x14ac:dyDescent="0.25">
      <c r="A175" s="58" t="str">
        <f>Source!E126</f>
        <v>35</v>
      </c>
      <c r="B175" s="59" t="str">
        <f>Source!F126</f>
        <v>1.50-3201-1-1/1</v>
      </c>
      <c r="C175" s="42" t="str">
        <f>Source!G126</f>
        <v>Заделка отверстий и гнезд в стенах бетонных, площадь заделки 0,1 м2</v>
      </c>
      <c r="D175" s="61" t="str">
        <f>Source!H126</f>
        <v>м3</v>
      </c>
      <c r="E175" s="60"/>
      <c r="F175" s="44"/>
      <c r="G175" s="62">
        <f>Source!I126</f>
        <v>2.9500000000000001E-4</v>
      </c>
    </row>
    <row r="176" spans="1:7" ht="14.25" x14ac:dyDescent="0.2">
      <c r="A176" s="58">
        <v>35.1</v>
      </c>
      <c r="B176" s="42" t="str">
        <f>SmtRes!I204</f>
        <v>9999990008</v>
      </c>
      <c r="C176" s="42" t="str">
        <f>SmtRes!K204</f>
        <v>Трудозатраты рабочих</v>
      </c>
      <c r="D176" s="43" t="str">
        <f>SmtRes!O204</f>
        <v>чел.-ч.</v>
      </c>
      <c r="E176" s="60">
        <f>SmtRes!AT204</f>
        <v>95.84</v>
      </c>
      <c r="F176" s="44" t="str">
        <f>SmtRes!AU204</f>
        <v/>
      </c>
      <c r="G176" s="60">
        <f>SmtRes!Y204*Source!I126</f>
        <v>2.8272800000000001E-2</v>
      </c>
    </row>
    <row r="177" spans="1:7" ht="14.25" x14ac:dyDescent="0.2">
      <c r="A177" s="58">
        <v>35.200000000000003</v>
      </c>
      <c r="B177" s="42" t="str">
        <f>SmtRes!I205</f>
        <v>21.1-11-46</v>
      </c>
      <c r="C177" s="42" t="str">
        <f>SmtRes!K205</f>
        <v>Гвозди строительные</v>
      </c>
      <c r="D177" s="43" t="str">
        <f>SmtRes!O205</f>
        <v>т</v>
      </c>
      <c r="E177" s="60">
        <f>SmtRes!AT205</f>
        <v>6.0000000000000001E-3</v>
      </c>
      <c r="F177" s="44" t="str">
        <f>SmtRes!AU205</f>
        <v/>
      </c>
      <c r="G177" s="60">
        <f>SmtRes!Y205*Source!I126</f>
        <v>1.7700000000000002E-6</v>
      </c>
    </row>
    <row r="178" spans="1:7" ht="28.5" x14ac:dyDescent="0.2">
      <c r="A178" s="58">
        <v>35.299999999999997</v>
      </c>
      <c r="B178" s="42" t="str">
        <f>SmtRes!I206</f>
        <v>21.1-9-13</v>
      </c>
      <c r="C178" s="42" t="str">
        <f>SmtRes!K206</f>
        <v>Бруски хвойных пород обрезные, длина 2-6,5 м, сорт III, толщина 50-60 мм</v>
      </c>
      <c r="D178" s="43" t="str">
        <f>SmtRes!O206</f>
        <v>м3</v>
      </c>
      <c r="E178" s="60">
        <f>SmtRes!AT206</f>
        <v>0.20799999999999999</v>
      </c>
      <c r="F178" s="44" t="str">
        <f>SmtRes!AU206</f>
        <v/>
      </c>
      <c r="G178" s="60">
        <f>SmtRes!Y206*Source!I126</f>
        <v>6.1359999999999995E-5</v>
      </c>
    </row>
    <row r="179" spans="1:7" ht="28.5" x14ac:dyDescent="0.2">
      <c r="A179" s="58">
        <v>35.4</v>
      </c>
      <c r="B179" s="42" t="str">
        <f>SmtRes!I207</f>
        <v>21.1-9-56</v>
      </c>
      <c r="C179" s="42" t="str">
        <f>SmtRes!K207</f>
        <v>Доски хвойных пород, обрезные, длина 2-6,5 м, сорт III, толщина 25-32 мм</v>
      </c>
      <c r="D179" s="43" t="str">
        <f>SmtRes!O207</f>
        <v>м3</v>
      </c>
      <c r="E179" s="60">
        <f>SmtRes!AT207</f>
        <v>0.18099999999999999</v>
      </c>
      <c r="F179" s="44" t="str">
        <f>SmtRes!AU207</f>
        <v/>
      </c>
      <c r="G179" s="60">
        <f>SmtRes!Y207*Source!I126</f>
        <v>5.3395E-5</v>
      </c>
    </row>
    <row r="180" spans="1:7" ht="42.75" x14ac:dyDescent="0.2">
      <c r="A180" s="58">
        <v>35.5</v>
      </c>
      <c r="B180" s="42" t="str">
        <f>SmtRes!I208</f>
        <v>21.3-1-69</v>
      </c>
      <c r="C180" s="42" t="str">
        <f>SmtRes!K208</f>
        <v>Смеси бетонные, БСГ, тяжелого бетона на гранитном щебне, класс прочности: В15 (М200); П3, фракция 5-20, F50-100, W0-2</v>
      </c>
      <c r="D180" s="43" t="str">
        <f>SmtRes!O208</f>
        <v>м3</v>
      </c>
      <c r="E180" s="60">
        <f>SmtRes!AT208</f>
        <v>1.04</v>
      </c>
      <c r="F180" s="44" t="str">
        <f>SmtRes!AU208</f>
        <v/>
      </c>
      <c r="G180" s="60">
        <f>SmtRes!Y208*Source!I126</f>
        <v>3.0680000000000003E-4</v>
      </c>
    </row>
    <row r="181" spans="1:7" ht="30" x14ac:dyDescent="0.25">
      <c r="A181" s="58" t="str">
        <f>Source!E129</f>
        <v>38</v>
      </c>
      <c r="B181" s="59" t="str">
        <f>Source!F129</f>
        <v>1.50-3203-4-1/1</v>
      </c>
      <c r="C181" s="42" t="str">
        <f>Source!G129</f>
        <v>Установка химических анкеров в готовые отверстия</v>
      </c>
      <c r="D181" s="61" t="str">
        <f>Source!H129</f>
        <v>100 компл.</v>
      </c>
      <c r="E181" s="60"/>
      <c r="F181" s="44"/>
      <c r="G181" s="62">
        <f>Source!I129</f>
        <v>0.02</v>
      </c>
    </row>
    <row r="182" spans="1:7" x14ac:dyDescent="0.2">
      <c r="A182" s="52"/>
      <c r="B182" s="52"/>
      <c r="C182" s="63" t="str">
        <f>"Объем: "&amp;Source!I129&amp;"=2/"&amp;"100"</f>
        <v>Объем: 0,02=2/100</v>
      </c>
      <c r="D182" s="52"/>
      <c r="E182" s="52"/>
      <c r="F182" s="52"/>
      <c r="G182" s="52"/>
    </row>
    <row r="183" spans="1:7" ht="14.25" x14ac:dyDescent="0.2">
      <c r="A183" s="58">
        <v>38.1</v>
      </c>
      <c r="B183" s="42" t="str">
        <f>SmtRes!I220</f>
        <v>9999990008</v>
      </c>
      <c r="C183" s="42" t="str">
        <f>SmtRes!K220</f>
        <v>Трудозатраты рабочих</v>
      </c>
      <c r="D183" s="43" t="str">
        <f>SmtRes!O220</f>
        <v>чел.-ч.</v>
      </c>
      <c r="E183" s="60">
        <f>SmtRes!AT220</f>
        <v>19.05</v>
      </c>
      <c r="F183" s="44" t="str">
        <f>SmtRes!AU220</f>
        <v/>
      </c>
      <c r="G183" s="60">
        <f>SmtRes!Y220*Source!I129</f>
        <v>0.38100000000000001</v>
      </c>
    </row>
    <row r="184" spans="1:7" ht="42.75" x14ac:dyDescent="0.2">
      <c r="A184" s="58">
        <v>38.200000000000003</v>
      </c>
      <c r="B184" s="42" t="str">
        <f>SmtRes!I221</f>
        <v>21.7-5-6</v>
      </c>
      <c r="C184" s="42" t="str">
        <f>SmtRes!K221</f>
        <v>Анкер химический для установки в бетон: капсула HIT-RE 500/330, шпилька резьбовая оцинкованная M12х110</v>
      </c>
      <c r="D184" s="43" t="str">
        <f>SmtRes!O221</f>
        <v>компл.</v>
      </c>
      <c r="E184" s="60">
        <f>SmtRes!AT221</f>
        <v>100</v>
      </c>
      <c r="F184" s="44" t="str">
        <f>SmtRes!AU221</f>
        <v/>
      </c>
      <c r="G184" s="60">
        <f>SmtRes!Y221*Source!I129</f>
        <v>2</v>
      </c>
    </row>
    <row r="185" spans="1:7" ht="57" x14ac:dyDescent="0.25">
      <c r="A185" s="58" t="str">
        <f>Source!E130</f>
        <v>39</v>
      </c>
      <c r="B185" s="59" t="str">
        <f>Source!F130</f>
        <v>1.21-3103-4-1/1</v>
      </c>
      <c r="C185" s="42" t="str">
        <f>Source!G130</f>
        <v>Прокладка лотков металлических штампованных по установленным конструкциям, ширина лотков до 200 мм (без стоимости лотков)</v>
      </c>
      <c r="D185" s="61" t="str">
        <f>Source!H130</f>
        <v>т</v>
      </c>
      <c r="E185" s="60"/>
      <c r="F185" s="44"/>
      <c r="G185" s="62">
        <f>Source!I130</f>
        <v>6.4799999999999996E-3</v>
      </c>
    </row>
    <row r="186" spans="1:7" ht="14.25" x14ac:dyDescent="0.2">
      <c r="A186" s="58">
        <v>39.1</v>
      </c>
      <c r="B186" s="42" t="str">
        <f>SmtRes!I222</f>
        <v>9999990008</v>
      </c>
      <c r="C186" s="42" t="str">
        <f>SmtRes!K222</f>
        <v>Трудозатраты рабочих</v>
      </c>
      <c r="D186" s="43" t="str">
        <f>SmtRes!O222</f>
        <v>чел.-ч.</v>
      </c>
      <c r="E186" s="60">
        <f>SmtRes!AT222</f>
        <v>67.5</v>
      </c>
      <c r="F186" s="44" t="str">
        <f>SmtRes!AU222</f>
        <v/>
      </c>
      <c r="G186" s="60">
        <f>SmtRes!Y222*Source!I130</f>
        <v>0.43739999999999996</v>
      </c>
    </row>
    <row r="187" spans="1:7" ht="14.25" x14ac:dyDescent="0.2">
      <c r="A187" s="58">
        <v>39.200000000000003</v>
      </c>
      <c r="B187" s="42" t="str">
        <f>SmtRes!I223</f>
        <v>22.1-13-15</v>
      </c>
      <c r="C187" s="42" t="str">
        <f>SmtRes!K223</f>
        <v>Аппараты сварочные</v>
      </c>
      <c r="D187" s="43" t="str">
        <f>SmtRes!O223</f>
        <v>маш.-ч</v>
      </c>
      <c r="E187" s="60">
        <f>SmtRes!AT223</f>
        <v>14.12</v>
      </c>
      <c r="F187" s="44" t="str">
        <f>SmtRes!AU223</f>
        <v/>
      </c>
      <c r="G187" s="60">
        <f>SmtRes!Y223*Source!I130</f>
        <v>9.1497599999999984E-2</v>
      </c>
    </row>
    <row r="188" spans="1:7" ht="28.5" x14ac:dyDescent="0.2">
      <c r="A188" s="58">
        <v>39.299999999999997</v>
      </c>
      <c r="B188" s="42" t="str">
        <f>SmtRes!I224</f>
        <v>21.1-11-21</v>
      </c>
      <c r="C188" s="42" t="str">
        <f>SmtRes!K224</f>
        <v>Болты строительные черные с гайками и шайбами (10х100мм)</v>
      </c>
      <c r="D188" s="43" t="str">
        <f>SmtRes!O224</f>
        <v>т</v>
      </c>
      <c r="E188" s="60">
        <f>SmtRes!AT224</f>
        <v>2.5400000000000002E-3</v>
      </c>
      <c r="F188" s="44" t="str">
        <f>SmtRes!AU224</f>
        <v/>
      </c>
      <c r="G188" s="60">
        <f>SmtRes!Y224*Source!I130</f>
        <v>1.64592E-5</v>
      </c>
    </row>
    <row r="189" spans="1:7" ht="28.5" x14ac:dyDescent="0.2">
      <c r="A189" s="58">
        <v>39.4</v>
      </c>
      <c r="B189" s="42" t="str">
        <f>SmtRes!I225</f>
        <v>21.1-23-9</v>
      </c>
      <c r="C189" s="42" t="str">
        <f>SmtRes!K225</f>
        <v>Электроды, тип Э-42, 46, 50, диаметр 4 - 6 мм</v>
      </c>
      <c r="D189" s="43" t="str">
        <f>SmtRes!O225</f>
        <v>т</v>
      </c>
      <c r="E189" s="60">
        <f>SmtRes!AT225</f>
        <v>3.3600000000000001E-3</v>
      </c>
      <c r="F189" s="44" t="str">
        <f>SmtRes!AU225</f>
        <v/>
      </c>
      <c r="G189" s="60">
        <f>SmtRes!Y225*Source!I130</f>
        <v>2.1772799999999999E-5</v>
      </c>
    </row>
    <row r="190" spans="1:7" ht="42.75" x14ac:dyDescent="0.25">
      <c r="A190" s="58" t="str">
        <f>Source!E135</f>
        <v>40</v>
      </c>
      <c r="B190" s="59" t="str">
        <f>Source!F135</f>
        <v>1.21-3103-6-1/1</v>
      </c>
      <c r="C190" s="42" t="str">
        <f>Source!G135</f>
        <v>Прокладка профиля перфорированного монтажного длиной 2 м (без стоимости профиля)</v>
      </c>
      <c r="D190" s="61" t="str">
        <f>Source!H135</f>
        <v>100 шт.</v>
      </c>
      <c r="E190" s="60"/>
      <c r="F190" s="44"/>
      <c r="G190" s="62">
        <f>Source!I135</f>
        <v>0.11</v>
      </c>
    </row>
    <row r="191" spans="1:7" x14ac:dyDescent="0.2">
      <c r="A191" s="52"/>
      <c r="B191" s="52"/>
      <c r="C191" s="63" t="str">
        <f>"Объем: "&amp;Source!I135&amp;"=11/"&amp;"100"</f>
        <v>Объем: 0,11=11/100</v>
      </c>
      <c r="D191" s="52"/>
      <c r="E191" s="52"/>
      <c r="F191" s="52"/>
      <c r="G191" s="52"/>
    </row>
    <row r="192" spans="1:7" ht="14.25" x14ac:dyDescent="0.2">
      <c r="A192" s="58">
        <v>40.1</v>
      </c>
      <c r="B192" s="42" t="str">
        <f>SmtRes!I226</f>
        <v>9999990008</v>
      </c>
      <c r="C192" s="42" t="str">
        <f>SmtRes!K226</f>
        <v>Трудозатраты рабочих</v>
      </c>
      <c r="D192" s="43" t="str">
        <f>SmtRes!O226</f>
        <v>чел.-ч.</v>
      </c>
      <c r="E192" s="60">
        <f>SmtRes!AT226</f>
        <v>10.66</v>
      </c>
      <c r="F192" s="44" t="str">
        <f>SmtRes!AU226</f>
        <v/>
      </c>
      <c r="G192" s="60">
        <f>SmtRes!Y226*Source!I135</f>
        <v>1.1726000000000001</v>
      </c>
    </row>
    <row r="193" spans="1:7" ht="14.25" x14ac:dyDescent="0.2">
      <c r="A193" s="58">
        <v>40.200000000000003</v>
      </c>
      <c r="B193" s="42" t="str">
        <f>SmtRes!I227</f>
        <v>22.1-13-15</v>
      </c>
      <c r="C193" s="42" t="str">
        <f>SmtRes!K227</f>
        <v>Аппараты сварочные</v>
      </c>
      <c r="D193" s="43" t="str">
        <f>SmtRes!O227</f>
        <v>маш.-ч</v>
      </c>
      <c r="E193" s="60">
        <f>SmtRes!AT227</f>
        <v>3.24</v>
      </c>
      <c r="F193" s="44" t="str">
        <f>SmtRes!AU227</f>
        <v/>
      </c>
      <c r="G193" s="60">
        <f>SmtRes!Y227*Source!I135</f>
        <v>0.35640000000000005</v>
      </c>
    </row>
    <row r="194" spans="1:7" ht="28.5" x14ac:dyDescent="0.2">
      <c r="A194" s="58">
        <v>40.299999999999997</v>
      </c>
      <c r="B194" s="42" t="str">
        <f>SmtRes!I228</f>
        <v>22.1-30-10</v>
      </c>
      <c r="C194" s="42" t="str">
        <f>SmtRes!K228</f>
        <v>Перфораторы электрические, мощность до 500 Вт</v>
      </c>
      <c r="D194" s="43" t="str">
        <f>SmtRes!O228</f>
        <v>маш.-ч</v>
      </c>
      <c r="E194" s="60">
        <f>SmtRes!AT228</f>
        <v>2.38</v>
      </c>
      <c r="F194" s="44" t="str">
        <f>SmtRes!AU228</f>
        <v/>
      </c>
      <c r="G194" s="60">
        <f>SmtRes!Y228*Source!I135</f>
        <v>0.26179999999999998</v>
      </c>
    </row>
    <row r="195" spans="1:7" ht="42.75" x14ac:dyDescent="0.2">
      <c r="A195" s="58">
        <v>40.4</v>
      </c>
      <c r="B195" s="42" t="str">
        <f>SmtRes!I229</f>
        <v>22.1-4-22</v>
      </c>
      <c r="C195" s="42" t="str">
        <f>SmtRes!K229</f>
        <v>Вышки телескопические на автомобиле, высота до 22 м, грузоподъемность 250-300 кг</v>
      </c>
      <c r="D195" s="43" t="str">
        <f>SmtRes!O229</f>
        <v>маш.-ч</v>
      </c>
      <c r="E195" s="60">
        <f>SmtRes!AT229</f>
        <v>3.59</v>
      </c>
      <c r="F195" s="44" t="str">
        <f>SmtRes!AU229</f>
        <v/>
      </c>
      <c r="G195" s="60">
        <f>SmtRes!Y229*Source!I135</f>
        <v>0.39489999999999997</v>
      </c>
    </row>
    <row r="196" spans="1:7" ht="14.25" x14ac:dyDescent="0.2">
      <c r="A196" s="58">
        <v>40.5</v>
      </c>
      <c r="B196" s="42" t="str">
        <f>SmtRes!I230</f>
        <v>21.1-11-133</v>
      </c>
      <c r="C196" s="42" t="str">
        <f>SmtRes!K230</f>
        <v>Дюбель-гвоздь с патроном</v>
      </c>
      <c r="D196" s="43" t="str">
        <f>SmtRes!O230</f>
        <v>компл.</v>
      </c>
      <c r="E196" s="60">
        <f>SmtRes!AT230</f>
        <v>43.4</v>
      </c>
      <c r="F196" s="44" t="str">
        <f>SmtRes!AU230</f>
        <v/>
      </c>
      <c r="G196" s="60">
        <f>SmtRes!Y230*Source!I135</f>
        <v>4.774</v>
      </c>
    </row>
    <row r="197" spans="1:7" ht="28.5" x14ac:dyDescent="0.2">
      <c r="A197" s="58">
        <v>40.6</v>
      </c>
      <c r="B197" s="42" t="str">
        <f>SmtRes!I231</f>
        <v>21.1-11-16</v>
      </c>
      <c r="C197" s="42" t="str">
        <f>SmtRes!K231</f>
        <v>Болты строительные с гайками черные (20х75-100 мм)</v>
      </c>
      <c r="D197" s="43" t="str">
        <f>SmtRes!O231</f>
        <v>т</v>
      </c>
      <c r="E197" s="60">
        <f>SmtRes!AT231</f>
        <v>1.25E-3</v>
      </c>
      <c r="F197" s="44" t="str">
        <f>SmtRes!AU231</f>
        <v/>
      </c>
      <c r="G197" s="60">
        <f>SmtRes!Y231*Source!I135</f>
        <v>1.3750000000000001E-4</v>
      </c>
    </row>
    <row r="198" spans="1:7" ht="28.5" x14ac:dyDescent="0.2">
      <c r="A198" s="58">
        <v>40.700000000000003</v>
      </c>
      <c r="B198" s="42" t="str">
        <f>SmtRes!I232</f>
        <v>21.1-11-178</v>
      </c>
      <c r="C198" s="42" t="str">
        <f>SmtRes!K232</f>
        <v>Дюбели распорные пластмассовые, размеры 6х40 мм</v>
      </c>
      <c r="D198" s="43" t="str">
        <f>SmtRes!O232</f>
        <v>100 шт.</v>
      </c>
      <c r="E198" s="60">
        <f>SmtRes!AT232</f>
        <v>0.3</v>
      </c>
      <c r="F198" s="44" t="str">
        <f>SmtRes!AU232</f>
        <v/>
      </c>
      <c r="G198" s="60">
        <f>SmtRes!Y232*Source!I135</f>
        <v>3.3000000000000002E-2</v>
      </c>
    </row>
    <row r="199" spans="1:7" ht="28.5" x14ac:dyDescent="0.2">
      <c r="A199" s="58">
        <v>40.799999999999997</v>
      </c>
      <c r="B199" s="42" t="str">
        <f>SmtRes!I233</f>
        <v>21.1-23-9</v>
      </c>
      <c r="C199" s="42" t="str">
        <f>SmtRes!K233</f>
        <v>Электроды, тип Э-42, 46, 50, диаметр 4 - 6 мм</v>
      </c>
      <c r="D199" s="43" t="str">
        <f>SmtRes!O233</f>
        <v>т</v>
      </c>
      <c r="E199" s="60">
        <f>SmtRes!AT233</f>
        <v>2.14E-3</v>
      </c>
      <c r="F199" s="44" t="str">
        <f>SmtRes!AU233</f>
        <v/>
      </c>
      <c r="G199" s="60">
        <f>SmtRes!Y233*Source!I135</f>
        <v>2.354E-4</v>
      </c>
    </row>
    <row r="200" spans="1:7" ht="42.75" x14ac:dyDescent="0.2">
      <c r="A200" s="58">
        <v>40.9</v>
      </c>
      <c r="B200" s="42" t="str">
        <f>SmtRes!I235</f>
        <v>Цена поставщика</v>
      </c>
      <c r="C200" s="42" t="str">
        <f>SmtRes!K235</f>
        <v>М1914. Швеллер К347Ц перфорированный 32х20х2мм L=2м оцинкованный лист (КЗЭМИ Курган)(или эквивалент)</v>
      </c>
      <c r="D200" s="43" t="str">
        <f>SmtRes!O235</f>
        <v>м</v>
      </c>
      <c r="E200" s="60">
        <f>SmtRes!AT235</f>
        <v>200</v>
      </c>
      <c r="F200" s="44" t="str">
        <f>SmtRes!AU235</f>
        <v/>
      </c>
      <c r="G200" s="60">
        <f>SmtRes!Y235*Source!I135</f>
        <v>22</v>
      </c>
    </row>
    <row r="201" spans="1:7" ht="28.5" x14ac:dyDescent="0.25">
      <c r="A201" s="58" t="str">
        <f>Source!E151</f>
        <v>45</v>
      </c>
      <c r="B201" s="59" t="str">
        <f>Source!F151</f>
        <v>22.1-4-23</v>
      </c>
      <c r="C201" s="42" t="str">
        <f>Source!G151</f>
        <v>Вышки телескопические на автомобиле, высота до 25 м</v>
      </c>
      <c r="D201" s="61" t="str">
        <f>Source!H151</f>
        <v>маш.-ч</v>
      </c>
      <c r="E201" s="60"/>
      <c r="F201" s="44"/>
      <c r="G201" s="62">
        <f>Source!I151</f>
        <v>16</v>
      </c>
    </row>
    <row r="204" spans="1:7" ht="14.25" x14ac:dyDescent="0.2">
      <c r="A204" s="220" t="s">
        <v>852</v>
      </c>
      <c r="B204" s="220"/>
      <c r="C204" s="35" t="str">
        <f>IF(Source!AC12&lt;&gt;"", Source!AC12," ")</f>
        <v xml:space="preserve"> </v>
      </c>
      <c r="D204" s="35"/>
      <c r="E204" s="35"/>
      <c r="F204" s="35" t="str">
        <f>IF(Source!AB12&lt;&gt;"", Source!AB12," ")</f>
        <v xml:space="preserve"> </v>
      </c>
      <c r="G204" s="11"/>
    </row>
    <row r="205" spans="1:7" ht="14.25" x14ac:dyDescent="0.2">
      <c r="A205" s="11"/>
      <c r="B205" s="11"/>
      <c r="C205" s="97" t="s">
        <v>925</v>
      </c>
      <c r="D205" s="97"/>
      <c r="E205" s="97"/>
      <c r="F205" s="97"/>
      <c r="G205" s="11"/>
    </row>
    <row r="206" spans="1:7" ht="14.25" x14ac:dyDescent="0.2">
      <c r="A206" s="11"/>
      <c r="B206" s="11"/>
      <c r="C206" s="11"/>
      <c r="D206" s="11"/>
      <c r="E206" s="11"/>
      <c r="F206" s="11"/>
      <c r="G206" s="11"/>
    </row>
    <row r="207" spans="1:7" ht="14.25" x14ac:dyDescent="0.2">
      <c r="A207" s="220" t="s">
        <v>854</v>
      </c>
      <c r="B207" s="220"/>
      <c r="C207" s="35" t="str">
        <f>IF(Source!AE12&lt;&gt;"", Source!AE12," ")</f>
        <v xml:space="preserve"> </v>
      </c>
      <c r="D207" s="35"/>
      <c r="E207" s="35"/>
      <c r="F207" s="35" t="str">
        <f>IF(Source!AD12&lt;&gt;"", Source!AD12," ")</f>
        <v xml:space="preserve"> </v>
      </c>
      <c r="G207" s="11"/>
    </row>
    <row r="208" spans="1:7" ht="14.25" x14ac:dyDescent="0.2">
      <c r="A208" s="11"/>
      <c r="B208" s="11"/>
      <c r="C208" s="97" t="s">
        <v>925</v>
      </c>
      <c r="D208" s="97"/>
      <c r="E208" s="97"/>
      <c r="F208" s="97"/>
      <c r="G208" s="11"/>
    </row>
  </sheetData>
  <mergeCells count="10">
    <mergeCell ref="A204:B204"/>
    <mergeCell ref="C205:F205"/>
    <mergeCell ref="A207:B207"/>
    <mergeCell ref="C208:F208"/>
    <mergeCell ref="A3:G3"/>
    <mergeCell ref="A4:G4"/>
    <mergeCell ref="A6:G6"/>
    <mergeCell ref="A8:G8"/>
    <mergeCell ref="A9:G9"/>
    <mergeCell ref="A11:B11"/>
  </mergeCells>
  <pageMargins left="0.4" right="0.2" top="0.2" bottom="0.4" header="0.2" footer="0.2"/>
  <pageSetup paperSize="9" scale="83" fitToHeight="0" orientation="portrait" verticalDpi="0" r:id="rId1"/>
  <headerFooter>
    <oddHeader>&amp;L&amp;8</oddHead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225"/>
  <sheetViews>
    <sheetView topLeftCell="A196" workbookViewId="0">
      <selection activeCell="G13" sqref="G13"/>
    </sheetView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58847</v>
      </c>
      <c r="M1">
        <v>10</v>
      </c>
      <c r="N1">
        <v>11</v>
      </c>
      <c r="O1">
        <v>5</v>
      </c>
      <c r="P1">
        <v>1</v>
      </c>
      <c r="Q1">
        <v>0</v>
      </c>
    </row>
    <row r="12" spans="1:133" x14ac:dyDescent="0.2">
      <c r="A12" s="1">
        <v>1</v>
      </c>
      <c r="B12" s="1">
        <v>221</v>
      </c>
      <c r="C12" s="1">
        <v>0</v>
      </c>
      <c r="D12" s="1">
        <f>ROW(A186)</f>
        <v>186</v>
      </c>
      <c r="E12" s="1">
        <v>0</v>
      </c>
      <c r="F12" s="1"/>
      <c r="G12" s="1" t="s">
        <v>983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108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6</v>
      </c>
      <c r="AI12" s="1" t="s">
        <v>7</v>
      </c>
      <c r="AJ12" s="1" t="s">
        <v>8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9</v>
      </c>
      <c r="BI12" s="1" t="s">
        <v>10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11</v>
      </c>
      <c r="BZ12" s="1" t="s">
        <v>12</v>
      </c>
      <c r="CA12" s="1" t="s">
        <v>13</v>
      </c>
      <c r="CB12" s="1" t="s">
        <v>13</v>
      </c>
      <c r="CC12" s="1" t="s">
        <v>13</v>
      </c>
      <c r="CD12" s="1" t="s">
        <v>13</v>
      </c>
      <c r="CE12" s="1" t="s">
        <v>14</v>
      </c>
      <c r="CF12" s="1">
        <v>0</v>
      </c>
      <c r="CG12" s="1">
        <v>0</v>
      </c>
      <c r="CH12" s="1">
        <v>2097160</v>
      </c>
      <c r="CI12" s="1" t="s">
        <v>3</v>
      </c>
      <c r="CJ12" s="1" t="s">
        <v>3</v>
      </c>
      <c r="CK12" s="1">
        <v>2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 x14ac:dyDescent="0.2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 x14ac:dyDescent="0.2">
      <c r="A18" s="2">
        <v>52</v>
      </c>
      <c r="B18" s="2">
        <f t="shared" ref="B18:G18" si="0">B186</f>
        <v>221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/>
      </c>
      <c r="G18" s="2" t="str">
        <f t="shared" si="0"/>
        <v xml:space="preserve">Установка сплит-систем </v>
      </c>
      <c r="H18" s="2"/>
      <c r="I18" s="2"/>
      <c r="J18" s="2"/>
      <c r="K18" s="2"/>
      <c r="L18" s="2"/>
      <c r="M18" s="2"/>
      <c r="N18" s="2"/>
      <c r="O18" s="2">
        <f t="shared" ref="O18:AT18" si="1">O186</f>
        <v>2465176.85</v>
      </c>
      <c r="P18" s="2">
        <f t="shared" si="1"/>
        <v>2067880.58</v>
      </c>
      <c r="Q18" s="2">
        <f t="shared" si="1"/>
        <v>28458.41</v>
      </c>
      <c r="R18" s="2">
        <f t="shared" si="1"/>
        <v>16575.580000000002</v>
      </c>
      <c r="S18" s="2">
        <f t="shared" si="1"/>
        <v>368837.86</v>
      </c>
      <c r="T18" s="2">
        <f t="shared" si="1"/>
        <v>0</v>
      </c>
      <c r="U18" s="2">
        <f t="shared" si="1"/>
        <v>1439.7210702999998</v>
      </c>
      <c r="V18" s="2">
        <f t="shared" si="1"/>
        <v>0</v>
      </c>
      <c r="W18" s="2">
        <f t="shared" si="1"/>
        <v>0</v>
      </c>
      <c r="X18" s="2">
        <f t="shared" si="1"/>
        <v>258186.53</v>
      </c>
      <c r="Y18" s="2">
        <f t="shared" si="1"/>
        <v>36883.82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2778148.82</v>
      </c>
      <c r="AS18" s="2">
        <f t="shared" si="1"/>
        <v>0</v>
      </c>
      <c r="AT18" s="2">
        <f t="shared" si="1"/>
        <v>0</v>
      </c>
      <c r="AU18" s="2">
        <f t="shared" ref="AU18:BZ18" si="2">AU186</f>
        <v>2778148.82</v>
      </c>
      <c r="AV18" s="2">
        <f t="shared" si="2"/>
        <v>2067880.58</v>
      </c>
      <c r="AW18" s="2">
        <f t="shared" si="2"/>
        <v>2067880.58</v>
      </c>
      <c r="AX18" s="2">
        <f t="shared" si="2"/>
        <v>0</v>
      </c>
      <c r="AY18" s="2">
        <f t="shared" si="2"/>
        <v>2067880.58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CA186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DG186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EM186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FS186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 x14ac:dyDescent="0.2">
      <c r="A20" s="1">
        <v>3</v>
      </c>
      <c r="B20" s="1">
        <v>1</v>
      </c>
      <c r="C20" s="1"/>
      <c r="D20" s="1">
        <f>ROW(A156)</f>
        <v>156</v>
      </c>
      <c r="E20" s="1"/>
      <c r="F20" s="1" t="s">
        <v>15</v>
      </c>
      <c r="G20" s="1" t="s">
        <v>16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 x14ac:dyDescent="0.2">
      <c r="A22" s="2">
        <v>52</v>
      </c>
      <c r="B22" s="2">
        <f t="shared" ref="B22:G22" si="7">B156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>Новая локальная смета</v>
      </c>
      <c r="G22" s="2" t="str">
        <f t="shared" si="7"/>
        <v>Установка сплит-систем</v>
      </c>
      <c r="H22" s="2"/>
      <c r="I22" s="2"/>
      <c r="J22" s="2"/>
      <c r="K22" s="2"/>
      <c r="L22" s="2"/>
      <c r="M22" s="2"/>
      <c r="N22" s="2"/>
      <c r="O22" s="2">
        <f t="shared" ref="O22:AT22" si="8">O156</f>
        <v>2465176.85</v>
      </c>
      <c r="P22" s="2">
        <f t="shared" si="8"/>
        <v>2067880.58</v>
      </c>
      <c r="Q22" s="2">
        <f t="shared" si="8"/>
        <v>28458.41</v>
      </c>
      <c r="R22" s="2">
        <f t="shared" si="8"/>
        <v>16575.580000000002</v>
      </c>
      <c r="S22" s="2">
        <f t="shared" si="8"/>
        <v>368837.86</v>
      </c>
      <c r="T22" s="2">
        <f t="shared" si="8"/>
        <v>0</v>
      </c>
      <c r="U22" s="2">
        <f t="shared" si="8"/>
        <v>1439.7210702999998</v>
      </c>
      <c r="V22" s="2">
        <f t="shared" si="8"/>
        <v>0</v>
      </c>
      <c r="W22" s="2">
        <f t="shared" si="8"/>
        <v>0</v>
      </c>
      <c r="X22" s="2">
        <f t="shared" si="8"/>
        <v>258186.53</v>
      </c>
      <c r="Y22" s="2">
        <f t="shared" si="8"/>
        <v>36883.82</v>
      </c>
      <c r="Z22" s="2">
        <f t="shared" si="8"/>
        <v>0</v>
      </c>
      <c r="AA22" s="2">
        <f t="shared" si="8"/>
        <v>0</v>
      </c>
      <c r="AB22" s="2">
        <f t="shared" si="8"/>
        <v>2465176.85</v>
      </c>
      <c r="AC22" s="2">
        <f t="shared" si="8"/>
        <v>2067880.58</v>
      </c>
      <c r="AD22" s="2">
        <f t="shared" si="8"/>
        <v>28458.41</v>
      </c>
      <c r="AE22" s="2">
        <f t="shared" si="8"/>
        <v>16575.580000000002</v>
      </c>
      <c r="AF22" s="2">
        <f t="shared" si="8"/>
        <v>368837.86</v>
      </c>
      <c r="AG22" s="2">
        <f t="shared" si="8"/>
        <v>0</v>
      </c>
      <c r="AH22" s="2">
        <f t="shared" si="8"/>
        <v>1439.7210702999998</v>
      </c>
      <c r="AI22" s="2">
        <f t="shared" si="8"/>
        <v>0</v>
      </c>
      <c r="AJ22" s="2">
        <f t="shared" si="8"/>
        <v>0</v>
      </c>
      <c r="AK22" s="2">
        <f t="shared" si="8"/>
        <v>258186.53</v>
      </c>
      <c r="AL22" s="2">
        <f t="shared" si="8"/>
        <v>36883.82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2778148.82</v>
      </c>
      <c r="AS22" s="2">
        <f t="shared" si="8"/>
        <v>0</v>
      </c>
      <c r="AT22" s="2">
        <f t="shared" si="8"/>
        <v>0</v>
      </c>
      <c r="AU22" s="2">
        <f t="shared" ref="AU22:BZ22" si="9">AU156</f>
        <v>2778148.82</v>
      </c>
      <c r="AV22" s="2">
        <f t="shared" si="9"/>
        <v>2067880.58</v>
      </c>
      <c r="AW22" s="2">
        <f t="shared" si="9"/>
        <v>2067880.58</v>
      </c>
      <c r="AX22" s="2">
        <f t="shared" si="9"/>
        <v>0</v>
      </c>
      <c r="AY22" s="2">
        <f t="shared" si="9"/>
        <v>2067880.58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CA156</f>
        <v>2778148.82</v>
      </c>
      <c r="CB22" s="2">
        <f t="shared" si="10"/>
        <v>0</v>
      </c>
      <c r="CC22" s="2">
        <f t="shared" si="10"/>
        <v>0</v>
      </c>
      <c r="CD22" s="2">
        <f t="shared" si="10"/>
        <v>2778148.82</v>
      </c>
      <c r="CE22" s="2">
        <f t="shared" si="10"/>
        <v>2067880.58</v>
      </c>
      <c r="CF22" s="2">
        <f t="shared" si="10"/>
        <v>2067880.58</v>
      </c>
      <c r="CG22" s="2">
        <f t="shared" si="10"/>
        <v>0</v>
      </c>
      <c r="CH22" s="2">
        <f t="shared" si="10"/>
        <v>2067880.58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DG156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EM156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FS156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 x14ac:dyDescent="0.2">
      <c r="A24">
        <v>17</v>
      </c>
      <c r="B24">
        <v>1</v>
      </c>
      <c r="C24">
        <f>ROW(SmtRes!A5)</f>
        <v>5</v>
      </c>
      <c r="D24">
        <f>ROW(EtalonRes!A5)</f>
        <v>5</v>
      </c>
      <c r="E24" t="s">
        <v>17</v>
      </c>
      <c r="F24" t="s">
        <v>18</v>
      </c>
      <c r="G24" t="s">
        <v>19</v>
      </c>
      <c r="H24" t="s">
        <v>20</v>
      </c>
      <c r="I24">
        <v>23</v>
      </c>
      <c r="J24">
        <v>0</v>
      </c>
      <c r="K24">
        <v>23</v>
      </c>
      <c r="O24">
        <f t="shared" ref="O24:O55" si="14">ROUND(CP24,2)</f>
        <v>61815.49</v>
      </c>
      <c r="P24">
        <f t="shared" ref="P24:P55" si="15">ROUND(CQ24*I24,2)</f>
        <v>698.51</v>
      </c>
      <c r="Q24">
        <f t="shared" ref="Q24:Q55" si="16">ROUND(CR24*I24,2)</f>
        <v>63.25</v>
      </c>
      <c r="R24">
        <f t="shared" ref="R24:R55" si="17">ROUND(CS24*I24,2)</f>
        <v>5.98</v>
      </c>
      <c r="S24">
        <f t="shared" ref="S24:S55" si="18">ROUND(CT24*I24,2)</f>
        <v>61053.73</v>
      </c>
      <c r="T24">
        <f t="shared" ref="T24:T55" si="19">ROUND(CU24*I24,2)</f>
        <v>0</v>
      </c>
      <c r="U24">
        <f t="shared" ref="U24:U55" si="20">CV24*I24</f>
        <v>239.66</v>
      </c>
      <c r="V24">
        <f t="shared" ref="V24:V55" si="21">CW24*I24</f>
        <v>0</v>
      </c>
      <c r="W24">
        <f t="shared" ref="W24:W55" si="22">ROUND(CX24*I24,2)</f>
        <v>0</v>
      </c>
      <c r="X24">
        <f t="shared" ref="X24:X55" si="23">ROUND(CY24,2)</f>
        <v>42737.61</v>
      </c>
      <c r="Y24">
        <f t="shared" ref="Y24:Y55" si="24">ROUND(CZ24,2)</f>
        <v>6105.37</v>
      </c>
      <c r="AA24">
        <v>43095088</v>
      </c>
      <c r="AB24">
        <f t="shared" ref="AB24:AB55" si="25">ROUND((AC24+AD24+AF24),6)</f>
        <v>2687.63</v>
      </c>
      <c r="AC24">
        <f t="shared" ref="AC24:AC55" si="26">ROUND((ES24),6)</f>
        <v>30.37</v>
      </c>
      <c r="AD24">
        <f t="shared" ref="AD24:AD55" si="27">ROUND((((ET24)-(EU24))+AE24),6)</f>
        <v>2.75</v>
      </c>
      <c r="AE24">
        <f t="shared" ref="AE24:AE55" si="28">ROUND((EU24),6)</f>
        <v>0.26</v>
      </c>
      <c r="AF24">
        <f t="shared" ref="AF24:AF55" si="29">ROUND((EV24),6)</f>
        <v>2654.51</v>
      </c>
      <c r="AG24">
        <f t="shared" ref="AG24:AG55" si="30">ROUND((AP24),6)</f>
        <v>0</v>
      </c>
      <c r="AH24">
        <f t="shared" ref="AH24:AH55" si="31">(EW24)</f>
        <v>10.42</v>
      </c>
      <c r="AI24">
        <f t="shared" ref="AI24:AI55" si="32">(EX24)</f>
        <v>0</v>
      </c>
      <c r="AJ24">
        <f t="shared" ref="AJ24:AJ55" si="33">(AS24)</f>
        <v>0</v>
      </c>
      <c r="AK24">
        <v>2687.63</v>
      </c>
      <c r="AL24">
        <v>30.37</v>
      </c>
      <c r="AM24">
        <v>2.75</v>
      </c>
      <c r="AN24">
        <v>0.26</v>
      </c>
      <c r="AO24">
        <v>2654.51</v>
      </c>
      <c r="AP24">
        <v>0</v>
      </c>
      <c r="AQ24">
        <v>10.42</v>
      </c>
      <c r="AR24">
        <v>0</v>
      </c>
      <c r="AS24">
        <v>0</v>
      </c>
      <c r="AT24">
        <v>70</v>
      </c>
      <c r="AU24">
        <v>10</v>
      </c>
      <c r="AV24">
        <v>1</v>
      </c>
      <c r="AW24">
        <v>1</v>
      </c>
      <c r="AZ24">
        <v>1</v>
      </c>
      <c r="BA24">
        <v>1</v>
      </c>
      <c r="BB24">
        <v>1</v>
      </c>
      <c r="BC24">
        <v>1</v>
      </c>
      <c r="BD24" t="s">
        <v>3</v>
      </c>
      <c r="BE24" t="s">
        <v>3</v>
      </c>
      <c r="BF24" t="s">
        <v>3</v>
      </c>
      <c r="BG24" t="s">
        <v>3</v>
      </c>
      <c r="BH24">
        <v>0</v>
      </c>
      <c r="BI24">
        <v>4</v>
      </c>
      <c r="BJ24" t="s">
        <v>21</v>
      </c>
      <c r="BM24">
        <v>0</v>
      </c>
      <c r="BN24">
        <v>0</v>
      </c>
      <c r="BO24" t="s">
        <v>3</v>
      </c>
      <c r="BP24">
        <v>0</v>
      </c>
      <c r="BQ24">
        <v>1</v>
      </c>
      <c r="BR24">
        <v>0</v>
      </c>
      <c r="BS24">
        <v>1</v>
      </c>
      <c r="BT24">
        <v>1</v>
      </c>
      <c r="BU24">
        <v>1</v>
      </c>
      <c r="BV24">
        <v>1</v>
      </c>
      <c r="BW24">
        <v>1</v>
      </c>
      <c r="BX24">
        <v>1</v>
      </c>
      <c r="BY24" t="s">
        <v>3</v>
      </c>
      <c r="BZ24">
        <v>70</v>
      </c>
      <c r="CA24">
        <v>10</v>
      </c>
      <c r="CB24" t="s">
        <v>3</v>
      </c>
      <c r="CE24">
        <v>0</v>
      </c>
      <c r="CF24">
        <v>0</v>
      </c>
      <c r="CG24">
        <v>0</v>
      </c>
      <c r="CM24">
        <v>0</v>
      </c>
      <c r="CN24" t="s">
        <v>3</v>
      </c>
      <c r="CO24">
        <v>0</v>
      </c>
      <c r="CP24">
        <f t="shared" ref="CP24:CP55" si="34">(P24+Q24+S24)</f>
        <v>61815.490000000005</v>
      </c>
      <c r="CQ24">
        <f t="shared" ref="CQ24:CQ55" si="35">(AC24*BC24*AW24)</f>
        <v>30.37</v>
      </c>
      <c r="CR24">
        <f t="shared" ref="CR24:CR55" si="36">((((ET24)*BB24-(EU24)*BS24)+AE24*BS24)*AV24)</f>
        <v>2.75</v>
      </c>
      <c r="CS24">
        <f t="shared" ref="CS24:CS55" si="37">(AE24*BS24*AV24)</f>
        <v>0.26</v>
      </c>
      <c r="CT24">
        <f t="shared" ref="CT24:CT55" si="38">(AF24*BA24*AV24)</f>
        <v>2654.51</v>
      </c>
      <c r="CU24">
        <f t="shared" ref="CU24:CU55" si="39">AG24</f>
        <v>0</v>
      </c>
      <c r="CV24">
        <f t="shared" ref="CV24:CV55" si="40">(AH24*AV24)</f>
        <v>10.42</v>
      </c>
      <c r="CW24">
        <f t="shared" ref="CW24:CW55" si="41">AI24</f>
        <v>0</v>
      </c>
      <c r="CX24">
        <f t="shared" ref="CX24:CX55" si="42">AJ24</f>
        <v>0</v>
      </c>
      <c r="CY24">
        <f t="shared" ref="CY24:CY55" si="43">((S24*BZ24)/100)</f>
        <v>42737.611000000004</v>
      </c>
      <c r="CZ24">
        <f t="shared" ref="CZ24:CZ55" si="44">((S24*CA24)/100)</f>
        <v>6105.3730000000005</v>
      </c>
      <c r="DC24" t="s">
        <v>3</v>
      </c>
      <c r="DD24" t="s">
        <v>3</v>
      </c>
      <c r="DE24" t="s">
        <v>3</v>
      </c>
      <c r="DF24" t="s">
        <v>3</v>
      </c>
      <c r="DG24" t="s">
        <v>3</v>
      </c>
      <c r="DH24" t="s">
        <v>3</v>
      </c>
      <c r="DI24" t="s">
        <v>3</v>
      </c>
      <c r="DJ24" t="s">
        <v>3</v>
      </c>
      <c r="DK24" t="s">
        <v>3</v>
      </c>
      <c r="DL24" t="s">
        <v>3</v>
      </c>
      <c r="DM24" t="s">
        <v>3</v>
      </c>
      <c r="DN24">
        <v>0</v>
      </c>
      <c r="DO24">
        <v>0</v>
      </c>
      <c r="DP24">
        <v>1</v>
      </c>
      <c r="DQ24">
        <v>1</v>
      </c>
      <c r="DU24">
        <v>1010</v>
      </c>
      <c r="DV24" t="s">
        <v>20</v>
      </c>
      <c r="DW24" t="s">
        <v>20</v>
      </c>
      <c r="DX24">
        <v>1</v>
      </c>
      <c r="DZ24" t="s">
        <v>3</v>
      </c>
      <c r="EA24" t="s">
        <v>3</v>
      </c>
      <c r="EB24" t="s">
        <v>3</v>
      </c>
      <c r="EC24" t="s">
        <v>3</v>
      </c>
      <c r="EE24">
        <v>43033442</v>
      </c>
      <c r="EF24">
        <v>1</v>
      </c>
      <c r="EG24" t="s">
        <v>22</v>
      </c>
      <c r="EH24">
        <v>0</v>
      </c>
      <c r="EI24" t="s">
        <v>3</v>
      </c>
      <c r="EJ24">
        <v>4</v>
      </c>
      <c r="EK24">
        <v>0</v>
      </c>
      <c r="EL24" t="s">
        <v>23</v>
      </c>
      <c r="EM24" t="s">
        <v>24</v>
      </c>
      <c r="EO24" t="s">
        <v>3</v>
      </c>
      <c r="EQ24">
        <v>0</v>
      </c>
      <c r="ER24">
        <v>2687.63</v>
      </c>
      <c r="ES24">
        <v>30.37</v>
      </c>
      <c r="ET24">
        <v>2.75</v>
      </c>
      <c r="EU24">
        <v>0.26</v>
      </c>
      <c r="EV24">
        <v>2654.51</v>
      </c>
      <c r="EW24">
        <v>10.42</v>
      </c>
      <c r="EX24">
        <v>0</v>
      </c>
      <c r="EY24">
        <v>0</v>
      </c>
      <c r="FQ24">
        <v>0</v>
      </c>
      <c r="FR24">
        <f t="shared" ref="FR24:FR55" si="45">ROUND(IF(AND(BH24=3,BI24=3),P24,0),2)</f>
        <v>0</v>
      </c>
      <c r="FS24">
        <v>0</v>
      </c>
      <c r="FX24">
        <v>70</v>
      </c>
      <c r="FY24">
        <v>10</v>
      </c>
      <c r="GA24" t="s">
        <v>3</v>
      </c>
      <c r="GD24">
        <v>0</v>
      </c>
      <c r="GF24">
        <v>1035574266</v>
      </c>
      <c r="GG24">
        <v>2</v>
      </c>
      <c r="GH24">
        <v>1</v>
      </c>
      <c r="GI24">
        <v>-2</v>
      </c>
      <c r="GJ24">
        <v>0</v>
      </c>
      <c r="GK24">
        <f>ROUND(R24*(R12)/100,2)</f>
        <v>6.46</v>
      </c>
      <c r="GL24">
        <f t="shared" ref="GL24:GL55" si="46">ROUND(IF(AND(BH24=3,BI24=3,FS24&lt;&gt;0),P24,0),2)</f>
        <v>0</v>
      </c>
      <c r="GM24">
        <f t="shared" ref="GM24:GM55" si="47">ROUND(O24+X24+Y24+GK24,2)+GX24</f>
        <v>110664.93</v>
      </c>
      <c r="GN24">
        <f t="shared" ref="GN24:GN55" si="48">IF(OR(BI24=0,BI24=1),ROUND(O24+X24+Y24+GK24,2),0)</f>
        <v>0</v>
      </c>
      <c r="GO24">
        <f t="shared" ref="GO24:GO55" si="49">IF(BI24=2,ROUND(O24+X24+Y24+GK24,2),0)</f>
        <v>0</v>
      </c>
      <c r="GP24">
        <f t="shared" ref="GP24:GP55" si="50">IF(BI24=4,ROUND(O24+X24+Y24+GK24,2)+GX24,0)</f>
        <v>110664.93</v>
      </c>
      <c r="GR24">
        <v>0</v>
      </c>
      <c r="GS24">
        <v>3</v>
      </c>
      <c r="GT24">
        <v>0</v>
      </c>
      <c r="GU24" t="s">
        <v>3</v>
      </c>
      <c r="GV24">
        <f t="shared" ref="GV24:GV55" si="51">ROUND((GT24),6)</f>
        <v>0</v>
      </c>
      <c r="GW24">
        <v>1</v>
      </c>
      <c r="GX24">
        <f t="shared" ref="GX24:GX55" si="52">ROUND(HC24*I24,2)</f>
        <v>0</v>
      </c>
      <c r="HA24">
        <v>0</v>
      </c>
      <c r="HB24">
        <v>0</v>
      </c>
      <c r="HC24">
        <f t="shared" ref="HC24:HC55" si="53">GV24*GW24</f>
        <v>0</v>
      </c>
      <c r="HE24" t="s">
        <v>3</v>
      </c>
      <c r="HF24" t="s">
        <v>3</v>
      </c>
      <c r="HM24" t="s">
        <v>3</v>
      </c>
      <c r="HN24" t="s">
        <v>3</v>
      </c>
      <c r="HO24" t="s">
        <v>3</v>
      </c>
      <c r="HP24" t="s">
        <v>3</v>
      </c>
      <c r="HQ24" t="s">
        <v>3</v>
      </c>
      <c r="IK24">
        <v>0</v>
      </c>
    </row>
    <row r="25" spans="1:245" x14ac:dyDescent="0.2">
      <c r="A25">
        <v>17</v>
      </c>
      <c r="B25">
        <v>1</v>
      </c>
      <c r="C25">
        <f>ROW(SmtRes!A10)</f>
        <v>10</v>
      </c>
      <c r="D25">
        <f>ROW(EtalonRes!A10)</f>
        <v>10</v>
      </c>
      <c r="E25" t="s">
        <v>25</v>
      </c>
      <c r="F25" t="s">
        <v>26</v>
      </c>
      <c r="G25" t="s">
        <v>27</v>
      </c>
      <c r="H25" t="s">
        <v>20</v>
      </c>
      <c r="I25">
        <v>3</v>
      </c>
      <c r="J25">
        <v>0</v>
      </c>
      <c r="K25">
        <v>3</v>
      </c>
      <c r="O25">
        <f t="shared" si="14"/>
        <v>10979.7</v>
      </c>
      <c r="P25">
        <f t="shared" si="15"/>
        <v>91.11</v>
      </c>
      <c r="Q25">
        <f t="shared" si="16"/>
        <v>8.25</v>
      </c>
      <c r="R25">
        <f t="shared" si="17"/>
        <v>0.78</v>
      </c>
      <c r="S25">
        <f t="shared" si="18"/>
        <v>10880.34</v>
      </c>
      <c r="T25">
        <f t="shared" si="19"/>
        <v>0</v>
      </c>
      <c r="U25">
        <f t="shared" si="20"/>
        <v>42.660000000000004</v>
      </c>
      <c r="V25">
        <f t="shared" si="21"/>
        <v>0</v>
      </c>
      <c r="W25">
        <f t="shared" si="22"/>
        <v>0</v>
      </c>
      <c r="X25">
        <f t="shared" si="23"/>
        <v>7616.24</v>
      </c>
      <c r="Y25">
        <f t="shared" si="24"/>
        <v>1088.03</v>
      </c>
      <c r="AA25">
        <v>43095088</v>
      </c>
      <c r="AB25">
        <f t="shared" si="25"/>
        <v>3659.9</v>
      </c>
      <c r="AC25">
        <f t="shared" si="26"/>
        <v>30.37</v>
      </c>
      <c r="AD25">
        <f t="shared" si="27"/>
        <v>2.75</v>
      </c>
      <c r="AE25">
        <f t="shared" si="28"/>
        <v>0.26</v>
      </c>
      <c r="AF25">
        <f t="shared" si="29"/>
        <v>3626.78</v>
      </c>
      <c r="AG25">
        <f t="shared" si="30"/>
        <v>0</v>
      </c>
      <c r="AH25">
        <f t="shared" si="31"/>
        <v>14.22</v>
      </c>
      <c r="AI25">
        <f t="shared" si="32"/>
        <v>0</v>
      </c>
      <c r="AJ25">
        <f t="shared" si="33"/>
        <v>0</v>
      </c>
      <c r="AK25">
        <v>3659.9</v>
      </c>
      <c r="AL25">
        <v>30.37</v>
      </c>
      <c r="AM25">
        <v>2.75</v>
      </c>
      <c r="AN25">
        <v>0.26</v>
      </c>
      <c r="AO25">
        <v>3626.78</v>
      </c>
      <c r="AP25">
        <v>0</v>
      </c>
      <c r="AQ25">
        <v>14.22</v>
      </c>
      <c r="AR25">
        <v>0</v>
      </c>
      <c r="AS25">
        <v>0</v>
      </c>
      <c r="AT25">
        <v>70</v>
      </c>
      <c r="AU25">
        <v>10</v>
      </c>
      <c r="AV25">
        <v>1</v>
      </c>
      <c r="AW25">
        <v>1</v>
      </c>
      <c r="AZ25">
        <v>1</v>
      </c>
      <c r="BA25">
        <v>1</v>
      </c>
      <c r="BB25">
        <v>1</v>
      </c>
      <c r="BC25">
        <v>1</v>
      </c>
      <c r="BD25" t="s">
        <v>3</v>
      </c>
      <c r="BE25" t="s">
        <v>3</v>
      </c>
      <c r="BF25" t="s">
        <v>3</v>
      </c>
      <c r="BG25" t="s">
        <v>3</v>
      </c>
      <c r="BH25">
        <v>0</v>
      </c>
      <c r="BI25">
        <v>4</v>
      </c>
      <c r="BJ25" t="s">
        <v>28</v>
      </c>
      <c r="BM25">
        <v>0</v>
      </c>
      <c r="BN25">
        <v>0</v>
      </c>
      <c r="BO25" t="s">
        <v>3</v>
      </c>
      <c r="BP25">
        <v>0</v>
      </c>
      <c r="BQ25">
        <v>1</v>
      </c>
      <c r="BR25">
        <v>0</v>
      </c>
      <c r="BS25">
        <v>1</v>
      </c>
      <c r="BT25">
        <v>1</v>
      </c>
      <c r="BU25">
        <v>1</v>
      </c>
      <c r="BV25">
        <v>1</v>
      </c>
      <c r="BW25">
        <v>1</v>
      </c>
      <c r="BX25">
        <v>1</v>
      </c>
      <c r="BY25" t="s">
        <v>3</v>
      </c>
      <c r="BZ25">
        <v>70</v>
      </c>
      <c r="CA25">
        <v>10</v>
      </c>
      <c r="CB25" t="s">
        <v>3</v>
      </c>
      <c r="CE25">
        <v>0</v>
      </c>
      <c r="CF25">
        <v>0</v>
      </c>
      <c r="CG25">
        <v>0</v>
      </c>
      <c r="CM25">
        <v>0</v>
      </c>
      <c r="CN25" t="s">
        <v>3</v>
      </c>
      <c r="CO25">
        <v>0</v>
      </c>
      <c r="CP25">
        <f t="shared" si="34"/>
        <v>10979.7</v>
      </c>
      <c r="CQ25">
        <f t="shared" si="35"/>
        <v>30.37</v>
      </c>
      <c r="CR25">
        <f t="shared" si="36"/>
        <v>2.75</v>
      </c>
      <c r="CS25">
        <f t="shared" si="37"/>
        <v>0.26</v>
      </c>
      <c r="CT25">
        <f t="shared" si="38"/>
        <v>3626.78</v>
      </c>
      <c r="CU25">
        <f t="shared" si="39"/>
        <v>0</v>
      </c>
      <c r="CV25">
        <f t="shared" si="40"/>
        <v>14.22</v>
      </c>
      <c r="CW25">
        <f t="shared" si="41"/>
        <v>0</v>
      </c>
      <c r="CX25">
        <f t="shared" si="42"/>
        <v>0</v>
      </c>
      <c r="CY25">
        <f t="shared" si="43"/>
        <v>7616.2380000000003</v>
      </c>
      <c r="CZ25">
        <f t="shared" si="44"/>
        <v>1088.0339999999999</v>
      </c>
      <c r="DC25" t="s">
        <v>3</v>
      </c>
      <c r="DD25" t="s">
        <v>3</v>
      </c>
      <c r="DE25" t="s">
        <v>3</v>
      </c>
      <c r="DF25" t="s">
        <v>3</v>
      </c>
      <c r="DG25" t="s">
        <v>3</v>
      </c>
      <c r="DH25" t="s">
        <v>3</v>
      </c>
      <c r="DI25" t="s">
        <v>3</v>
      </c>
      <c r="DJ25" t="s">
        <v>3</v>
      </c>
      <c r="DK25" t="s">
        <v>3</v>
      </c>
      <c r="DL25" t="s">
        <v>3</v>
      </c>
      <c r="DM25" t="s">
        <v>3</v>
      </c>
      <c r="DN25">
        <v>0</v>
      </c>
      <c r="DO25">
        <v>0</v>
      </c>
      <c r="DP25">
        <v>1</v>
      </c>
      <c r="DQ25">
        <v>1</v>
      </c>
      <c r="DU25">
        <v>1010</v>
      </c>
      <c r="DV25" t="s">
        <v>20</v>
      </c>
      <c r="DW25" t="s">
        <v>20</v>
      </c>
      <c r="DX25">
        <v>1</v>
      </c>
      <c r="DZ25" t="s">
        <v>3</v>
      </c>
      <c r="EA25" t="s">
        <v>3</v>
      </c>
      <c r="EB25" t="s">
        <v>3</v>
      </c>
      <c r="EC25" t="s">
        <v>3</v>
      </c>
      <c r="EE25">
        <v>43033442</v>
      </c>
      <c r="EF25">
        <v>1</v>
      </c>
      <c r="EG25" t="s">
        <v>22</v>
      </c>
      <c r="EH25">
        <v>0</v>
      </c>
      <c r="EI25" t="s">
        <v>3</v>
      </c>
      <c r="EJ25">
        <v>4</v>
      </c>
      <c r="EK25">
        <v>0</v>
      </c>
      <c r="EL25" t="s">
        <v>23</v>
      </c>
      <c r="EM25" t="s">
        <v>24</v>
      </c>
      <c r="EO25" t="s">
        <v>3</v>
      </c>
      <c r="EQ25">
        <v>0</v>
      </c>
      <c r="ER25">
        <v>3659.9</v>
      </c>
      <c r="ES25">
        <v>30.37</v>
      </c>
      <c r="ET25">
        <v>2.75</v>
      </c>
      <c r="EU25">
        <v>0.26</v>
      </c>
      <c r="EV25">
        <v>3626.78</v>
      </c>
      <c r="EW25">
        <v>14.22</v>
      </c>
      <c r="EX25">
        <v>0</v>
      </c>
      <c r="EY25">
        <v>0</v>
      </c>
      <c r="FQ25">
        <v>0</v>
      </c>
      <c r="FR25">
        <f t="shared" si="45"/>
        <v>0</v>
      </c>
      <c r="FS25">
        <v>0</v>
      </c>
      <c r="FX25">
        <v>70</v>
      </c>
      <c r="FY25">
        <v>10</v>
      </c>
      <c r="GA25" t="s">
        <v>3</v>
      </c>
      <c r="GD25">
        <v>0</v>
      </c>
      <c r="GF25">
        <v>20537482</v>
      </c>
      <c r="GG25">
        <v>2</v>
      </c>
      <c r="GH25">
        <v>1</v>
      </c>
      <c r="GI25">
        <v>-2</v>
      </c>
      <c r="GJ25">
        <v>0</v>
      </c>
      <c r="GK25">
        <f>ROUND(R25*(R12)/100,2)</f>
        <v>0.84</v>
      </c>
      <c r="GL25">
        <f t="shared" si="46"/>
        <v>0</v>
      </c>
      <c r="GM25">
        <f t="shared" si="47"/>
        <v>19684.810000000001</v>
      </c>
      <c r="GN25">
        <f t="shared" si="48"/>
        <v>0</v>
      </c>
      <c r="GO25">
        <f t="shared" si="49"/>
        <v>0</v>
      </c>
      <c r="GP25">
        <f t="shared" si="50"/>
        <v>19684.810000000001</v>
      </c>
      <c r="GR25">
        <v>0</v>
      </c>
      <c r="GS25">
        <v>3</v>
      </c>
      <c r="GT25">
        <v>0</v>
      </c>
      <c r="GU25" t="s">
        <v>3</v>
      </c>
      <c r="GV25">
        <f t="shared" si="51"/>
        <v>0</v>
      </c>
      <c r="GW25">
        <v>1</v>
      </c>
      <c r="GX25">
        <f t="shared" si="52"/>
        <v>0</v>
      </c>
      <c r="HA25">
        <v>0</v>
      </c>
      <c r="HB25">
        <v>0</v>
      </c>
      <c r="HC25">
        <f t="shared" si="53"/>
        <v>0</v>
      </c>
      <c r="HE25" t="s">
        <v>3</v>
      </c>
      <c r="HF25" t="s">
        <v>3</v>
      </c>
      <c r="HM25" t="s">
        <v>3</v>
      </c>
      <c r="HN25" t="s">
        <v>3</v>
      </c>
      <c r="HO25" t="s">
        <v>3</v>
      </c>
      <c r="HP25" t="s">
        <v>3</v>
      </c>
      <c r="HQ25" t="s">
        <v>3</v>
      </c>
      <c r="IK25">
        <v>0</v>
      </c>
    </row>
    <row r="26" spans="1:245" x14ac:dyDescent="0.2">
      <c r="A26">
        <v>17</v>
      </c>
      <c r="B26">
        <v>1</v>
      </c>
      <c r="C26">
        <f>ROW(SmtRes!A20)</f>
        <v>20</v>
      </c>
      <c r="D26">
        <f>ROW(EtalonRes!A20)</f>
        <v>20</v>
      </c>
      <c r="E26" t="s">
        <v>29</v>
      </c>
      <c r="F26" t="s">
        <v>30</v>
      </c>
      <c r="G26" t="s">
        <v>31</v>
      </c>
      <c r="H26" t="s">
        <v>20</v>
      </c>
      <c r="I26">
        <v>23</v>
      </c>
      <c r="J26">
        <v>0</v>
      </c>
      <c r="K26">
        <v>23</v>
      </c>
      <c r="O26">
        <f t="shared" si="14"/>
        <v>107661.39</v>
      </c>
      <c r="P26">
        <f t="shared" si="15"/>
        <v>14518.52</v>
      </c>
      <c r="Q26">
        <f t="shared" si="16"/>
        <v>107.18</v>
      </c>
      <c r="R26">
        <f t="shared" si="17"/>
        <v>15.41</v>
      </c>
      <c r="S26">
        <f t="shared" si="18"/>
        <v>93035.69</v>
      </c>
      <c r="T26">
        <f t="shared" si="19"/>
        <v>0</v>
      </c>
      <c r="U26">
        <f t="shared" si="20"/>
        <v>362.94</v>
      </c>
      <c r="V26">
        <f t="shared" si="21"/>
        <v>0</v>
      </c>
      <c r="W26">
        <f t="shared" si="22"/>
        <v>0</v>
      </c>
      <c r="X26">
        <f t="shared" si="23"/>
        <v>65124.98</v>
      </c>
      <c r="Y26">
        <f t="shared" si="24"/>
        <v>9303.57</v>
      </c>
      <c r="AA26">
        <v>43095088</v>
      </c>
      <c r="AB26">
        <f t="shared" si="25"/>
        <v>4680.93</v>
      </c>
      <c r="AC26">
        <f t="shared" si="26"/>
        <v>631.24</v>
      </c>
      <c r="AD26">
        <f t="shared" si="27"/>
        <v>4.66</v>
      </c>
      <c r="AE26">
        <f t="shared" si="28"/>
        <v>0.67</v>
      </c>
      <c r="AF26">
        <f t="shared" si="29"/>
        <v>4045.03</v>
      </c>
      <c r="AG26">
        <f t="shared" si="30"/>
        <v>0</v>
      </c>
      <c r="AH26">
        <f t="shared" si="31"/>
        <v>15.78</v>
      </c>
      <c r="AI26">
        <f t="shared" si="32"/>
        <v>0</v>
      </c>
      <c r="AJ26">
        <f t="shared" si="33"/>
        <v>0</v>
      </c>
      <c r="AK26">
        <v>4680.93</v>
      </c>
      <c r="AL26">
        <v>631.24</v>
      </c>
      <c r="AM26">
        <v>4.66</v>
      </c>
      <c r="AN26">
        <v>0.67</v>
      </c>
      <c r="AO26">
        <v>4045.03</v>
      </c>
      <c r="AP26">
        <v>0</v>
      </c>
      <c r="AQ26">
        <v>15.78</v>
      </c>
      <c r="AR26">
        <v>0</v>
      </c>
      <c r="AS26">
        <v>0</v>
      </c>
      <c r="AT26">
        <v>70</v>
      </c>
      <c r="AU26">
        <v>10</v>
      </c>
      <c r="AV26">
        <v>1</v>
      </c>
      <c r="AW26">
        <v>1</v>
      </c>
      <c r="AZ26">
        <v>1</v>
      </c>
      <c r="BA26">
        <v>1</v>
      </c>
      <c r="BB26">
        <v>1</v>
      </c>
      <c r="BC26">
        <v>1</v>
      </c>
      <c r="BD26" t="s">
        <v>3</v>
      </c>
      <c r="BE26" t="s">
        <v>3</v>
      </c>
      <c r="BF26" t="s">
        <v>3</v>
      </c>
      <c r="BG26" t="s">
        <v>3</v>
      </c>
      <c r="BH26">
        <v>0</v>
      </c>
      <c r="BI26">
        <v>4</v>
      </c>
      <c r="BJ26" t="s">
        <v>32</v>
      </c>
      <c r="BM26">
        <v>0</v>
      </c>
      <c r="BN26">
        <v>0</v>
      </c>
      <c r="BO26" t="s">
        <v>3</v>
      </c>
      <c r="BP26">
        <v>0</v>
      </c>
      <c r="BQ26">
        <v>1</v>
      </c>
      <c r="BR26">
        <v>0</v>
      </c>
      <c r="BS26">
        <v>1</v>
      </c>
      <c r="BT26">
        <v>1</v>
      </c>
      <c r="BU26">
        <v>1</v>
      </c>
      <c r="BV26">
        <v>1</v>
      </c>
      <c r="BW26">
        <v>1</v>
      </c>
      <c r="BX26">
        <v>1</v>
      </c>
      <c r="BY26" t="s">
        <v>3</v>
      </c>
      <c r="BZ26">
        <v>70</v>
      </c>
      <c r="CA26">
        <v>10</v>
      </c>
      <c r="CB26" t="s">
        <v>3</v>
      </c>
      <c r="CE26">
        <v>0</v>
      </c>
      <c r="CF26">
        <v>0</v>
      </c>
      <c r="CG26">
        <v>0</v>
      </c>
      <c r="CM26">
        <v>0</v>
      </c>
      <c r="CN26" t="s">
        <v>3</v>
      </c>
      <c r="CO26">
        <v>0</v>
      </c>
      <c r="CP26">
        <f t="shared" si="34"/>
        <v>107661.39</v>
      </c>
      <c r="CQ26">
        <f t="shared" si="35"/>
        <v>631.24</v>
      </c>
      <c r="CR26">
        <f t="shared" si="36"/>
        <v>4.66</v>
      </c>
      <c r="CS26">
        <f t="shared" si="37"/>
        <v>0.67</v>
      </c>
      <c r="CT26">
        <f t="shared" si="38"/>
        <v>4045.03</v>
      </c>
      <c r="CU26">
        <f t="shared" si="39"/>
        <v>0</v>
      </c>
      <c r="CV26">
        <f t="shared" si="40"/>
        <v>15.78</v>
      </c>
      <c r="CW26">
        <f t="shared" si="41"/>
        <v>0</v>
      </c>
      <c r="CX26">
        <f t="shared" si="42"/>
        <v>0</v>
      </c>
      <c r="CY26">
        <f t="shared" si="43"/>
        <v>65124.983</v>
      </c>
      <c r="CZ26">
        <f t="shared" si="44"/>
        <v>9303.5689999999995</v>
      </c>
      <c r="DC26" t="s">
        <v>3</v>
      </c>
      <c r="DD26" t="s">
        <v>3</v>
      </c>
      <c r="DE26" t="s">
        <v>3</v>
      </c>
      <c r="DF26" t="s">
        <v>3</v>
      </c>
      <c r="DG26" t="s">
        <v>3</v>
      </c>
      <c r="DH26" t="s">
        <v>3</v>
      </c>
      <c r="DI26" t="s">
        <v>3</v>
      </c>
      <c r="DJ26" t="s">
        <v>3</v>
      </c>
      <c r="DK26" t="s">
        <v>3</v>
      </c>
      <c r="DL26" t="s">
        <v>3</v>
      </c>
      <c r="DM26" t="s">
        <v>3</v>
      </c>
      <c r="DN26">
        <v>0</v>
      </c>
      <c r="DO26">
        <v>0</v>
      </c>
      <c r="DP26">
        <v>1</v>
      </c>
      <c r="DQ26">
        <v>1</v>
      </c>
      <c r="DU26">
        <v>1010</v>
      </c>
      <c r="DV26" t="s">
        <v>20</v>
      </c>
      <c r="DW26" t="s">
        <v>20</v>
      </c>
      <c r="DX26">
        <v>1</v>
      </c>
      <c r="DZ26" t="s">
        <v>3</v>
      </c>
      <c r="EA26" t="s">
        <v>3</v>
      </c>
      <c r="EB26" t="s">
        <v>3</v>
      </c>
      <c r="EC26" t="s">
        <v>3</v>
      </c>
      <c r="EE26">
        <v>43033442</v>
      </c>
      <c r="EF26">
        <v>1</v>
      </c>
      <c r="EG26" t="s">
        <v>22</v>
      </c>
      <c r="EH26">
        <v>0</v>
      </c>
      <c r="EI26" t="s">
        <v>3</v>
      </c>
      <c r="EJ26">
        <v>4</v>
      </c>
      <c r="EK26">
        <v>0</v>
      </c>
      <c r="EL26" t="s">
        <v>23</v>
      </c>
      <c r="EM26" t="s">
        <v>24</v>
      </c>
      <c r="EO26" t="s">
        <v>3</v>
      </c>
      <c r="EQ26">
        <v>0</v>
      </c>
      <c r="ER26">
        <v>4680.93</v>
      </c>
      <c r="ES26">
        <v>631.24</v>
      </c>
      <c r="ET26">
        <v>4.66</v>
      </c>
      <c r="EU26">
        <v>0.67</v>
      </c>
      <c r="EV26">
        <v>4045.03</v>
      </c>
      <c r="EW26">
        <v>15.78</v>
      </c>
      <c r="EX26">
        <v>0</v>
      </c>
      <c r="EY26">
        <v>0</v>
      </c>
      <c r="FQ26">
        <v>0</v>
      </c>
      <c r="FR26">
        <f t="shared" si="45"/>
        <v>0</v>
      </c>
      <c r="FS26">
        <v>0</v>
      </c>
      <c r="FX26">
        <v>70</v>
      </c>
      <c r="FY26">
        <v>10</v>
      </c>
      <c r="GA26" t="s">
        <v>3</v>
      </c>
      <c r="GD26">
        <v>0</v>
      </c>
      <c r="GF26">
        <v>514413455</v>
      </c>
      <c r="GG26">
        <v>2</v>
      </c>
      <c r="GH26">
        <v>1</v>
      </c>
      <c r="GI26">
        <v>-2</v>
      </c>
      <c r="GJ26">
        <v>0</v>
      </c>
      <c r="GK26">
        <f>ROUND(R26*(R12)/100,2)</f>
        <v>16.64</v>
      </c>
      <c r="GL26">
        <f t="shared" si="46"/>
        <v>0</v>
      </c>
      <c r="GM26">
        <f t="shared" si="47"/>
        <v>182106.58</v>
      </c>
      <c r="GN26">
        <f t="shared" si="48"/>
        <v>0</v>
      </c>
      <c r="GO26">
        <f t="shared" si="49"/>
        <v>0</v>
      </c>
      <c r="GP26">
        <f t="shared" si="50"/>
        <v>182106.58</v>
      </c>
      <c r="GR26">
        <v>0</v>
      </c>
      <c r="GS26">
        <v>3</v>
      </c>
      <c r="GT26">
        <v>0</v>
      </c>
      <c r="GU26" t="s">
        <v>3</v>
      </c>
      <c r="GV26">
        <f t="shared" si="51"/>
        <v>0</v>
      </c>
      <c r="GW26">
        <v>1</v>
      </c>
      <c r="GX26">
        <f t="shared" si="52"/>
        <v>0</v>
      </c>
      <c r="HA26">
        <v>0</v>
      </c>
      <c r="HB26">
        <v>0</v>
      </c>
      <c r="HC26">
        <f t="shared" si="53"/>
        <v>0</v>
      </c>
      <c r="HE26" t="s">
        <v>3</v>
      </c>
      <c r="HF26" t="s">
        <v>3</v>
      </c>
      <c r="HM26" t="s">
        <v>3</v>
      </c>
      <c r="HN26" t="s">
        <v>3</v>
      </c>
      <c r="HO26" t="s">
        <v>3</v>
      </c>
      <c r="HP26" t="s">
        <v>3</v>
      </c>
      <c r="HQ26" t="s">
        <v>3</v>
      </c>
      <c r="IK26">
        <v>0</v>
      </c>
    </row>
    <row r="27" spans="1:245" x14ac:dyDescent="0.2">
      <c r="A27">
        <v>18</v>
      </c>
      <c r="B27">
        <v>1</v>
      </c>
      <c r="E27" t="s">
        <v>33</v>
      </c>
      <c r="F27" t="s">
        <v>34</v>
      </c>
      <c r="G27" t="s">
        <v>35</v>
      </c>
      <c r="H27" t="s">
        <v>20</v>
      </c>
      <c r="I27">
        <f>I26*J27</f>
        <v>16</v>
      </c>
      <c r="J27">
        <v>0.69565217391304346</v>
      </c>
      <c r="K27">
        <v>0.69565200000000005</v>
      </c>
      <c r="O27">
        <f t="shared" si="14"/>
        <v>719333.28</v>
      </c>
      <c r="P27">
        <f t="shared" si="15"/>
        <v>719333.28</v>
      </c>
      <c r="Q27">
        <f t="shared" si="16"/>
        <v>0</v>
      </c>
      <c r="R27">
        <f t="shared" si="17"/>
        <v>0</v>
      </c>
      <c r="S27">
        <f t="shared" si="18"/>
        <v>0</v>
      </c>
      <c r="T27">
        <f t="shared" si="19"/>
        <v>0</v>
      </c>
      <c r="U27">
        <f t="shared" si="20"/>
        <v>0</v>
      </c>
      <c r="V27">
        <f t="shared" si="21"/>
        <v>0</v>
      </c>
      <c r="W27">
        <f t="shared" si="22"/>
        <v>0</v>
      </c>
      <c r="X27">
        <f t="shared" si="23"/>
        <v>0</v>
      </c>
      <c r="Y27">
        <f t="shared" si="24"/>
        <v>0</v>
      </c>
      <c r="AA27">
        <v>43095088</v>
      </c>
      <c r="AB27">
        <f t="shared" si="25"/>
        <v>44958.33</v>
      </c>
      <c r="AC27">
        <f t="shared" si="26"/>
        <v>44958.33</v>
      </c>
      <c r="AD27">
        <f t="shared" si="27"/>
        <v>0</v>
      </c>
      <c r="AE27">
        <f t="shared" si="28"/>
        <v>0</v>
      </c>
      <c r="AF27">
        <f t="shared" si="29"/>
        <v>0</v>
      </c>
      <c r="AG27">
        <f t="shared" si="30"/>
        <v>0</v>
      </c>
      <c r="AH27">
        <f t="shared" si="31"/>
        <v>0</v>
      </c>
      <c r="AI27">
        <f t="shared" si="32"/>
        <v>0</v>
      </c>
      <c r="AJ27">
        <f t="shared" si="33"/>
        <v>0</v>
      </c>
      <c r="AK27">
        <v>44958.33</v>
      </c>
      <c r="AL27">
        <v>44958.33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70</v>
      </c>
      <c r="AU27">
        <v>10</v>
      </c>
      <c r="AV27">
        <v>1</v>
      </c>
      <c r="AW27">
        <v>1</v>
      </c>
      <c r="AZ27">
        <v>1</v>
      </c>
      <c r="BA27">
        <v>1</v>
      </c>
      <c r="BB27">
        <v>1</v>
      </c>
      <c r="BC27">
        <v>1</v>
      </c>
      <c r="BD27" t="s">
        <v>3</v>
      </c>
      <c r="BE27" t="s">
        <v>3</v>
      </c>
      <c r="BF27" t="s">
        <v>3</v>
      </c>
      <c r="BG27" t="s">
        <v>3</v>
      </c>
      <c r="BH27">
        <v>3</v>
      </c>
      <c r="BI27">
        <v>4</v>
      </c>
      <c r="BJ27" t="s">
        <v>3</v>
      </c>
      <c r="BM27">
        <v>0</v>
      </c>
      <c r="BN27">
        <v>0</v>
      </c>
      <c r="BO27" t="s">
        <v>3</v>
      </c>
      <c r="BP27">
        <v>0</v>
      </c>
      <c r="BQ27">
        <v>1</v>
      </c>
      <c r="BR27">
        <v>0</v>
      </c>
      <c r="BS27">
        <v>1</v>
      </c>
      <c r="BT27">
        <v>1</v>
      </c>
      <c r="BU27">
        <v>1</v>
      </c>
      <c r="BV27">
        <v>1</v>
      </c>
      <c r="BW27">
        <v>1</v>
      </c>
      <c r="BX27">
        <v>1</v>
      </c>
      <c r="BY27" t="s">
        <v>3</v>
      </c>
      <c r="BZ27">
        <v>70</v>
      </c>
      <c r="CA27">
        <v>10</v>
      </c>
      <c r="CB27" t="s">
        <v>3</v>
      </c>
      <c r="CE27">
        <v>0</v>
      </c>
      <c r="CF27">
        <v>0</v>
      </c>
      <c r="CG27">
        <v>0</v>
      </c>
      <c r="CM27">
        <v>0</v>
      </c>
      <c r="CN27" t="s">
        <v>3</v>
      </c>
      <c r="CO27">
        <v>0</v>
      </c>
      <c r="CP27">
        <f t="shared" si="34"/>
        <v>719333.28</v>
      </c>
      <c r="CQ27">
        <f t="shared" si="35"/>
        <v>44958.33</v>
      </c>
      <c r="CR27">
        <f t="shared" si="36"/>
        <v>0</v>
      </c>
      <c r="CS27">
        <f t="shared" si="37"/>
        <v>0</v>
      </c>
      <c r="CT27">
        <f t="shared" si="38"/>
        <v>0</v>
      </c>
      <c r="CU27">
        <f t="shared" si="39"/>
        <v>0</v>
      </c>
      <c r="CV27">
        <f t="shared" si="40"/>
        <v>0</v>
      </c>
      <c r="CW27">
        <f t="shared" si="41"/>
        <v>0</v>
      </c>
      <c r="CX27">
        <f t="shared" si="42"/>
        <v>0</v>
      </c>
      <c r="CY27">
        <f t="shared" si="43"/>
        <v>0</v>
      </c>
      <c r="CZ27">
        <f t="shared" si="44"/>
        <v>0</v>
      </c>
      <c r="DC27" t="s">
        <v>3</v>
      </c>
      <c r="DD27" t="s">
        <v>3</v>
      </c>
      <c r="DE27" t="s">
        <v>3</v>
      </c>
      <c r="DF27" t="s">
        <v>3</v>
      </c>
      <c r="DG27" t="s">
        <v>3</v>
      </c>
      <c r="DH27" t="s">
        <v>3</v>
      </c>
      <c r="DI27" t="s">
        <v>3</v>
      </c>
      <c r="DJ27" t="s">
        <v>3</v>
      </c>
      <c r="DK27" t="s">
        <v>3</v>
      </c>
      <c r="DL27" t="s">
        <v>3</v>
      </c>
      <c r="DM27" t="s">
        <v>3</v>
      </c>
      <c r="DN27">
        <v>0</v>
      </c>
      <c r="DO27">
        <v>0</v>
      </c>
      <c r="DP27">
        <v>1</v>
      </c>
      <c r="DQ27">
        <v>1</v>
      </c>
      <c r="DU27">
        <v>1010</v>
      </c>
      <c r="DV27" t="s">
        <v>20</v>
      </c>
      <c r="DW27" t="s">
        <v>20</v>
      </c>
      <c r="DX27">
        <v>1</v>
      </c>
      <c r="DZ27" t="s">
        <v>3</v>
      </c>
      <c r="EA27" t="s">
        <v>3</v>
      </c>
      <c r="EB27" t="s">
        <v>3</v>
      </c>
      <c r="EC27" t="s">
        <v>3</v>
      </c>
      <c r="EE27">
        <v>43033442</v>
      </c>
      <c r="EF27">
        <v>1</v>
      </c>
      <c r="EG27" t="s">
        <v>22</v>
      </c>
      <c r="EH27">
        <v>0</v>
      </c>
      <c r="EI27" t="s">
        <v>3</v>
      </c>
      <c r="EJ27">
        <v>4</v>
      </c>
      <c r="EK27">
        <v>0</v>
      </c>
      <c r="EL27" t="s">
        <v>23</v>
      </c>
      <c r="EM27" t="s">
        <v>24</v>
      </c>
      <c r="EO27" t="s">
        <v>3</v>
      </c>
      <c r="EQ27">
        <v>0</v>
      </c>
      <c r="ER27">
        <v>44958.33</v>
      </c>
      <c r="ES27">
        <v>44958.33</v>
      </c>
      <c r="ET27">
        <v>0</v>
      </c>
      <c r="EU27">
        <v>0</v>
      </c>
      <c r="EV27">
        <v>0</v>
      </c>
      <c r="EW27">
        <v>0</v>
      </c>
      <c r="EX27">
        <v>0</v>
      </c>
      <c r="EZ27">
        <v>5</v>
      </c>
      <c r="FC27">
        <v>1</v>
      </c>
      <c r="FD27">
        <v>18</v>
      </c>
      <c r="FF27">
        <v>53950</v>
      </c>
      <c r="FQ27">
        <v>0</v>
      </c>
      <c r="FR27">
        <f t="shared" si="45"/>
        <v>0</v>
      </c>
      <c r="FS27">
        <v>0</v>
      </c>
      <c r="FX27">
        <v>70</v>
      </c>
      <c r="FY27">
        <v>10</v>
      </c>
      <c r="GA27" t="s">
        <v>36</v>
      </c>
      <c r="GD27">
        <v>0</v>
      </c>
      <c r="GF27">
        <v>-2116019530</v>
      </c>
      <c r="GG27">
        <v>2</v>
      </c>
      <c r="GH27">
        <v>3</v>
      </c>
      <c r="GI27">
        <v>-2</v>
      </c>
      <c r="GJ27">
        <v>0</v>
      </c>
      <c r="GK27">
        <f>ROUND(R27*(R12)/100,2)</f>
        <v>0</v>
      </c>
      <c r="GL27">
        <f t="shared" si="46"/>
        <v>0</v>
      </c>
      <c r="GM27">
        <f t="shared" si="47"/>
        <v>719333.28</v>
      </c>
      <c r="GN27">
        <f t="shared" si="48"/>
        <v>0</v>
      </c>
      <c r="GO27">
        <f t="shared" si="49"/>
        <v>0</v>
      </c>
      <c r="GP27">
        <f t="shared" si="50"/>
        <v>719333.28</v>
      </c>
      <c r="GR27">
        <v>1</v>
      </c>
      <c r="GS27">
        <v>1</v>
      </c>
      <c r="GT27">
        <v>0</v>
      </c>
      <c r="GU27" t="s">
        <v>3</v>
      </c>
      <c r="GV27">
        <f t="shared" si="51"/>
        <v>0</v>
      </c>
      <c r="GW27">
        <v>1</v>
      </c>
      <c r="GX27">
        <f t="shared" si="52"/>
        <v>0</v>
      </c>
      <c r="HA27">
        <v>0</v>
      </c>
      <c r="HB27">
        <v>0</v>
      </c>
      <c r="HC27">
        <f t="shared" si="53"/>
        <v>0</v>
      </c>
      <c r="HE27" t="s">
        <v>37</v>
      </c>
      <c r="HF27" t="s">
        <v>37</v>
      </c>
      <c r="HM27" t="s">
        <v>3</v>
      </c>
      <c r="HN27" t="s">
        <v>3</v>
      </c>
      <c r="HO27" t="s">
        <v>3</v>
      </c>
      <c r="HP27" t="s">
        <v>3</v>
      </c>
      <c r="HQ27" t="s">
        <v>3</v>
      </c>
      <c r="IK27">
        <v>0</v>
      </c>
    </row>
    <row r="28" spans="1:245" x14ac:dyDescent="0.2">
      <c r="A28">
        <v>18</v>
      </c>
      <c r="B28">
        <v>1</v>
      </c>
      <c r="E28" t="s">
        <v>38</v>
      </c>
      <c r="F28" t="s">
        <v>34</v>
      </c>
      <c r="G28" t="s">
        <v>39</v>
      </c>
      <c r="H28" t="s">
        <v>20</v>
      </c>
      <c r="I28">
        <f>I26*J28</f>
        <v>7</v>
      </c>
      <c r="J28">
        <v>0.30434782608695654</v>
      </c>
      <c r="K28">
        <v>0.30434800000000001</v>
      </c>
      <c r="O28">
        <f t="shared" si="14"/>
        <v>417083.31</v>
      </c>
      <c r="P28">
        <f t="shared" si="15"/>
        <v>417083.31</v>
      </c>
      <c r="Q28">
        <f t="shared" si="16"/>
        <v>0</v>
      </c>
      <c r="R28">
        <f t="shared" si="17"/>
        <v>0</v>
      </c>
      <c r="S28">
        <f t="shared" si="18"/>
        <v>0</v>
      </c>
      <c r="T28">
        <f t="shared" si="19"/>
        <v>0</v>
      </c>
      <c r="U28">
        <f t="shared" si="20"/>
        <v>0</v>
      </c>
      <c r="V28">
        <f t="shared" si="21"/>
        <v>0</v>
      </c>
      <c r="W28">
        <f t="shared" si="22"/>
        <v>0</v>
      </c>
      <c r="X28">
        <f t="shared" si="23"/>
        <v>0</v>
      </c>
      <c r="Y28">
        <f t="shared" si="24"/>
        <v>0</v>
      </c>
      <c r="AA28">
        <v>43095088</v>
      </c>
      <c r="AB28">
        <f t="shared" si="25"/>
        <v>59583.33</v>
      </c>
      <c r="AC28">
        <f t="shared" si="26"/>
        <v>59583.33</v>
      </c>
      <c r="AD28">
        <f t="shared" si="27"/>
        <v>0</v>
      </c>
      <c r="AE28">
        <f t="shared" si="28"/>
        <v>0</v>
      </c>
      <c r="AF28">
        <f t="shared" si="29"/>
        <v>0</v>
      </c>
      <c r="AG28">
        <f t="shared" si="30"/>
        <v>0</v>
      </c>
      <c r="AH28">
        <f t="shared" si="31"/>
        <v>0</v>
      </c>
      <c r="AI28">
        <f t="shared" si="32"/>
        <v>0</v>
      </c>
      <c r="AJ28">
        <f t="shared" si="33"/>
        <v>0</v>
      </c>
      <c r="AK28">
        <v>59583.33</v>
      </c>
      <c r="AL28">
        <v>59583.33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70</v>
      </c>
      <c r="AU28">
        <v>10</v>
      </c>
      <c r="AV28">
        <v>1</v>
      </c>
      <c r="AW28">
        <v>1</v>
      </c>
      <c r="AZ28">
        <v>1</v>
      </c>
      <c r="BA28">
        <v>1</v>
      </c>
      <c r="BB28">
        <v>1</v>
      </c>
      <c r="BC28">
        <v>1</v>
      </c>
      <c r="BD28" t="s">
        <v>3</v>
      </c>
      <c r="BE28" t="s">
        <v>3</v>
      </c>
      <c r="BF28" t="s">
        <v>3</v>
      </c>
      <c r="BG28" t="s">
        <v>3</v>
      </c>
      <c r="BH28">
        <v>3</v>
      </c>
      <c r="BI28">
        <v>4</v>
      </c>
      <c r="BJ28" t="s">
        <v>3</v>
      </c>
      <c r="BM28">
        <v>0</v>
      </c>
      <c r="BN28">
        <v>0</v>
      </c>
      <c r="BO28" t="s">
        <v>3</v>
      </c>
      <c r="BP28">
        <v>0</v>
      </c>
      <c r="BQ28">
        <v>1</v>
      </c>
      <c r="BR28">
        <v>0</v>
      </c>
      <c r="BS28">
        <v>1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70</v>
      </c>
      <c r="CA28">
        <v>10</v>
      </c>
      <c r="CB28" t="s">
        <v>3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 t="shared" si="34"/>
        <v>417083.31</v>
      </c>
      <c r="CQ28">
        <f t="shared" si="35"/>
        <v>59583.33</v>
      </c>
      <c r="CR28">
        <f t="shared" si="36"/>
        <v>0</v>
      </c>
      <c r="CS28">
        <f t="shared" si="37"/>
        <v>0</v>
      </c>
      <c r="CT28">
        <f t="shared" si="38"/>
        <v>0</v>
      </c>
      <c r="CU28">
        <f t="shared" si="39"/>
        <v>0</v>
      </c>
      <c r="CV28">
        <f t="shared" si="40"/>
        <v>0</v>
      </c>
      <c r="CW28">
        <f t="shared" si="41"/>
        <v>0</v>
      </c>
      <c r="CX28">
        <f t="shared" si="42"/>
        <v>0</v>
      </c>
      <c r="CY28">
        <f t="shared" si="43"/>
        <v>0</v>
      </c>
      <c r="CZ28">
        <f t="shared" si="44"/>
        <v>0</v>
      </c>
      <c r="DC28" t="s">
        <v>3</v>
      </c>
      <c r="DD28" t="s">
        <v>3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1010</v>
      </c>
      <c r="DV28" t="s">
        <v>20</v>
      </c>
      <c r="DW28" t="s">
        <v>20</v>
      </c>
      <c r="DX28">
        <v>1</v>
      </c>
      <c r="DZ28" t="s">
        <v>3</v>
      </c>
      <c r="EA28" t="s">
        <v>3</v>
      </c>
      <c r="EB28" t="s">
        <v>3</v>
      </c>
      <c r="EC28" t="s">
        <v>3</v>
      </c>
      <c r="EE28">
        <v>43033442</v>
      </c>
      <c r="EF28">
        <v>1</v>
      </c>
      <c r="EG28" t="s">
        <v>22</v>
      </c>
      <c r="EH28">
        <v>0</v>
      </c>
      <c r="EI28" t="s">
        <v>3</v>
      </c>
      <c r="EJ28">
        <v>4</v>
      </c>
      <c r="EK28">
        <v>0</v>
      </c>
      <c r="EL28" t="s">
        <v>23</v>
      </c>
      <c r="EM28" t="s">
        <v>24</v>
      </c>
      <c r="EO28" t="s">
        <v>3</v>
      </c>
      <c r="EQ28">
        <v>0</v>
      </c>
      <c r="ER28">
        <v>59583.33</v>
      </c>
      <c r="ES28">
        <v>59583.33</v>
      </c>
      <c r="ET28">
        <v>0</v>
      </c>
      <c r="EU28">
        <v>0</v>
      </c>
      <c r="EV28">
        <v>0</v>
      </c>
      <c r="EW28">
        <v>0</v>
      </c>
      <c r="EX28">
        <v>0</v>
      </c>
      <c r="EZ28">
        <v>5</v>
      </c>
      <c r="FC28">
        <v>1</v>
      </c>
      <c r="FD28">
        <v>18</v>
      </c>
      <c r="FF28">
        <v>71500</v>
      </c>
      <c r="FQ28">
        <v>0</v>
      </c>
      <c r="FR28">
        <f t="shared" si="45"/>
        <v>0</v>
      </c>
      <c r="FS28">
        <v>0</v>
      </c>
      <c r="FX28">
        <v>70</v>
      </c>
      <c r="FY28">
        <v>10</v>
      </c>
      <c r="GA28" t="s">
        <v>40</v>
      </c>
      <c r="GD28">
        <v>0</v>
      </c>
      <c r="GF28">
        <v>-1160167481</v>
      </c>
      <c r="GG28">
        <v>2</v>
      </c>
      <c r="GH28">
        <v>3</v>
      </c>
      <c r="GI28">
        <v>-2</v>
      </c>
      <c r="GJ28">
        <v>0</v>
      </c>
      <c r="GK28">
        <f>ROUND(R28*(R12)/100,2)</f>
        <v>0</v>
      </c>
      <c r="GL28">
        <f t="shared" si="46"/>
        <v>0</v>
      </c>
      <c r="GM28">
        <f t="shared" si="47"/>
        <v>417083.31</v>
      </c>
      <c r="GN28">
        <f t="shared" si="48"/>
        <v>0</v>
      </c>
      <c r="GO28">
        <f t="shared" si="49"/>
        <v>0</v>
      </c>
      <c r="GP28">
        <f t="shared" si="50"/>
        <v>417083.31</v>
      </c>
      <c r="GR28">
        <v>1</v>
      </c>
      <c r="GS28">
        <v>1</v>
      </c>
      <c r="GT28">
        <v>0</v>
      </c>
      <c r="GU28" t="s">
        <v>3</v>
      </c>
      <c r="GV28">
        <f t="shared" si="51"/>
        <v>0</v>
      </c>
      <c r="GW28">
        <v>1</v>
      </c>
      <c r="GX28">
        <f t="shared" si="52"/>
        <v>0</v>
      </c>
      <c r="HA28">
        <v>0</v>
      </c>
      <c r="HB28">
        <v>0</v>
      </c>
      <c r="HC28">
        <f t="shared" si="53"/>
        <v>0</v>
      </c>
      <c r="HE28" t="s">
        <v>37</v>
      </c>
      <c r="HF28" t="s">
        <v>37</v>
      </c>
      <c r="HM28" t="s">
        <v>3</v>
      </c>
      <c r="HN28" t="s">
        <v>3</v>
      </c>
      <c r="HO28" t="s">
        <v>3</v>
      </c>
      <c r="HP28" t="s">
        <v>3</v>
      </c>
      <c r="HQ28" t="s">
        <v>3</v>
      </c>
      <c r="IK28">
        <v>0</v>
      </c>
    </row>
    <row r="29" spans="1:245" x14ac:dyDescent="0.2">
      <c r="A29">
        <v>18</v>
      </c>
      <c r="B29">
        <v>1</v>
      </c>
      <c r="E29" t="s">
        <v>41</v>
      </c>
      <c r="F29" t="s">
        <v>34</v>
      </c>
      <c r="G29" t="s">
        <v>42</v>
      </c>
      <c r="H29" t="s">
        <v>20</v>
      </c>
      <c r="I29">
        <f>I26*J29</f>
        <v>0</v>
      </c>
      <c r="J29">
        <v>0</v>
      </c>
      <c r="K29">
        <v>0</v>
      </c>
      <c r="O29">
        <f t="shared" si="14"/>
        <v>0</v>
      </c>
      <c r="P29">
        <f t="shared" si="15"/>
        <v>0</v>
      </c>
      <c r="Q29">
        <f t="shared" si="16"/>
        <v>0</v>
      </c>
      <c r="R29">
        <f t="shared" si="17"/>
        <v>0</v>
      </c>
      <c r="S29">
        <f t="shared" si="18"/>
        <v>0</v>
      </c>
      <c r="T29">
        <f t="shared" si="19"/>
        <v>0</v>
      </c>
      <c r="U29">
        <f t="shared" si="20"/>
        <v>0</v>
      </c>
      <c r="V29">
        <f t="shared" si="21"/>
        <v>0</v>
      </c>
      <c r="W29">
        <f t="shared" si="22"/>
        <v>0</v>
      </c>
      <c r="X29">
        <f t="shared" si="23"/>
        <v>0</v>
      </c>
      <c r="Y29">
        <f t="shared" si="24"/>
        <v>0</v>
      </c>
      <c r="AA29">
        <v>43095088</v>
      </c>
      <c r="AB29">
        <f t="shared" si="25"/>
        <v>2291.67</v>
      </c>
      <c r="AC29">
        <f t="shared" si="26"/>
        <v>2291.67</v>
      </c>
      <c r="AD29">
        <f t="shared" si="27"/>
        <v>0</v>
      </c>
      <c r="AE29">
        <f t="shared" si="28"/>
        <v>0</v>
      </c>
      <c r="AF29">
        <f t="shared" si="29"/>
        <v>0</v>
      </c>
      <c r="AG29">
        <f t="shared" si="30"/>
        <v>0</v>
      </c>
      <c r="AH29">
        <f t="shared" si="31"/>
        <v>0</v>
      </c>
      <c r="AI29">
        <f t="shared" si="32"/>
        <v>0</v>
      </c>
      <c r="AJ29">
        <f t="shared" si="33"/>
        <v>0</v>
      </c>
      <c r="AK29">
        <v>2291.67</v>
      </c>
      <c r="AL29">
        <v>2291.67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70</v>
      </c>
      <c r="AU29">
        <v>10</v>
      </c>
      <c r="AV29">
        <v>1</v>
      </c>
      <c r="AW29">
        <v>1</v>
      </c>
      <c r="AZ29">
        <v>1</v>
      </c>
      <c r="BA29">
        <v>1</v>
      </c>
      <c r="BB29">
        <v>1</v>
      </c>
      <c r="BC29">
        <v>1</v>
      </c>
      <c r="BD29" t="s">
        <v>3</v>
      </c>
      <c r="BE29" t="s">
        <v>3</v>
      </c>
      <c r="BF29" t="s">
        <v>3</v>
      </c>
      <c r="BG29" t="s">
        <v>3</v>
      </c>
      <c r="BH29">
        <v>3</v>
      </c>
      <c r="BI29">
        <v>4</v>
      </c>
      <c r="BJ29" t="s">
        <v>3</v>
      </c>
      <c r="BM29">
        <v>0</v>
      </c>
      <c r="BN29">
        <v>0</v>
      </c>
      <c r="BO29" t="s">
        <v>3</v>
      </c>
      <c r="BP29">
        <v>0</v>
      </c>
      <c r="BQ29">
        <v>1</v>
      </c>
      <c r="BR29">
        <v>0</v>
      </c>
      <c r="BS29">
        <v>1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70</v>
      </c>
      <c r="CA29">
        <v>10</v>
      </c>
      <c r="CB29" t="s">
        <v>3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34"/>
        <v>0</v>
      </c>
      <c r="CQ29">
        <f t="shared" si="35"/>
        <v>2291.67</v>
      </c>
      <c r="CR29">
        <f t="shared" si="36"/>
        <v>0</v>
      </c>
      <c r="CS29">
        <f t="shared" si="37"/>
        <v>0</v>
      </c>
      <c r="CT29">
        <f t="shared" si="38"/>
        <v>0</v>
      </c>
      <c r="CU29">
        <f t="shared" si="39"/>
        <v>0</v>
      </c>
      <c r="CV29">
        <f t="shared" si="40"/>
        <v>0</v>
      </c>
      <c r="CW29">
        <f t="shared" si="41"/>
        <v>0</v>
      </c>
      <c r="CX29">
        <f t="shared" si="42"/>
        <v>0</v>
      </c>
      <c r="CY29">
        <f t="shared" si="43"/>
        <v>0</v>
      </c>
      <c r="CZ29">
        <f t="shared" si="44"/>
        <v>0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1010</v>
      </c>
      <c r="DV29" t="s">
        <v>20</v>
      </c>
      <c r="DW29" t="s">
        <v>20</v>
      </c>
      <c r="DX29">
        <v>1</v>
      </c>
      <c r="DZ29" t="s">
        <v>3</v>
      </c>
      <c r="EA29" t="s">
        <v>3</v>
      </c>
      <c r="EB29" t="s">
        <v>3</v>
      </c>
      <c r="EC29" t="s">
        <v>3</v>
      </c>
      <c r="EE29">
        <v>43033442</v>
      </c>
      <c r="EF29">
        <v>1</v>
      </c>
      <c r="EG29" t="s">
        <v>22</v>
      </c>
      <c r="EH29">
        <v>0</v>
      </c>
      <c r="EI29" t="s">
        <v>3</v>
      </c>
      <c r="EJ29">
        <v>4</v>
      </c>
      <c r="EK29">
        <v>0</v>
      </c>
      <c r="EL29" t="s">
        <v>23</v>
      </c>
      <c r="EM29" t="s">
        <v>24</v>
      </c>
      <c r="EO29" t="s">
        <v>3</v>
      </c>
      <c r="EQ29">
        <v>0</v>
      </c>
      <c r="ER29">
        <v>2291.67</v>
      </c>
      <c r="ES29">
        <v>2291.67</v>
      </c>
      <c r="ET29">
        <v>0</v>
      </c>
      <c r="EU29">
        <v>0</v>
      </c>
      <c r="EV29">
        <v>0</v>
      </c>
      <c r="EW29">
        <v>0</v>
      </c>
      <c r="EX29">
        <v>0</v>
      </c>
      <c r="FQ29">
        <v>0</v>
      </c>
      <c r="FR29">
        <f t="shared" si="45"/>
        <v>0</v>
      </c>
      <c r="FS29">
        <v>0</v>
      </c>
      <c r="FX29">
        <v>70</v>
      </c>
      <c r="FY29">
        <v>10</v>
      </c>
      <c r="GA29" t="s">
        <v>3</v>
      </c>
      <c r="GD29">
        <v>0</v>
      </c>
      <c r="GF29">
        <v>1156779296</v>
      </c>
      <c r="GG29">
        <v>2</v>
      </c>
      <c r="GH29">
        <v>0</v>
      </c>
      <c r="GI29">
        <v>-2</v>
      </c>
      <c r="GJ29">
        <v>0</v>
      </c>
      <c r="GK29">
        <f>ROUND(R29*(R12)/100,2)</f>
        <v>0</v>
      </c>
      <c r="GL29">
        <f t="shared" si="46"/>
        <v>0</v>
      </c>
      <c r="GM29">
        <f t="shared" si="47"/>
        <v>0</v>
      </c>
      <c r="GN29">
        <f t="shared" si="48"/>
        <v>0</v>
      </c>
      <c r="GO29">
        <f t="shared" si="49"/>
        <v>0</v>
      </c>
      <c r="GP29">
        <f t="shared" si="50"/>
        <v>0</v>
      </c>
      <c r="GR29">
        <v>0</v>
      </c>
      <c r="GS29">
        <v>0</v>
      </c>
      <c r="GT29">
        <v>0</v>
      </c>
      <c r="GU29" t="s">
        <v>3</v>
      </c>
      <c r="GV29">
        <f t="shared" si="51"/>
        <v>0</v>
      </c>
      <c r="GW29">
        <v>1</v>
      </c>
      <c r="GX29">
        <f t="shared" si="52"/>
        <v>0</v>
      </c>
      <c r="HA29">
        <v>0</v>
      </c>
      <c r="HB29">
        <v>0</v>
      </c>
      <c r="HC29">
        <f t="shared" si="53"/>
        <v>0</v>
      </c>
      <c r="HE29" t="s">
        <v>3</v>
      </c>
      <c r="HF29" t="s">
        <v>3</v>
      </c>
      <c r="HM29" t="s">
        <v>3</v>
      </c>
      <c r="HN29" t="s">
        <v>3</v>
      </c>
      <c r="HO29" t="s">
        <v>3</v>
      </c>
      <c r="HP29" t="s">
        <v>3</v>
      </c>
      <c r="HQ29" t="s">
        <v>3</v>
      </c>
      <c r="IK29">
        <v>0</v>
      </c>
    </row>
    <row r="30" spans="1:245" x14ac:dyDescent="0.2">
      <c r="A30">
        <v>18</v>
      </c>
      <c r="B30">
        <v>1</v>
      </c>
      <c r="C30">
        <v>20</v>
      </c>
      <c r="E30" t="s">
        <v>43</v>
      </c>
      <c r="F30" t="s">
        <v>44</v>
      </c>
      <c r="G30" t="s">
        <v>45</v>
      </c>
      <c r="H30" t="s">
        <v>46</v>
      </c>
      <c r="I30">
        <f>I26*J30</f>
        <v>101.2</v>
      </c>
      <c r="J30">
        <v>4.4000000000000004</v>
      </c>
      <c r="K30">
        <v>4.4000000000000004</v>
      </c>
      <c r="O30">
        <f t="shared" si="14"/>
        <v>15843.87</v>
      </c>
      <c r="P30">
        <f t="shared" si="15"/>
        <v>15843.87</v>
      </c>
      <c r="Q30">
        <f t="shared" si="16"/>
        <v>0</v>
      </c>
      <c r="R30">
        <f t="shared" si="17"/>
        <v>0</v>
      </c>
      <c r="S30">
        <f t="shared" si="18"/>
        <v>0</v>
      </c>
      <c r="T30">
        <f t="shared" si="19"/>
        <v>0</v>
      </c>
      <c r="U30">
        <f t="shared" si="20"/>
        <v>0</v>
      </c>
      <c r="V30">
        <f t="shared" si="21"/>
        <v>0</v>
      </c>
      <c r="W30">
        <f t="shared" si="22"/>
        <v>0</v>
      </c>
      <c r="X30">
        <f t="shared" si="23"/>
        <v>0</v>
      </c>
      <c r="Y30">
        <f t="shared" si="24"/>
        <v>0</v>
      </c>
      <c r="AA30">
        <v>43095088</v>
      </c>
      <c r="AB30">
        <f t="shared" si="25"/>
        <v>156.56</v>
      </c>
      <c r="AC30">
        <f t="shared" si="26"/>
        <v>156.56</v>
      </c>
      <c r="AD30">
        <f t="shared" si="27"/>
        <v>0</v>
      </c>
      <c r="AE30">
        <f t="shared" si="28"/>
        <v>0</v>
      </c>
      <c r="AF30">
        <f t="shared" si="29"/>
        <v>0</v>
      </c>
      <c r="AG30">
        <f t="shared" si="30"/>
        <v>0</v>
      </c>
      <c r="AH30">
        <f t="shared" si="31"/>
        <v>0</v>
      </c>
      <c r="AI30">
        <f t="shared" si="32"/>
        <v>0</v>
      </c>
      <c r="AJ30">
        <f t="shared" si="33"/>
        <v>0</v>
      </c>
      <c r="AK30">
        <v>156.56</v>
      </c>
      <c r="AL30">
        <v>156.56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70</v>
      </c>
      <c r="AU30">
        <v>10</v>
      </c>
      <c r="AV30">
        <v>1</v>
      </c>
      <c r="AW30">
        <v>1</v>
      </c>
      <c r="AZ30">
        <v>1</v>
      </c>
      <c r="BA30">
        <v>1</v>
      </c>
      <c r="BB30">
        <v>1</v>
      </c>
      <c r="BC30">
        <v>1</v>
      </c>
      <c r="BD30" t="s">
        <v>3</v>
      </c>
      <c r="BE30" t="s">
        <v>3</v>
      </c>
      <c r="BF30" t="s">
        <v>3</v>
      </c>
      <c r="BG30" t="s">
        <v>3</v>
      </c>
      <c r="BH30">
        <v>3</v>
      </c>
      <c r="BI30">
        <v>4</v>
      </c>
      <c r="BJ30" t="s">
        <v>47</v>
      </c>
      <c r="BM30">
        <v>0</v>
      </c>
      <c r="BN30">
        <v>0</v>
      </c>
      <c r="BO30" t="s">
        <v>3</v>
      </c>
      <c r="BP30">
        <v>0</v>
      </c>
      <c r="BQ30">
        <v>1</v>
      </c>
      <c r="BR30">
        <v>0</v>
      </c>
      <c r="BS30">
        <v>1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70</v>
      </c>
      <c r="CA30">
        <v>10</v>
      </c>
      <c r="CB30" t="s">
        <v>3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si="34"/>
        <v>15843.87</v>
      </c>
      <c r="CQ30">
        <f t="shared" si="35"/>
        <v>156.56</v>
      </c>
      <c r="CR30">
        <f t="shared" si="36"/>
        <v>0</v>
      </c>
      <c r="CS30">
        <f t="shared" si="37"/>
        <v>0</v>
      </c>
      <c r="CT30">
        <f t="shared" si="38"/>
        <v>0</v>
      </c>
      <c r="CU30">
        <f t="shared" si="39"/>
        <v>0</v>
      </c>
      <c r="CV30">
        <f t="shared" si="40"/>
        <v>0</v>
      </c>
      <c r="CW30">
        <f t="shared" si="41"/>
        <v>0</v>
      </c>
      <c r="CX30">
        <f t="shared" si="42"/>
        <v>0</v>
      </c>
      <c r="CY30">
        <f t="shared" si="43"/>
        <v>0</v>
      </c>
      <c r="CZ30">
        <f t="shared" si="44"/>
        <v>0</v>
      </c>
      <c r="DC30" t="s">
        <v>3</v>
      </c>
      <c r="DD30" t="s">
        <v>3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1009</v>
      </c>
      <c r="DV30" t="s">
        <v>46</v>
      </c>
      <c r="DW30" t="s">
        <v>46</v>
      </c>
      <c r="DX30">
        <v>1</v>
      </c>
      <c r="DZ30" t="s">
        <v>3</v>
      </c>
      <c r="EA30" t="s">
        <v>3</v>
      </c>
      <c r="EB30" t="s">
        <v>3</v>
      </c>
      <c r="EC30" t="s">
        <v>3</v>
      </c>
      <c r="EE30">
        <v>43033442</v>
      </c>
      <c r="EF30">
        <v>1</v>
      </c>
      <c r="EG30" t="s">
        <v>22</v>
      </c>
      <c r="EH30">
        <v>0</v>
      </c>
      <c r="EI30" t="s">
        <v>3</v>
      </c>
      <c r="EJ30">
        <v>4</v>
      </c>
      <c r="EK30">
        <v>0</v>
      </c>
      <c r="EL30" t="s">
        <v>23</v>
      </c>
      <c r="EM30" t="s">
        <v>24</v>
      </c>
      <c r="EO30" t="s">
        <v>3</v>
      </c>
      <c r="EQ30">
        <v>0</v>
      </c>
      <c r="ER30">
        <v>156.56</v>
      </c>
      <c r="ES30">
        <v>156.56</v>
      </c>
      <c r="ET30">
        <v>0</v>
      </c>
      <c r="EU30">
        <v>0</v>
      </c>
      <c r="EV30">
        <v>0</v>
      </c>
      <c r="EW30">
        <v>0</v>
      </c>
      <c r="EX30">
        <v>0</v>
      </c>
      <c r="FQ30">
        <v>0</v>
      </c>
      <c r="FR30">
        <f t="shared" si="45"/>
        <v>0</v>
      </c>
      <c r="FS30">
        <v>0</v>
      </c>
      <c r="FX30">
        <v>70</v>
      </c>
      <c r="FY30">
        <v>10</v>
      </c>
      <c r="GA30" t="s">
        <v>3</v>
      </c>
      <c r="GD30">
        <v>0</v>
      </c>
      <c r="GF30">
        <v>-764671881</v>
      </c>
      <c r="GG30">
        <v>2</v>
      </c>
      <c r="GH30">
        <v>1</v>
      </c>
      <c r="GI30">
        <v>-2</v>
      </c>
      <c r="GJ30">
        <v>0</v>
      </c>
      <c r="GK30">
        <f>ROUND(R30*(R12)/100,2)</f>
        <v>0</v>
      </c>
      <c r="GL30">
        <f t="shared" si="46"/>
        <v>0</v>
      </c>
      <c r="GM30">
        <f t="shared" si="47"/>
        <v>15843.87</v>
      </c>
      <c r="GN30">
        <f t="shared" si="48"/>
        <v>0</v>
      </c>
      <c r="GO30">
        <f t="shared" si="49"/>
        <v>0</v>
      </c>
      <c r="GP30">
        <f t="shared" si="50"/>
        <v>15843.87</v>
      </c>
      <c r="GR30">
        <v>0</v>
      </c>
      <c r="GS30">
        <v>3</v>
      </c>
      <c r="GT30">
        <v>0</v>
      </c>
      <c r="GU30" t="s">
        <v>3</v>
      </c>
      <c r="GV30">
        <f t="shared" si="51"/>
        <v>0</v>
      </c>
      <c r="GW30">
        <v>1</v>
      </c>
      <c r="GX30">
        <f t="shared" si="52"/>
        <v>0</v>
      </c>
      <c r="HA30">
        <v>0</v>
      </c>
      <c r="HB30">
        <v>0</v>
      </c>
      <c r="HC30">
        <f t="shared" si="53"/>
        <v>0</v>
      </c>
      <c r="HE30" t="s">
        <v>3</v>
      </c>
      <c r="HF30" t="s">
        <v>3</v>
      </c>
      <c r="HM30" t="s">
        <v>3</v>
      </c>
      <c r="HN30" t="s">
        <v>3</v>
      </c>
      <c r="HO30" t="s">
        <v>3</v>
      </c>
      <c r="HP30" t="s">
        <v>3</v>
      </c>
      <c r="HQ30" t="s">
        <v>3</v>
      </c>
      <c r="IK30">
        <v>0</v>
      </c>
    </row>
    <row r="31" spans="1:245" x14ac:dyDescent="0.2">
      <c r="A31">
        <v>17</v>
      </c>
      <c r="B31">
        <v>1</v>
      </c>
      <c r="C31">
        <f>ROW(SmtRes!A30)</f>
        <v>30</v>
      </c>
      <c r="D31">
        <f>ROW(EtalonRes!A30)</f>
        <v>30</v>
      </c>
      <c r="E31" t="s">
        <v>48</v>
      </c>
      <c r="F31" t="s">
        <v>49</v>
      </c>
      <c r="G31" t="s">
        <v>50</v>
      </c>
      <c r="H31" t="s">
        <v>20</v>
      </c>
      <c r="I31">
        <v>3</v>
      </c>
      <c r="J31">
        <v>0</v>
      </c>
      <c r="K31">
        <v>3</v>
      </c>
      <c r="O31">
        <f t="shared" si="14"/>
        <v>18824.91</v>
      </c>
      <c r="P31">
        <f t="shared" si="15"/>
        <v>1893.72</v>
      </c>
      <c r="Q31">
        <f t="shared" si="16"/>
        <v>13.98</v>
      </c>
      <c r="R31">
        <f t="shared" si="17"/>
        <v>2.0099999999999998</v>
      </c>
      <c r="S31">
        <f t="shared" si="18"/>
        <v>16917.21</v>
      </c>
      <c r="T31">
        <f t="shared" si="19"/>
        <v>0</v>
      </c>
      <c r="U31">
        <f t="shared" si="20"/>
        <v>66.03</v>
      </c>
      <c r="V31">
        <f t="shared" si="21"/>
        <v>0</v>
      </c>
      <c r="W31">
        <f t="shared" si="22"/>
        <v>0</v>
      </c>
      <c r="X31">
        <f t="shared" si="23"/>
        <v>11842.05</v>
      </c>
      <c r="Y31">
        <f t="shared" si="24"/>
        <v>1691.72</v>
      </c>
      <c r="AA31">
        <v>43095088</v>
      </c>
      <c r="AB31">
        <f t="shared" si="25"/>
        <v>6274.97</v>
      </c>
      <c r="AC31">
        <f t="shared" si="26"/>
        <v>631.24</v>
      </c>
      <c r="AD31">
        <f t="shared" si="27"/>
        <v>4.66</v>
      </c>
      <c r="AE31">
        <f t="shared" si="28"/>
        <v>0.67</v>
      </c>
      <c r="AF31">
        <f t="shared" si="29"/>
        <v>5639.07</v>
      </c>
      <c r="AG31">
        <f t="shared" si="30"/>
        <v>0</v>
      </c>
      <c r="AH31">
        <f t="shared" si="31"/>
        <v>22.01</v>
      </c>
      <c r="AI31">
        <f t="shared" si="32"/>
        <v>0</v>
      </c>
      <c r="AJ31">
        <f t="shared" si="33"/>
        <v>0</v>
      </c>
      <c r="AK31">
        <v>6274.97</v>
      </c>
      <c r="AL31">
        <v>631.24</v>
      </c>
      <c r="AM31">
        <v>4.66</v>
      </c>
      <c r="AN31">
        <v>0.67</v>
      </c>
      <c r="AO31">
        <v>5639.07</v>
      </c>
      <c r="AP31">
        <v>0</v>
      </c>
      <c r="AQ31">
        <v>22.01</v>
      </c>
      <c r="AR31">
        <v>0</v>
      </c>
      <c r="AS31">
        <v>0</v>
      </c>
      <c r="AT31">
        <v>70</v>
      </c>
      <c r="AU31">
        <v>10</v>
      </c>
      <c r="AV31">
        <v>1</v>
      </c>
      <c r="AW31">
        <v>1</v>
      </c>
      <c r="AZ31">
        <v>1</v>
      </c>
      <c r="BA31">
        <v>1</v>
      </c>
      <c r="BB31">
        <v>1</v>
      </c>
      <c r="BC31">
        <v>1</v>
      </c>
      <c r="BD31" t="s">
        <v>3</v>
      </c>
      <c r="BE31" t="s">
        <v>3</v>
      </c>
      <c r="BF31" t="s">
        <v>3</v>
      </c>
      <c r="BG31" t="s">
        <v>3</v>
      </c>
      <c r="BH31">
        <v>0</v>
      </c>
      <c r="BI31">
        <v>4</v>
      </c>
      <c r="BJ31" t="s">
        <v>51</v>
      </c>
      <c r="BM31">
        <v>0</v>
      </c>
      <c r="BN31">
        <v>0</v>
      </c>
      <c r="BO31" t="s">
        <v>3</v>
      </c>
      <c r="BP31">
        <v>0</v>
      </c>
      <c r="BQ31">
        <v>1</v>
      </c>
      <c r="BR31">
        <v>0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70</v>
      </c>
      <c r="CA31">
        <v>10</v>
      </c>
      <c r="CB31" t="s">
        <v>3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34"/>
        <v>18824.91</v>
      </c>
      <c r="CQ31">
        <f t="shared" si="35"/>
        <v>631.24</v>
      </c>
      <c r="CR31">
        <f t="shared" si="36"/>
        <v>4.66</v>
      </c>
      <c r="CS31">
        <f t="shared" si="37"/>
        <v>0.67</v>
      </c>
      <c r="CT31">
        <f t="shared" si="38"/>
        <v>5639.07</v>
      </c>
      <c r="CU31">
        <f t="shared" si="39"/>
        <v>0</v>
      </c>
      <c r="CV31">
        <f t="shared" si="40"/>
        <v>22.01</v>
      </c>
      <c r="CW31">
        <f t="shared" si="41"/>
        <v>0</v>
      </c>
      <c r="CX31">
        <f t="shared" si="42"/>
        <v>0</v>
      </c>
      <c r="CY31">
        <f t="shared" si="43"/>
        <v>11842.046999999999</v>
      </c>
      <c r="CZ31">
        <f t="shared" si="44"/>
        <v>1691.7209999999998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1010</v>
      </c>
      <c r="DV31" t="s">
        <v>20</v>
      </c>
      <c r="DW31" t="s">
        <v>20</v>
      </c>
      <c r="DX31">
        <v>1</v>
      </c>
      <c r="DZ31" t="s">
        <v>3</v>
      </c>
      <c r="EA31" t="s">
        <v>3</v>
      </c>
      <c r="EB31" t="s">
        <v>3</v>
      </c>
      <c r="EC31" t="s">
        <v>3</v>
      </c>
      <c r="EE31">
        <v>43033442</v>
      </c>
      <c r="EF31">
        <v>1</v>
      </c>
      <c r="EG31" t="s">
        <v>22</v>
      </c>
      <c r="EH31">
        <v>0</v>
      </c>
      <c r="EI31" t="s">
        <v>3</v>
      </c>
      <c r="EJ31">
        <v>4</v>
      </c>
      <c r="EK31">
        <v>0</v>
      </c>
      <c r="EL31" t="s">
        <v>23</v>
      </c>
      <c r="EM31" t="s">
        <v>24</v>
      </c>
      <c r="EO31" t="s">
        <v>3</v>
      </c>
      <c r="EQ31">
        <v>0</v>
      </c>
      <c r="ER31">
        <v>6274.97</v>
      </c>
      <c r="ES31">
        <v>631.24</v>
      </c>
      <c r="ET31">
        <v>4.66</v>
      </c>
      <c r="EU31">
        <v>0.67</v>
      </c>
      <c r="EV31">
        <v>5639.07</v>
      </c>
      <c r="EW31">
        <v>22.01</v>
      </c>
      <c r="EX31">
        <v>0</v>
      </c>
      <c r="EY31">
        <v>0</v>
      </c>
      <c r="FQ31">
        <v>0</v>
      </c>
      <c r="FR31">
        <f t="shared" si="45"/>
        <v>0</v>
      </c>
      <c r="FS31">
        <v>0</v>
      </c>
      <c r="FX31">
        <v>70</v>
      </c>
      <c r="FY31">
        <v>10</v>
      </c>
      <c r="GA31" t="s">
        <v>3</v>
      </c>
      <c r="GD31">
        <v>0</v>
      </c>
      <c r="GF31">
        <v>1692747746</v>
      </c>
      <c r="GG31">
        <v>2</v>
      </c>
      <c r="GH31">
        <v>1</v>
      </c>
      <c r="GI31">
        <v>-2</v>
      </c>
      <c r="GJ31">
        <v>0</v>
      </c>
      <c r="GK31">
        <f>ROUND(R31*(R12)/100,2)</f>
        <v>2.17</v>
      </c>
      <c r="GL31">
        <f t="shared" si="46"/>
        <v>0</v>
      </c>
      <c r="GM31">
        <f t="shared" si="47"/>
        <v>32360.85</v>
      </c>
      <c r="GN31">
        <f t="shared" si="48"/>
        <v>0</v>
      </c>
      <c r="GO31">
        <f t="shared" si="49"/>
        <v>0</v>
      </c>
      <c r="GP31">
        <f t="shared" si="50"/>
        <v>32360.85</v>
      </c>
      <c r="GR31">
        <v>0</v>
      </c>
      <c r="GS31">
        <v>3</v>
      </c>
      <c r="GT31">
        <v>0</v>
      </c>
      <c r="GU31" t="s">
        <v>3</v>
      </c>
      <c r="GV31">
        <f t="shared" si="51"/>
        <v>0</v>
      </c>
      <c r="GW31">
        <v>1</v>
      </c>
      <c r="GX31">
        <f t="shared" si="52"/>
        <v>0</v>
      </c>
      <c r="HA31">
        <v>0</v>
      </c>
      <c r="HB31">
        <v>0</v>
      </c>
      <c r="HC31">
        <f t="shared" si="53"/>
        <v>0</v>
      </c>
      <c r="HE31" t="s">
        <v>3</v>
      </c>
      <c r="HF31" t="s">
        <v>3</v>
      </c>
      <c r="HM31" t="s">
        <v>3</v>
      </c>
      <c r="HN31" t="s">
        <v>3</v>
      </c>
      <c r="HO31" t="s">
        <v>3</v>
      </c>
      <c r="HP31" t="s">
        <v>3</v>
      </c>
      <c r="HQ31" t="s">
        <v>3</v>
      </c>
      <c r="IK31">
        <v>0</v>
      </c>
    </row>
    <row r="32" spans="1:245" x14ac:dyDescent="0.2">
      <c r="A32">
        <v>18</v>
      </c>
      <c r="B32">
        <v>1</v>
      </c>
      <c r="E32" t="s">
        <v>52</v>
      </c>
      <c r="F32" t="s">
        <v>34</v>
      </c>
      <c r="G32" t="s">
        <v>53</v>
      </c>
      <c r="H32" t="s">
        <v>20</v>
      </c>
      <c r="I32">
        <f>I31*J32</f>
        <v>3</v>
      </c>
      <c r="J32">
        <v>1</v>
      </c>
      <c r="K32">
        <v>1</v>
      </c>
      <c r="O32">
        <f t="shared" si="14"/>
        <v>346125</v>
      </c>
      <c r="P32">
        <f t="shared" si="15"/>
        <v>346125</v>
      </c>
      <c r="Q32">
        <f t="shared" si="16"/>
        <v>0</v>
      </c>
      <c r="R32">
        <f t="shared" si="17"/>
        <v>0</v>
      </c>
      <c r="S32">
        <f t="shared" si="18"/>
        <v>0</v>
      </c>
      <c r="T32">
        <f t="shared" si="19"/>
        <v>0</v>
      </c>
      <c r="U32">
        <f t="shared" si="20"/>
        <v>0</v>
      </c>
      <c r="V32">
        <f t="shared" si="21"/>
        <v>0</v>
      </c>
      <c r="W32">
        <f t="shared" si="22"/>
        <v>0</v>
      </c>
      <c r="X32">
        <f t="shared" si="23"/>
        <v>0</v>
      </c>
      <c r="Y32">
        <f t="shared" si="24"/>
        <v>0</v>
      </c>
      <c r="AA32">
        <v>43095088</v>
      </c>
      <c r="AB32">
        <f t="shared" si="25"/>
        <v>115375</v>
      </c>
      <c r="AC32">
        <f t="shared" si="26"/>
        <v>115375</v>
      </c>
      <c r="AD32">
        <f t="shared" si="27"/>
        <v>0</v>
      </c>
      <c r="AE32">
        <f t="shared" si="28"/>
        <v>0</v>
      </c>
      <c r="AF32">
        <f t="shared" si="29"/>
        <v>0</v>
      </c>
      <c r="AG32">
        <f t="shared" si="30"/>
        <v>0</v>
      </c>
      <c r="AH32">
        <f t="shared" si="31"/>
        <v>0</v>
      </c>
      <c r="AI32">
        <f t="shared" si="32"/>
        <v>0</v>
      </c>
      <c r="AJ32">
        <f t="shared" si="33"/>
        <v>0</v>
      </c>
      <c r="AK32">
        <v>115375</v>
      </c>
      <c r="AL32">
        <v>115375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70</v>
      </c>
      <c r="AU32">
        <v>10</v>
      </c>
      <c r="AV32">
        <v>1</v>
      </c>
      <c r="AW32">
        <v>1</v>
      </c>
      <c r="AZ32">
        <v>1</v>
      </c>
      <c r="BA32">
        <v>1</v>
      </c>
      <c r="BB32">
        <v>1</v>
      </c>
      <c r="BC32">
        <v>1</v>
      </c>
      <c r="BD32" t="s">
        <v>3</v>
      </c>
      <c r="BE32" t="s">
        <v>3</v>
      </c>
      <c r="BF32" t="s">
        <v>3</v>
      </c>
      <c r="BG32" t="s">
        <v>3</v>
      </c>
      <c r="BH32">
        <v>3</v>
      </c>
      <c r="BI32">
        <v>4</v>
      </c>
      <c r="BJ32" t="s">
        <v>3</v>
      </c>
      <c r="BM32">
        <v>0</v>
      </c>
      <c r="BN32">
        <v>0</v>
      </c>
      <c r="BO32" t="s">
        <v>3</v>
      </c>
      <c r="BP32">
        <v>0</v>
      </c>
      <c r="BQ32">
        <v>1</v>
      </c>
      <c r="BR32">
        <v>0</v>
      </c>
      <c r="BS32">
        <v>1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70</v>
      </c>
      <c r="CA32">
        <v>10</v>
      </c>
      <c r="CB32" t="s">
        <v>3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34"/>
        <v>346125</v>
      </c>
      <c r="CQ32">
        <f t="shared" si="35"/>
        <v>115375</v>
      </c>
      <c r="CR32">
        <f t="shared" si="36"/>
        <v>0</v>
      </c>
      <c r="CS32">
        <f t="shared" si="37"/>
        <v>0</v>
      </c>
      <c r="CT32">
        <f t="shared" si="38"/>
        <v>0</v>
      </c>
      <c r="CU32">
        <f t="shared" si="39"/>
        <v>0</v>
      </c>
      <c r="CV32">
        <f t="shared" si="40"/>
        <v>0</v>
      </c>
      <c r="CW32">
        <f t="shared" si="41"/>
        <v>0</v>
      </c>
      <c r="CX32">
        <f t="shared" si="42"/>
        <v>0</v>
      </c>
      <c r="CY32">
        <f t="shared" si="43"/>
        <v>0</v>
      </c>
      <c r="CZ32">
        <f t="shared" si="44"/>
        <v>0</v>
      </c>
      <c r="DC32" t="s">
        <v>3</v>
      </c>
      <c r="DD32" t="s">
        <v>3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1010</v>
      </c>
      <c r="DV32" t="s">
        <v>20</v>
      </c>
      <c r="DW32" t="s">
        <v>20</v>
      </c>
      <c r="DX32">
        <v>1</v>
      </c>
      <c r="DZ32" t="s">
        <v>3</v>
      </c>
      <c r="EA32" t="s">
        <v>3</v>
      </c>
      <c r="EB32" t="s">
        <v>3</v>
      </c>
      <c r="EC32" t="s">
        <v>3</v>
      </c>
      <c r="EE32">
        <v>43033442</v>
      </c>
      <c r="EF32">
        <v>1</v>
      </c>
      <c r="EG32" t="s">
        <v>22</v>
      </c>
      <c r="EH32">
        <v>0</v>
      </c>
      <c r="EI32" t="s">
        <v>3</v>
      </c>
      <c r="EJ32">
        <v>4</v>
      </c>
      <c r="EK32">
        <v>0</v>
      </c>
      <c r="EL32" t="s">
        <v>23</v>
      </c>
      <c r="EM32" t="s">
        <v>24</v>
      </c>
      <c r="EO32" t="s">
        <v>3</v>
      </c>
      <c r="EQ32">
        <v>0</v>
      </c>
      <c r="ER32">
        <v>115375</v>
      </c>
      <c r="ES32">
        <v>115375</v>
      </c>
      <c r="ET32">
        <v>0</v>
      </c>
      <c r="EU32">
        <v>0</v>
      </c>
      <c r="EV32">
        <v>0</v>
      </c>
      <c r="EW32">
        <v>0</v>
      </c>
      <c r="EX32">
        <v>0</v>
      </c>
      <c r="EZ32">
        <v>5</v>
      </c>
      <c r="FC32">
        <v>1</v>
      </c>
      <c r="FD32">
        <v>18</v>
      </c>
      <c r="FF32">
        <v>138450</v>
      </c>
      <c r="FQ32">
        <v>0</v>
      </c>
      <c r="FR32">
        <f t="shared" si="45"/>
        <v>0</v>
      </c>
      <c r="FS32">
        <v>0</v>
      </c>
      <c r="FX32">
        <v>70</v>
      </c>
      <c r="FY32">
        <v>10</v>
      </c>
      <c r="GA32" t="s">
        <v>54</v>
      </c>
      <c r="GD32">
        <v>0</v>
      </c>
      <c r="GF32">
        <v>1106892021</v>
      </c>
      <c r="GG32">
        <v>2</v>
      </c>
      <c r="GH32">
        <v>3</v>
      </c>
      <c r="GI32">
        <v>-2</v>
      </c>
      <c r="GJ32">
        <v>0</v>
      </c>
      <c r="GK32">
        <f>ROUND(R32*(R12)/100,2)</f>
        <v>0</v>
      </c>
      <c r="GL32">
        <f t="shared" si="46"/>
        <v>0</v>
      </c>
      <c r="GM32">
        <f t="shared" si="47"/>
        <v>346125</v>
      </c>
      <c r="GN32">
        <f t="shared" si="48"/>
        <v>0</v>
      </c>
      <c r="GO32">
        <f t="shared" si="49"/>
        <v>0</v>
      </c>
      <c r="GP32">
        <f t="shared" si="50"/>
        <v>346125</v>
      </c>
      <c r="GR32">
        <v>1</v>
      </c>
      <c r="GS32">
        <v>1</v>
      </c>
      <c r="GT32">
        <v>0</v>
      </c>
      <c r="GU32" t="s">
        <v>3</v>
      </c>
      <c r="GV32">
        <f t="shared" si="51"/>
        <v>0</v>
      </c>
      <c r="GW32">
        <v>1</v>
      </c>
      <c r="GX32">
        <f t="shared" si="52"/>
        <v>0</v>
      </c>
      <c r="HA32">
        <v>0</v>
      </c>
      <c r="HB32">
        <v>0</v>
      </c>
      <c r="HC32">
        <f t="shared" si="53"/>
        <v>0</v>
      </c>
      <c r="HE32" t="s">
        <v>37</v>
      </c>
      <c r="HF32" t="s">
        <v>37</v>
      </c>
      <c r="HM32" t="s">
        <v>3</v>
      </c>
      <c r="HN32" t="s">
        <v>3</v>
      </c>
      <c r="HO32" t="s">
        <v>3</v>
      </c>
      <c r="HP32" t="s">
        <v>3</v>
      </c>
      <c r="HQ32" t="s">
        <v>3</v>
      </c>
      <c r="IK32">
        <v>0</v>
      </c>
    </row>
    <row r="33" spans="1:245" x14ac:dyDescent="0.2">
      <c r="A33">
        <v>18</v>
      </c>
      <c r="B33">
        <v>1</v>
      </c>
      <c r="C33">
        <v>30</v>
      </c>
      <c r="E33" t="s">
        <v>55</v>
      </c>
      <c r="F33" t="s">
        <v>44</v>
      </c>
      <c r="G33" t="s">
        <v>45</v>
      </c>
      <c r="H33" t="s">
        <v>46</v>
      </c>
      <c r="I33">
        <f>I31*J33</f>
        <v>15</v>
      </c>
      <c r="J33">
        <v>5</v>
      </c>
      <c r="K33">
        <v>5</v>
      </c>
      <c r="O33">
        <f t="shared" si="14"/>
        <v>2348.4</v>
      </c>
      <c r="P33">
        <f t="shared" si="15"/>
        <v>2348.4</v>
      </c>
      <c r="Q33">
        <f t="shared" si="16"/>
        <v>0</v>
      </c>
      <c r="R33">
        <f t="shared" si="17"/>
        <v>0</v>
      </c>
      <c r="S33">
        <f t="shared" si="18"/>
        <v>0</v>
      </c>
      <c r="T33">
        <f t="shared" si="19"/>
        <v>0</v>
      </c>
      <c r="U33">
        <f t="shared" si="20"/>
        <v>0</v>
      </c>
      <c r="V33">
        <f t="shared" si="21"/>
        <v>0</v>
      </c>
      <c r="W33">
        <f t="shared" si="22"/>
        <v>0</v>
      </c>
      <c r="X33">
        <f t="shared" si="23"/>
        <v>0</v>
      </c>
      <c r="Y33">
        <f t="shared" si="24"/>
        <v>0</v>
      </c>
      <c r="AA33">
        <v>43095088</v>
      </c>
      <c r="AB33">
        <f t="shared" si="25"/>
        <v>156.56</v>
      </c>
      <c r="AC33">
        <f t="shared" si="26"/>
        <v>156.56</v>
      </c>
      <c r="AD33">
        <f t="shared" si="27"/>
        <v>0</v>
      </c>
      <c r="AE33">
        <f t="shared" si="28"/>
        <v>0</v>
      </c>
      <c r="AF33">
        <f t="shared" si="29"/>
        <v>0</v>
      </c>
      <c r="AG33">
        <f t="shared" si="30"/>
        <v>0</v>
      </c>
      <c r="AH33">
        <f t="shared" si="31"/>
        <v>0</v>
      </c>
      <c r="AI33">
        <f t="shared" si="32"/>
        <v>0</v>
      </c>
      <c r="AJ33">
        <f t="shared" si="33"/>
        <v>0</v>
      </c>
      <c r="AK33">
        <v>156.56</v>
      </c>
      <c r="AL33">
        <v>156.56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70</v>
      </c>
      <c r="AU33">
        <v>10</v>
      </c>
      <c r="AV33">
        <v>1</v>
      </c>
      <c r="AW33">
        <v>1</v>
      </c>
      <c r="AZ33">
        <v>1</v>
      </c>
      <c r="BA33">
        <v>1</v>
      </c>
      <c r="BB33">
        <v>1</v>
      </c>
      <c r="BC33">
        <v>1</v>
      </c>
      <c r="BD33" t="s">
        <v>3</v>
      </c>
      <c r="BE33" t="s">
        <v>3</v>
      </c>
      <c r="BF33" t="s">
        <v>3</v>
      </c>
      <c r="BG33" t="s">
        <v>3</v>
      </c>
      <c r="BH33">
        <v>3</v>
      </c>
      <c r="BI33">
        <v>4</v>
      </c>
      <c r="BJ33" t="s">
        <v>47</v>
      </c>
      <c r="BM33">
        <v>0</v>
      </c>
      <c r="BN33">
        <v>0</v>
      </c>
      <c r="BO33" t="s">
        <v>3</v>
      </c>
      <c r="BP33">
        <v>0</v>
      </c>
      <c r="BQ33">
        <v>1</v>
      </c>
      <c r="BR33">
        <v>0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70</v>
      </c>
      <c r="CA33">
        <v>10</v>
      </c>
      <c r="CB33" t="s">
        <v>3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34"/>
        <v>2348.4</v>
      </c>
      <c r="CQ33">
        <f t="shared" si="35"/>
        <v>156.56</v>
      </c>
      <c r="CR33">
        <f t="shared" si="36"/>
        <v>0</v>
      </c>
      <c r="CS33">
        <f t="shared" si="37"/>
        <v>0</v>
      </c>
      <c r="CT33">
        <f t="shared" si="38"/>
        <v>0</v>
      </c>
      <c r="CU33">
        <f t="shared" si="39"/>
        <v>0</v>
      </c>
      <c r="CV33">
        <f t="shared" si="40"/>
        <v>0</v>
      </c>
      <c r="CW33">
        <f t="shared" si="41"/>
        <v>0</v>
      </c>
      <c r="CX33">
        <f t="shared" si="42"/>
        <v>0</v>
      </c>
      <c r="CY33">
        <f t="shared" si="43"/>
        <v>0</v>
      </c>
      <c r="CZ33">
        <f t="shared" si="44"/>
        <v>0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1009</v>
      </c>
      <c r="DV33" t="s">
        <v>46</v>
      </c>
      <c r="DW33" t="s">
        <v>46</v>
      </c>
      <c r="DX33">
        <v>1</v>
      </c>
      <c r="DZ33" t="s">
        <v>3</v>
      </c>
      <c r="EA33" t="s">
        <v>3</v>
      </c>
      <c r="EB33" t="s">
        <v>3</v>
      </c>
      <c r="EC33" t="s">
        <v>3</v>
      </c>
      <c r="EE33">
        <v>43033442</v>
      </c>
      <c r="EF33">
        <v>1</v>
      </c>
      <c r="EG33" t="s">
        <v>22</v>
      </c>
      <c r="EH33">
        <v>0</v>
      </c>
      <c r="EI33" t="s">
        <v>3</v>
      </c>
      <c r="EJ33">
        <v>4</v>
      </c>
      <c r="EK33">
        <v>0</v>
      </c>
      <c r="EL33" t="s">
        <v>23</v>
      </c>
      <c r="EM33" t="s">
        <v>24</v>
      </c>
      <c r="EO33" t="s">
        <v>3</v>
      </c>
      <c r="EQ33">
        <v>0</v>
      </c>
      <c r="ER33">
        <v>156.56</v>
      </c>
      <c r="ES33">
        <v>156.56</v>
      </c>
      <c r="ET33">
        <v>0</v>
      </c>
      <c r="EU33">
        <v>0</v>
      </c>
      <c r="EV33">
        <v>0</v>
      </c>
      <c r="EW33">
        <v>0</v>
      </c>
      <c r="EX33">
        <v>0</v>
      </c>
      <c r="FQ33">
        <v>0</v>
      </c>
      <c r="FR33">
        <f t="shared" si="45"/>
        <v>0</v>
      </c>
      <c r="FS33">
        <v>0</v>
      </c>
      <c r="FX33">
        <v>70</v>
      </c>
      <c r="FY33">
        <v>10</v>
      </c>
      <c r="GA33" t="s">
        <v>3</v>
      </c>
      <c r="GD33">
        <v>0</v>
      </c>
      <c r="GF33">
        <v>-764671881</v>
      </c>
      <c r="GG33">
        <v>2</v>
      </c>
      <c r="GH33">
        <v>1</v>
      </c>
      <c r="GI33">
        <v>-2</v>
      </c>
      <c r="GJ33">
        <v>0</v>
      </c>
      <c r="GK33">
        <f>ROUND(R33*(R12)/100,2)</f>
        <v>0</v>
      </c>
      <c r="GL33">
        <f t="shared" si="46"/>
        <v>0</v>
      </c>
      <c r="GM33">
        <f t="shared" si="47"/>
        <v>2348.4</v>
      </c>
      <c r="GN33">
        <f t="shared" si="48"/>
        <v>0</v>
      </c>
      <c r="GO33">
        <f t="shared" si="49"/>
        <v>0</v>
      </c>
      <c r="GP33">
        <f t="shared" si="50"/>
        <v>2348.4</v>
      </c>
      <c r="GR33">
        <v>0</v>
      </c>
      <c r="GS33">
        <v>3</v>
      </c>
      <c r="GT33">
        <v>0</v>
      </c>
      <c r="GU33" t="s">
        <v>3</v>
      </c>
      <c r="GV33">
        <f t="shared" si="51"/>
        <v>0</v>
      </c>
      <c r="GW33">
        <v>1</v>
      </c>
      <c r="GX33">
        <f t="shared" si="52"/>
        <v>0</v>
      </c>
      <c r="HA33">
        <v>0</v>
      </c>
      <c r="HB33">
        <v>0</v>
      </c>
      <c r="HC33">
        <f t="shared" si="53"/>
        <v>0</v>
      </c>
      <c r="HE33" t="s">
        <v>3</v>
      </c>
      <c r="HF33" t="s">
        <v>3</v>
      </c>
      <c r="HM33" t="s">
        <v>3</v>
      </c>
      <c r="HN33" t="s">
        <v>3</v>
      </c>
      <c r="HO33" t="s">
        <v>3</v>
      </c>
      <c r="HP33" t="s">
        <v>3</v>
      </c>
      <c r="HQ33" t="s">
        <v>3</v>
      </c>
      <c r="IK33">
        <v>0</v>
      </c>
    </row>
    <row r="34" spans="1:245" x14ac:dyDescent="0.2">
      <c r="A34">
        <v>17</v>
      </c>
      <c r="B34">
        <v>1</v>
      </c>
      <c r="C34">
        <f>ROW(SmtRes!A44)</f>
        <v>44</v>
      </c>
      <c r="D34">
        <f>ROW(EtalonRes!A41)</f>
        <v>41</v>
      </c>
      <c r="E34" t="s">
        <v>56</v>
      </c>
      <c r="F34" t="s">
        <v>57</v>
      </c>
      <c r="G34" t="s">
        <v>58</v>
      </c>
      <c r="H34" t="s">
        <v>59</v>
      </c>
      <c r="I34">
        <f>ROUND(288/10,9)</f>
        <v>28.8</v>
      </c>
      <c r="J34">
        <v>0</v>
      </c>
      <c r="K34">
        <f>ROUND(288/10,9)</f>
        <v>28.8</v>
      </c>
      <c r="O34">
        <f t="shared" si="14"/>
        <v>74830.179999999993</v>
      </c>
      <c r="P34">
        <f t="shared" si="15"/>
        <v>1546.85</v>
      </c>
      <c r="Q34">
        <f t="shared" si="16"/>
        <v>4762.08</v>
      </c>
      <c r="R34">
        <f t="shared" si="17"/>
        <v>1687.68</v>
      </c>
      <c r="S34">
        <f t="shared" si="18"/>
        <v>68521.25</v>
      </c>
      <c r="T34">
        <f t="shared" si="19"/>
        <v>0</v>
      </c>
      <c r="U34">
        <f t="shared" si="20"/>
        <v>264.95999999999998</v>
      </c>
      <c r="V34">
        <f t="shared" si="21"/>
        <v>0</v>
      </c>
      <c r="W34">
        <f t="shared" si="22"/>
        <v>0</v>
      </c>
      <c r="X34">
        <f t="shared" si="23"/>
        <v>47964.88</v>
      </c>
      <c r="Y34">
        <f t="shared" si="24"/>
        <v>6852.13</v>
      </c>
      <c r="AA34">
        <v>43095088</v>
      </c>
      <c r="AB34">
        <f t="shared" si="25"/>
        <v>2598.27</v>
      </c>
      <c r="AC34">
        <f t="shared" si="26"/>
        <v>53.71</v>
      </c>
      <c r="AD34">
        <f t="shared" si="27"/>
        <v>165.35</v>
      </c>
      <c r="AE34">
        <f t="shared" si="28"/>
        <v>58.6</v>
      </c>
      <c r="AF34">
        <f t="shared" si="29"/>
        <v>2379.21</v>
      </c>
      <c r="AG34">
        <f t="shared" si="30"/>
        <v>0</v>
      </c>
      <c r="AH34">
        <f t="shared" si="31"/>
        <v>9.1999999999999993</v>
      </c>
      <c r="AI34">
        <f t="shared" si="32"/>
        <v>0</v>
      </c>
      <c r="AJ34">
        <f t="shared" si="33"/>
        <v>0</v>
      </c>
      <c r="AK34">
        <v>2598.27</v>
      </c>
      <c r="AL34">
        <v>53.71</v>
      </c>
      <c r="AM34">
        <v>165.35</v>
      </c>
      <c r="AN34">
        <v>58.6</v>
      </c>
      <c r="AO34">
        <v>2379.21</v>
      </c>
      <c r="AP34">
        <v>0</v>
      </c>
      <c r="AQ34">
        <v>9.1999999999999993</v>
      </c>
      <c r="AR34">
        <v>0</v>
      </c>
      <c r="AS34">
        <v>0</v>
      </c>
      <c r="AT34">
        <v>70</v>
      </c>
      <c r="AU34">
        <v>10</v>
      </c>
      <c r="AV34">
        <v>1</v>
      </c>
      <c r="AW34">
        <v>1</v>
      </c>
      <c r="AZ34">
        <v>1</v>
      </c>
      <c r="BA34">
        <v>1</v>
      </c>
      <c r="BB34">
        <v>1</v>
      </c>
      <c r="BC34">
        <v>1</v>
      </c>
      <c r="BD34" t="s">
        <v>3</v>
      </c>
      <c r="BE34" t="s">
        <v>3</v>
      </c>
      <c r="BF34" t="s">
        <v>3</v>
      </c>
      <c r="BG34" t="s">
        <v>3</v>
      </c>
      <c r="BH34">
        <v>0</v>
      </c>
      <c r="BI34">
        <v>4</v>
      </c>
      <c r="BJ34" t="s">
        <v>60</v>
      </c>
      <c r="BM34">
        <v>0</v>
      </c>
      <c r="BN34">
        <v>0</v>
      </c>
      <c r="BO34" t="s">
        <v>3</v>
      </c>
      <c r="BP34">
        <v>0</v>
      </c>
      <c r="BQ34">
        <v>1</v>
      </c>
      <c r="BR34">
        <v>0</v>
      </c>
      <c r="BS34">
        <v>1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70</v>
      </c>
      <c r="CA34">
        <v>10</v>
      </c>
      <c r="CB34" t="s">
        <v>3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34"/>
        <v>74830.179999999993</v>
      </c>
      <c r="CQ34">
        <f t="shared" si="35"/>
        <v>53.71</v>
      </c>
      <c r="CR34">
        <f t="shared" si="36"/>
        <v>165.35</v>
      </c>
      <c r="CS34">
        <f t="shared" si="37"/>
        <v>58.6</v>
      </c>
      <c r="CT34">
        <f t="shared" si="38"/>
        <v>2379.21</v>
      </c>
      <c r="CU34">
        <f t="shared" si="39"/>
        <v>0</v>
      </c>
      <c r="CV34">
        <f t="shared" si="40"/>
        <v>9.1999999999999993</v>
      </c>
      <c r="CW34">
        <f t="shared" si="41"/>
        <v>0</v>
      </c>
      <c r="CX34">
        <f t="shared" si="42"/>
        <v>0</v>
      </c>
      <c r="CY34">
        <f t="shared" si="43"/>
        <v>47964.875</v>
      </c>
      <c r="CZ34">
        <f t="shared" si="44"/>
        <v>6852.125</v>
      </c>
      <c r="DC34" t="s">
        <v>3</v>
      </c>
      <c r="DD34" t="s">
        <v>3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1003</v>
      </c>
      <c r="DV34" t="s">
        <v>59</v>
      </c>
      <c r="DW34" t="s">
        <v>59</v>
      </c>
      <c r="DX34">
        <v>10</v>
      </c>
      <c r="DZ34" t="s">
        <v>3</v>
      </c>
      <c r="EA34" t="s">
        <v>3</v>
      </c>
      <c r="EB34" t="s">
        <v>3</v>
      </c>
      <c r="EC34" t="s">
        <v>3</v>
      </c>
      <c r="EE34">
        <v>43033442</v>
      </c>
      <c r="EF34">
        <v>1</v>
      </c>
      <c r="EG34" t="s">
        <v>22</v>
      </c>
      <c r="EH34">
        <v>0</v>
      </c>
      <c r="EI34" t="s">
        <v>3</v>
      </c>
      <c r="EJ34">
        <v>4</v>
      </c>
      <c r="EK34">
        <v>0</v>
      </c>
      <c r="EL34" t="s">
        <v>23</v>
      </c>
      <c r="EM34" t="s">
        <v>24</v>
      </c>
      <c r="EO34" t="s">
        <v>3</v>
      </c>
      <c r="EQ34">
        <v>0</v>
      </c>
      <c r="ER34">
        <v>2598.27</v>
      </c>
      <c r="ES34">
        <v>53.71</v>
      </c>
      <c r="ET34">
        <v>165.35</v>
      </c>
      <c r="EU34">
        <v>58.6</v>
      </c>
      <c r="EV34">
        <v>2379.21</v>
      </c>
      <c r="EW34">
        <v>9.1999999999999993</v>
      </c>
      <c r="EX34">
        <v>0</v>
      </c>
      <c r="EY34">
        <v>0</v>
      </c>
      <c r="FQ34">
        <v>0</v>
      </c>
      <c r="FR34">
        <f t="shared" si="45"/>
        <v>0</v>
      </c>
      <c r="FS34">
        <v>0</v>
      </c>
      <c r="FX34">
        <v>70</v>
      </c>
      <c r="FY34">
        <v>10</v>
      </c>
      <c r="GA34" t="s">
        <v>3</v>
      </c>
      <c r="GD34">
        <v>0</v>
      </c>
      <c r="GF34">
        <v>1426885058</v>
      </c>
      <c r="GG34">
        <v>2</v>
      </c>
      <c r="GH34">
        <v>1</v>
      </c>
      <c r="GI34">
        <v>-2</v>
      </c>
      <c r="GJ34">
        <v>0</v>
      </c>
      <c r="GK34">
        <f>ROUND(R34*(R12)/100,2)</f>
        <v>1822.69</v>
      </c>
      <c r="GL34">
        <f t="shared" si="46"/>
        <v>0</v>
      </c>
      <c r="GM34">
        <f t="shared" si="47"/>
        <v>131469.88</v>
      </c>
      <c r="GN34">
        <f t="shared" si="48"/>
        <v>0</v>
      </c>
      <c r="GO34">
        <f t="shared" si="49"/>
        <v>0</v>
      </c>
      <c r="GP34">
        <f t="shared" si="50"/>
        <v>131469.88</v>
      </c>
      <c r="GR34">
        <v>0</v>
      </c>
      <c r="GS34">
        <v>3</v>
      </c>
      <c r="GT34">
        <v>0</v>
      </c>
      <c r="GU34" t="s">
        <v>3</v>
      </c>
      <c r="GV34">
        <f t="shared" si="51"/>
        <v>0</v>
      </c>
      <c r="GW34">
        <v>1</v>
      </c>
      <c r="GX34">
        <f t="shared" si="52"/>
        <v>0</v>
      </c>
      <c r="HA34">
        <v>0</v>
      </c>
      <c r="HB34">
        <v>0</v>
      </c>
      <c r="HC34">
        <f t="shared" si="53"/>
        <v>0</v>
      </c>
      <c r="HE34" t="s">
        <v>3</v>
      </c>
      <c r="HF34" t="s">
        <v>3</v>
      </c>
      <c r="HM34" t="s">
        <v>3</v>
      </c>
      <c r="HN34" t="s">
        <v>3</v>
      </c>
      <c r="HO34" t="s">
        <v>3</v>
      </c>
      <c r="HP34" t="s">
        <v>3</v>
      </c>
      <c r="HQ34" t="s">
        <v>3</v>
      </c>
      <c r="IK34">
        <v>0</v>
      </c>
    </row>
    <row r="35" spans="1:245" x14ac:dyDescent="0.2">
      <c r="A35">
        <v>18</v>
      </c>
      <c r="B35">
        <v>1</v>
      </c>
      <c r="C35">
        <v>42</v>
      </c>
      <c r="E35" t="s">
        <v>61</v>
      </c>
      <c r="F35" t="s">
        <v>62</v>
      </c>
      <c r="G35" t="s">
        <v>63</v>
      </c>
      <c r="H35" t="s">
        <v>64</v>
      </c>
      <c r="I35">
        <f>I34*J35</f>
        <v>122.56999999999998</v>
      </c>
      <c r="J35">
        <v>4.2559027777777771</v>
      </c>
      <c r="K35">
        <v>4.255903</v>
      </c>
      <c r="O35">
        <f t="shared" si="14"/>
        <v>15788.24</v>
      </c>
      <c r="P35">
        <f t="shared" si="15"/>
        <v>15788.24</v>
      </c>
      <c r="Q35">
        <f t="shared" si="16"/>
        <v>0</v>
      </c>
      <c r="R35">
        <f t="shared" si="17"/>
        <v>0</v>
      </c>
      <c r="S35">
        <f t="shared" si="18"/>
        <v>0</v>
      </c>
      <c r="T35">
        <f t="shared" si="19"/>
        <v>0</v>
      </c>
      <c r="U35">
        <f t="shared" si="20"/>
        <v>0</v>
      </c>
      <c r="V35">
        <f t="shared" si="21"/>
        <v>0</v>
      </c>
      <c r="W35">
        <f t="shared" si="22"/>
        <v>0</v>
      </c>
      <c r="X35">
        <f t="shared" si="23"/>
        <v>0</v>
      </c>
      <c r="Y35">
        <f t="shared" si="24"/>
        <v>0</v>
      </c>
      <c r="AA35">
        <v>43095088</v>
      </c>
      <c r="AB35">
        <f t="shared" si="25"/>
        <v>128.81</v>
      </c>
      <c r="AC35">
        <f t="shared" si="26"/>
        <v>128.81</v>
      </c>
      <c r="AD35">
        <f t="shared" si="27"/>
        <v>0</v>
      </c>
      <c r="AE35">
        <f t="shared" si="28"/>
        <v>0</v>
      </c>
      <c r="AF35">
        <f t="shared" si="29"/>
        <v>0</v>
      </c>
      <c r="AG35">
        <f t="shared" si="30"/>
        <v>0</v>
      </c>
      <c r="AH35">
        <f t="shared" si="31"/>
        <v>0</v>
      </c>
      <c r="AI35">
        <f t="shared" si="32"/>
        <v>0</v>
      </c>
      <c r="AJ35">
        <f t="shared" si="33"/>
        <v>0</v>
      </c>
      <c r="AK35">
        <v>128.81</v>
      </c>
      <c r="AL35">
        <v>128.81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70</v>
      </c>
      <c r="AU35">
        <v>10</v>
      </c>
      <c r="AV35">
        <v>1</v>
      </c>
      <c r="AW35">
        <v>1</v>
      </c>
      <c r="AZ35">
        <v>1</v>
      </c>
      <c r="BA35">
        <v>1</v>
      </c>
      <c r="BB35">
        <v>1</v>
      </c>
      <c r="BC35">
        <v>1</v>
      </c>
      <c r="BD35" t="s">
        <v>3</v>
      </c>
      <c r="BE35" t="s">
        <v>3</v>
      </c>
      <c r="BF35" t="s">
        <v>3</v>
      </c>
      <c r="BG35" t="s">
        <v>3</v>
      </c>
      <c r="BH35">
        <v>3</v>
      </c>
      <c r="BI35">
        <v>4</v>
      </c>
      <c r="BJ35" t="s">
        <v>65</v>
      </c>
      <c r="BM35">
        <v>0</v>
      </c>
      <c r="BN35">
        <v>0</v>
      </c>
      <c r="BO35" t="s">
        <v>3</v>
      </c>
      <c r="BP35">
        <v>0</v>
      </c>
      <c r="BQ35">
        <v>1</v>
      </c>
      <c r="BR35">
        <v>0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70</v>
      </c>
      <c r="CA35">
        <v>10</v>
      </c>
      <c r="CB35" t="s">
        <v>3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34"/>
        <v>15788.24</v>
      </c>
      <c r="CQ35">
        <f t="shared" si="35"/>
        <v>128.81</v>
      </c>
      <c r="CR35">
        <f t="shared" si="36"/>
        <v>0</v>
      </c>
      <c r="CS35">
        <f t="shared" si="37"/>
        <v>0</v>
      </c>
      <c r="CT35">
        <f t="shared" si="38"/>
        <v>0</v>
      </c>
      <c r="CU35">
        <f t="shared" si="39"/>
        <v>0</v>
      </c>
      <c r="CV35">
        <f t="shared" si="40"/>
        <v>0</v>
      </c>
      <c r="CW35">
        <f t="shared" si="41"/>
        <v>0</v>
      </c>
      <c r="CX35">
        <f t="shared" si="42"/>
        <v>0</v>
      </c>
      <c r="CY35">
        <f t="shared" si="43"/>
        <v>0</v>
      </c>
      <c r="CZ35">
        <f t="shared" si="44"/>
        <v>0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1003</v>
      </c>
      <c r="DV35" t="s">
        <v>64</v>
      </c>
      <c r="DW35" t="s">
        <v>64</v>
      </c>
      <c r="DX35">
        <v>1</v>
      </c>
      <c r="DZ35" t="s">
        <v>3</v>
      </c>
      <c r="EA35" t="s">
        <v>3</v>
      </c>
      <c r="EB35" t="s">
        <v>3</v>
      </c>
      <c r="EC35" t="s">
        <v>3</v>
      </c>
      <c r="EE35">
        <v>43033442</v>
      </c>
      <c r="EF35">
        <v>1</v>
      </c>
      <c r="EG35" t="s">
        <v>22</v>
      </c>
      <c r="EH35">
        <v>0</v>
      </c>
      <c r="EI35" t="s">
        <v>3</v>
      </c>
      <c r="EJ35">
        <v>4</v>
      </c>
      <c r="EK35">
        <v>0</v>
      </c>
      <c r="EL35" t="s">
        <v>23</v>
      </c>
      <c r="EM35" t="s">
        <v>24</v>
      </c>
      <c r="EO35" t="s">
        <v>3</v>
      </c>
      <c r="EQ35">
        <v>0</v>
      </c>
      <c r="ER35">
        <v>128.81</v>
      </c>
      <c r="ES35">
        <v>128.81</v>
      </c>
      <c r="ET35">
        <v>0</v>
      </c>
      <c r="EU35">
        <v>0</v>
      </c>
      <c r="EV35">
        <v>0</v>
      </c>
      <c r="EW35">
        <v>0</v>
      </c>
      <c r="EX35">
        <v>0</v>
      </c>
      <c r="FQ35">
        <v>0</v>
      </c>
      <c r="FR35">
        <f t="shared" si="45"/>
        <v>0</v>
      </c>
      <c r="FS35">
        <v>0</v>
      </c>
      <c r="FX35">
        <v>70</v>
      </c>
      <c r="FY35">
        <v>10</v>
      </c>
      <c r="GA35" t="s">
        <v>3</v>
      </c>
      <c r="GD35">
        <v>0</v>
      </c>
      <c r="GF35">
        <v>-797199161</v>
      </c>
      <c r="GG35">
        <v>2</v>
      </c>
      <c r="GH35">
        <v>1</v>
      </c>
      <c r="GI35">
        <v>-2</v>
      </c>
      <c r="GJ35">
        <v>0</v>
      </c>
      <c r="GK35">
        <f>ROUND(R35*(R12)/100,2)</f>
        <v>0</v>
      </c>
      <c r="GL35">
        <f t="shared" si="46"/>
        <v>0</v>
      </c>
      <c r="GM35">
        <f t="shared" si="47"/>
        <v>15788.24</v>
      </c>
      <c r="GN35">
        <f t="shared" si="48"/>
        <v>0</v>
      </c>
      <c r="GO35">
        <f t="shared" si="49"/>
        <v>0</v>
      </c>
      <c r="GP35">
        <f t="shared" si="50"/>
        <v>15788.24</v>
      </c>
      <c r="GR35">
        <v>0</v>
      </c>
      <c r="GS35">
        <v>3</v>
      </c>
      <c r="GT35">
        <v>0</v>
      </c>
      <c r="GU35" t="s">
        <v>3</v>
      </c>
      <c r="GV35">
        <f t="shared" si="51"/>
        <v>0</v>
      </c>
      <c r="GW35">
        <v>1</v>
      </c>
      <c r="GX35">
        <f t="shared" si="52"/>
        <v>0</v>
      </c>
      <c r="HA35">
        <v>0</v>
      </c>
      <c r="HB35">
        <v>0</v>
      </c>
      <c r="HC35">
        <f t="shared" si="53"/>
        <v>0</v>
      </c>
      <c r="HE35" t="s">
        <v>3</v>
      </c>
      <c r="HF35" t="s">
        <v>3</v>
      </c>
      <c r="HM35" t="s">
        <v>3</v>
      </c>
      <c r="HN35" t="s">
        <v>3</v>
      </c>
      <c r="HO35" t="s">
        <v>3</v>
      </c>
      <c r="HP35" t="s">
        <v>3</v>
      </c>
      <c r="HQ35" t="s">
        <v>3</v>
      </c>
      <c r="IK35">
        <v>0</v>
      </c>
    </row>
    <row r="36" spans="1:245" x14ac:dyDescent="0.2">
      <c r="A36">
        <v>18</v>
      </c>
      <c r="B36">
        <v>1</v>
      </c>
      <c r="C36">
        <v>39</v>
      </c>
      <c r="E36" t="s">
        <v>66</v>
      </c>
      <c r="F36" t="s">
        <v>67</v>
      </c>
      <c r="G36" t="s">
        <v>68</v>
      </c>
      <c r="H36" t="s">
        <v>64</v>
      </c>
      <c r="I36">
        <f>I34*J36</f>
        <v>112.27</v>
      </c>
      <c r="J36">
        <v>3.8982638888888888</v>
      </c>
      <c r="K36">
        <v>3.8982640000000002</v>
      </c>
      <c r="O36">
        <f t="shared" si="14"/>
        <v>25849.040000000001</v>
      </c>
      <c r="P36">
        <f t="shared" si="15"/>
        <v>25849.040000000001</v>
      </c>
      <c r="Q36">
        <f t="shared" si="16"/>
        <v>0</v>
      </c>
      <c r="R36">
        <f t="shared" si="17"/>
        <v>0</v>
      </c>
      <c r="S36">
        <f t="shared" si="18"/>
        <v>0</v>
      </c>
      <c r="T36">
        <f t="shared" si="19"/>
        <v>0</v>
      </c>
      <c r="U36">
        <f t="shared" si="20"/>
        <v>0</v>
      </c>
      <c r="V36">
        <f t="shared" si="21"/>
        <v>0</v>
      </c>
      <c r="W36">
        <f t="shared" si="22"/>
        <v>0</v>
      </c>
      <c r="X36">
        <f t="shared" si="23"/>
        <v>0</v>
      </c>
      <c r="Y36">
        <f t="shared" si="24"/>
        <v>0</v>
      </c>
      <c r="AA36">
        <v>43095088</v>
      </c>
      <c r="AB36">
        <f t="shared" si="25"/>
        <v>230.24</v>
      </c>
      <c r="AC36">
        <f t="shared" si="26"/>
        <v>230.24</v>
      </c>
      <c r="AD36">
        <f t="shared" si="27"/>
        <v>0</v>
      </c>
      <c r="AE36">
        <f t="shared" si="28"/>
        <v>0</v>
      </c>
      <c r="AF36">
        <f t="shared" si="29"/>
        <v>0</v>
      </c>
      <c r="AG36">
        <f t="shared" si="30"/>
        <v>0</v>
      </c>
      <c r="AH36">
        <f t="shared" si="31"/>
        <v>0</v>
      </c>
      <c r="AI36">
        <f t="shared" si="32"/>
        <v>0</v>
      </c>
      <c r="AJ36">
        <f t="shared" si="33"/>
        <v>0</v>
      </c>
      <c r="AK36">
        <v>230.24</v>
      </c>
      <c r="AL36">
        <v>230.24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70</v>
      </c>
      <c r="AU36">
        <v>10</v>
      </c>
      <c r="AV36">
        <v>1</v>
      </c>
      <c r="AW36">
        <v>1</v>
      </c>
      <c r="AZ36">
        <v>1</v>
      </c>
      <c r="BA36">
        <v>1</v>
      </c>
      <c r="BB36">
        <v>1</v>
      </c>
      <c r="BC36">
        <v>1</v>
      </c>
      <c r="BD36" t="s">
        <v>3</v>
      </c>
      <c r="BE36" t="s">
        <v>3</v>
      </c>
      <c r="BF36" t="s">
        <v>3</v>
      </c>
      <c r="BG36" t="s">
        <v>3</v>
      </c>
      <c r="BH36">
        <v>3</v>
      </c>
      <c r="BI36">
        <v>4</v>
      </c>
      <c r="BJ36" t="s">
        <v>69</v>
      </c>
      <c r="BM36">
        <v>0</v>
      </c>
      <c r="BN36">
        <v>0</v>
      </c>
      <c r="BO36" t="s">
        <v>3</v>
      </c>
      <c r="BP36">
        <v>0</v>
      </c>
      <c r="BQ36">
        <v>1</v>
      </c>
      <c r="BR36">
        <v>0</v>
      </c>
      <c r="BS36">
        <v>1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70</v>
      </c>
      <c r="CA36">
        <v>10</v>
      </c>
      <c r="CB36" t="s">
        <v>3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34"/>
        <v>25849.040000000001</v>
      </c>
      <c r="CQ36">
        <f t="shared" si="35"/>
        <v>230.24</v>
      </c>
      <c r="CR36">
        <f t="shared" si="36"/>
        <v>0</v>
      </c>
      <c r="CS36">
        <f t="shared" si="37"/>
        <v>0</v>
      </c>
      <c r="CT36">
        <f t="shared" si="38"/>
        <v>0</v>
      </c>
      <c r="CU36">
        <f t="shared" si="39"/>
        <v>0</v>
      </c>
      <c r="CV36">
        <f t="shared" si="40"/>
        <v>0</v>
      </c>
      <c r="CW36">
        <f t="shared" si="41"/>
        <v>0</v>
      </c>
      <c r="CX36">
        <f t="shared" si="42"/>
        <v>0</v>
      </c>
      <c r="CY36">
        <f t="shared" si="43"/>
        <v>0</v>
      </c>
      <c r="CZ36">
        <f t="shared" si="44"/>
        <v>0</v>
      </c>
      <c r="DC36" t="s">
        <v>3</v>
      </c>
      <c r="DD36" t="s">
        <v>3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1003</v>
      </c>
      <c r="DV36" t="s">
        <v>64</v>
      </c>
      <c r="DW36" t="s">
        <v>64</v>
      </c>
      <c r="DX36">
        <v>1</v>
      </c>
      <c r="DZ36" t="s">
        <v>3</v>
      </c>
      <c r="EA36" t="s">
        <v>3</v>
      </c>
      <c r="EB36" t="s">
        <v>3</v>
      </c>
      <c r="EC36" t="s">
        <v>3</v>
      </c>
      <c r="EE36">
        <v>43033442</v>
      </c>
      <c r="EF36">
        <v>1</v>
      </c>
      <c r="EG36" t="s">
        <v>22</v>
      </c>
      <c r="EH36">
        <v>0</v>
      </c>
      <c r="EI36" t="s">
        <v>3</v>
      </c>
      <c r="EJ36">
        <v>4</v>
      </c>
      <c r="EK36">
        <v>0</v>
      </c>
      <c r="EL36" t="s">
        <v>23</v>
      </c>
      <c r="EM36" t="s">
        <v>24</v>
      </c>
      <c r="EO36" t="s">
        <v>3</v>
      </c>
      <c r="EQ36">
        <v>0</v>
      </c>
      <c r="ER36">
        <v>230.24</v>
      </c>
      <c r="ES36">
        <v>230.24</v>
      </c>
      <c r="ET36">
        <v>0</v>
      </c>
      <c r="EU36">
        <v>0</v>
      </c>
      <c r="EV36">
        <v>0</v>
      </c>
      <c r="EW36">
        <v>0</v>
      </c>
      <c r="EX36">
        <v>0</v>
      </c>
      <c r="FQ36">
        <v>0</v>
      </c>
      <c r="FR36">
        <f t="shared" si="45"/>
        <v>0</v>
      </c>
      <c r="FS36">
        <v>0</v>
      </c>
      <c r="FX36">
        <v>70</v>
      </c>
      <c r="FY36">
        <v>10</v>
      </c>
      <c r="GA36" t="s">
        <v>3</v>
      </c>
      <c r="GD36">
        <v>0</v>
      </c>
      <c r="GF36">
        <v>1049557422</v>
      </c>
      <c r="GG36">
        <v>2</v>
      </c>
      <c r="GH36">
        <v>1</v>
      </c>
      <c r="GI36">
        <v>-2</v>
      </c>
      <c r="GJ36">
        <v>0</v>
      </c>
      <c r="GK36">
        <f>ROUND(R36*(R12)/100,2)</f>
        <v>0</v>
      </c>
      <c r="GL36">
        <f t="shared" si="46"/>
        <v>0</v>
      </c>
      <c r="GM36">
        <f t="shared" si="47"/>
        <v>25849.040000000001</v>
      </c>
      <c r="GN36">
        <f t="shared" si="48"/>
        <v>0</v>
      </c>
      <c r="GO36">
        <f t="shared" si="49"/>
        <v>0</v>
      </c>
      <c r="GP36">
        <f t="shared" si="50"/>
        <v>25849.040000000001</v>
      </c>
      <c r="GR36">
        <v>0</v>
      </c>
      <c r="GS36">
        <v>3</v>
      </c>
      <c r="GT36">
        <v>0</v>
      </c>
      <c r="GU36" t="s">
        <v>3</v>
      </c>
      <c r="GV36">
        <f t="shared" si="51"/>
        <v>0</v>
      </c>
      <c r="GW36">
        <v>1</v>
      </c>
      <c r="GX36">
        <f t="shared" si="52"/>
        <v>0</v>
      </c>
      <c r="HA36">
        <v>0</v>
      </c>
      <c r="HB36">
        <v>0</v>
      </c>
      <c r="HC36">
        <f t="shared" si="53"/>
        <v>0</v>
      </c>
      <c r="HE36" t="s">
        <v>3</v>
      </c>
      <c r="HF36" t="s">
        <v>3</v>
      </c>
      <c r="HM36" t="s">
        <v>3</v>
      </c>
      <c r="HN36" t="s">
        <v>3</v>
      </c>
      <c r="HO36" t="s">
        <v>3</v>
      </c>
      <c r="HP36" t="s">
        <v>3</v>
      </c>
      <c r="HQ36" t="s">
        <v>3</v>
      </c>
      <c r="IK36">
        <v>0</v>
      </c>
    </row>
    <row r="37" spans="1:245" x14ac:dyDescent="0.2">
      <c r="A37">
        <v>18</v>
      </c>
      <c r="B37">
        <v>1</v>
      </c>
      <c r="C37">
        <v>40</v>
      </c>
      <c r="E37" t="s">
        <v>70</v>
      </c>
      <c r="F37" t="s">
        <v>71</v>
      </c>
      <c r="G37" t="s">
        <v>72</v>
      </c>
      <c r="H37" t="s">
        <v>64</v>
      </c>
      <c r="I37">
        <f>I34*J37</f>
        <v>36.049999999999997</v>
      </c>
      <c r="J37">
        <v>1.2517361111111109</v>
      </c>
      <c r="K37">
        <v>1.251736</v>
      </c>
      <c r="O37">
        <f t="shared" si="14"/>
        <v>11321.5</v>
      </c>
      <c r="P37">
        <f t="shared" si="15"/>
        <v>11321.5</v>
      </c>
      <c r="Q37">
        <f t="shared" si="16"/>
        <v>0</v>
      </c>
      <c r="R37">
        <f t="shared" si="17"/>
        <v>0</v>
      </c>
      <c r="S37">
        <f t="shared" si="18"/>
        <v>0</v>
      </c>
      <c r="T37">
        <f t="shared" si="19"/>
        <v>0</v>
      </c>
      <c r="U37">
        <f t="shared" si="20"/>
        <v>0</v>
      </c>
      <c r="V37">
        <f t="shared" si="21"/>
        <v>0</v>
      </c>
      <c r="W37">
        <f t="shared" si="22"/>
        <v>0</v>
      </c>
      <c r="X37">
        <f t="shared" si="23"/>
        <v>0</v>
      </c>
      <c r="Y37">
        <f t="shared" si="24"/>
        <v>0</v>
      </c>
      <c r="AA37">
        <v>43095088</v>
      </c>
      <c r="AB37">
        <f t="shared" si="25"/>
        <v>314.05</v>
      </c>
      <c r="AC37">
        <f t="shared" si="26"/>
        <v>314.05</v>
      </c>
      <c r="AD37">
        <f t="shared" si="27"/>
        <v>0</v>
      </c>
      <c r="AE37">
        <f t="shared" si="28"/>
        <v>0</v>
      </c>
      <c r="AF37">
        <f t="shared" si="29"/>
        <v>0</v>
      </c>
      <c r="AG37">
        <f t="shared" si="30"/>
        <v>0</v>
      </c>
      <c r="AH37">
        <f t="shared" si="31"/>
        <v>0</v>
      </c>
      <c r="AI37">
        <f t="shared" si="32"/>
        <v>0</v>
      </c>
      <c r="AJ37">
        <f t="shared" si="33"/>
        <v>0</v>
      </c>
      <c r="AK37">
        <v>314.05</v>
      </c>
      <c r="AL37">
        <v>314.05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70</v>
      </c>
      <c r="AU37">
        <v>10</v>
      </c>
      <c r="AV37">
        <v>1</v>
      </c>
      <c r="AW37">
        <v>1</v>
      </c>
      <c r="AZ37">
        <v>1</v>
      </c>
      <c r="BA37">
        <v>1</v>
      </c>
      <c r="BB37">
        <v>1</v>
      </c>
      <c r="BC37">
        <v>1</v>
      </c>
      <c r="BD37" t="s">
        <v>3</v>
      </c>
      <c r="BE37" t="s">
        <v>3</v>
      </c>
      <c r="BF37" t="s">
        <v>3</v>
      </c>
      <c r="BG37" t="s">
        <v>3</v>
      </c>
      <c r="BH37">
        <v>3</v>
      </c>
      <c r="BI37">
        <v>4</v>
      </c>
      <c r="BJ37" t="s">
        <v>73</v>
      </c>
      <c r="BM37">
        <v>0</v>
      </c>
      <c r="BN37">
        <v>0</v>
      </c>
      <c r="BO37" t="s">
        <v>3</v>
      </c>
      <c r="BP37">
        <v>0</v>
      </c>
      <c r="BQ37">
        <v>1</v>
      </c>
      <c r="BR37">
        <v>0</v>
      </c>
      <c r="BS37">
        <v>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70</v>
      </c>
      <c r="CA37">
        <v>10</v>
      </c>
      <c r="CB37" t="s">
        <v>3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34"/>
        <v>11321.5</v>
      </c>
      <c r="CQ37">
        <f t="shared" si="35"/>
        <v>314.05</v>
      </c>
      <c r="CR37">
        <f t="shared" si="36"/>
        <v>0</v>
      </c>
      <c r="CS37">
        <f t="shared" si="37"/>
        <v>0</v>
      </c>
      <c r="CT37">
        <f t="shared" si="38"/>
        <v>0</v>
      </c>
      <c r="CU37">
        <f t="shared" si="39"/>
        <v>0</v>
      </c>
      <c r="CV37">
        <f t="shared" si="40"/>
        <v>0</v>
      </c>
      <c r="CW37">
        <f t="shared" si="41"/>
        <v>0</v>
      </c>
      <c r="CX37">
        <f t="shared" si="42"/>
        <v>0</v>
      </c>
      <c r="CY37">
        <f t="shared" si="43"/>
        <v>0</v>
      </c>
      <c r="CZ37">
        <f t="shared" si="44"/>
        <v>0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U37">
        <v>1003</v>
      </c>
      <c r="DV37" t="s">
        <v>64</v>
      </c>
      <c r="DW37" t="s">
        <v>64</v>
      </c>
      <c r="DX37">
        <v>1</v>
      </c>
      <c r="DZ37" t="s">
        <v>3</v>
      </c>
      <c r="EA37" t="s">
        <v>3</v>
      </c>
      <c r="EB37" t="s">
        <v>3</v>
      </c>
      <c r="EC37" t="s">
        <v>3</v>
      </c>
      <c r="EE37">
        <v>43033442</v>
      </c>
      <c r="EF37">
        <v>1</v>
      </c>
      <c r="EG37" t="s">
        <v>22</v>
      </c>
      <c r="EH37">
        <v>0</v>
      </c>
      <c r="EI37" t="s">
        <v>3</v>
      </c>
      <c r="EJ37">
        <v>4</v>
      </c>
      <c r="EK37">
        <v>0</v>
      </c>
      <c r="EL37" t="s">
        <v>23</v>
      </c>
      <c r="EM37" t="s">
        <v>24</v>
      </c>
      <c r="EO37" t="s">
        <v>3</v>
      </c>
      <c r="EQ37">
        <v>0</v>
      </c>
      <c r="ER37">
        <v>314.05</v>
      </c>
      <c r="ES37">
        <v>314.05</v>
      </c>
      <c r="ET37">
        <v>0</v>
      </c>
      <c r="EU37">
        <v>0</v>
      </c>
      <c r="EV37">
        <v>0</v>
      </c>
      <c r="EW37">
        <v>0</v>
      </c>
      <c r="EX37">
        <v>0</v>
      </c>
      <c r="FQ37">
        <v>0</v>
      </c>
      <c r="FR37">
        <f t="shared" si="45"/>
        <v>0</v>
      </c>
      <c r="FS37">
        <v>0</v>
      </c>
      <c r="FX37">
        <v>70</v>
      </c>
      <c r="FY37">
        <v>10</v>
      </c>
      <c r="GA37" t="s">
        <v>3</v>
      </c>
      <c r="GD37">
        <v>0</v>
      </c>
      <c r="GF37">
        <v>-253640361</v>
      </c>
      <c r="GG37">
        <v>2</v>
      </c>
      <c r="GH37">
        <v>1</v>
      </c>
      <c r="GI37">
        <v>-2</v>
      </c>
      <c r="GJ37">
        <v>0</v>
      </c>
      <c r="GK37">
        <f>ROUND(R37*(R12)/100,2)</f>
        <v>0</v>
      </c>
      <c r="GL37">
        <f t="shared" si="46"/>
        <v>0</v>
      </c>
      <c r="GM37">
        <f t="shared" si="47"/>
        <v>11321.5</v>
      </c>
      <c r="GN37">
        <f t="shared" si="48"/>
        <v>0</v>
      </c>
      <c r="GO37">
        <f t="shared" si="49"/>
        <v>0</v>
      </c>
      <c r="GP37">
        <f t="shared" si="50"/>
        <v>11321.5</v>
      </c>
      <c r="GR37">
        <v>0</v>
      </c>
      <c r="GS37">
        <v>3</v>
      </c>
      <c r="GT37">
        <v>0</v>
      </c>
      <c r="GU37" t="s">
        <v>3</v>
      </c>
      <c r="GV37">
        <f t="shared" si="51"/>
        <v>0</v>
      </c>
      <c r="GW37">
        <v>1</v>
      </c>
      <c r="GX37">
        <f t="shared" si="52"/>
        <v>0</v>
      </c>
      <c r="HA37">
        <v>0</v>
      </c>
      <c r="HB37">
        <v>0</v>
      </c>
      <c r="HC37">
        <f t="shared" si="53"/>
        <v>0</v>
      </c>
      <c r="HE37" t="s">
        <v>3</v>
      </c>
      <c r="HF37" t="s">
        <v>3</v>
      </c>
      <c r="HM37" t="s">
        <v>3</v>
      </c>
      <c r="HN37" t="s">
        <v>3</v>
      </c>
      <c r="HO37" t="s">
        <v>3</v>
      </c>
      <c r="HP37" t="s">
        <v>3</v>
      </c>
      <c r="HQ37" t="s">
        <v>3</v>
      </c>
      <c r="IK37">
        <v>0</v>
      </c>
    </row>
    <row r="38" spans="1:245" x14ac:dyDescent="0.2">
      <c r="A38">
        <v>18</v>
      </c>
      <c r="B38">
        <v>1</v>
      </c>
      <c r="C38">
        <v>41</v>
      </c>
      <c r="E38" t="s">
        <v>74</v>
      </c>
      <c r="F38" t="s">
        <v>75</v>
      </c>
      <c r="G38" t="s">
        <v>76</v>
      </c>
      <c r="H38" t="s">
        <v>64</v>
      </c>
      <c r="I38">
        <f>I34*J38</f>
        <v>25.75</v>
      </c>
      <c r="J38">
        <v>0.89409722222222221</v>
      </c>
      <c r="K38">
        <v>0.89409700000000003</v>
      </c>
      <c r="O38">
        <f t="shared" si="14"/>
        <v>10903.32</v>
      </c>
      <c r="P38">
        <f t="shared" si="15"/>
        <v>10903.32</v>
      </c>
      <c r="Q38">
        <f t="shared" si="16"/>
        <v>0</v>
      </c>
      <c r="R38">
        <f t="shared" si="17"/>
        <v>0</v>
      </c>
      <c r="S38">
        <f t="shared" si="18"/>
        <v>0</v>
      </c>
      <c r="T38">
        <f t="shared" si="19"/>
        <v>0</v>
      </c>
      <c r="U38">
        <f t="shared" si="20"/>
        <v>0</v>
      </c>
      <c r="V38">
        <f t="shared" si="21"/>
        <v>0</v>
      </c>
      <c r="W38">
        <f t="shared" si="22"/>
        <v>0</v>
      </c>
      <c r="X38">
        <f t="shared" si="23"/>
        <v>0</v>
      </c>
      <c r="Y38">
        <f t="shared" si="24"/>
        <v>0</v>
      </c>
      <c r="AA38">
        <v>43095088</v>
      </c>
      <c r="AB38">
        <f t="shared" si="25"/>
        <v>423.43</v>
      </c>
      <c r="AC38">
        <f t="shared" si="26"/>
        <v>423.43</v>
      </c>
      <c r="AD38">
        <f t="shared" si="27"/>
        <v>0</v>
      </c>
      <c r="AE38">
        <f t="shared" si="28"/>
        <v>0</v>
      </c>
      <c r="AF38">
        <f t="shared" si="29"/>
        <v>0</v>
      </c>
      <c r="AG38">
        <f t="shared" si="30"/>
        <v>0</v>
      </c>
      <c r="AH38">
        <f t="shared" si="31"/>
        <v>0</v>
      </c>
      <c r="AI38">
        <f t="shared" si="32"/>
        <v>0</v>
      </c>
      <c r="AJ38">
        <f t="shared" si="33"/>
        <v>0</v>
      </c>
      <c r="AK38">
        <v>423.43</v>
      </c>
      <c r="AL38">
        <v>423.43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70</v>
      </c>
      <c r="AU38">
        <v>10</v>
      </c>
      <c r="AV38">
        <v>1</v>
      </c>
      <c r="AW38">
        <v>1</v>
      </c>
      <c r="AZ38">
        <v>1</v>
      </c>
      <c r="BA38">
        <v>1</v>
      </c>
      <c r="BB38">
        <v>1</v>
      </c>
      <c r="BC38">
        <v>1</v>
      </c>
      <c r="BD38" t="s">
        <v>3</v>
      </c>
      <c r="BE38" t="s">
        <v>3</v>
      </c>
      <c r="BF38" t="s">
        <v>3</v>
      </c>
      <c r="BG38" t="s">
        <v>3</v>
      </c>
      <c r="BH38">
        <v>3</v>
      </c>
      <c r="BI38">
        <v>4</v>
      </c>
      <c r="BJ38" t="s">
        <v>77</v>
      </c>
      <c r="BM38">
        <v>0</v>
      </c>
      <c r="BN38">
        <v>0</v>
      </c>
      <c r="BO38" t="s">
        <v>3</v>
      </c>
      <c r="BP38">
        <v>0</v>
      </c>
      <c r="BQ38">
        <v>1</v>
      </c>
      <c r="BR38">
        <v>0</v>
      </c>
      <c r="BS38">
        <v>1</v>
      </c>
      <c r="BT38">
        <v>1</v>
      </c>
      <c r="BU38">
        <v>1</v>
      </c>
      <c r="BV38">
        <v>1</v>
      </c>
      <c r="BW38">
        <v>1</v>
      </c>
      <c r="BX38">
        <v>1</v>
      </c>
      <c r="BY38" t="s">
        <v>3</v>
      </c>
      <c r="BZ38">
        <v>70</v>
      </c>
      <c r="CA38">
        <v>10</v>
      </c>
      <c r="CB38" t="s">
        <v>3</v>
      </c>
      <c r="CE38">
        <v>0</v>
      </c>
      <c r="CF38">
        <v>0</v>
      </c>
      <c r="CG38">
        <v>0</v>
      </c>
      <c r="CM38">
        <v>0</v>
      </c>
      <c r="CN38" t="s">
        <v>3</v>
      </c>
      <c r="CO38">
        <v>0</v>
      </c>
      <c r="CP38">
        <f t="shared" si="34"/>
        <v>10903.32</v>
      </c>
      <c r="CQ38">
        <f t="shared" si="35"/>
        <v>423.43</v>
      </c>
      <c r="CR38">
        <f t="shared" si="36"/>
        <v>0</v>
      </c>
      <c r="CS38">
        <f t="shared" si="37"/>
        <v>0</v>
      </c>
      <c r="CT38">
        <f t="shared" si="38"/>
        <v>0</v>
      </c>
      <c r="CU38">
        <f t="shared" si="39"/>
        <v>0</v>
      </c>
      <c r="CV38">
        <f t="shared" si="40"/>
        <v>0</v>
      </c>
      <c r="CW38">
        <f t="shared" si="41"/>
        <v>0</v>
      </c>
      <c r="CX38">
        <f t="shared" si="42"/>
        <v>0</v>
      </c>
      <c r="CY38">
        <f t="shared" si="43"/>
        <v>0</v>
      </c>
      <c r="CZ38">
        <f t="shared" si="44"/>
        <v>0</v>
      </c>
      <c r="DC38" t="s">
        <v>3</v>
      </c>
      <c r="DD38" t="s">
        <v>3</v>
      </c>
      <c r="DE38" t="s">
        <v>3</v>
      </c>
      <c r="DF38" t="s">
        <v>3</v>
      </c>
      <c r="DG38" t="s">
        <v>3</v>
      </c>
      <c r="DH38" t="s">
        <v>3</v>
      </c>
      <c r="DI38" t="s">
        <v>3</v>
      </c>
      <c r="DJ38" t="s">
        <v>3</v>
      </c>
      <c r="DK38" t="s">
        <v>3</v>
      </c>
      <c r="DL38" t="s">
        <v>3</v>
      </c>
      <c r="DM38" t="s">
        <v>3</v>
      </c>
      <c r="DN38">
        <v>0</v>
      </c>
      <c r="DO38">
        <v>0</v>
      </c>
      <c r="DP38">
        <v>1</v>
      </c>
      <c r="DQ38">
        <v>1</v>
      </c>
      <c r="DU38">
        <v>1003</v>
      </c>
      <c r="DV38" t="s">
        <v>64</v>
      </c>
      <c r="DW38" t="s">
        <v>64</v>
      </c>
      <c r="DX38">
        <v>1</v>
      </c>
      <c r="DZ38" t="s">
        <v>3</v>
      </c>
      <c r="EA38" t="s">
        <v>3</v>
      </c>
      <c r="EB38" t="s">
        <v>3</v>
      </c>
      <c r="EC38" t="s">
        <v>3</v>
      </c>
      <c r="EE38">
        <v>43033442</v>
      </c>
      <c r="EF38">
        <v>1</v>
      </c>
      <c r="EG38" t="s">
        <v>22</v>
      </c>
      <c r="EH38">
        <v>0</v>
      </c>
      <c r="EI38" t="s">
        <v>3</v>
      </c>
      <c r="EJ38">
        <v>4</v>
      </c>
      <c r="EK38">
        <v>0</v>
      </c>
      <c r="EL38" t="s">
        <v>23</v>
      </c>
      <c r="EM38" t="s">
        <v>24</v>
      </c>
      <c r="EO38" t="s">
        <v>3</v>
      </c>
      <c r="EQ38">
        <v>0</v>
      </c>
      <c r="ER38">
        <v>423.43</v>
      </c>
      <c r="ES38">
        <v>423.43</v>
      </c>
      <c r="ET38">
        <v>0</v>
      </c>
      <c r="EU38">
        <v>0</v>
      </c>
      <c r="EV38">
        <v>0</v>
      </c>
      <c r="EW38">
        <v>0</v>
      </c>
      <c r="EX38">
        <v>0</v>
      </c>
      <c r="FQ38">
        <v>0</v>
      </c>
      <c r="FR38">
        <f t="shared" si="45"/>
        <v>0</v>
      </c>
      <c r="FS38">
        <v>0</v>
      </c>
      <c r="FX38">
        <v>70</v>
      </c>
      <c r="FY38">
        <v>10</v>
      </c>
      <c r="GA38" t="s">
        <v>3</v>
      </c>
      <c r="GD38">
        <v>0</v>
      </c>
      <c r="GF38">
        <v>1741320992</v>
      </c>
      <c r="GG38">
        <v>2</v>
      </c>
      <c r="GH38">
        <v>1</v>
      </c>
      <c r="GI38">
        <v>-2</v>
      </c>
      <c r="GJ38">
        <v>0</v>
      </c>
      <c r="GK38">
        <f>ROUND(R38*(R12)/100,2)</f>
        <v>0</v>
      </c>
      <c r="GL38">
        <f t="shared" si="46"/>
        <v>0</v>
      </c>
      <c r="GM38">
        <f t="shared" si="47"/>
        <v>10903.32</v>
      </c>
      <c r="GN38">
        <f t="shared" si="48"/>
        <v>0</v>
      </c>
      <c r="GO38">
        <f t="shared" si="49"/>
        <v>0</v>
      </c>
      <c r="GP38">
        <f t="shared" si="50"/>
        <v>10903.32</v>
      </c>
      <c r="GR38">
        <v>0</v>
      </c>
      <c r="GS38">
        <v>3</v>
      </c>
      <c r="GT38">
        <v>0</v>
      </c>
      <c r="GU38" t="s">
        <v>3</v>
      </c>
      <c r="GV38">
        <f t="shared" si="51"/>
        <v>0</v>
      </c>
      <c r="GW38">
        <v>1</v>
      </c>
      <c r="GX38">
        <f t="shared" si="52"/>
        <v>0</v>
      </c>
      <c r="HA38">
        <v>0</v>
      </c>
      <c r="HB38">
        <v>0</v>
      </c>
      <c r="HC38">
        <f t="shared" si="53"/>
        <v>0</v>
      </c>
      <c r="HE38" t="s">
        <v>3</v>
      </c>
      <c r="HF38" t="s">
        <v>3</v>
      </c>
      <c r="HM38" t="s">
        <v>3</v>
      </c>
      <c r="HN38" t="s">
        <v>3</v>
      </c>
      <c r="HO38" t="s">
        <v>3</v>
      </c>
      <c r="HP38" t="s">
        <v>3</v>
      </c>
      <c r="HQ38" t="s">
        <v>3</v>
      </c>
      <c r="IK38">
        <v>0</v>
      </c>
    </row>
    <row r="39" spans="1:245" x14ac:dyDescent="0.2">
      <c r="A39">
        <v>18</v>
      </c>
      <c r="B39">
        <v>1</v>
      </c>
      <c r="C39">
        <v>38</v>
      </c>
      <c r="E39" t="s">
        <v>78</v>
      </c>
      <c r="F39" t="s">
        <v>79</v>
      </c>
      <c r="G39" t="s">
        <v>80</v>
      </c>
      <c r="H39" t="s">
        <v>81</v>
      </c>
      <c r="I39">
        <f>I34*J39</f>
        <v>-2.3328000000000002</v>
      </c>
      <c r="J39">
        <v>-8.1000000000000003E-2</v>
      </c>
      <c r="K39">
        <v>-8.1000000000000003E-2</v>
      </c>
      <c r="O39">
        <f t="shared" si="14"/>
        <v>-84.7</v>
      </c>
      <c r="P39">
        <f t="shared" si="15"/>
        <v>-84.7</v>
      </c>
      <c r="Q39">
        <f t="shared" si="16"/>
        <v>0</v>
      </c>
      <c r="R39">
        <f t="shared" si="17"/>
        <v>0</v>
      </c>
      <c r="S39">
        <f t="shared" si="18"/>
        <v>0</v>
      </c>
      <c r="T39">
        <f t="shared" si="19"/>
        <v>0</v>
      </c>
      <c r="U39">
        <f t="shared" si="20"/>
        <v>0</v>
      </c>
      <c r="V39">
        <f t="shared" si="21"/>
        <v>0</v>
      </c>
      <c r="W39">
        <f t="shared" si="22"/>
        <v>0</v>
      </c>
      <c r="X39">
        <f t="shared" si="23"/>
        <v>0</v>
      </c>
      <c r="Y39">
        <f t="shared" si="24"/>
        <v>0</v>
      </c>
      <c r="AA39">
        <v>43095088</v>
      </c>
      <c r="AB39">
        <f t="shared" si="25"/>
        <v>36.31</v>
      </c>
      <c r="AC39">
        <f t="shared" si="26"/>
        <v>36.31</v>
      </c>
      <c r="AD39">
        <f t="shared" si="27"/>
        <v>0</v>
      </c>
      <c r="AE39">
        <f t="shared" si="28"/>
        <v>0</v>
      </c>
      <c r="AF39">
        <f t="shared" si="29"/>
        <v>0</v>
      </c>
      <c r="AG39">
        <f t="shared" si="30"/>
        <v>0</v>
      </c>
      <c r="AH39">
        <f t="shared" si="31"/>
        <v>0</v>
      </c>
      <c r="AI39">
        <f t="shared" si="32"/>
        <v>0</v>
      </c>
      <c r="AJ39">
        <f t="shared" si="33"/>
        <v>0</v>
      </c>
      <c r="AK39">
        <v>36.31</v>
      </c>
      <c r="AL39">
        <v>36.31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70</v>
      </c>
      <c r="AU39">
        <v>10</v>
      </c>
      <c r="AV39">
        <v>1</v>
      </c>
      <c r="AW39">
        <v>1</v>
      </c>
      <c r="AZ39">
        <v>1</v>
      </c>
      <c r="BA39">
        <v>1</v>
      </c>
      <c r="BB39">
        <v>1</v>
      </c>
      <c r="BC39">
        <v>1</v>
      </c>
      <c r="BD39" t="s">
        <v>3</v>
      </c>
      <c r="BE39" t="s">
        <v>3</v>
      </c>
      <c r="BF39" t="s">
        <v>3</v>
      </c>
      <c r="BG39" t="s">
        <v>3</v>
      </c>
      <c r="BH39">
        <v>3</v>
      </c>
      <c r="BI39">
        <v>4</v>
      </c>
      <c r="BJ39" t="s">
        <v>82</v>
      </c>
      <c r="BM39">
        <v>0</v>
      </c>
      <c r="BN39">
        <v>0</v>
      </c>
      <c r="BO39" t="s">
        <v>3</v>
      </c>
      <c r="BP39">
        <v>0</v>
      </c>
      <c r="BQ39">
        <v>1</v>
      </c>
      <c r="BR39">
        <v>1</v>
      </c>
      <c r="BS39">
        <v>1</v>
      </c>
      <c r="BT39">
        <v>1</v>
      </c>
      <c r="BU39">
        <v>1</v>
      </c>
      <c r="BV39">
        <v>1</v>
      </c>
      <c r="BW39">
        <v>1</v>
      </c>
      <c r="BX39">
        <v>1</v>
      </c>
      <c r="BY39" t="s">
        <v>3</v>
      </c>
      <c r="BZ39">
        <v>70</v>
      </c>
      <c r="CA39">
        <v>10</v>
      </c>
      <c r="CB39" t="s">
        <v>3</v>
      </c>
      <c r="CE39">
        <v>0</v>
      </c>
      <c r="CF39">
        <v>0</v>
      </c>
      <c r="CG39">
        <v>0</v>
      </c>
      <c r="CM39">
        <v>0</v>
      </c>
      <c r="CN39" t="s">
        <v>3</v>
      </c>
      <c r="CO39">
        <v>0</v>
      </c>
      <c r="CP39">
        <f t="shared" si="34"/>
        <v>-84.7</v>
      </c>
      <c r="CQ39">
        <f t="shared" si="35"/>
        <v>36.31</v>
      </c>
      <c r="CR39">
        <f t="shared" si="36"/>
        <v>0</v>
      </c>
      <c r="CS39">
        <f t="shared" si="37"/>
        <v>0</v>
      </c>
      <c r="CT39">
        <f t="shared" si="38"/>
        <v>0</v>
      </c>
      <c r="CU39">
        <f t="shared" si="39"/>
        <v>0</v>
      </c>
      <c r="CV39">
        <f t="shared" si="40"/>
        <v>0</v>
      </c>
      <c r="CW39">
        <f t="shared" si="41"/>
        <v>0</v>
      </c>
      <c r="CX39">
        <f t="shared" si="42"/>
        <v>0</v>
      </c>
      <c r="CY39">
        <f t="shared" si="43"/>
        <v>0</v>
      </c>
      <c r="CZ39">
        <f t="shared" si="44"/>
        <v>0</v>
      </c>
      <c r="DC39" t="s">
        <v>3</v>
      </c>
      <c r="DD39" t="s">
        <v>3</v>
      </c>
      <c r="DE39" t="s">
        <v>3</v>
      </c>
      <c r="DF39" t="s">
        <v>3</v>
      </c>
      <c r="DG39" t="s">
        <v>3</v>
      </c>
      <c r="DH39" t="s">
        <v>3</v>
      </c>
      <c r="DI39" t="s">
        <v>3</v>
      </c>
      <c r="DJ39" t="s">
        <v>3</v>
      </c>
      <c r="DK39" t="s">
        <v>3</v>
      </c>
      <c r="DL39" t="s">
        <v>3</v>
      </c>
      <c r="DM39" t="s">
        <v>3</v>
      </c>
      <c r="DN39">
        <v>0</v>
      </c>
      <c r="DO39">
        <v>0</v>
      </c>
      <c r="DP39">
        <v>1</v>
      </c>
      <c r="DQ39">
        <v>1</v>
      </c>
      <c r="DU39">
        <v>1007</v>
      </c>
      <c r="DV39" t="s">
        <v>81</v>
      </c>
      <c r="DW39" t="s">
        <v>81</v>
      </c>
      <c r="DX39">
        <v>1</v>
      </c>
      <c r="DZ39" t="s">
        <v>3</v>
      </c>
      <c r="EA39" t="s">
        <v>3</v>
      </c>
      <c r="EB39" t="s">
        <v>3</v>
      </c>
      <c r="EC39" t="s">
        <v>3</v>
      </c>
      <c r="EE39">
        <v>43033442</v>
      </c>
      <c r="EF39">
        <v>1</v>
      </c>
      <c r="EG39" t="s">
        <v>22</v>
      </c>
      <c r="EH39">
        <v>0</v>
      </c>
      <c r="EI39" t="s">
        <v>3</v>
      </c>
      <c r="EJ39">
        <v>4</v>
      </c>
      <c r="EK39">
        <v>0</v>
      </c>
      <c r="EL39" t="s">
        <v>23</v>
      </c>
      <c r="EM39" t="s">
        <v>24</v>
      </c>
      <c r="EO39" t="s">
        <v>3</v>
      </c>
      <c r="EQ39">
        <v>0</v>
      </c>
      <c r="ER39">
        <v>36.31</v>
      </c>
      <c r="ES39">
        <v>36.31</v>
      </c>
      <c r="ET39">
        <v>0</v>
      </c>
      <c r="EU39">
        <v>0</v>
      </c>
      <c r="EV39">
        <v>0</v>
      </c>
      <c r="EW39">
        <v>0</v>
      </c>
      <c r="EX39">
        <v>0</v>
      </c>
      <c r="FQ39">
        <v>0</v>
      </c>
      <c r="FR39">
        <f t="shared" si="45"/>
        <v>0</v>
      </c>
      <c r="FS39">
        <v>0</v>
      </c>
      <c r="FX39">
        <v>70</v>
      </c>
      <c r="FY39">
        <v>10</v>
      </c>
      <c r="GA39" t="s">
        <v>3</v>
      </c>
      <c r="GD39">
        <v>0</v>
      </c>
      <c r="GF39">
        <v>-1142489294</v>
      </c>
      <c r="GG39">
        <v>2</v>
      </c>
      <c r="GH39">
        <v>1</v>
      </c>
      <c r="GI39">
        <v>-2</v>
      </c>
      <c r="GJ39">
        <v>0</v>
      </c>
      <c r="GK39">
        <f>ROUND(R39*(R12)/100,2)</f>
        <v>0</v>
      </c>
      <c r="GL39">
        <f t="shared" si="46"/>
        <v>0</v>
      </c>
      <c r="GM39">
        <f t="shared" si="47"/>
        <v>-84.7</v>
      </c>
      <c r="GN39">
        <f t="shared" si="48"/>
        <v>0</v>
      </c>
      <c r="GO39">
        <f t="shared" si="49"/>
        <v>0</v>
      </c>
      <c r="GP39">
        <f t="shared" si="50"/>
        <v>-84.7</v>
      </c>
      <c r="GR39">
        <v>0</v>
      </c>
      <c r="GS39">
        <v>3</v>
      </c>
      <c r="GT39">
        <v>0</v>
      </c>
      <c r="GU39" t="s">
        <v>3</v>
      </c>
      <c r="GV39">
        <f t="shared" si="51"/>
        <v>0</v>
      </c>
      <c r="GW39">
        <v>1</v>
      </c>
      <c r="GX39">
        <f t="shared" si="52"/>
        <v>0</v>
      </c>
      <c r="HA39">
        <v>0</v>
      </c>
      <c r="HB39">
        <v>0</v>
      </c>
      <c r="HC39">
        <f t="shared" si="53"/>
        <v>0</v>
      </c>
      <c r="HE39" t="s">
        <v>3</v>
      </c>
      <c r="HF39" t="s">
        <v>3</v>
      </c>
      <c r="HM39" t="s">
        <v>3</v>
      </c>
      <c r="HN39" t="s">
        <v>3</v>
      </c>
      <c r="HO39" t="s">
        <v>3</v>
      </c>
      <c r="HP39" t="s">
        <v>3</v>
      </c>
      <c r="HQ39" t="s">
        <v>3</v>
      </c>
      <c r="IK39">
        <v>0</v>
      </c>
    </row>
    <row r="40" spans="1:245" x14ac:dyDescent="0.2">
      <c r="A40">
        <v>17</v>
      </c>
      <c r="B40">
        <v>1</v>
      </c>
      <c r="C40">
        <f>ROW(SmtRes!A53)</f>
        <v>53</v>
      </c>
      <c r="D40">
        <f>ROW(EtalonRes!A47)</f>
        <v>47</v>
      </c>
      <c r="E40" t="s">
        <v>83</v>
      </c>
      <c r="F40" t="s">
        <v>84</v>
      </c>
      <c r="G40" t="s">
        <v>85</v>
      </c>
      <c r="H40" t="s">
        <v>59</v>
      </c>
      <c r="I40">
        <f>ROUND(288/10,9)</f>
        <v>28.8</v>
      </c>
      <c r="J40">
        <v>0</v>
      </c>
      <c r="K40">
        <f>ROUND(288/10,9)</f>
        <v>28.8</v>
      </c>
      <c r="O40">
        <f t="shared" si="14"/>
        <v>16685.57</v>
      </c>
      <c r="P40">
        <f t="shared" si="15"/>
        <v>194.4</v>
      </c>
      <c r="Q40">
        <f t="shared" si="16"/>
        <v>0</v>
      </c>
      <c r="R40">
        <f t="shared" si="17"/>
        <v>0</v>
      </c>
      <c r="S40">
        <f t="shared" si="18"/>
        <v>16491.169999999998</v>
      </c>
      <c r="T40">
        <f t="shared" si="19"/>
        <v>0</v>
      </c>
      <c r="U40">
        <f t="shared" si="20"/>
        <v>61.92</v>
      </c>
      <c r="V40">
        <f t="shared" si="21"/>
        <v>0</v>
      </c>
      <c r="W40">
        <f t="shared" si="22"/>
        <v>0</v>
      </c>
      <c r="X40">
        <f t="shared" si="23"/>
        <v>11543.82</v>
      </c>
      <c r="Y40">
        <f t="shared" si="24"/>
        <v>1649.12</v>
      </c>
      <c r="AA40">
        <v>43095088</v>
      </c>
      <c r="AB40">
        <f t="shared" si="25"/>
        <v>579.36</v>
      </c>
      <c r="AC40">
        <f t="shared" si="26"/>
        <v>6.75</v>
      </c>
      <c r="AD40">
        <f t="shared" si="27"/>
        <v>0</v>
      </c>
      <c r="AE40">
        <f t="shared" si="28"/>
        <v>0</v>
      </c>
      <c r="AF40">
        <f t="shared" si="29"/>
        <v>572.61</v>
      </c>
      <c r="AG40">
        <f t="shared" si="30"/>
        <v>0</v>
      </c>
      <c r="AH40">
        <f t="shared" si="31"/>
        <v>2.15</v>
      </c>
      <c r="AI40">
        <f t="shared" si="32"/>
        <v>0</v>
      </c>
      <c r="AJ40">
        <f t="shared" si="33"/>
        <v>0</v>
      </c>
      <c r="AK40">
        <v>579.36</v>
      </c>
      <c r="AL40">
        <v>6.75</v>
      </c>
      <c r="AM40">
        <v>0</v>
      </c>
      <c r="AN40">
        <v>0</v>
      </c>
      <c r="AO40">
        <v>572.61</v>
      </c>
      <c r="AP40">
        <v>0</v>
      </c>
      <c r="AQ40">
        <v>2.15</v>
      </c>
      <c r="AR40">
        <v>0</v>
      </c>
      <c r="AS40">
        <v>0</v>
      </c>
      <c r="AT40">
        <v>70</v>
      </c>
      <c r="AU40">
        <v>10</v>
      </c>
      <c r="AV40">
        <v>1</v>
      </c>
      <c r="AW40">
        <v>1</v>
      </c>
      <c r="AZ40">
        <v>1</v>
      </c>
      <c r="BA40">
        <v>1</v>
      </c>
      <c r="BB40">
        <v>1</v>
      </c>
      <c r="BC40">
        <v>1</v>
      </c>
      <c r="BD40" t="s">
        <v>3</v>
      </c>
      <c r="BE40" t="s">
        <v>3</v>
      </c>
      <c r="BF40" t="s">
        <v>3</v>
      </c>
      <c r="BG40" t="s">
        <v>3</v>
      </c>
      <c r="BH40">
        <v>0</v>
      </c>
      <c r="BI40">
        <v>4</v>
      </c>
      <c r="BJ40" t="s">
        <v>86</v>
      </c>
      <c r="BM40">
        <v>0</v>
      </c>
      <c r="BN40">
        <v>0</v>
      </c>
      <c r="BO40" t="s">
        <v>3</v>
      </c>
      <c r="BP40">
        <v>0</v>
      </c>
      <c r="BQ40">
        <v>1</v>
      </c>
      <c r="BR40">
        <v>0</v>
      </c>
      <c r="BS40">
        <v>1</v>
      </c>
      <c r="BT40">
        <v>1</v>
      </c>
      <c r="BU40">
        <v>1</v>
      </c>
      <c r="BV40">
        <v>1</v>
      </c>
      <c r="BW40">
        <v>1</v>
      </c>
      <c r="BX40">
        <v>1</v>
      </c>
      <c r="BY40" t="s">
        <v>3</v>
      </c>
      <c r="BZ40">
        <v>70</v>
      </c>
      <c r="CA40">
        <v>10</v>
      </c>
      <c r="CB40" t="s">
        <v>3</v>
      </c>
      <c r="CE40">
        <v>0</v>
      </c>
      <c r="CF40">
        <v>0</v>
      </c>
      <c r="CG40">
        <v>0</v>
      </c>
      <c r="CM40">
        <v>0</v>
      </c>
      <c r="CN40" t="s">
        <v>3</v>
      </c>
      <c r="CO40">
        <v>0</v>
      </c>
      <c r="CP40">
        <f t="shared" si="34"/>
        <v>16685.57</v>
      </c>
      <c r="CQ40">
        <f t="shared" si="35"/>
        <v>6.75</v>
      </c>
      <c r="CR40">
        <f t="shared" si="36"/>
        <v>0</v>
      </c>
      <c r="CS40">
        <f t="shared" si="37"/>
        <v>0</v>
      </c>
      <c r="CT40">
        <f t="shared" si="38"/>
        <v>572.61</v>
      </c>
      <c r="CU40">
        <f t="shared" si="39"/>
        <v>0</v>
      </c>
      <c r="CV40">
        <f t="shared" si="40"/>
        <v>2.15</v>
      </c>
      <c r="CW40">
        <f t="shared" si="41"/>
        <v>0</v>
      </c>
      <c r="CX40">
        <f t="shared" si="42"/>
        <v>0</v>
      </c>
      <c r="CY40">
        <f t="shared" si="43"/>
        <v>11543.819</v>
      </c>
      <c r="CZ40">
        <f t="shared" si="44"/>
        <v>1649.1169999999997</v>
      </c>
      <c r="DC40" t="s">
        <v>3</v>
      </c>
      <c r="DD40" t="s">
        <v>3</v>
      </c>
      <c r="DE40" t="s">
        <v>3</v>
      </c>
      <c r="DF40" t="s">
        <v>3</v>
      </c>
      <c r="DG40" t="s">
        <v>3</v>
      </c>
      <c r="DH40" t="s">
        <v>3</v>
      </c>
      <c r="DI40" t="s">
        <v>3</v>
      </c>
      <c r="DJ40" t="s">
        <v>3</v>
      </c>
      <c r="DK40" t="s">
        <v>3</v>
      </c>
      <c r="DL40" t="s">
        <v>3</v>
      </c>
      <c r="DM40" t="s">
        <v>3</v>
      </c>
      <c r="DN40">
        <v>0</v>
      </c>
      <c r="DO40">
        <v>0</v>
      </c>
      <c r="DP40">
        <v>1</v>
      </c>
      <c r="DQ40">
        <v>1</v>
      </c>
      <c r="DU40">
        <v>1003</v>
      </c>
      <c r="DV40" t="s">
        <v>59</v>
      </c>
      <c r="DW40" t="s">
        <v>59</v>
      </c>
      <c r="DX40">
        <v>10</v>
      </c>
      <c r="DZ40" t="s">
        <v>3</v>
      </c>
      <c r="EA40" t="s">
        <v>3</v>
      </c>
      <c r="EB40" t="s">
        <v>3</v>
      </c>
      <c r="EC40" t="s">
        <v>3</v>
      </c>
      <c r="EE40">
        <v>43033442</v>
      </c>
      <c r="EF40">
        <v>1</v>
      </c>
      <c r="EG40" t="s">
        <v>22</v>
      </c>
      <c r="EH40">
        <v>0</v>
      </c>
      <c r="EI40" t="s">
        <v>3</v>
      </c>
      <c r="EJ40">
        <v>4</v>
      </c>
      <c r="EK40">
        <v>0</v>
      </c>
      <c r="EL40" t="s">
        <v>23</v>
      </c>
      <c r="EM40" t="s">
        <v>24</v>
      </c>
      <c r="EO40" t="s">
        <v>3</v>
      </c>
      <c r="EQ40">
        <v>0</v>
      </c>
      <c r="ER40">
        <v>579.36</v>
      </c>
      <c r="ES40">
        <v>6.75</v>
      </c>
      <c r="ET40">
        <v>0</v>
      </c>
      <c r="EU40">
        <v>0</v>
      </c>
      <c r="EV40">
        <v>572.61</v>
      </c>
      <c r="EW40">
        <v>2.15</v>
      </c>
      <c r="EX40">
        <v>0</v>
      </c>
      <c r="EY40">
        <v>0</v>
      </c>
      <c r="FQ40">
        <v>0</v>
      </c>
      <c r="FR40">
        <f t="shared" si="45"/>
        <v>0</v>
      </c>
      <c r="FS40">
        <v>0</v>
      </c>
      <c r="FX40">
        <v>70</v>
      </c>
      <c r="FY40">
        <v>10</v>
      </c>
      <c r="GA40" t="s">
        <v>3</v>
      </c>
      <c r="GD40">
        <v>0</v>
      </c>
      <c r="GF40">
        <v>-1831852789</v>
      </c>
      <c r="GG40">
        <v>2</v>
      </c>
      <c r="GH40">
        <v>1</v>
      </c>
      <c r="GI40">
        <v>-2</v>
      </c>
      <c r="GJ40">
        <v>0</v>
      </c>
      <c r="GK40">
        <f>ROUND(R40*(R12)/100,2)</f>
        <v>0</v>
      </c>
      <c r="GL40">
        <f t="shared" si="46"/>
        <v>0</v>
      </c>
      <c r="GM40">
        <f t="shared" si="47"/>
        <v>29878.51</v>
      </c>
      <c r="GN40">
        <f t="shared" si="48"/>
        <v>0</v>
      </c>
      <c r="GO40">
        <f t="shared" si="49"/>
        <v>0</v>
      </c>
      <c r="GP40">
        <f t="shared" si="50"/>
        <v>29878.51</v>
      </c>
      <c r="GR40">
        <v>0</v>
      </c>
      <c r="GS40">
        <v>3</v>
      </c>
      <c r="GT40">
        <v>0</v>
      </c>
      <c r="GU40" t="s">
        <v>3</v>
      </c>
      <c r="GV40">
        <f t="shared" si="51"/>
        <v>0</v>
      </c>
      <c r="GW40">
        <v>1</v>
      </c>
      <c r="GX40">
        <f t="shared" si="52"/>
        <v>0</v>
      </c>
      <c r="HA40">
        <v>0</v>
      </c>
      <c r="HB40">
        <v>0</v>
      </c>
      <c r="HC40">
        <f t="shared" si="53"/>
        <v>0</v>
      </c>
      <c r="HE40" t="s">
        <v>3</v>
      </c>
      <c r="HF40" t="s">
        <v>3</v>
      </c>
      <c r="HM40" t="s">
        <v>3</v>
      </c>
      <c r="HN40" t="s">
        <v>3</v>
      </c>
      <c r="HO40" t="s">
        <v>3</v>
      </c>
      <c r="HP40" t="s">
        <v>3</v>
      </c>
      <c r="HQ40" t="s">
        <v>3</v>
      </c>
      <c r="IK40">
        <v>0</v>
      </c>
    </row>
    <row r="41" spans="1:245" x14ac:dyDescent="0.2">
      <c r="A41">
        <v>18</v>
      </c>
      <c r="B41">
        <v>1</v>
      </c>
      <c r="C41">
        <v>51</v>
      </c>
      <c r="E41" t="s">
        <v>87</v>
      </c>
      <c r="F41" t="s">
        <v>88</v>
      </c>
      <c r="G41" t="s">
        <v>89</v>
      </c>
      <c r="H41" t="s">
        <v>64</v>
      </c>
      <c r="I41">
        <f>I40*J41</f>
        <v>302.39999999999998</v>
      </c>
      <c r="J41">
        <v>10.499999999999998</v>
      </c>
      <c r="K41">
        <v>10.5</v>
      </c>
      <c r="O41">
        <f t="shared" si="14"/>
        <v>13396.32</v>
      </c>
      <c r="P41">
        <f t="shared" si="15"/>
        <v>13396.32</v>
      </c>
      <c r="Q41">
        <f t="shared" si="16"/>
        <v>0</v>
      </c>
      <c r="R41">
        <f t="shared" si="17"/>
        <v>0</v>
      </c>
      <c r="S41">
        <f t="shared" si="18"/>
        <v>0</v>
      </c>
      <c r="T41">
        <f t="shared" si="19"/>
        <v>0</v>
      </c>
      <c r="U41">
        <f t="shared" si="20"/>
        <v>0</v>
      </c>
      <c r="V41">
        <f t="shared" si="21"/>
        <v>0</v>
      </c>
      <c r="W41">
        <f t="shared" si="22"/>
        <v>0</v>
      </c>
      <c r="X41">
        <f t="shared" si="23"/>
        <v>0</v>
      </c>
      <c r="Y41">
        <f t="shared" si="24"/>
        <v>0</v>
      </c>
      <c r="AA41">
        <v>43095088</v>
      </c>
      <c r="AB41">
        <f t="shared" si="25"/>
        <v>44.3</v>
      </c>
      <c r="AC41">
        <f t="shared" si="26"/>
        <v>44.3</v>
      </c>
      <c r="AD41">
        <f t="shared" si="27"/>
        <v>0</v>
      </c>
      <c r="AE41">
        <f t="shared" si="28"/>
        <v>0</v>
      </c>
      <c r="AF41">
        <f t="shared" si="29"/>
        <v>0</v>
      </c>
      <c r="AG41">
        <f t="shared" si="30"/>
        <v>0</v>
      </c>
      <c r="AH41">
        <f t="shared" si="31"/>
        <v>0</v>
      </c>
      <c r="AI41">
        <f t="shared" si="32"/>
        <v>0</v>
      </c>
      <c r="AJ41">
        <f t="shared" si="33"/>
        <v>0</v>
      </c>
      <c r="AK41">
        <v>44.3</v>
      </c>
      <c r="AL41">
        <v>44.3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70</v>
      </c>
      <c r="AU41">
        <v>10</v>
      </c>
      <c r="AV41">
        <v>1</v>
      </c>
      <c r="AW41">
        <v>1</v>
      </c>
      <c r="AZ41">
        <v>1</v>
      </c>
      <c r="BA41">
        <v>1</v>
      </c>
      <c r="BB41">
        <v>1</v>
      </c>
      <c r="BC41">
        <v>1</v>
      </c>
      <c r="BD41" t="s">
        <v>3</v>
      </c>
      <c r="BE41" t="s">
        <v>3</v>
      </c>
      <c r="BF41" t="s">
        <v>3</v>
      </c>
      <c r="BG41" t="s">
        <v>3</v>
      </c>
      <c r="BH41">
        <v>3</v>
      </c>
      <c r="BI41">
        <v>4</v>
      </c>
      <c r="BJ41" t="s">
        <v>90</v>
      </c>
      <c r="BM41">
        <v>0</v>
      </c>
      <c r="BN41">
        <v>0</v>
      </c>
      <c r="BO41" t="s">
        <v>3</v>
      </c>
      <c r="BP41">
        <v>0</v>
      </c>
      <c r="BQ41">
        <v>1</v>
      </c>
      <c r="BR41">
        <v>0</v>
      </c>
      <c r="BS41">
        <v>1</v>
      </c>
      <c r="BT41">
        <v>1</v>
      </c>
      <c r="BU41">
        <v>1</v>
      </c>
      <c r="BV41">
        <v>1</v>
      </c>
      <c r="BW41">
        <v>1</v>
      </c>
      <c r="BX41">
        <v>1</v>
      </c>
      <c r="BY41" t="s">
        <v>3</v>
      </c>
      <c r="BZ41">
        <v>70</v>
      </c>
      <c r="CA41">
        <v>10</v>
      </c>
      <c r="CB41" t="s">
        <v>3</v>
      </c>
      <c r="CE41">
        <v>0</v>
      </c>
      <c r="CF41">
        <v>0</v>
      </c>
      <c r="CG41">
        <v>0</v>
      </c>
      <c r="CM41">
        <v>0</v>
      </c>
      <c r="CN41" t="s">
        <v>3</v>
      </c>
      <c r="CO41">
        <v>0</v>
      </c>
      <c r="CP41">
        <f t="shared" si="34"/>
        <v>13396.32</v>
      </c>
      <c r="CQ41">
        <f t="shared" si="35"/>
        <v>44.3</v>
      </c>
      <c r="CR41">
        <f t="shared" si="36"/>
        <v>0</v>
      </c>
      <c r="CS41">
        <f t="shared" si="37"/>
        <v>0</v>
      </c>
      <c r="CT41">
        <f t="shared" si="38"/>
        <v>0</v>
      </c>
      <c r="CU41">
        <f t="shared" si="39"/>
        <v>0</v>
      </c>
      <c r="CV41">
        <f t="shared" si="40"/>
        <v>0</v>
      </c>
      <c r="CW41">
        <f t="shared" si="41"/>
        <v>0</v>
      </c>
      <c r="CX41">
        <f t="shared" si="42"/>
        <v>0</v>
      </c>
      <c r="CY41">
        <f t="shared" si="43"/>
        <v>0</v>
      </c>
      <c r="CZ41">
        <f t="shared" si="44"/>
        <v>0</v>
      </c>
      <c r="DC41" t="s">
        <v>3</v>
      </c>
      <c r="DD41" t="s">
        <v>3</v>
      </c>
      <c r="DE41" t="s">
        <v>3</v>
      </c>
      <c r="DF41" t="s">
        <v>3</v>
      </c>
      <c r="DG41" t="s">
        <v>3</v>
      </c>
      <c r="DH41" t="s">
        <v>3</v>
      </c>
      <c r="DI41" t="s">
        <v>3</v>
      </c>
      <c r="DJ41" t="s">
        <v>3</v>
      </c>
      <c r="DK41" t="s">
        <v>3</v>
      </c>
      <c r="DL41" t="s">
        <v>3</v>
      </c>
      <c r="DM41" t="s">
        <v>3</v>
      </c>
      <c r="DN41">
        <v>0</v>
      </c>
      <c r="DO41">
        <v>0</v>
      </c>
      <c r="DP41">
        <v>1</v>
      </c>
      <c r="DQ41">
        <v>1</v>
      </c>
      <c r="DU41">
        <v>1003</v>
      </c>
      <c r="DV41" t="s">
        <v>64</v>
      </c>
      <c r="DW41" t="s">
        <v>64</v>
      </c>
      <c r="DX41">
        <v>1</v>
      </c>
      <c r="DZ41" t="s">
        <v>3</v>
      </c>
      <c r="EA41" t="s">
        <v>3</v>
      </c>
      <c r="EB41" t="s">
        <v>3</v>
      </c>
      <c r="EC41" t="s">
        <v>3</v>
      </c>
      <c r="EE41">
        <v>43033442</v>
      </c>
      <c r="EF41">
        <v>1</v>
      </c>
      <c r="EG41" t="s">
        <v>22</v>
      </c>
      <c r="EH41">
        <v>0</v>
      </c>
      <c r="EI41" t="s">
        <v>3</v>
      </c>
      <c r="EJ41">
        <v>4</v>
      </c>
      <c r="EK41">
        <v>0</v>
      </c>
      <c r="EL41" t="s">
        <v>23</v>
      </c>
      <c r="EM41" t="s">
        <v>24</v>
      </c>
      <c r="EO41" t="s">
        <v>3</v>
      </c>
      <c r="EQ41">
        <v>0</v>
      </c>
      <c r="ER41">
        <v>44.3</v>
      </c>
      <c r="ES41">
        <v>44.3</v>
      </c>
      <c r="ET41">
        <v>0</v>
      </c>
      <c r="EU41">
        <v>0</v>
      </c>
      <c r="EV41">
        <v>0</v>
      </c>
      <c r="EW41">
        <v>0</v>
      </c>
      <c r="EX41">
        <v>0</v>
      </c>
      <c r="FQ41">
        <v>0</v>
      </c>
      <c r="FR41">
        <f t="shared" si="45"/>
        <v>0</v>
      </c>
      <c r="FS41">
        <v>0</v>
      </c>
      <c r="FX41">
        <v>70</v>
      </c>
      <c r="FY41">
        <v>10</v>
      </c>
      <c r="GA41" t="s">
        <v>3</v>
      </c>
      <c r="GD41">
        <v>0</v>
      </c>
      <c r="GF41">
        <v>-1450401990</v>
      </c>
      <c r="GG41">
        <v>2</v>
      </c>
      <c r="GH41">
        <v>1</v>
      </c>
      <c r="GI41">
        <v>-2</v>
      </c>
      <c r="GJ41">
        <v>0</v>
      </c>
      <c r="GK41">
        <f>ROUND(R41*(R12)/100,2)</f>
        <v>0</v>
      </c>
      <c r="GL41">
        <f t="shared" si="46"/>
        <v>0</v>
      </c>
      <c r="GM41">
        <f t="shared" si="47"/>
        <v>13396.32</v>
      </c>
      <c r="GN41">
        <f t="shared" si="48"/>
        <v>0</v>
      </c>
      <c r="GO41">
        <f t="shared" si="49"/>
        <v>0</v>
      </c>
      <c r="GP41">
        <f t="shared" si="50"/>
        <v>13396.32</v>
      </c>
      <c r="GR41">
        <v>0</v>
      </c>
      <c r="GS41">
        <v>3</v>
      </c>
      <c r="GT41">
        <v>0</v>
      </c>
      <c r="GU41" t="s">
        <v>3</v>
      </c>
      <c r="GV41">
        <f t="shared" si="51"/>
        <v>0</v>
      </c>
      <c r="GW41">
        <v>1</v>
      </c>
      <c r="GX41">
        <f t="shared" si="52"/>
        <v>0</v>
      </c>
      <c r="HA41">
        <v>0</v>
      </c>
      <c r="HB41">
        <v>0</v>
      </c>
      <c r="HC41">
        <f t="shared" si="53"/>
        <v>0</v>
      </c>
      <c r="HE41" t="s">
        <v>3</v>
      </c>
      <c r="HF41" t="s">
        <v>3</v>
      </c>
      <c r="HM41" t="s">
        <v>3</v>
      </c>
      <c r="HN41" t="s">
        <v>3</v>
      </c>
      <c r="HO41" t="s">
        <v>3</v>
      </c>
      <c r="HP41" t="s">
        <v>3</v>
      </c>
      <c r="HQ41" t="s">
        <v>3</v>
      </c>
      <c r="IK41">
        <v>0</v>
      </c>
    </row>
    <row r="42" spans="1:245" x14ac:dyDescent="0.2">
      <c r="A42">
        <v>18</v>
      </c>
      <c r="B42">
        <v>1</v>
      </c>
      <c r="C42">
        <v>52</v>
      </c>
      <c r="E42" t="s">
        <v>91</v>
      </c>
      <c r="F42" t="s">
        <v>92</v>
      </c>
      <c r="G42" t="s">
        <v>93</v>
      </c>
      <c r="H42" t="s">
        <v>94</v>
      </c>
      <c r="I42">
        <f>I40*J42</f>
        <v>0</v>
      </c>
      <c r="J42">
        <v>0</v>
      </c>
      <c r="K42">
        <v>0</v>
      </c>
      <c r="O42">
        <f t="shared" si="14"/>
        <v>0</v>
      </c>
      <c r="P42">
        <f t="shared" si="15"/>
        <v>0</v>
      </c>
      <c r="Q42">
        <f t="shared" si="16"/>
        <v>0</v>
      </c>
      <c r="R42">
        <f t="shared" si="17"/>
        <v>0</v>
      </c>
      <c r="S42">
        <f t="shared" si="18"/>
        <v>0</v>
      </c>
      <c r="T42">
        <f t="shared" si="19"/>
        <v>0</v>
      </c>
      <c r="U42">
        <f t="shared" si="20"/>
        <v>0</v>
      </c>
      <c r="V42">
        <f t="shared" si="21"/>
        <v>0</v>
      </c>
      <c r="W42">
        <f t="shared" si="22"/>
        <v>0</v>
      </c>
      <c r="X42">
        <f t="shared" si="23"/>
        <v>0</v>
      </c>
      <c r="Y42">
        <f t="shared" si="24"/>
        <v>0</v>
      </c>
      <c r="AA42">
        <v>43095088</v>
      </c>
      <c r="AB42">
        <f t="shared" si="25"/>
        <v>0</v>
      </c>
      <c r="AC42">
        <f t="shared" si="26"/>
        <v>0</v>
      </c>
      <c r="AD42">
        <f t="shared" si="27"/>
        <v>0</v>
      </c>
      <c r="AE42">
        <f t="shared" si="28"/>
        <v>0</v>
      </c>
      <c r="AF42">
        <f t="shared" si="29"/>
        <v>0</v>
      </c>
      <c r="AG42">
        <f t="shared" si="30"/>
        <v>0</v>
      </c>
      <c r="AH42">
        <f t="shared" si="31"/>
        <v>0</v>
      </c>
      <c r="AI42">
        <f t="shared" si="32"/>
        <v>0</v>
      </c>
      <c r="AJ42">
        <f t="shared" si="33"/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70</v>
      </c>
      <c r="AU42">
        <v>10</v>
      </c>
      <c r="AV42">
        <v>1</v>
      </c>
      <c r="AW42">
        <v>1</v>
      </c>
      <c r="AZ42">
        <v>1</v>
      </c>
      <c r="BA42">
        <v>1</v>
      </c>
      <c r="BB42">
        <v>1</v>
      </c>
      <c r="BC42">
        <v>1</v>
      </c>
      <c r="BD42" t="s">
        <v>3</v>
      </c>
      <c r="BE42" t="s">
        <v>3</v>
      </c>
      <c r="BF42" t="s">
        <v>3</v>
      </c>
      <c r="BG42" t="s">
        <v>3</v>
      </c>
      <c r="BH42">
        <v>3</v>
      </c>
      <c r="BI42">
        <v>4</v>
      </c>
      <c r="BJ42" t="s">
        <v>3</v>
      </c>
      <c r="BM42">
        <v>0</v>
      </c>
      <c r="BN42">
        <v>0</v>
      </c>
      <c r="BO42" t="s">
        <v>3</v>
      </c>
      <c r="BP42">
        <v>0</v>
      </c>
      <c r="BQ42">
        <v>1</v>
      </c>
      <c r="BR42">
        <v>0</v>
      </c>
      <c r="BS42">
        <v>1</v>
      </c>
      <c r="BT42">
        <v>1</v>
      </c>
      <c r="BU42">
        <v>1</v>
      </c>
      <c r="BV42">
        <v>1</v>
      </c>
      <c r="BW42">
        <v>1</v>
      </c>
      <c r="BX42">
        <v>1</v>
      </c>
      <c r="BY42" t="s">
        <v>3</v>
      </c>
      <c r="BZ42">
        <v>70</v>
      </c>
      <c r="CA42">
        <v>10</v>
      </c>
      <c r="CB42" t="s">
        <v>3</v>
      </c>
      <c r="CE42">
        <v>0</v>
      </c>
      <c r="CF42">
        <v>0</v>
      </c>
      <c r="CG42">
        <v>0</v>
      </c>
      <c r="CM42">
        <v>0</v>
      </c>
      <c r="CN42" t="s">
        <v>3</v>
      </c>
      <c r="CO42">
        <v>0</v>
      </c>
      <c r="CP42">
        <f t="shared" si="34"/>
        <v>0</v>
      </c>
      <c r="CQ42">
        <f t="shared" si="35"/>
        <v>0</v>
      </c>
      <c r="CR42">
        <f t="shared" si="36"/>
        <v>0</v>
      </c>
      <c r="CS42">
        <f t="shared" si="37"/>
        <v>0</v>
      </c>
      <c r="CT42">
        <f t="shared" si="38"/>
        <v>0</v>
      </c>
      <c r="CU42">
        <f t="shared" si="39"/>
        <v>0</v>
      </c>
      <c r="CV42">
        <f t="shared" si="40"/>
        <v>0</v>
      </c>
      <c r="CW42">
        <f t="shared" si="41"/>
        <v>0</v>
      </c>
      <c r="CX42">
        <f t="shared" si="42"/>
        <v>0</v>
      </c>
      <c r="CY42">
        <f t="shared" si="43"/>
        <v>0</v>
      </c>
      <c r="CZ42">
        <f t="shared" si="44"/>
        <v>0</v>
      </c>
      <c r="DC42" t="s">
        <v>3</v>
      </c>
      <c r="DD42" t="s">
        <v>3</v>
      </c>
      <c r="DE42" t="s">
        <v>3</v>
      </c>
      <c r="DF42" t="s">
        <v>3</v>
      </c>
      <c r="DG42" t="s">
        <v>3</v>
      </c>
      <c r="DH42" t="s">
        <v>3</v>
      </c>
      <c r="DI42" t="s">
        <v>3</v>
      </c>
      <c r="DJ42" t="s">
        <v>3</v>
      </c>
      <c r="DK42" t="s">
        <v>3</v>
      </c>
      <c r="DL42" t="s">
        <v>3</v>
      </c>
      <c r="DM42" t="s">
        <v>3</v>
      </c>
      <c r="DN42">
        <v>0</v>
      </c>
      <c r="DO42">
        <v>0</v>
      </c>
      <c r="DP42">
        <v>1</v>
      </c>
      <c r="DQ42">
        <v>1</v>
      </c>
      <c r="DU42">
        <v>1005</v>
      </c>
      <c r="DV42" t="s">
        <v>94</v>
      </c>
      <c r="DW42" t="s">
        <v>94</v>
      </c>
      <c r="DX42">
        <v>1</v>
      </c>
      <c r="DZ42" t="s">
        <v>3</v>
      </c>
      <c r="EA42" t="s">
        <v>3</v>
      </c>
      <c r="EB42" t="s">
        <v>3</v>
      </c>
      <c r="EC42" t="s">
        <v>3</v>
      </c>
      <c r="EE42">
        <v>43033442</v>
      </c>
      <c r="EF42">
        <v>1</v>
      </c>
      <c r="EG42" t="s">
        <v>22</v>
      </c>
      <c r="EH42">
        <v>0</v>
      </c>
      <c r="EI42" t="s">
        <v>3</v>
      </c>
      <c r="EJ42">
        <v>4</v>
      </c>
      <c r="EK42">
        <v>0</v>
      </c>
      <c r="EL42" t="s">
        <v>23</v>
      </c>
      <c r="EM42" t="s">
        <v>24</v>
      </c>
      <c r="EO42" t="s">
        <v>3</v>
      </c>
      <c r="EQ42">
        <v>0</v>
      </c>
      <c r="ER42">
        <v>0</v>
      </c>
      <c r="ES42">
        <v>0</v>
      </c>
      <c r="ET42">
        <v>0</v>
      </c>
      <c r="EU42">
        <v>0</v>
      </c>
      <c r="EV42">
        <v>0</v>
      </c>
      <c r="EW42">
        <v>0</v>
      </c>
      <c r="EX42">
        <v>0</v>
      </c>
      <c r="FQ42">
        <v>0</v>
      </c>
      <c r="FR42">
        <f t="shared" si="45"/>
        <v>0</v>
      </c>
      <c r="FS42">
        <v>0</v>
      </c>
      <c r="FX42">
        <v>70</v>
      </c>
      <c r="FY42">
        <v>10</v>
      </c>
      <c r="GA42" t="s">
        <v>3</v>
      </c>
      <c r="GD42">
        <v>0</v>
      </c>
      <c r="GF42">
        <v>2071043993</v>
      </c>
      <c r="GG42">
        <v>2</v>
      </c>
      <c r="GH42">
        <v>1</v>
      </c>
      <c r="GI42">
        <v>-2</v>
      </c>
      <c r="GJ42">
        <v>0</v>
      </c>
      <c r="GK42">
        <f>ROUND(R42*(R12)/100,2)</f>
        <v>0</v>
      </c>
      <c r="GL42">
        <f t="shared" si="46"/>
        <v>0</v>
      </c>
      <c r="GM42">
        <f t="shared" si="47"/>
        <v>0</v>
      </c>
      <c r="GN42">
        <f t="shared" si="48"/>
        <v>0</v>
      </c>
      <c r="GO42">
        <f t="shared" si="49"/>
        <v>0</v>
      </c>
      <c r="GP42">
        <f t="shared" si="50"/>
        <v>0</v>
      </c>
      <c r="GR42">
        <v>0</v>
      </c>
      <c r="GS42">
        <v>3</v>
      </c>
      <c r="GT42">
        <v>0</v>
      </c>
      <c r="GU42" t="s">
        <v>3</v>
      </c>
      <c r="GV42">
        <f t="shared" si="51"/>
        <v>0</v>
      </c>
      <c r="GW42">
        <v>1</v>
      </c>
      <c r="GX42">
        <f t="shared" si="52"/>
        <v>0</v>
      </c>
      <c r="HA42">
        <v>0</v>
      </c>
      <c r="HB42">
        <v>0</v>
      </c>
      <c r="HC42">
        <f t="shared" si="53"/>
        <v>0</v>
      </c>
      <c r="HE42" t="s">
        <v>3</v>
      </c>
      <c r="HF42" t="s">
        <v>3</v>
      </c>
      <c r="HM42" t="s">
        <v>3</v>
      </c>
      <c r="HN42" t="s">
        <v>3</v>
      </c>
      <c r="HO42" t="s">
        <v>3</v>
      </c>
      <c r="HP42" t="s">
        <v>3</v>
      </c>
      <c r="HQ42" t="s">
        <v>3</v>
      </c>
      <c r="IK42">
        <v>0</v>
      </c>
    </row>
    <row r="43" spans="1:245" x14ac:dyDescent="0.2">
      <c r="A43">
        <v>18</v>
      </c>
      <c r="B43">
        <v>1</v>
      </c>
      <c r="C43">
        <v>47</v>
      </c>
      <c r="E43" t="s">
        <v>95</v>
      </c>
      <c r="F43" t="s">
        <v>96</v>
      </c>
      <c r="G43" t="s">
        <v>97</v>
      </c>
      <c r="H43" t="s">
        <v>64</v>
      </c>
      <c r="I43">
        <f>I40*J43</f>
        <v>124.95000000000002</v>
      </c>
      <c r="J43">
        <v>4.338541666666667</v>
      </c>
      <c r="K43">
        <v>4.3385420000000003</v>
      </c>
      <c r="O43">
        <f t="shared" si="14"/>
        <v>3566.07</v>
      </c>
      <c r="P43">
        <f t="shared" si="15"/>
        <v>3566.07</v>
      </c>
      <c r="Q43">
        <f t="shared" si="16"/>
        <v>0</v>
      </c>
      <c r="R43">
        <f t="shared" si="17"/>
        <v>0</v>
      </c>
      <c r="S43">
        <f t="shared" si="18"/>
        <v>0</v>
      </c>
      <c r="T43">
        <f t="shared" si="19"/>
        <v>0</v>
      </c>
      <c r="U43">
        <f t="shared" si="20"/>
        <v>0</v>
      </c>
      <c r="V43">
        <f t="shared" si="21"/>
        <v>0</v>
      </c>
      <c r="W43">
        <f t="shared" si="22"/>
        <v>0</v>
      </c>
      <c r="X43">
        <f t="shared" si="23"/>
        <v>0</v>
      </c>
      <c r="Y43">
        <f t="shared" si="24"/>
        <v>0</v>
      </c>
      <c r="AA43">
        <v>43095088</v>
      </c>
      <c r="AB43">
        <f t="shared" si="25"/>
        <v>28.54</v>
      </c>
      <c r="AC43">
        <f t="shared" si="26"/>
        <v>28.54</v>
      </c>
      <c r="AD43">
        <f t="shared" si="27"/>
        <v>0</v>
      </c>
      <c r="AE43">
        <f t="shared" si="28"/>
        <v>0</v>
      </c>
      <c r="AF43">
        <f t="shared" si="29"/>
        <v>0</v>
      </c>
      <c r="AG43">
        <f t="shared" si="30"/>
        <v>0</v>
      </c>
      <c r="AH43">
        <f t="shared" si="31"/>
        <v>0</v>
      </c>
      <c r="AI43">
        <f t="shared" si="32"/>
        <v>0</v>
      </c>
      <c r="AJ43">
        <f t="shared" si="33"/>
        <v>0</v>
      </c>
      <c r="AK43">
        <v>28.54</v>
      </c>
      <c r="AL43">
        <v>28.54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70</v>
      </c>
      <c r="AU43">
        <v>10</v>
      </c>
      <c r="AV43">
        <v>1</v>
      </c>
      <c r="AW43">
        <v>1</v>
      </c>
      <c r="AZ43">
        <v>1</v>
      </c>
      <c r="BA43">
        <v>1</v>
      </c>
      <c r="BB43">
        <v>1</v>
      </c>
      <c r="BC43">
        <v>1</v>
      </c>
      <c r="BD43" t="s">
        <v>3</v>
      </c>
      <c r="BE43" t="s">
        <v>3</v>
      </c>
      <c r="BF43" t="s">
        <v>3</v>
      </c>
      <c r="BG43" t="s">
        <v>3</v>
      </c>
      <c r="BH43">
        <v>3</v>
      </c>
      <c r="BI43">
        <v>4</v>
      </c>
      <c r="BJ43" t="s">
        <v>98</v>
      </c>
      <c r="BM43">
        <v>0</v>
      </c>
      <c r="BN43">
        <v>0</v>
      </c>
      <c r="BO43" t="s">
        <v>3</v>
      </c>
      <c r="BP43">
        <v>0</v>
      </c>
      <c r="BQ43">
        <v>1</v>
      </c>
      <c r="BR43">
        <v>0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 t="s">
        <v>3</v>
      </c>
      <c r="BZ43">
        <v>70</v>
      </c>
      <c r="CA43">
        <v>10</v>
      </c>
      <c r="CB43" t="s">
        <v>3</v>
      </c>
      <c r="CE43">
        <v>0</v>
      </c>
      <c r="CF43">
        <v>0</v>
      </c>
      <c r="CG43">
        <v>0</v>
      </c>
      <c r="CM43">
        <v>0</v>
      </c>
      <c r="CN43" t="s">
        <v>3</v>
      </c>
      <c r="CO43">
        <v>0</v>
      </c>
      <c r="CP43">
        <f t="shared" si="34"/>
        <v>3566.07</v>
      </c>
      <c r="CQ43">
        <f t="shared" si="35"/>
        <v>28.54</v>
      </c>
      <c r="CR43">
        <f t="shared" si="36"/>
        <v>0</v>
      </c>
      <c r="CS43">
        <f t="shared" si="37"/>
        <v>0</v>
      </c>
      <c r="CT43">
        <f t="shared" si="38"/>
        <v>0</v>
      </c>
      <c r="CU43">
        <f t="shared" si="39"/>
        <v>0</v>
      </c>
      <c r="CV43">
        <f t="shared" si="40"/>
        <v>0</v>
      </c>
      <c r="CW43">
        <f t="shared" si="41"/>
        <v>0</v>
      </c>
      <c r="CX43">
        <f t="shared" si="42"/>
        <v>0</v>
      </c>
      <c r="CY43">
        <f t="shared" si="43"/>
        <v>0</v>
      </c>
      <c r="CZ43">
        <f t="shared" si="44"/>
        <v>0</v>
      </c>
      <c r="DC43" t="s">
        <v>3</v>
      </c>
      <c r="DD43" t="s">
        <v>3</v>
      </c>
      <c r="DE43" t="s">
        <v>3</v>
      </c>
      <c r="DF43" t="s">
        <v>3</v>
      </c>
      <c r="DG43" t="s">
        <v>3</v>
      </c>
      <c r="DH43" t="s">
        <v>3</v>
      </c>
      <c r="DI43" t="s">
        <v>3</v>
      </c>
      <c r="DJ43" t="s">
        <v>3</v>
      </c>
      <c r="DK43" t="s">
        <v>3</v>
      </c>
      <c r="DL43" t="s">
        <v>3</v>
      </c>
      <c r="DM43" t="s">
        <v>3</v>
      </c>
      <c r="DN43">
        <v>0</v>
      </c>
      <c r="DO43">
        <v>0</v>
      </c>
      <c r="DP43">
        <v>1</v>
      </c>
      <c r="DQ43">
        <v>1</v>
      </c>
      <c r="DU43">
        <v>1003</v>
      </c>
      <c r="DV43" t="s">
        <v>64</v>
      </c>
      <c r="DW43" t="s">
        <v>64</v>
      </c>
      <c r="DX43">
        <v>1</v>
      </c>
      <c r="DZ43" t="s">
        <v>3</v>
      </c>
      <c r="EA43" t="s">
        <v>3</v>
      </c>
      <c r="EB43" t="s">
        <v>3</v>
      </c>
      <c r="EC43" t="s">
        <v>3</v>
      </c>
      <c r="EE43">
        <v>43033442</v>
      </c>
      <c r="EF43">
        <v>1</v>
      </c>
      <c r="EG43" t="s">
        <v>22</v>
      </c>
      <c r="EH43">
        <v>0</v>
      </c>
      <c r="EI43" t="s">
        <v>3</v>
      </c>
      <c r="EJ43">
        <v>4</v>
      </c>
      <c r="EK43">
        <v>0</v>
      </c>
      <c r="EL43" t="s">
        <v>23</v>
      </c>
      <c r="EM43" t="s">
        <v>24</v>
      </c>
      <c r="EO43" t="s">
        <v>3</v>
      </c>
      <c r="EQ43">
        <v>0</v>
      </c>
      <c r="ER43">
        <v>28.54</v>
      </c>
      <c r="ES43">
        <v>28.54</v>
      </c>
      <c r="ET43">
        <v>0</v>
      </c>
      <c r="EU43">
        <v>0</v>
      </c>
      <c r="EV43">
        <v>0</v>
      </c>
      <c r="EW43">
        <v>0</v>
      </c>
      <c r="EX43">
        <v>0</v>
      </c>
      <c r="FQ43">
        <v>0</v>
      </c>
      <c r="FR43">
        <f t="shared" si="45"/>
        <v>0</v>
      </c>
      <c r="FS43">
        <v>0</v>
      </c>
      <c r="FX43">
        <v>70</v>
      </c>
      <c r="FY43">
        <v>10</v>
      </c>
      <c r="GA43" t="s">
        <v>3</v>
      </c>
      <c r="GD43">
        <v>0</v>
      </c>
      <c r="GF43">
        <v>569689119</v>
      </c>
      <c r="GG43">
        <v>2</v>
      </c>
      <c r="GH43">
        <v>1</v>
      </c>
      <c r="GI43">
        <v>-2</v>
      </c>
      <c r="GJ43">
        <v>0</v>
      </c>
      <c r="GK43">
        <f>ROUND(R43*(R12)/100,2)</f>
        <v>0</v>
      </c>
      <c r="GL43">
        <f t="shared" si="46"/>
        <v>0</v>
      </c>
      <c r="GM43">
        <f t="shared" si="47"/>
        <v>3566.07</v>
      </c>
      <c r="GN43">
        <f t="shared" si="48"/>
        <v>0</v>
      </c>
      <c r="GO43">
        <f t="shared" si="49"/>
        <v>0</v>
      </c>
      <c r="GP43">
        <f t="shared" si="50"/>
        <v>3566.07</v>
      </c>
      <c r="GR43">
        <v>0</v>
      </c>
      <c r="GS43">
        <v>3</v>
      </c>
      <c r="GT43">
        <v>0</v>
      </c>
      <c r="GU43" t="s">
        <v>3</v>
      </c>
      <c r="GV43">
        <f t="shared" si="51"/>
        <v>0</v>
      </c>
      <c r="GW43">
        <v>1</v>
      </c>
      <c r="GX43">
        <f t="shared" si="52"/>
        <v>0</v>
      </c>
      <c r="HA43">
        <v>0</v>
      </c>
      <c r="HB43">
        <v>0</v>
      </c>
      <c r="HC43">
        <f t="shared" si="53"/>
        <v>0</v>
      </c>
      <c r="HE43" t="s">
        <v>3</v>
      </c>
      <c r="HF43" t="s">
        <v>3</v>
      </c>
      <c r="HM43" t="s">
        <v>3</v>
      </c>
      <c r="HN43" t="s">
        <v>3</v>
      </c>
      <c r="HO43" t="s">
        <v>3</v>
      </c>
      <c r="HP43" t="s">
        <v>3</v>
      </c>
      <c r="HQ43" t="s">
        <v>3</v>
      </c>
      <c r="IK43">
        <v>0</v>
      </c>
    </row>
    <row r="44" spans="1:245" x14ac:dyDescent="0.2">
      <c r="A44">
        <v>18</v>
      </c>
      <c r="B44">
        <v>1</v>
      </c>
      <c r="C44">
        <v>48</v>
      </c>
      <c r="E44" t="s">
        <v>99</v>
      </c>
      <c r="F44" t="s">
        <v>100</v>
      </c>
      <c r="G44" t="s">
        <v>101</v>
      </c>
      <c r="H44" t="s">
        <v>64</v>
      </c>
      <c r="I44">
        <f>I40*J44</f>
        <v>14.45</v>
      </c>
      <c r="J44">
        <v>0.50173611111111105</v>
      </c>
      <c r="K44">
        <v>0.50173599999999996</v>
      </c>
      <c r="O44">
        <f t="shared" si="14"/>
        <v>711.08</v>
      </c>
      <c r="P44">
        <f t="shared" si="15"/>
        <v>711.08</v>
      </c>
      <c r="Q44">
        <f t="shared" si="16"/>
        <v>0</v>
      </c>
      <c r="R44">
        <f t="shared" si="17"/>
        <v>0</v>
      </c>
      <c r="S44">
        <f t="shared" si="18"/>
        <v>0</v>
      </c>
      <c r="T44">
        <f t="shared" si="19"/>
        <v>0</v>
      </c>
      <c r="U44">
        <f t="shared" si="20"/>
        <v>0</v>
      </c>
      <c r="V44">
        <f t="shared" si="21"/>
        <v>0</v>
      </c>
      <c r="W44">
        <f t="shared" si="22"/>
        <v>0</v>
      </c>
      <c r="X44">
        <f t="shared" si="23"/>
        <v>0</v>
      </c>
      <c r="Y44">
        <f t="shared" si="24"/>
        <v>0</v>
      </c>
      <c r="AA44">
        <v>43095088</v>
      </c>
      <c r="AB44">
        <f t="shared" si="25"/>
        <v>49.21</v>
      </c>
      <c r="AC44">
        <f t="shared" si="26"/>
        <v>49.21</v>
      </c>
      <c r="AD44">
        <f t="shared" si="27"/>
        <v>0</v>
      </c>
      <c r="AE44">
        <f t="shared" si="28"/>
        <v>0</v>
      </c>
      <c r="AF44">
        <f t="shared" si="29"/>
        <v>0</v>
      </c>
      <c r="AG44">
        <f t="shared" si="30"/>
        <v>0</v>
      </c>
      <c r="AH44">
        <f t="shared" si="31"/>
        <v>0</v>
      </c>
      <c r="AI44">
        <f t="shared" si="32"/>
        <v>0</v>
      </c>
      <c r="AJ44">
        <f t="shared" si="33"/>
        <v>0</v>
      </c>
      <c r="AK44">
        <v>49.21</v>
      </c>
      <c r="AL44">
        <v>49.21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70</v>
      </c>
      <c r="AU44">
        <v>10</v>
      </c>
      <c r="AV44">
        <v>1</v>
      </c>
      <c r="AW44">
        <v>1</v>
      </c>
      <c r="AZ44">
        <v>1</v>
      </c>
      <c r="BA44">
        <v>1</v>
      </c>
      <c r="BB44">
        <v>1</v>
      </c>
      <c r="BC44">
        <v>1</v>
      </c>
      <c r="BD44" t="s">
        <v>3</v>
      </c>
      <c r="BE44" t="s">
        <v>3</v>
      </c>
      <c r="BF44" t="s">
        <v>3</v>
      </c>
      <c r="BG44" t="s">
        <v>3</v>
      </c>
      <c r="BH44">
        <v>3</v>
      </c>
      <c r="BI44">
        <v>4</v>
      </c>
      <c r="BJ44" t="s">
        <v>102</v>
      </c>
      <c r="BM44">
        <v>0</v>
      </c>
      <c r="BN44">
        <v>0</v>
      </c>
      <c r="BO44" t="s">
        <v>3</v>
      </c>
      <c r="BP44">
        <v>0</v>
      </c>
      <c r="BQ44">
        <v>1</v>
      </c>
      <c r="BR44">
        <v>0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 t="s">
        <v>3</v>
      </c>
      <c r="BZ44">
        <v>70</v>
      </c>
      <c r="CA44">
        <v>10</v>
      </c>
      <c r="CB44" t="s">
        <v>3</v>
      </c>
      <c r="CE44">
        <v>0</v>
      </c>
      <c r="CF44">
        <v>0</v>
      </c>
      <c r="CG44">
        <v>0</v>
      </c>
      <c r="CM44">
        <v>0</v>
      </c>
      <c r="CN44" t="s">
        <v>3</v>
      </c>
      <c r="CO44">
        <v>0</v>
      </c>
      <c r="CP44">
        <f t="shared" si="34"/>
        <v>711.08</v>
      </c>
      <c r="CQ44">
        <f t="shared" si="35"/>
        <v>49.21</v>
      </c>
      <c r="CR44">
        <f t="shared" si="36"/>
        <v>0</v>
      </c>
      <c r="CS44">
        <f t="shared" si="37"/>
        <v>0</v>
      </c>
      <c r="CT44">
        <f t="shared" si="38"/>
        <v>0</v>
      </c>
      <c r="CU44">
        <f t="shared" si="39"/>
        <v>0</v>
      </c>
      <c r="CV44">
        <f t="shared" si="40"/>
        <v>0</v>
      </c>
      <c r="CW44">
        <f t="shared" si="41"/>
        <v>0</v>
      </c>
      <c r="CX44">
        <f t="shared" si="42"/>
        <v>0</v>
      </c>
      <c r="CY44">
        <f t="shared" si="43"/>
        <v>0</v>
      </c>
      <c r="CZ44">
        <f t="shared" si="44"/>
        <v>0</v>
      </c>
      <c r="DC44" t="s">
        <v>3</v>
      </c>
      <c r="DD44" t="s">
        <v>3</v>
      </c>
      <c r="DE44" t="s">
        <v>3</v>
      </c>
      <c r="DF44" t="s">
        <v>3</v>
      </c>
      <c r="DG44" t="s">
        <v>3</v>
      </c>
      <c r="DH44" t="s">
        <v>3</v>
      </c>
      <c r="DI44" t="s">
        <v>3</v>
      </c>
      <c r="DJ44" t="s">
        <v>3</v>
      </c>
      <c r="DK44" t="s">
        <v>3</v>
      </c>
      <c r="DL44" t="s">
        <v>3</v>
      </c>
      <c r="DM44" t="s">
        <v>3</v>
      </c>
      <c r="DN44">
        <v>0</v>
      </c>
      <c r="DO44">
        <v>0</v>
      </c>
      <c r="DP44">
        <v>1</v>
      </c>
      <c r="DQ44">
        <v>1</v>
      </c>
      <c r="DU44">
        <v>1003</v>
      </c>
      <c r="DV44" t="s">
        <v>64</v>
      </c>
      <c r="DW44" t="s">
        <v>64</v>
      </c>
      <c r="DX44">
        <v>1</v>
      </c>
      <c r="DZ44" t="s">
        <v>3</v>
      </c>
      <c r="EA44" t="s">
        <v>3</v>
      </c>
      <c r="EB44" t="s">
        <v>3</v>
      </c>
      <c r="EC44" t="s">
        <v>3</v>
      </c>
      <c r="EE44">
        <v>43033442</v>
      </c>
      <c r="EF44">
        <v>1</v>
      </c>
      <c r="EG44" t="s">
        <v>22</v>
      </c>
      <c r="EH44">
        <v>0</v>
      </c>
      <c r="EI44" t="s">
        <v>3</v>
      </c>
      <c r="EJ44">
        <v>4</v>
      </c>
      <c r="EK44">
        <v>0</v>
      </c>
      <c r="EL44" t="s">
        <v>23</v>
      </c>
      <c r="EM44" t="s">
        <v>24</v>
      </c>
      <c r="EO44" t="s">
        <v>3</v>
      </c>
      <c r="EQ44">
        <v>0</v>
      </c>
      <c r="ER44">
        <v>49.21</v>
      </c>
      <c r="ES44">
        <v>49.21</v>
      </c>
      <c r="ET44">
        <v>0</v>
      </c>
      <c r="EU44">
        <v>0</v>
      </c>
      <c r="EV44">
        <v>0</v>
      </c>
      <c r="EW44">
        <v>0</v>
      </c>
      <c r="EX44">
        <v>0</v>
      </c>
      <c r="FQ44">
        <v>0</v>
      </c>
      <c r="FR44">
        <f t="shared" si="45"/>
        <v>0</v>
      </c>
      <c r="FS44">
        <v>0</v>
      </c>
      <c r="FX44">
        <v>70</v>
      </c>
      <c r="FY44">
        <v>10</v>
      </c>
      <c r="GA44" t="s">
        <v>3</v>
      </c>
      <c r="GD44">
        <v>0</v>
      </c>
      <c r="GF44">
        <v>1778712650</v>
      </c>
      <c r="GG44">
        <v>2</v>
      </c>
      <c r="GH44">
        <v>1</v>
      </c>
      <c r="GI44">
        <v>-2</v>
      </c>
      <c r="GJ44">
        <v>0</v>
      </c>
      <c r="GK44">
        <f>ROUND(R44*(R12)/100,2)</f>
        <v>0</v>
      </c>
      <c r="GL44">
        <f t="shared" si="46"/>
        <v>0</v>
      </c>
      <c r="GM44">
        <f t="shared" si="47"/>
        <v>711.08</v>
      </c>
      <c r="GN44">
        <f t="shared" si="48"/>
        <v>0</v>
      </c>
      <c r="GO44">
        <f t="shared" si="49"/>
        <v>0</v>
      </c>
      <c r="GP44">
        <f t="shared" si="50"/>
        <v>711.08</v>
      </c>
      <c r="GR44">
        <v>0</v>
      </c>
      <c r="GS44">
        <v>3</v>
      </c>
      <c r="GT44">
        <v>0</v>
      </c>
      <c r="GU44" t="s">
        <v>3</v>
      </c>
      <c r="GV44">
        <f t="shared" si="51"/>
        <v>0</v>
      </c>
      <c r="GW44">
        <v>1</v>
      </c>
      <c r="GX44">
        <f t="shared" si="52"/>
        <v>0</v>
      </c>
      <c r="HA44">
        <v>0</v>
      </c>
      <c r="HB44">
        <v>0</v>
      </c>
      <c r="HC44">
        <f t="shared" si="53"/>
        <v>0</v>
      </c>
      <c r="HE44" t="s">
        <v>3</v>
      </c>
      <c r="HF44" t="s">
        <v>3</v>
      </c>
      <c r="HM44" t="s">
        <v>3</v>
      </c>
      <c r="HN44" t="s">
        <v>3</v>
      </c>
      <c r="HO44" t="s">
        <v>3</v>
      </c>
      <c r="HP44" t="s">
        <v>3</v>
      </c>
      <c r="HQ44" t="s">
        <v>3</v>
      </c>
      <c r="IK44">
        <v>0</v>
      </c>
    </row>
    <row r="45" spans="1:245" x14ac:dyDescent="0.2">
      <c r="A45">
        <v>18</v>
      </c>
      <c r="B45">
        <v>1</v>
      </c>
      <c r="C45">
        <v>49</v>
      </c>
      <c r="E45" t="s">
        <v>103</v>
      </c>
      <c r="F45" t="s">
        <v>104</v>
      </c>
      <c r="G45" t="s">
        <v>105</v>
      </c>
      <c r="H45" t="s">
        <v>64</v>
      </c>
      <c r="I45">
        <f>I40*J45</f>
        <v>36.75</v>
      </c>
      <c r="J45">
        <v>1.2760416666666667</v>
      </c>
      <c r="K45">
        <v>1.2760419999999999</v>
      </c>
      <c r="O45">
        <f t="shared" si="14"/>
        <v>1982.66</v>
      </c>
      <c r="P45">
        <f t="shared" si="15"/>
        <v>1982.66</v>
      </c>
      <c r="Q45">
        <f t="shared" si="16"/>
        <v>0</v>
      </c>
      <c r="R45">
        <f t="shared" si="17"/>
        <v>0</v>
      </c>
      <c r="S45">
        <f t="shared" si="18"/>
        <v>0</v>
      </c>
      <c r="T45">
        <f t="shared" si="19"/>
        <v>0</v>
      </c>
      <c r="U45">
        <f t="shared" si="20"/>
        <v>0</v>
      </c>
      <c r="V45">
        <f t="shared" si="21"/>
        <v>0</v>
      </c>
      <c r="W45">
        <f t="shared" si="22"/>
        <v>0</v>
      </c>
      <c r="X45">
        <f t="shared" si="23"/>
        <v>0</v>
      </c>
      <c r="Y45">
        <f t="shared" si="24"/>
        <v>0</v>
      </c>
      <c r="AA45">
        <v>43095088</v>
      </c>
      <c r="AB45">
        <f t="shared" si="25"/>
        <v>53.95</v>
      </c>
      <c r="AC45">
        <f t="shared" si="26"/>
        <v>53.95</v>
      </c>
      <c r="AD45">
        <f t="shared" si="27"/>
        <v>0</v>
      </c>
      <c r="AE45">
        <f t="shared" si="28"/>
        <v>0</v>
      </c>
      <c r="AF45">
        <f t="shared" si="29"/>
        <v>0</v>
      </c>
      <c r="AG45">
        <f t="shared" si="30"/>
        <v>0</v>
      </c>
      <c r="AH45">
        <f t="shared" si="31"/>
        <v>0</v>
      </c>
      <c r="AI45">
        <f t="shared" si="32"/>
        <v>0</v>
      </c>
      <c r="AJ45">
        <f t="shared" si="33"/>
        <v>0</v>
      </c>
      <c r="AK45">
        <v>53.95</v>
      </c>
      <c r="AL45">
        <v>53.95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70</v>
      </c>
      <c r="AU45">
        <v>10</v>
      </c>
      <c r="AV45">
        <v>1</v>
      </c>
      <c r="AW45">
        <v>1</v>
      </c>
      <c r="AZ45">
        <v>1</v>
      </c>
      <c r="BA45">
        <v>1</v>
      </c>
      <c r="BB45">
        <v>1</v>
      </c>
      <c r="BC45">
        <v>1</v>
      </c>
      <c r="BD45" t="s">
        <v>3</v>
      </c>
      <c r="BE45" t="s">
        <v>3</v>
      </c>
      <c r="BF45" t="s">
        <v>3</v>
      </c>
      <c r="BG45" t="s">
        <v>3</v>
      </c>
      <c r="BH45">
        <v>3</v>
      </c>
      <c r="BI45">
        <v>4</v>
      </c>
      <c r="BJ45" t="s">
        <v>106</v>
      </c>
      <c r="BM45">
        <v>0</v>
      </c>
      <c r="BN45">
        <v>0</v>
      </c>
      <c r="BO45" t="s">
        <v>3</v>
      </c>
      <c r="BP45">
        <v>0</v>
      </c>
      <c r="BQ45">
        <v>1</v>
      </c>
      <c r="BR45">
        <v>0</v>
      </c>
      <c r="BS45">
        <v>1</v>
      </c>
      <c r="BT45">
        <v>1</v>
      </c>
      <c r="BU45">
        <v>1</v>
      </c>
      <c r="BV45">
        <v>1</v>
      </c>
      <c r="BW45">
        <v>1</v>
      </c>
      <c r="BX45">
        <v>1</v>
      </c>
      <c r="BY45" t="s">
        <v>3</v>
      </c>
      <c r="BZ45">
        <v>70</v>
      </c>
      <c r="CA45">
        <v>10</v>
      </c>
      <c r="CB45" t="s">
        <v>3</v>
      </c>
      <c r="CE45">
        <v>0</v>
      </c>
      <c r="CF45">
        <v>0</v>
      </c>
      <c r="CG45">
        <v>0</v>
      </c>
      <c r="CM45">
        <v>0</v>
      </c>
      <c r="CN45" t="s">
        <v>3</v>
      </c>
      <c r="CO45">
        <v>0</v>
      </c>
      <c r="CP45">
        <f t="shared" si="34"/>
        <v>1982.66</v>
      </c>
      <c r="CQ45">
        <f t="shared" si="35"/>
        <v>53.95</v>
      </c>
      <c r="CR45">
        <f t="shared" si="36"/>
        <v>0</v>
      </c>
      <c r="CS45">
        <f t="shared" si="37"/>
        <v>0</v>
      </c>
      <c r="CT45">
        <f t="shared" si="38"/>
        <v>0</v>
      </c>
      <c r="CU45">
        <f t="shared" si="39"/>
        <v>0</v>
      </c>
      <c r="CV45">
        <f t="shared" si="40"/>
        <v>0</v>
      </c>
      <c r="CW45">
        <f t="shared" si="41"/>
        <v>0</v>
      </c>
      <c r="CX45">
        <f t="shared" si="42"/>
        <v>0</v>
      </c>
      <c r="CY45">
        <f t="shared" si="43"/>
        <v>0</v>
      </c>
      <c r="CZ45">
        <f t="shared" si="44"/>
        <v>0</v>
      </c>
      <c r="DC45" t="s">
        <v>3</v>
      </c>
      <c r="DD45" t="s">
        <v>3</v>
      </c>
      <c r="DE45" t="s">
        <v>3</v>
      </c>
      <c r="DF45" t="s">
        <v>3</v>
      </c>
      <c r="DG45" t="s">
        <v>3</v>
      </c>
      <c r="DH45" t="s">
        <v>3</v>
      </c>
      <c r="DI45" t="s">
        <v>3</v>
      </c>
      <c r="DJ45" t="s">
        <v>3</v>
      </c>
      <c r="DK45" t="s">
        <v>3</v>
      </c>
      <c r="DL45" t="s">
        <v>3</v>
      </c>
      <c r="DM45" t="s">
        <v>3</v>
      </c>
      <c r="DN45">
        <v>0</v>
      </c>
      <c r="DO45">
        <v>0</v>
      </c>
      <c r="DP45">
        <v>1</v>
      </c>
      <c r="DQ45">
        <v>1</v>
      </c>
      <c r="DU45">
        <v>1003</v>
      </c>
      <c r="DV45" t="s">
        <v>64</v>
      </c>
      <c r="DW45" t="s">
        <v>64</v>
      </c>
      <c r="DX45">
        <v>1</v>
      </c>
      <c r="DZ45" t="s">
        <v>3</v>
      </c>
      <c r="EA45" t="s">
        <v>3</v>
      </c>
      <c r="EB45" t="s">
        <v>3</v>
      </c>
      <c r="EC45" t="s">
        <v>3</v>
      </c>
      <c r="EE45">
        <v>43033442</v>
      </c>
      <c r="EF45">
        <v>1</v>
      </c>
      <c r="EG45" t="s">
        <v>22</v>
      </c>
      <c r="EH45">
        <v>0</v>
      </c>
      <c r="EI45" t="s">
        <v>3</v>
      </c>
      <c r="EJ45">
        <v>4</v>
      </c>
      <c r="EK45">
        <v>0</v>
      </c>
      <c r="EL45" t="s">
        <v>23</v>
      </c>
      <c r="EM45" t="s">
        <v>24</v>
      </c>
      <c r="EO45" t="s">
        <v>3</v>
      </c>
      <c r="EQ45">
        <v>0</v>
      </c>
      <c r="ER45">
        <v>53.95</v>
      </c>
      <c r="ES45">
        <v>53.95</v>
      </c>
      <c r="ET45">
        <v>0</v>
      </c>
      <c r="EU45">
        <v>0</v>
      </c>
      <c r="EV45">
        <v>0</v>
      </c>
      <c r="EW45">
        <v>0</v>
      </c>
      <c r="EX45">
        <v>0</v>
      </c>
      <c r="FQ45">
        <v>0</v>
      </c>
      <c r="FR45">
        <f t="shared" si="45"/>
        <v>0</v>
      </c>
      <c r="FS45">
        <v>0</v>
      </c>
      <c r="FX45">
        <v>70</v>
      </c>
      <c r="FY45">
        <v>10</v>
      </c>
      <c r="GA45" t="s">
        <v>3</v>
      </c>
      <c r="GD45">
        <v>0</v>
      </c>
      <c r="GF45">
        <v>-1708005179</v>
      </c>
      <c r="GG45">
        <v>2</v>
      </c>
      <c r="GH45">
        <v>1</v>
      </c>
      <c r="GI45">
        <v>-2</v>
      </c>
      <c r="GJ45">
        <v>0</v>
      </c>
      <c r="GK45">
        <f>ROUND(R45*(R12)/100,2)</f>
        <v>0</v>
      </c>
      <c r="GL45">
        <f t="shared" si="46"/>
        <v>0</v>
      </c>
      <c r="GM45">
        <f t="shared" si="47"/>
        <v>1982.66</v>
      </c>
      <c r="GN45">
        <f t="shared" si="48"/>
        <v>0</v>
      </c>
      <c r="GO45">
        <f t="shared" si="49"/>
        <v>0</v>
      </c>
      <c r="GP45">
        <f t="shared" si="50"/>
        <v>1982.66</v>
      </c>
      <c r="GR45">
        <v>0</v>
      </c>
      <c r="GS45">
        <v>3</v>
      </c>
      <c r="GT45">
        <v>0</v>
      </c>
      <c r="GU45" t="s">
        <v>3</v>
      </c>
      <c r="GV45">
        <f t="shared" si="51"/>
        <v>0</v>
      </c>
      <c r="GW45">
        <v>1</v>
      </c>
      <c r="GX45">
        <f t="shared" si="52"/>
        <v>0</v>
      </c>
      <c r="HA45">
        <v>0</v>
      </c>
      <c r="HB45">
        <v>0</v>
      </c>
      <c r="HC45">
        <f t="shared" si="53"/>
        <v>0</v>
      </c>
      <c r="HE45" t="s">
        <v>3</v>
      </c>
      <c r="HF45" t="s">
        <v>3</v>
      </c>
      <c r="HM45" t="s">
        <v>3</v>
      </c>
      <c r="HN45" t="s">
        <v>3</v>
      </c>
      <c r="HO45" t="s">
        <v>3</v>
      </c>
      <c r="HP45" t="s">
        <v>3</v>
      </c>
      <c r="HQ45" t="s">
        <v>3</v>
      </c>
      <c r="IK45">
        <v>0</v>
      </c>
    </row>
    <row r="46" spans="1:245" x14ac:dyDescent="0.2">
      <c r="A46">
        <v>18</v>
      </c>
      <c r="B46">
        <v>1</v>
      </c>
      <c r="C46">
        <v>50</v>
      </c>
      <c r="E46" t="s">
        <v>107</v>
      </c>
      <c r="F46" t="s">
        <v>108</v>
      </c>
      <c r="G46" t="s">
        <v>109</v>
      </c>
      <c r="H46" t="s">
        <v>64</v>
      </c>
      <c r="I46">
        <f>I40*J46</f>
        <v>26.25</v>
      </c>
      <c r="J46">
        <v>0.91145833333333326</v>
      </c>
      <c r="K46">
        <v>0.91145799999999999</v>
      </c>
      <c r="O46">
        <f t="shared" si="14"/>
        <v>1492.84</v>
      </c>
      <c r="P46">
        <f t="shared" si="15"/>
        <v>1492.84</v>
      </c>
      <c r="Q46">
        <f t="shared" si="16"/>
        <v>0</v>
      </c>
      <c r="R46">
        <f t="shared" si="17"/>
        <v>0</v>
      </c>
      <c r="S46">
        <f t="shared" si="18"/>
        <v>0</v>
      </c>
      <c r="T46">
        <f t="shared" si="19"/>
        <v>0</v>
      </c>
      <c r="U46">
        <f t="shared" si="20"/>
        <v>0</v>
      </c>
      <c r="V46">
        <f t="shared" si="21"/>
        <v>0</v>
      </c>
      <c r="W46">
        <f t="shared" si="22"/>
        <v>0</v>
      </c>
      <c r="X46">
        <f t="shared" si="23"/>
        <v>0</v>
      </c>
      <c r="Y46">
        <f t="shared" si="24"/>
        <v>0</v>
      </c>
      <c r="AA46">
        <v>43095088</v>
      </c>
      <c r="AB46">
        <f t="shared" si="25"/>
        <v>56.87</v>
      </c>
      <c r="AC46">
        <f t="shared" si="26"/>
        <v>56.87</v>
      </c>
      <c r="AD46">
        <f t="shared" si="27"/>
        <v>0</v>
      </c>
      <c r="AE46">
        <f t="shared" si="28"/>
        <v>0</v>
      </c>
      <c r="AF46">
        <f t="shared" si="29"/>
        <v>0</v>
      </c>
      <c r="AG46">
        <f t="shared" si="30"/>
        <v>0</v>
      </c>
      <c r="AH46">
        <f t="shared" si="31"/>
        <v>0</v>
      </c>
      <c r="AI46">
        <f t="shared" si="32"/>
        <v>0</v>
      </c>
      <c r="AJ46">
        <f t="shared" si="33"/>
        <v>0</v>
      </c>
      <c r="AK46">
        <v>56.87</v>
      </c>
      <c r="AL46">
        <v>56.87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70</v>
      </c>
      <c r="AU46">
        <v>10</v>
      </c>
      <c r="AV46">
        <v>1</v>
      </c>
      <c r="AW46">
        <v>1</v>
      </c>
      <c r="AZ46">
        <v>1</v>
      </c>
      <c r="BA46">
        <v>1</v>
      </c>
      <c r="BB46">
        <v>1</v>
      </c>
      <c r="BC46">
        <v>1</v>
      </c>
      <c r="BD46" t="s">
        <v>3</v>
      </c>
      <c r="BE46" t="s">
        <v>3</v>
      </c>
      <c r="BF46" t="s">
        <v>3</v>
      </c>
      <c r="BG46" t="s">
        <v>3</v>
      </c>
      <c r="BH46">
        <v>3</v>
      </c>
      <c r="BI46">
        <v>4</v>
      </c>
      <c r="BJ46" t="s">
        <v>110</v>
      </c>
      <c r="BM46">
        <v>0</v>
      </c>
      <c r="BN46">
        <v>0</v>
      </c>
      <c r="BO46" t="s">
        <v>3</v>
      </c>
      <c r="BP46">
        <v>0</v>
      </c>
      <c r="BQ46">
        <v>1</v>
      </c>
      <c r="BR46">
        <v>0</v>
      </c>
      <c r="BS46">
        <v>1</v>
      </c>
      <c r="BT46">
        <v>1</v>
      </c>
      <c r="BU46">
        <v>1</v>
      </c>
      <c r="BV46">
        <v>1</v>
      </c>
      <c r="BW46">
        <v>1</v>
      </c>
      <c r="BX46">
        <v>1</v>
      </c>
      <c r="BY46" t="s">
        <v>3</v>
      </c>
      <c r="BZ46">
        <v>70</v>
      </c>
      <c r="CA46">
        <v>10</v>
      </c>
      <c r="CB46" t="s">
        <v>3</v>
      </c>
      <c r="CE46">
        <v>0</v>
      </c>
      <c r="CF46">
        <v>0</v>
      </c>
      <c r="CG46">
        <v>0</v>
      </c>
      <c r="CM46">
        <v>0</v>
      </c>
      <c r="CN46" t="s">
        <v>3</v>
      </c>
      <c r="CO46">
        <v>0</v>
      </c>
      <c r="CP46">
        <f t="shared" si="34"/>
        <v>1492.84</v>
      </c>
      <c r="CQ46">
        <f t="shared" si="35"/>
        <v>56.87</v>
      </c>
      <c r="CR46">
        <f t="shared" si="36"/>
        <v>0</v>
      </c>
      <c r="CS46">
        <f t="shared" si="37"/>
        <v>0</v>
      </c>
      <c r="CT46">
        <f t="shared" si="38"/>
        <v>0</v>
      </c>
      <c r="CU46">
        <f t="shared" si="39"/>
        <v>0</v>
      </c>
      <c r="CV46">
        <f t="shared" si="40"/>
        <v>0</v>
      </c>
      <c r="CW46">
        <f t="shared" si="41"/>
        <v>0</v>
      </c>
      <c r="CX46">
        <f t="shared" si="42"/>
        <v>0</v>
      </c>
      <c r="CY46">
        <f t="shared" si="43"/>
        <v>0</v>
      </c>
      <c r="CZ46">
        <f t="shared" si="44"/>
        <v>0</v>
      </c>
      <c r="DC46" t="s">
        <v>3</v>
      </c>
      <c r="DD46" t="s">
        <v>3</v>
      </c>
      <c r="DE46" t="s">
        <v>3</v>
      </c>
      <c r="DF46" t="s">
        <v>3</v>
      </c>
      <c r="DG46" t="s">
        <v>3</v>
      </c>
      <c r="DH46" t="s">
        <v>3</v>
      </c>
      <c r="DI46" t="s">
        <v>3</v>
      </c>
      <c r="DJ46" t="s">
        <v>3</v>
      </c>
      <c r="DK46" t="s">
        <v>3</v>
      </c>
      <c r="DL46" t="s">
        <v>3</v>
      </c>
      <c r="DM46" t="s">
        <v>3</v>
      </c>
      <c r="DN46">
        <v>0</v>
      </c>
      <c r="DO46">
        <v>0</v>
      </c>
      <c r="DP46">
        <v>1</v>
      </c>
      <c r="DQ46">
        <v>1</v>
      </c>
      <c r="DU46">
        <v>1003</v>
      </c>
      <c r="DV46" t="s">
        <v>64</v>
      </c>
      <c r="DW46" t="s">
        <v>64</v>
      </c>
      <c r="DX46">
        <v>1</v>
      </c>
      <c r="DZ46" t="s">
        <v>3</v>
      </c>
      <c r="EA46" t="s">
        <v>3</v>
      </c>
      <c r="EB46" t="s">
        <v>3</v>
      </c>
      <c r="EC46" t="s">
        <v>3</v>
      </c>
      <c r="EE46">
        <v>43033442</v>
      </c>
      <c r="EF46">
        <v>1</v>
      </c>
      <c r="EG46" t="s">
        <v>22</v>
      </c>
      <c r="EH46">
        <v>0</v>
      </c>
      <c r="EI46" t="s">
        <v>3</v>
      </c>
      <c r="EJ46">
        <v>4</v>
      </c>
      <c r="EK46">
        <v>0</v>
      </c>
      <c r="EL46" t="s">
        <v>23</v>
      </c>
      <c r="EM46" t="s">
        <v>24</v>
      </c>
      <c r="EO46" t="s">
        <v>3</v>
      </c>
      <c r="EQ46">
        <v>0</v>
      </c>
      <c r="ER46">
        <v>56.87</v>
      </c>
      <c r="ES46">
        <v>56.87</v>
      </c>
      <c r="ET46">
        <v>0</v>
      </c>
      <c r="EU46">
        <v>0</v>
      </c>
      <c r="EV46">
        <v>0</v>
      </c>
      <c r="EW46">
        <v>0</v>
      </c>
      <c r="EX46">
        <v>0</v>
      </c>
      <c r="FQ46">
        <v>0</v>
      </c>
      <c r="FR46">
        <f t="shared" si="45"/>
        <v>0</v>
      </c>
      <c r="FS46">
        <v>0</v>
      </c>
      <c r="FX46">
        <v>70</v>
      </c>
      <c r="FY46">
        <v>10</v>
      </c>
      <c r="GA46" t="s">
        <v>3</v>
      </c>
      <c r="GD46">
        <v>0</v>
      </c>
      <c r="GF46">
        <v>-558289174</v>
      </c>
      <c r="GG46">
        <v>2</v>
      </c>
      <c r="GH46">
        <v>1</v>
      </c>
      <c r="GI46">
        <v>-2</v>
      </c>
      <c r="GJ46">
        <v>0</v>
      </c>
      <c r="GK46">
        <f>ROUND(R46*(R12)/100,2)</f>
        <v>0</v>
      </c>
      <c r="GL46">
        <f t="shared" si="46"/>
        <v>0</v>
      </c>
      <c r="GM46">
        <f t="shared" si="47"/>
        <v>1492.84</v>
      </c>
      <c r="GN46">
        <f t="shared" si="48"/>
        <v>0</v>
      </c>
      <c r="GO46">
        <f t="shared" si="49"/>
        <v>0</v>
      </c>
      <c r="GP46">
        <f t="shared" si="50"/>
        <v>1492.84</v>
      </c>
      <c r="GR46">
        <v>0</v>
      </c>
      <c r="GS46">
        <v>3</v>
      </c>
      <c r="GT46">
        <v>0</v>
      </c>
      <c r="GU46" t="s">
        <v>3</v>
      </c>
      <c r="GV46">
        <f t="shared" si="51"/>
        <v>0</v>
      </c>
      <c r="GW46">
        <v>1</v>
      </c>
      <c r="GX46">
        <f t="shared" si="52"/>
        <v>0</v>
      </c>
      <c r="HA46">
        <v>0</v>
      </c>
      <c r="HB46">
        <v>0</v>
      </c>
      <c r="HC46">
        <f t="shared" si="53"/>
        <v>0</v>
      </c>
      <c r="HE46" t="s">
        <v>3</v>
      </c>
      <c r="HF46" t="s">
        <v>3</v>
      </c>
      <c r="HM46" t="s">
        <v>3</v>
      </c>
      <c r="HN46" t="s">
        <v>3</v>
      </c>
      <c r="HO46" t="s">
        <v>3</v>
      </c>
      <c r="HP46" t="s">
        <v>3</v>
      </c>
      <c r="HQ46" t="s">
        <v>3</v>
      </c>
      <c r="IK46">
        <v>0</v>
      </c>
    </row>
    <row r="47" spans="1:245" x14ac:dyDescent="0.2">
      <c r="A47">
        <v>18</v>
      </c>
      <c r="B47">
        <v>1</v>
      </c>
      <c r="C47">
        <v>53</v>
      </c>
      <c r="E47" t="s">
        <v>111</v>
      </c>
      <c r="F47" t="s">
        <v>112</v>
      </c>
      <c r="G47" t="s">
        <v>113</v>
      </c>
      <c r="H47" t="s">
        <v>114</v>
      </c>
      <c r="I47">
        <f>I40*J47</f>
        <v>0</v>
      </c>
      <c r="J47">
        <v>0</v>
      </c>
      <c r="K47">
        <v>0</v>
      </c>
      <c r="O47">
        <f t="shared" si="14"/>
        <v>0</v>
      </c>
      <c r="P47">
        <f t="shared" si="15"/>
        <v>0</v>
      </c>
      <c r="Q47">
        <f t="shared" si="16"/>
        <v>0</v>
      </c>
      <c r="R47">
        <f t="shared" si="17"/>
        <v>0</v>
      </c>
      <c r="S47">
        <f t="shared" si="18"/>
        <v>0</v>
      </c>
      <c r="T47">
        <f t="shared" si="19"/>
        <v>0</v>
      </c>
      <c r="U47">
        <f t="shared" si="20"/>
        <v>0</v>
      </c>
      <c r="V47">
        <f t="shared" si="21"/>
        <v>0</v>
      </c>
      <c r="W47">
        <f t="shared" si="22"/>
        <v>0</v>
      </c>
      <c r="X47">
        <f t="shared" si="23"/>
        <v>0</v>
      </c>
      <c r="Y47">
        <f t="shared" si="24"/>
        <v>0</v>
      </c>
      <c r="AA47">
        <v>43095088</v>
      </c>
      <c r="AB47">
        <f t="shared" si="25"/>
        <v>0</v>
      </c>
      <c r="AC47">
        <f t="shared" si="26"/>
        <v>0</v>
      </c>
      <c r="AD47">
        <f t="shared" si="27"/>
        <v>0</v>
      </c>
      <c r="AE47">
        <f t="shared" si="28"/>
        <v>0</v>
      </c>
      <c r="AF47">
        <f t="shared" si="29"/>
        <v>0</v>
      </c>
      <c r="AG47">
        <f t="shared" si="30"/>
        <v>0</v>
      </c>
      <c r="AH47">
        <f t="shared" si="31"/>
        <v>0</v>
      </c>
      <c r="AI47">
        <f t="shared" si="32"/>
        <v>0</v>
      </c>
      <c r="AJ47">
        <f t="shared" si="33"/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70</v>
      </c>
      <c r="AU47">
        <v>10</v>
      </c>
      <c r="AV47">
        <v>1</v>
      </c>
      <c r="AW47">
        <v>1</v>
      </c>
      <c r="AZ47">
        <v>1</v>
      </c>
      <c r="BA47">
        <v>1</v>
      </c>
      <c r="BB47">
        <v>1</v>
      </c>
      <c r="BC47">
        <v>1</v>
      </c>
      <c r="BD47" t="s">
        <v>3</v>
      </c>
      <c r="BE47" t="s">
        <v>3</v>
      </c>
      <c r="BF47" t="s">
        <v>3</v>
      </c>
      <c r="BG47" t="s">
        <v>3</v>
      </c>
      <c r="BH47">
        <v>3</v>
      </c>
      <c r="BI47">
        <v>4</v>
      </c>
      <c r="BJ47" t="s">
        <v>3</v>
      </c>
      <c r="BM47">
        <v>0</v>
      </c>
      <c r="BN47">
        <v>0</v>
      </c>
      <c r="BO47" t="s">
        <v>3</v>
      </c>
      <c r="BP47">
        <v>0</v>
      </c>
      <c r="BQ47">
        <v>1</v>
      </c>
      <c r="BR47">
        <v>0</v>
      </c>
      <c r="BS47">
        <v>1</v>
      </c>
      <c r="BT47">
        <v>1</v>
      </c>
      <c r="BU47">
        <v>1</v>
      </c>
      <c r="BV47">
        <v>1</v>
      </c>
      <c r="BW47">
        <v>1</v>
      </c>
      <c r="BX47">
        <v>1</v>
      </c>
      <c r="BY47" t="s">
        <v>3</v>
      </c>
      <c r="BZ47">
        <v>70</v>
      </c>
      <c r="CA47">
        <v>10</v>
      </c>
      <c r="CB47" t="s">
        <v>3</v>
      </c>
      <c r="CE47">
        <v>0</v>
      </c>
      <c r="CF47">
        <v>0</v>
      </c>
      <c r="CG47">
        <v>0</v>
      </c>
      <c r="CM47">
        <v>0</v>
      </c>
      <c r="CN47" t="s">
        <v>3</v>
      </c>
      <c r="CO47">
        <v>0</v>
      </c>
      <c r="CP47">
        <f t="shared" si="34"/>
        <v>0</v>
      </c>
      <c r="CQ47">
        <f t="shared" si="35"/>
        <v>0</v>
      </c>
      <c r="CR47">
        <f t="shared" si="36"/>
        <v>0</v>
      </c>
      <c r="CS47">
        <f t="shared" si="37"/>
        <v>0</v>
      </c>
      <c r="CT47">
        <f t="shared" si="38"/>
        <v>0</v>
      </c>
      <c r="CU47">
        <f t="shared" si="39"/>
        <v>0</v>
      </c>
      <c r="CV47">
        <f t="shared" si="40"/>
        <v>0</v>
      </c>
      <c r="CW47">
        <f t="shared" si="41"/>
        <v>0</v>
      </c>
      <c r="CX47">
        <f t="shared" si="42"/>
        <v>0</v>
      </c>
      <c r="CY47">
        <f t="shared" si="43"/>
        <v>0</v>
      </c>
      <c r="CZ47">
        <f t="shared" si="44"/>
        <v>0</v>
      </c>
      <c r="DC47" t="s">
        <v>3</v>
      </c>
      <c r="DD47" t="s">
        <v>3</v>
      </c>
      <c r="DE47" t="s">
        <v>3</v>
      </c>
      <c r="DF47" t="s">
        <v>3</v>
      </c>
      <c r="DG47" t="s">
        <v>3</v>
      </c>
      <c r="DH47" t="s">
        <v>3</v>
      </c>
      <c r="DI47" t="s">
        <v>3</v>
      </c>
      <c r="DJ47" t="s">
        <v>3</v>
      </c>
      <c r="DK47" t="s">
        <v>3</v>
      </c>
      <c r="DL47" t="s">
        <v>3</v>
      </c>
      <c r="DM47" t="s">
        <v>3</v>
      </c>
      <c r="DN47">
        <v>0</v>
      </c>
      <c r="DO47">
        <v>0</v>
      </c>
      <c r="DP47">
        <v>1</v>
      </c>
      <c r="DQ47">
        <v>1</v>
      </c>
      <c r="DU47">
        <v>1002</v>
      </c>
      <c r="DV47" t="s">
        <v>114</v>
      </c>
      <c r="DW47" t="s">
        <v>114</v>
      </c>
      <c r="DX47">
        <v>1</v>
      </c>
      <c r="DZ47" t="s">
        <v>3</v>
      </c>
      <c r="EA47" t="s">
        <v>3</v>
      </c>
      <c r="EB47" t="s">
        <v>3</v>
      </c>
      <c r="EC47" t="s">
        <v>3</v>
      </c>
      <c r="EE47">
        <v>43033442</v>
      </c>
      <c r="EF47">
        <v>1</v>
      </c>
      <c r="EG47" t="s">
        <v>22</v>
      </c>
      <c r="EH47">
        <v>0</v>
      </c>
      <c r="EI47" t="s">
        <v>3</v>
      </c>
      <c r="EJ47">
        <v>4</v>
      </c>
      <c r="EK47">
        <v>0</v>
      </c>
      <c r="EL47" t="s">
        <v>23</v>
      </c>
      <c r="EM47" t="s">
        <v>24</v>
      </c>
      <c r="EO47" t="s">
        <v>3</v>
      </c>
      <c r="EQ47">
        <v>0</v>
      </c>
      <c r="ER47">
        <v>0</v>
      </c>
      <c r="ES47">
        <v>0</v>
      </c>
      <c r="ET47">
        <v>0</v>
      </c>
      <c r="EU47">
        <v>0</v>
      </c>
      <c r="EV47">
        <v>0</v>
      </c>
      <c r="EW47">
        <v>0</v>
      </c>
      <c r="EX47">
        <v>0</v>
      </c>
      <c r="FQ47">
        <v>0</v>
      </c>
      <c r="FR47">
        <f t="shared" si="45"/>
        <v>0</v>
      </c>
      <c r="FS47">
        <v>0</v>
      </c>
      <c r="FX47">
        <v>70</v>
      </c>
      <c r="FY47">
        <v>10</v>
      </c>
      <c r="GA47" t="s">
        <v>3</v>
      </c>
      <c r="GD47">
        <v>0</v>
      </c>
      <c r="GF47">
        <v>708018180</v>
      </c>
      <c r="GG47">
        <v>2</v>
      </c>
      <c r="GH47">
        <v>1</v>
      </c>
      <c r="GI47">
        <v>-2</v>
      </c>
      <c r="GJ47">
        <v>0</v>
      </c>
      <c r="GK47">
        <f>ROUND(R47*(R12)/100,2)</f>
        <v>0</v>
      </c>
      <c r="GL47">
        <f t="shared" si="46"/>
        <v>0</v>
      </c>
      <c r="GM47">
        <f t="shared" si="47"/>
        <v>0</v>
      </c>
      <c r="GN47">
        <f t="shared" si="48"/>
        <v>0</v>
      </c>
      <c r="GO47">
        <f t="shared" si="49"/>
        <v>0</v>
      </c>
      <c r="GP47">
        <f t="shared" si="50"/>
        <v>0</v>
      </c>
      <c r="GR47">
        <v>0</v>
      </c>
      <c r="GS47">
        <v>3</v>
      </c>
      <c r="GT47">
        <v>0</v>
      </c>
      <c r="GU47" t="s">
        <v>3</v>
      </c>
      <c r="GV47">
        <f t="shared" si="51"/>
        <v>0</v>
      </c>
      <c r="GW47">
        <v>1</v>
      </c>
      <c r="GX47">
        <f t="shared" si="52"/>
        <v>0</v>
      </c>
      <c r="HA47">
        <v>0</v>
      </c>
      <c r="HB47">
        <v>0</v>
      </c>
      <c r="HC47">
        <f t="shared" si="53"/>
        <v>0</v>
      </c>
      <c r="HE47" t="s">
        <v>3</v>
      </c>
      <c r="HF47" t="s">
        <v>3</v>
      </c>
      <c r="HM47" t="s">
        <v>3</v>
      </c>
      <c r="HN47" t="s">
        <v>3</v>
      </c>
      <c r="HO47" t="s">
        <v>3</v>
      </c>
      <c r="HP47" t="s">
        <v>3</v>
      </c>
      <c r="HQ47" t="s">
        <v>3</v>
      </c>
      <c r="IK47">
        <v>0</v>
      </c>
    </row>
    <row r="48" spans="1:245" x14ac:dyDescent="0.2">
      <c r="A48">
        <v>17</v>
      </c>
      <c r="B48">
        <v>1</v>
      </c>
      <c r="C48">
        <f>ROW(SmtRes!A55)</f>
        <v>55</v>
      </c>
      <c r="D48">
        <f>ROW(EtalonRes!A49)</f>
        <v>49</v>
      </c>
      <c r="E48" t="s">
        <v>115</v>
      </c>
      <c r="F48" t="s">
        <v>116</v>
      </c>
      <c r="G48" t="s">
        <v>117</v>
      </c>
      <c r="H48" t="s">
        <v>118</v>
      </c>
      <c r="I48">
        <v>0</v>
      </c>
      <c r="J48">
        <v>0</v>
      </c>
      <c r="K48">
        <v>0</v>
      </c>
      <c r="O48">
        <f t="shared" si="14"/>
        <v>0</v>
      </c>
      <c r="P48">
        <f t="shared" si="15"/>
        <v>0</v>
      </c>
      <c r="Q48">
        <f t="shared" si="16"/>
        <v>0</v>
      </c>
      <c r="R48">
        <f t="shared" si="17"/>
        <v>0</v>
      </c>
      <c r="S48">
        <f t="shared" si="18"/>
        <v>0</v>
      </c>
      <c r="T48">
        <f t="shared" si="19"/>
        <v>0</v>
      </c>
      <c r="U48">
        <f t="shared" si="20"/>
        <v>0</v>
      </c>
      <c r="V48">
        <f t="shared" si="21"/>
        <v>0</v>
      </c>
      <c r="W48">
        <f t="shared" si="22"/>
        <v>0</v>
      </c>
      <c r="X48">
        <f t="shared" si="23"/>
        <v>0</v>
      </c>
      <c r="Y48">
        <f t="shared" si="24"/>
        <v>0</v>
      </c>
      <c r="AA48">
        <v>43095088</v>
      </c>
      <c r="AB48">
        <f t="shared" si="25"/>
        <v>3766.24</v>
      </c>
      <c r="AC48">
        <f t="shared" si="26"/>
        <v>0</v>
      </c>
      <c r="AD48">
        <f t="shared" si="27"/>
        <v>404.31</v>
      </c>
      <c r="AE48">
        <f t="shared" si="28"/>
        <v>218.3</v>
      </c>
      <c r="AF48">
        <f t="shared" si="29"/>
        <v>3361.93</v>
      </c>
      <c r="AG48">
        <f t="shared" si="30"/>
        <v>0</v>
      </c>
      <c r="AH48">
        <f t="shared" si="31"/>
        <v>13</v>
      </c>
      <c r="AI48">
        <f t="shared" si="32"/>
        <v>0</v>
      </c>
      <c r="AJ48">
        <f t="shared" si="33"/>
        <v>0</v>
      </c>
      <c r="AK48">
        <v>3766.24</v>
      </c>
      <c r="AL48">
        <v>0</v>
      </c>
      <c r="AM48">
        <v>404.31</v>
      </c>
      <c r="AN48">
        <v>218.3</v>
      </c>
      <c r="AO48">
        <v>3361.93</v>
      </c>
      <c r="AP48">
        <v>0</v>
      </c>
      <c r="AQ48">
        <v>13</v>
      </c>
      <c r="AR48">
        <v>0</v>
      </c>
      <c r="AS48">
        <v>0</v>
      </c>
      <c r="AT48">
        <v>70</v>
      </c>
      <c r="AU48">
        <v>10</v>
      </c>
      <c r="AV48">
        <v>1</v>
      </c>
      <c r="AW48">
        <v>1</v>
      </c>
      <c r="AZ48">
        <v>1</v>
      </c>
      <c r="BA48">
        <v>1</v>
      </c>
      <c r="BB48">
        <v>1</v>
      </c>
      <c r="BC48">
        <v>1</v>
      </c>
      <c r="BD48" t="s">
        <v>3</v>
      </c>
      <c r="BE48" t="s">
        <v>3</v>
      </c>
      <c r="BF48" t="s">
        <v>3</v>
      </c>
      <c r="BG48" t="s">
        <v>3</v>
      </c>
      <c r="BH48">
        <v>0</v>
      </c>
      <c r="BI48">
        <v>4</v>
      </c>
      <c r="BJ48" t="s">
        <v>119</v>
      </c>
      <c r="BM48">
        <v>0</v>
      </c>
      <c r="BN48">
        <v>0</v>
      </c>
      <c r="BO48" t="s">
        <v>3</v>
      </c>
      <c r="BP48">
        <v>0</v>
      </c>
      <c r="BQ48">
        <v>1</v>
      </c>
      <c r="BR48">
        <v>0</v>
      </c>
      <c r="BS48">
        <v>1</v>
      </c>
      <c r="BT48">
        <v>1</v>
      </c>
      <c r="BU48">
        <v>1</v>
      </c>
      <c r="BV48">
        <v>1</v>
      </c>
      <c r="BW48">
        <v>1</v>
      </c>
      <c r="BX48">
        <v>1</v>
      </c>
      <c r="BY48" t="s">
        <v>3</v>
      </c>
      <c r="BZ48">
        <v>70</v>
      </c>
      <c r="CA48">
        <v>10</v>
      </c>
      <c r="CB48" t="s">
        <v>3</v>
      </c>
      <c r="CE48">
        <v>0</v>
      </c>
      <c r="CF48">
        <v>0</v>
      </c>
      <c r="CG48">
        <v>0</v>
      </c>
      <c r="CM48">
        <v>0</v>
      </c>
      <c r="CN48" t="s">
        <v>3</v>
      </c>
      <c r="CO48">
        <v>0</v>
      </c>
      <c r="CP48">
        <f t="shared" si="34"/>
        <v>0</v>
      </c>
      <c r="CQ48">
        <f t="shared" si="35"/>
        <v>0</v>
      </c>
      <c r="CR48">
        <f t="shared" si="36"/>
        <v>404.31</v>
      </c>
      <c r="CS48">
        <f t="shared" si="37"/>
        <v>218.3</v>
      </c>
      <c r="CT48">
        <f t="shared" si="38"/>
        <v>3361.93</v>
      </c>
      <c r="CU48">
        <f t="shared" si="39"/>
        <v>0</v>
      </c>
      <c r="CV48">
        <f t="shared" si="40"/>
        <v>13</v>
      </c>
      <c r="CW48">
        <f t="shared" si="41"/>
        <v>0</v>
      </c>
      <c r="CX48">
        <f t="shared" si="42"/>
        <v>0</v>
      </c>
      <c r="CY48">
        <f t="shared" si="43"/>
        <v>0</v>
      </c>
      <c r="CZ48">
        <f t="shared" si="44"/>
        <v>0</v>
      </c>
      <c r="DC48" t="s">
        <v>3</v>
      </c>
      <c r="DD48" t="s">
        <v>3</v>
      </c>
      <c r="DE48" t="s">
        <v>3</v>
      </c>
      <c r="DF48" t="s">
        <v>3</v>
      </c>
      <c r="DG48" t="s">
        <v>3</v>
      </c>
      <c r="DH48" t="s">
        <v>3</v>
      </c>
      <c r="DI48" t="s">
        <v>3</v>
      </c>
      <c r="DJ48" t="s">
        <v>3</v>
      </c>
      <c r="DK48" t="s">
        <v>3</v>
      </c>
      <c r="DL48" t="s">
        <v>3</v>
      </c>
      <c r="DM48" t="s">
        <v>3</v>
      </c>
      <c r="DN48">
        <v>0</v>
      </c>
      <c r="DO48">
        <v>0</v>
      </c>
      <c r="DP48">
        <v>1</v>
      </c>
      <c r="DQ48">
        <v>1</v>
      </c>
      <c r="DU48">
        <v>1003</v>
      </c>
      <c r="DV48" t="s">
        <v>118</v>
      </c>
      <c r="DW48" t="s">
        <v>118</v>
      </c>
      <c r="DX48">
        <v>100</v>
      </c>
      <c r="DZ48" t="s">
        <v>3</v>
      </c>
      <c r="EA48" t="s">
        <v>3</v>
      </c>
      <c r="EB48" t="s">
        <v>3</v>
      </c>
      <c r="EC48" t="s">
        <v>3</v>
      </c>
      <c r="EE48">
        <v>43033442</v>
      </c>
      <c r="EF48">
        <v>1</v>
      </c>
      <c r="EG48" t="s">
        <v>22</v>
      </c>
      <c r="EH48">
        <v>0</v>
      </c>
      <c r="EI48" t="s">
        <v>3</v>
      </c>
      <c r="EJ48">
        <v>4</v>
      </c>
      <c r="EK48">
        <v>0</v>
      </c>
      <c r="EL48" t="s">
        <v>23</v>
      </c>
      <c r="EM48" t="s">
        <v>24</v>
      </c>
      <c r="EO48" t="s">
        <v>3</v>
      </c>
      <c r="EQ48">
        <v>0</v>
      </c>
      <c r="ER48">
        <v>3766.24</v>
      </c>
      <c r="ES48">
        <v>0</v>
      </c>
      <c r="ET48">
        <v>404.31</v>
      </c>
      <c r="EU48">
        <v>218.3</v>
      </c>
      <c r="EV48">
        <v>3361.93</v>
      </c>
      <c r="EW48">
        <v>13</v>
      </c>
      <c r="EX48">
        <v>0</v>
      </c>
      <c r="EY48">
        <v>0</v>
      </c>
      <c r="FQ48">
        <v>0</v>
      </c>
      <c r="FR48">
        <f t="shared" si="45"/>
        <v>0</v>
      </c>
      <c r="FS48">
        <v>0</v>
      </c>
      <c r="FX48">
        <v>70</v>
      </c>
      <c r="FY48">
        <v>10</v>
      </c>
      <c r="GA48" t="s">
        <v>3</v>
      </c>
      <c r="GD48">
        <v>0</v>
      </c>
      <c r="GF48">
        <v>593458432</v>
      </c>
      <c r="GG48">
        <v>2</v>
      </c>
      <c r="GH48">
        <v>1</v>
      </c>
      <c r="GI48">
        <v>-2</v>
      </c>
      <c r="GJ48">
        <v>0</v>
      </c>
      <c r="GK48">
        <f>ROUND(R48*(R12)/100,2)</f>
        <v>0</v>
      </c>
      <c r="GL48">
        <f t="shared" si="46"/>
        <v>0</v>
      </c>
      <c r="GM48">
        <f t="shared" si="47"/>
        <v>0</v>
      </c>
      <c r="GN48">
        <f t="shared" si="48"/>
        <v>0</v>
      </c>
      <c r="GO48">
        <f t="shared" si="49"/>
        <v>0</v>
      </c>
      <c r="GP48">
        <f t="shared" si="50"/>
        <v>0</v>
      </c>
      <c r="GR48">
        <v>0</v>
      </c>
      <c r="GS48">
        <v>3</v>
      </c>
      <c r="GT48">
        <v>0</v>
      </c>
      <c r="GU48" t="s">
        <v>3</v>
      </c>
      <c r="GV48">
        <f t="shared" si="51"/>
        <v>0</v>
      </c>
      <c r="GW48">
        <v>1</v>
      </c>
      <c r="GX48">
        <f t="shared" si="52"/>
        <v>0</v>
      </c>
      <c r="HA48">
        <v>0</v>
      </c>
      <c r="HB48">
        <v>0</v>
      </c>
      <c r="HC48">
        <f t="shared" si="53"/>
        <v>0</v>
      </c>
      <c r="HE48" t="s">
        <v>3</v>
      </c>
      <c r="HF48" t="s">
        <v>3</v>
      </c>
      <c r="HM48" t="s">
        <v>3</v>
      </c>
      <c r="HN48" t="s">
        <v>3</v>
      </c>
      <c r="HO48" t="s">
        <v>3</v>
      </c>
      <c r="HP48" t="s">
        <v>3</v>
      </c>
      <c r="HQ48" t="s">
        <v>3</v>
      </c>
      <c r="IK48">
        <v>0</v>
      </c>
    </row>
    <row r="49" spans="1:245" x14ac:dyDescent="0.2">
      <c r="A49">
        <v>18</v>
      </c>
      <c r="B49">
        <v>1</v>
      </c>
      <c r="E49" t="s">
        <v>120</v>
      </c>
      <c r="F49" t="s">
        <v>34</v>
      </c>
      <c r="G49" t="s">
        <v>121</v>
      </c>
      <c r="H49" t="s">
        <v>64</v>
      </c>
      <c r="I49">
        <f>I48*J49</f>
        <v>0</v>
      </c>
      <c r="J49">
        <v>103</v>
      </c>
      <c r="K49">
        <v>103</v>
      </c>
      <c r="O49">
        <f t="shared" si="14"/>
        <v>0</v>
      </c>
      <c r="P49">
        <f t="shared" si="15"/>
        <v>0</v>
      </c>
      <c r="Q49">
        <f t="shared" si="16"/>
        <v>0</v>
      </c>
      <c r="R49">
        <f t="shared" si="17"/>
        <v>0</v>
      </c>
      <c r="S49">
        <f t="shared" si="18"/>
        <v>0</v>
      </c>
      <c r="T49">
        <f t="shared" si="19"/>
        <v>0</v>
      </c>
      <c r="U49">
        <f t="shared" si="20"/>
        <v>0</v>
      </c>
      <c r="V49">
        <f t="shared" si="21"/>
        <v>0</v>
      </c>
      <c r="W49">
        <f t="shared" si="22"/>
        <v>0</v>
      </c>
      <c r="X49">
        <f t="shared" si="23"/>
        <v>0</v>
      </c>
      <c r="Y49">
        <f t="shared" si="24"/>
        <v>0</v>
      </c>
      <c r="AA49">
        <v>43095088</v>
      </c>
      <c r="AB49">
        <f t="shared" si="25"/>
        <v>104.17</v>
      </c>
      <c r="AC49">
        <f t="shared" si="26"/>
        <v>104.17</v>
      </c>
      <c r="AD49">
        <f t="shared" si="27"/>
        <v>0</v>
      </c>
      <c r="AE49">
        <f t="shared" si="28"/>
        <v>0</v>
      </c>
      <c r="AF49">
        <f t="shared" si="29"/>
        <v>0</v>
      </c>
      <c r="AG49">
        <f t="shared" si="30"/>
        <v>0</v>
      </c>
      <c r="AH49">
        <f t="shared" si="31"/>
        <v>0</v>
      </c>
      <c r="AI49">
        <f t="shared" si="32"/>
        <v>0</v>
      </c>
      <c r="AJ49">
        <f t="shared" si="33"/>
        <v>0</v>
      </c>
      <c r="AK49">
        <v>104.17</v>
      </c>
      <c r="AL49">
        <v>104.17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70</v>
      </c>
      <c r="AU49">
        <v>10</v>
      </c>
      <c r="AV49">
        <v>1</v>
      </c>
      <c r="AW49">
        <v>1</v>
      </c>
      <c r="AZ49">
        <v>1</v>
      </c>
      <c r="BA49">
        <v>1</v>
      </c>
      <c r="BB49">
        <v>1</v>
      </c>
      <c r="BC49">
        <v>1</v>
      </c>
      <c r="BD49" t="s">
        <v>3</v>
      </c>
      <c r="BE49" t="s">
        <v>3</v>
      </c>
      <c r="BF49" t="s">
        <v>3</v>
      </c>
      <c r="BG49" t="s">
        <v>3</v>
      </c>
      <c r="BH49">
        <v>3</v>
      </c>
      <c r="BI49">
        <v>4</v>
      </c>
      <c r="BJ49" t="s">
        <v>3</v>
      </c>
      <c r="BM49">
        <v>0</v>
      </c>
      <c r="BN49">
        <v>0</v>
      </c>
      <c r="BO49" t="s">
        <v>3</v>
      </c>
      <c r="BP49">
        <v>0</v>
      </c>
      <c r="BQ49">
        <v>1</v>
      </c>
      <c r="BR49">
        <v>0</v>
      </c>
      <c r="BS49">
        <v>1</v>
      </c>
      <c r="BT49">
        <v>1</v>
      </c>
      <c r="BU49">
        <v>1</v>
      </c>
      <c r="BV49">
        <v>1</v>
      </c>
      <c r="BW49">
        <v>1</v>
      </c>
      <c r="BX49">
        <v>1</v>
      </c>
      <c r="BY49" t="s">
        <v>3</v>
      </c>
      <c r="BZ49">
        <v>70</v>
      </c>
      <c r="CA49">
        <v>10</v>
      </c>
      <c r="CB49" t="s">
        <v>3</v>
      </c>
      <c r="CE49">
        <v>0</v>
      </c>
      <c r="CF49">
        <v>0</v>
      </c>
      <c r="CG49">
        <v>0</v>
      </c>
      <c r="CM49">
        <v>0</v>
      </c>
      <c r="CN49" t="s">
        <v>3</v>
      </c>
      <c r="CO49">
        <v>0</v>
      </c>
      <c r="CP49">
        <f t="shared" si="34"/>
        <v>0</v>
      </c>
      <c r="CQ49">
        <f t="shared" si="35"/>
        <v>104.17</v>
      </c>
      <c r="CR49">
        <f t="shared" si="36"/>
        <v>0</v>
      </c>
      <c r="CS49">
        <f t="shared" si="37"/>
        <v>0</v>
      </c>
      <c r="CT49">
        <f t="shared" si="38"/>
        <v>0</v>
      </c>
      <c r="CU49">
        <f t="shared" si="39"/>
        <v>0</v>
      </c>
      <c r="CV49">
        <f t="shared" si="40"/>
        <v>0</v>
      </c>
      <c r="CW49">
        <f t="shared" si="41"/>
        <v>0</v>
      </c>
      <c r="CX49">
        <f t="shared" si="42"/>
        <v>0</v>
      </c>
      <c r="CY49">
        <f t="shared" si="43"/>
        <v>0</v>
      </c>
      <c r="CZ49">
        <f t="shared" si="44"/>
        <v>0</v>
      </c>
      <c r="DC49" t="s">
        <v>3</v>
      </c>
      <c r="DD49" t="s">
        <v>3</v>
      </c>
      <c r="DE49" t="s">
        <v>3</v>
      </c>
      <c r="DF49" t="s">
        <v>3</v>
      </c>
      <c r="DG49" t="s">
        <v>3</v>
      </c>
      <c r="DH49" t="s">
        <v>3</v>
      </c>
      <c r="DI49" t="s">
        <v>3</v>
      </c>
      <c r="DJ49" t="s">
        <v>3</v>
      </c>
      <c r="DK49" t="s">
        <v>3</v>
      </c>
      <c r="DL49" t="s">
        <v>3</v>
      </c>
      <c r="DM49" t="s">
        <v>3</v>
      </c>
      <c r="DN49">
        <v>0</v>
      </c>
      <c r="DO49">
        <v>0</v>
      </c>
      <c r="DP49">
        <v>1</v>
      </c>
      <c r="DQ49">
        <v>1</v>
      </c>
      <c r="DU49">
        <v>1003</v>
      </c>
      <c r="DV49" t="s">
        <v>64</v>
      </c>
      <c r="DW49" t="s">
        <v>64</v>
      </c>
      <c r="DX49">
        <v>1</v>
      </c>
      <c r="DZ49" t="s">
        <v>3</v>
      </c>
      <c r="EA49" t="s">
        <v>3</v>
      </c>
      <c r="EB49" t="s">
        <v>3</v>
      </c>
      <c r="EC49" t="s">
        <v>3</v>
      </c>
      <c r="EE49">
        <v>43033442</v>
      </c>
      <c r="EF49">
        <v>1</v>
      </c>
      <c r="EG49" t="s">
        <v>22</v>
      </c>
      <c r="EH49">
        <v>0</v>
      </c>
      <c r="EI49" t="s">
        <v>3</v>
      </c>
      <c r="EJ49">
        <v>4</v>
      </c>
      <c r="EK49">
        <v>0</v>
      </c>
      <c r="EL49" t="s">
        <v>23</v>
      </c>
      <c r="EM49" t="s">
        <v>24</v>
      </c>
      <c r="EO49" t="s">
        <v>3</v>
      </c>
      <c r="EQ49">
        <v>0</v>
      </c>
      <c r="ER49">
        <v>104.17</v>
      </c>
      <c r="ES49">
        <v>104.17</v>
      </c>
      <c r="ET49">
        <v>0</v>
      </c>
      <c r="EU49">
        <v>0</v>
      </c>
      <c r="EV49">
        <v>0</v>
      </c>
      <c r="EW49">
        <v>0</v>
      </c>
      <c r="EX49">
        <v>0</v>
      </c>
      <c r="FQ49">
        <v>0</v>
      </c>
      <c r="FR49">
        <f t="shared" si="45"/>
        <v>0</v>
      </c>
      <c r="FS49">
        <v>0</v>
      </c>
      <c r="FX49">
        <v>70</v>
      </c>
      <c r="FY49">
        <v>10</v>
      </c>
      <c r="GA49" t="s">
        <v>3</v>
      </c>
      <c r="GD49">
        <v>0</v>
      </c>
      <c r="GF49">
        <v>-453885095</v>
      </c>
      <c r="GG49">
        <v>2</v>
      </c>
      <c r="GH49">
        <v>0</v>
      </c>
      <c r="GI49">
        <v>-2</v>
      </c>
      <c r="GJ49">
        <v>0</v>
      </c>
      <c r="GK49">
        <f>ROUND(R49*(R12)/100,2)</f>
        <v>0</v>
      </c>
      <c r="GL49">
        <f t="shared" si="46"/>
        <v>0</v>
      </c>
      <c r="GM49">
        <f t="shared" si="47"/>
        <v>0</v>
      </c>
      <c r="GN49">
        <f t="shared" si="48"/>
        <v>0</v>
      </c>
      <c r="GO49">
        <f t="shared" si="49"/>
        <v>0</v>
      </c>
      <c r="GP49">
        <f t="shared" si="50"/>
        <v>0</v>
      </c>
      <c r="GR49">
        <v>0</v>
      </c>
      <c r="GS49">
        <v>0</v>
      </c>
      <c r="GT49">
        <v>0</v>
      </c>
      <c r="GU49" t="s">
        <v>3</v>
      </c>
      <c r="GV49">
        <f t="shared" si="51"/>
        <v>0</v>
      </c>
      <c r="GW49">
        <v>1</v>
      </c>
      <c r="GX49">
        <f t="shared" si="52"/>
        <v>0</v>
      </c>
      <c r="HA49">
        <v>0</v>
      </c>
      <c r="HB49">
        <v>0</v>
      </c>
      <c r="HC49">
        <f t="shared" si="53"/>
        <v>0</v>
      </c>
      <c r="HE49" t="s">
        <v>3</v>
      </c>
      <c r="HF49" t="s">
        <v>3</v>
      </c>
      <c r="HM49" t="s">
        <v>3</v>
      </c>
      <c r="HN49" t="s">
        <v>3</v>
      </c>
      <c r="HO49" t="s">
        <v>3</v>
      </c>
      <c r="HP49" t="s">
        <v>3</v>
      </c>
      <c r="HQ49" t="s">
        <v>3</v>
      </c>
      <c r="IK49">
        <v>0</v>
      </c>
    </row>
    <row r="50" spans="1:245" x14ac:dyDescent="0.2">
      <c r="A50">
        <v>18</v>
      </c>
      <c r="B50">
        <v>1</v>
      </c>
      <c r="E50" t="s">
        <v>122</v>
      </c>
      <c r="F50" t="s">
        <v>34</v>
      </c>
      <c r="G50" t="s">
        <v>123</v>
      </c>
      <c r="H50" t="s">
        <v>20</v>
      </c>
      <c r="I50">
        <f>I48*J50</f>
        <v>0</v>
      </c>
      <c r="J50">
        <v>13.793103</v>
      </c>
      <c r="K50">
        <v>13.793103</v>
      </c>
      <c r="O50">
        <f t="shared" si="14"/>
        <v>0</v>
      </c>
      <c r="P50">
        <f t="shared" si="15"/>
        <v>0</v>
      </c>
      <c r="Q50">
        <f t="shared" si="16"/>
        <v>0</v>
      </c>
      <c r="R50">
        <f t="shared" si="17"/>
        <v>0</v>
      </c>
      <c r="S50">
        <f t="shared" si="18"/>
        <v>0</v>
      </c>
      <c r="T50">
        <f t="shared" si="19"/>
        <v>0</v>
      </c>
      <c r="U50">
        <f t="shared" si="20"/>
        <v>0</v>
      </c>
      <c r="V50">
        <f t="shared" si="21"/>
        <v>0</v>
      </c>
      <c r="W50">
        <f t="shared" si="22"/>
        <v>0</v>
      </c>
      <c r="X50">
        <f t="shared" si="23"/>
        <v>0</v>
      </c>
      <c r="Y50">
        <f t="shared" si="24"/>
        <v>0</v>
      </c>
      <c r="AA50">
        <v>43095088</v>
      </c>
      <c r="AB50">
        <f t="shared" si="25"/>
        <v>350</v>
      </c>
      <c r="AC50">
        <f t="shared" si="26"/>
        <v>350</v>
      </c>
      <c r="AD50">
        <f t="shared" si="27"/>
        <v>0</v>
      </c>
      <c r="AE50">
        <f t="shared" si="28"/>
        <v>0</v>
      </c>
      <c r="AF50">
        <f t="shared" si="29"/>
        <v>0</v>
      </c>
      <c r="AG50">
        <f t="shared" si="30"/>
        <v>0</v>
      </c>
      <c r="AH50">
        <f t="shared" si="31"/>
        <v>0</v>
      </c>
      <c r="AI50">
        <f t="shared" si="32"/>
        <v>0</v>
      </c>
      <c r="AJ50">
        <f t="shared" si="33"/>
        <v>0</v>
      </c>
      <c r="AK50">
        <v>350</v>
      </c>
      <c r="AL50">
        <v>350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70</v>
      </c>
      <c r="AU50">
        <v>10</v>
      </c>
      <c r="AV50">
        <v>1</v>
      </c>
      <c r="AW50">
        <v>1</v>
      </c>
      <c r="AZ50">
        <v>1</v>
      </c>
      <c r="BA50">
        <v>1</v>
      </c>
      <c r="BB50">
        <v>1</v>
      </c>
      <c r="BC50">
        <v>1</v>
      </c>
      <c r="BD50" t="s">
        <v>3</v>
      </c>
      <c r="BE50" t="s">
        <v>3</v>
      </c>
      <c r="BF50" t="s">
        <v>3</v>
      </c>
      <c r="BG50" t="s">
        <v>3</v>
      </c>
      <c r="BH50">
        <v>3</v>
      </c>
      <c r="BI50">
        <v>4</v>
      </c>
      <c r="BJ50" t="s">
        <v>3</v>
      </c>
      <c r="BM50">
        <v>0</v>
      </c>
      <c r="BN50">
        <v>0</v>
      </c>
      <c r="BO50" t="s">
        <v>3</v>
      </c>
      <c r="BP50">
        <v>0</v>
      </c>
      <c r="BQ50">
        <v>1</v>
      </c>
      <c r="BR50">
        <v>0</v>
      </c>
      <c r="BS50">
        <v>1</v>
      </c>
      <c r="BT50">
        <v>1</v>
      </c>
      <c r="BU50">
        <v>1</v>
      </c>
      <c r="BV50">
        <v>1</v>
      </c>
      <c r="BW50">
        <v>1</v>
      </c>
      <c r="BX50">
        <v>1</v>
      </c>
      <c r="BY50" t="s">
        <v>3</v>
      </c>
      <c r="BZ50">
        <v>70</v>
      </c>
      <c r="CA50">
        <v>10</v>
      </c>
      <c r="CB50" t="s">
        <v>3</v>
      </c>
      <c r="CE50">
        <v>0</v>
      </c>
      <c r="CF50">
        <v>0</v>
      </c>
      <c r="CG50">
        <v>0</v>
      </c>
      <c r="CM50">
        <v>0</v>
      </c>
      <c r="CN50" t="s">
        <v>3</v>
      </c>
      <c r="CO50">
        <v>0</v>
      </c>
      <c r="CP50">
        <f t="shared" si="34"/>
        <v>0</v>
      </c>
      <c r="CQ50">
        <f t="shared" si="35"/>
        <v>350</v>
      </c>
      <c r="CR50">
        <f t="shared" si="36"/>
        <v>0</v>
      </c>
      <c r="CS50">
        <f t="shared" si="37"/>
        <v>0</v>
      </c>
      <c r="CT50">
        <f t="shared" si="38"/>
        <v>0</v>
      </c>
      <c r="CU50">
        <f t="shared" si="39"/>
        <v>0</v>
      </c>
      <c r="CV50">
        <f t="shared" si="40"/>
        <v>0</v>
      </c>
      <c r="CW50">
        <f t="shared" si="41"/>
        <v>0</v>
      </c>
      <c r="CX50">
        <f t="shared" si="42"/>
        <v>0</v>
      </c>
      <c r="CY50">
        <f t="shared" si="43"/>
        <v>0</v>
      </c>
      <c r="CZ50">
        <f t="shared" si="44"/>
        <v>0</v>
      </c>
      <c r="DC50" t="s">
        <v>3</v>
      </c>
      <c r="DD50" t="s">
        <v>3</v>
      </c>
      <c r="DE50" t="s">
        <v>3</v>
      </c>
      <c r="DF50" t="s">
        <v>3</v>
      </c>
      <c r="DG50" t="s">
        <v>3</v>
      </c>
      <c r="DH50" t="s">
        <v>3</v>
      </c>
      <c r="DI50" t="s">
        <v>3</v>
      </c>
      <c r="DJ50" t="s">
        <v>3</v>
      </c>
      <c r="DK50" t="s">
        <v>3</v>
      </c>
      <c r="DL50" t="s">
        <v>3</v>
      </c>
      <c r="DM50" t="s">
        <v>3</v>
      </c>
      <c r="DN50">
        <v>0</v>
      </c>
      <c r="DO50">
        <v>0</v>
      </c>
      <c r="DP50">
        <v>1</v>
      </c>
      <c r="DQ50">
        <v>1</v>
      </c>
      <c r="DU50">
        <v>1010</v>
      </c>
      <c r="DV50" t="s">
        <v>20</v>
      </c>
      <c r="DW50" t="s">
        <v>20</v>
      </c>
      <c r="DX50">
        <v>1</v>
      </c>
      <c r="DZ50" t="s">
        <v>3</v>
      </c>
      <c r="EA50" t="s">
        <v>3</v>
      </c>
      <c r="EB50" t="s">
        <v>3</v>
      </c>
      <c r="EC50" t="s">
        <v>3</v>
      </c>
      <c r="EE50">
        <v>43033442</v>
      </c>
      <c r="EF50">
        <v>1</v>
      </c>
      <c r="EG50" t="s">
        <v>22</v>
      </c>
      <c r="EH50">
        <v>0</v>
      </c>
      <c r="EI50" t="s">
        <v>3</v>
      </c>
      <c r="EJ50">
        <v>4</v>
      </c>
      <c r="EK50">
        <v>0</v>
      </c>
      <c r="EL50" t="s">
        <v>23</v>
      </c>
      <c r="EM50" t="s">
        <v>24</v>
      </c>
      <c r="EO50" t="s">
        <v>3</v>
      </c>
      <c r="EQ50">
        <v>0</v>
      </c>
      <c r="ER50">
        <v>350</v>
      </c>
      <c r="ES50">
        <v>350</v>
      </c>
      <c r="ET50">
        <v>0</v>
      </c>
      <c r="EU50">
        <v>0</v>
      </c>
      <c r="EV50">
        <v>0</v>
      </c>
      <c r="EW50">
        <v>0</v>
      </c>
      <c r="EX50">
        <v>0</v>
      </c>
      <c r="FQ50">
        <v>0</v>
      </c>
      <c r="FR50">
        <f t="shared" si="45"/>
        <v>0</v>
      </c>
      <c r="FS50">
        <v>0</v>
      </c>
      <c r="FX50">
        <v>70</v>
      </c>
      <c r="FY50">
        <v>10</v>
      </c>
      <c r="GA50" t="s">
        <v>3</v>
      </c>
      <c r="GD50">
        <v>0</v>
      </c>
      <c r="GF50">
        <v>-804423527</v>
      </c>
      <c r="GG50">
        <v>2</v>
      </c>
      <c r="GH50">
        <v>0</v>
      </c>
      <c r="GI50">
        <v>-2</v>
      </c>
      <c r="GJ50">
        <v>0</v>
      </c>
      <c r="GK50">
        <f>ROUND(R50*(R12)/100,2)</f>
        <v>0</v>
      </c>
      <c r="GL50">
        <f t="shared" si="46"/>
        <v>0</v>
      </c>
      <c r="GM50">
        <f t="shared" si="47"/>
        <v>0</v>
      </c>
      <c r="GN50">
        <f t="shared" si="48"/>
        <v>0</v>
      </c>
      <c r="GO50">
        <f t="shared" si="49"/>
        <v>0</v>
      </c>
      <c r="GP50">
        <f t="shared" si="50"/>
        <v>0</v>
      </c>
      <c r="GR50">
        <v>0</v>
      </c>
      <c r="GS50">
        <v>0</v>
      </c>
      <c r="GT50">
        <v>0</v>
      </c>
      <c r="GU50" t="s">
        <v>3</v>
      </c>
      <c r="GV50">
        <f t="shared" si="51"/>
        <v>0</v>
      </c>
      <c r="GW50">
        <v>1</v>
      </c>
      <c r="GX50">
        <f t="shared" si="52"/>
        <v>0</v>
      </c>
      <c r="HA50">
        <v>0</v>
      </c>
      <c r="HB50">
        <v>0</v>
      </c>
      <c r="HC50">
        <f t="shared" si="53"/>
        <v>0</v>
      </c>
      <c r="HE50" t="s">
        <v>3</v>
      </c>
      <c r="HF50" t="s">
        <v>3</v>
      </c>
      <c r="HM50" t="s">
        <v>3</v>
      </c>
      <c r="HN50" t="s">
        <v>3</v>
      </c>
      <c r="HO50" t="s">
        <v>3</v>
      </c>
      <c r="HP50" t="s">
        <v>3</v>
      </c>
      <c r="HQ50" t="s">
        <v>3</v>
      </c>
      <c r="IK50">
        <v>0</v>
      </c>
    </row>
    <row r="51" spans="1:245" x14ac:dyDescent="0.2">
      <c r="A51">
        <v>17</v>
      </c>
      <c r="B51">
        <v>1</v>
      </c>
      <c r="C51">
        <f>ROW(SmtRes!A58)</f>
        <v>58</v>
      </c>
      <c r="D51">
        <f>ROW(EtalonRes!A51)</f>
        <v>51</v>
      </c>
      <c r="E51" t="s">
        <v>124</v>
      </c>
      <c r="F51" t="s">
        <v>125</v>
      </c>
      <c r="G51" t="s">
        <v>126</v>
      </c>
      <c r="H51" t="s">
        <v>118</v>
      </c>
      <c r="I51">
        <v>0</v>
      </c>
      <c r="J51">
        <v>0</v>
      </c>
      <c r="K51">
        <v>0</v>
      </c>
      <c r="O51">
        <f t="shared" si="14"/>
        <v>0</v>
      </c>
      <c r="P51">
        <f t="shared" si="15"/>
        <v>0</v>
      </c>
      <c r="Q51">
        <f t="shared" si="16"/>
        <v>0</v>
      </c>
      <c r="R51">
        <f t="shared" si="17"/>
        <v>0</v>
      </c>
      <c r="S51">
        <f t="shared" si="18"/>
        <v>0</v>
      </c>
      <c r="T51">
        <f t="shared" si="19"/>
        <v>0</v>
      </c>
      <c r="U51">
        <f t="shared" si="20"/>
        <v>0</v>
      </c>
      <c r="V51">
        <f t="shared" si="21"/>
        <v>0</v>
      </c>
      <c r="W51">
        <f t="shared" si="22"/>
        <v>0</v>
      </c>
      <c r="X51">
        <f t="shared" si="23"/>
        <v>0</v>
      </c>
      <c r="Y51">
        <f t="shared" si="24"/>
        <v>0</v>
      </c>
      <c r="AA51">
        <v>43095088</v>
      </c>
      <c r="AB51">
        <f t="shared" si="25"/>
        <v>4802.41</v>
      </c>
      <c r="AC51">
        <f t="shared" si="26"/>
        <v>0</v>
      </c>
      <c r="AD51">
        <f t="shared" si="27"/>
        <v>519.83000000000004</v>
      </c>
      <c r="AE51">
        <f t="shared" si="28"/>
        <v>280.68</v>
      </c>
      <c r="AF51">
        <f t="shared" si="29"/>
        <v>4282.58</v>
      </c>
      <c r="AG51">
        <f t="shared" si="30"/>
        <v>0</v>
      </c>
      <c r="AH51">
        <f t="shared" si="31"/>
        <v>16.559999999999999</v>
      </c>
      <c r="AI51">
        <f t="shared" si="32"/>
        <v>0</v>
      </c>
      <c r="AJ51">
        <f t="shared" si="33"/>
        <v>0</v>
      </c>
      <c r="AK51">
        <v>4802.41</v>
      </c>
      <c r="AL51">
        <v>0</v>
      </c>
      <c r="AM51">
        <v>519.83000000000004</v>
      </c>
      <c r="AN51">
        <v>280.68</v>
      </c>
      <c r="AO51">
        <v>4282.58</v>
      </c>
      <c r="AP51">
        <v>0</v>
      </c>
      <c r="AQ51">
        <v>16.559999999999999</v>
      </c>
      <c r="AR51">
        <v>0</v>
      </c>
      <c r="AS51">
        <v>0</v>
      </c>
      <c r="AT51">
        <v>70</v>
      </c>
      <c r="AU51">
        <v>10</v>
      </c>
      <c r="AV51">
        <v>1</v>
      </c>
      <c r="AW51">
        <v>1</v>
      </c>
      <c r="AZ51">
        <v>1</v>
      </c>
      <c r="BA51">
        <v>1</v>
      </c>
      <c r="BB51">
        <v>1</v>
      </c>
      <c r="BC51">
        <v>1</v>
      </c>
      <c r="BD51" t="s">
        <v>3</v>
      </c>
      <c r="BE51" t="s">
        <v>3</v>
      </c>
      <c r="BF51" t="s">
        <v>3</v>
      </c>
      <c r="BG51" t="s">
        <v>3</v>
      </c>
      <c r="BH51">
        <v>0</v>
      </c>
      <c r="BI51">
        <v>4</v>
      </c>
      <c r="BJ51" t="s">
        <v>127</v>
      </c>
      <c r="BM51">
        <v>0</v>
      </c>
      <c r="BN51">
        <v>0</v>
      </c>
      <c r="BO51" t="s">
        <v>3</v>
      </c>
      <c r="BP51">
        <v>0</v>
      </c>
      <c r="BQ51">
        <v>1</v>
      </c>
      <c r="BR51">
        <v>0</v>
      </c>
      <c r="BS51">
        <v>1</v>
      </c>
      <c r="BT51">
        <v>1</v>
      </c>
      <c r="BU51">
        <v>1</v>
      </c>
      <c r="BV51">
        <v>1</v>
      </c>
      <c r="BW51">
        <v>1</v>
      </c>
      <c r="BX51">
        <v>1</v>
      </c>
      <c r="BY51" t="s">
        <v>3</v>
      </c>
      <c r="BZ51">
        <v>70</v>
      </c>
      <c r="CA51">
        <v>10</v>
      </c>
      <c r="CB51" t="s">
        <v>3</v>
      </c>
      <c r="CE51">
        <v>0</v>
      </c>
      <c r="CF51">
        <v>0</v>
      </c>
      <c r="CG51">
        <v>0</v>
      </c>
      <c r="CM51">
        <v>0</v>
      </c>
      <c r="CN51" t="s">
        <v>3</v>
      </c>
      <c r="CO51">
        <v>0</v>
      </c>
      <c r="CP51">
        <f t="shared" si="34"/>
        <v>0</v>
      </c>
      <c r="CQ51">
        <f t="shared" si="35"/>
        <v>0</v>
      </c>
      <c r="CR51">
        <f t="shared" si="36"/>
        <v>519.83000000000004</v>
      </c>
      <c r="CS51">
        <f t="shared" si="37"/>
        <v>280.68</v>
      </c>
      <c r="CT51">
        <f t="shared" si="38"/>
        <v>4282.58</v>
      </c>
      <c r="CU51">
        <f t="shared" si="39"/>
        <v>0</v>
      </c>
      <c r="CV51">
        <f t="shared" si="40"/>
        <v>16.559999999999999</v>
      </c>
      <c r="CW51">
        <f t="shared" si="41"/>
        <v>0</v>
      </c>
      <c r="CX51">
        <f t="shared" si="42"/>
        <v>0</v>
      </c>
      <c r="CY51">
        <f t="shared" si="43"/>
        <v>0</v>
      </c>
      <c r="CZ51">
        <f t="shared" si="44"/>
        <v>0</v>
      </c>
      <c r="DC51" t="s">
        <v>3</v>
      </c>
      <c r="DD51" t="s">
        <v>3</v>
      </c>
      <c r="DE51" t="s">
        <v>3</v>
      </c>
      <c r="DF51" t="s">
        <v>3</v>
      </c>
      <c r="DG51" t="s">
        <v>3</v>
      </c>
      <c r="DH51" t="s">
        <v>3</v>
      </c>
      <c r="DI51" t="s">
        <v>3</v>
      </c>
      <c r="DJ51" t="s">
        <v>3</v>
      </c>
      <c r="DK51" t="s">
        <v>3</v>
      </c>
      <c r="DL51" t="s">
        <v>3</v>
      </c>
      <c r="DM51" t="s">
        <v>3</v>
      </c>
      <c r="DN51">
        <v>0</v>
      </c>
      <c r="DO51">
        <v>0</v>
      </c>
      <c r="DP51">
        <v>1</v>
      </c>
      <c r="DQ51">
        <v>1</v>
      </c>
      <c r="DU51">
        <v>1003</v>
      </c>
      <c r="DV51" t="s">
        <v>118</v>
      </c>
      <c r="DW51" t="s">
        <v>118</v>
      </c>
      <c r="DX51">
        <v>100</v>
      </c>
      <c r="DZ51" t="s">
        <v>3</v>
      </c>
      <c r="EA51" t="s">
        <v>3</v>
      </c>
      <c r="EB51" t="s">
        <v>3</v>
      </c>
      <c r="EC51" t="s">
        <v>3</v>
      </c>
      <c r="EE51">
        <v>43033442</v>
      </c>
      <c r="EF51">
        <v>1</v>
      </c>
      <c r="EG51" t="s">
        <v>22</v>
      </c>
      <c r="EH51">
        <v>0</v>
      </c>
      <c r="EI51" t="s">
        <v>3</v>
      </c>
      <c r="EJ51">
        <v>4</v>
      </c>
      <c r="EK51">
        <v>0</v>
      </c>
      <c r="EL51" t="s">
        <v>23</v>
      </c>
      <c r="EM51" t="s">
        <v>24</v>
      </c>
      <c r="EO51" t="s">
        <v>3</v>
      </c>
      <c r="EQ51">
        <v>2097152</v>
      </c>
      <c r="ER51">
        <v>4802.41</v>
      </c>
      <c r="ES51">
        <v>0</v>
      </c>
      <c r="ET51">
        <v>519.83000000000004</v>
      </c>
      <c r="EU51">
        <v>280.68</v>
      </c>
      <c r="EV51">
        <v>4282.58</v>
      </c>
      <c r="EW51">
        <v>16.559999999999999</v>
      </c>
      <c r="EX51">
        <v>0</v>
      </c>
      <c r="EY51">
        <v>0</v>
      </c>
      <c r="FQ51">
        <v>0</v>
      </c>
      <c r="FR51">
        <f t="shared" si="45"/>
        <v>0</v>
      </c>
      <c r="FS51">
        <v>0</v>
      </c>
      <c r="FX51">
        <v>70</v>
      </c>
      <c r="FY51">
        <v>10</v>
      </c>
      <c r="GA51" t="s">
        <v>3</v>
      </c>
      <c r="GD51">
        <v>0</v>
      </c>
      <c r="GF51">
        <v>244586259</v>
      </c>
      <c r="GG51">
        <v>2</v>
      </c>
      <c r="GH51">
        <v>1</v>
      </c>
      <c r="GI51">
        <v>-2</v>
      </c>
      <c r="GJ51">
        <v>0</v>
      </c>
      <c r="GK51">
        <f>ROUND(R51*(R12)/100,2)</f>
        <v>0</v>
      </c>
      <c r="GL51">
        <f t="shared" si="46"/>
        <v>0</v>
      </c>
      <c r="GM51">
        <f t="shared" si="47"/>
        <v>0</v>
      </c>
      <c r="GN51">
        <f t="shared" si="48"/>
        <v>0</v>
      </c>
      <c r="GO51">
        <f t="shared" si="49"/>
        <v>0</v>
      </c>
      <c r="GP51">
        <f t="shared" si="50"/>
        <v>0</v>
      </c>
      <c r="GR51">
        <v>0</v>
      </c>
      <c r="GS51">
        <v>3</v>
      </c>
      <c r="GT51">
        <v>0</v>
      </c>
      <c r="GU51" t="s">
        <v>3</v>
      </c>
      <c r="GV51">
        <f t="shared" si="51"/>
        <v>0</v>
      </c>
      <c r="GW51">
        <v>1</v>
      </c>
      <c r="GX51">
        <f t="shared" si="52"/>
        <v>0</v>
      </c>
      <c r="HA51">
        <v>0</v>
      </c>
      <c r="HB51">
        <v>0</v>
      </c>
      <c r="HC51">
        <f t="shared" si="53"/>
        <v>0</v>
      </c>
      <c r="HE51" t="s">
        <v>3</v>
      </c>
      <c r="HF51" t="s">
        <v>3</v>
      </c>
      <c r="HM51" t="s">
        <v>3</v>
      </c>
      <c r="HN51" t="s">
        <v>3</v>
      </c>
      <c r="HO51" t="s">
        <v>3</v>
      </c>
      <c r="HP51" t="s">
        <v>3</v>
      </c>
      <c r="HQ51" t="s">
        <v>3</v>
      </c>
      <c r="IK51">
        <v>0</v>
      </c>
    </row>
    <row r="52" spans="1:245" x14ac:dyDescent="0.2">
      <c r="A52">
        <v>18</v>
      </c>
      <c r="B52">
        <v>1</v>
      </c>
      <c r="C52">
        <v>58</v>
      </c>
      <c r="E52" t="s">
        <v>128</v>
      </c>
      <c r="F52" t="s">
        <v>34</v>
      </c>
      <c r="G52" t="s">
        <v>3</v>
      </c>
      <c r="H52" t="s">
        <v>3</v>
      </c>
      <c r="I52">
        <f>I51*J52</f>
        <v>0</v>
      </c>
      <c r="J52">
        <v>0</v>
      </c>
      <c r="K52">
        <v>0</v>
      </c>
      <c r="O52">
        <f t="shared" si="14"/>
        <v>0</v>
      </c>
      <c r="P52">
        <f t="shared" si="15"/>
        <v>0</v>
      </c>
      <c r="Q52">
        <f t="shared" si="16"/>
        <v>0</v>
      </c>
      <c r="R52">
        <f t="shared" si="17"/>
        <v>0</v>
      </c>
      <c r="S52">
        <f t="shared" si="18"/>
        <v>0</v>
      </c>
      <c r="T52">
        <f t="shared" si="19"/>
        <v>0</v>
      </c>
      <c r="U52">
        <f t="shared" si="20"/>
        <v>0</v>
      </c>
      <c r="V52">
        <f t="shared" si="21"/>
        <v>0</v>
      </c>
      <c r="W52">
        <f t="shared" si="22"/>
        <v>0</v>
      </c>
      <c r="X52">
        <f t="shared" si="23"/>
        <v>0</v>
      </c>
      <c r="Y52">
        <f t="shared" si="24"/>
        <v>0</v>
      </c>
      <c r="AA52">
        <v>43095088</v>
      </c>
      <c r="AB52">
        <f t="shared" si="25"/>
        <v>0</v>
      </c>
      <c r="AC52">
        <f t="shared" si="26"/>
        <v>0</v>
      </c>
      <c r="AD52">
        <f t="shared" si="27"/>
        <v>0</v>
      </c>
      <c r="AE52">
        <f t="shared" si="28"/>
        <v>0</v>
      </c>
      <c r="AF52">
        <f t="shared" si="29"/>
        <v>0</v>
      </c>
      <c r="AG52">
        <f t="shared" si="30"/>
        <v>0</v>
      </c>
      <c r="AH52">
        <f t="shared" si="31"/>
        <v>0</v>
      </c>
      <c r="AI52">
        <f t="shared" si="32"/>
        <v>0</v>
      </c>
      <c r="AJ52">
        <f t="shared" si="33"/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70</v>
      </c>
      <c r="AU52">
        <v>10</v>
      </c>
      <c r="AV52">
        <v>1</v>
      </c>
      <c r="AW52">
        <v>1</v>
      </c>
      <c r="AZ52">
        <v>1</v>
      </c>
      <c r="BA52">
        <v>1</v>
      </c>
      <c r="BB52">
        <v>1</v>
      </c>
      <c r="BC52">
        <v>1</v>
      </c>
      <c r="BD52" t="s">
        <v>3</v>
      </c>
      <c r="BE52" t="s">
        <v>3</v>
      </c>
      <c r="BF52" t="s">
        <v>3</v>
      </c>
      <c r="BG52" t="s">
        <v>3</v>
      </c>
      <c r="BH52">
        <v>3</v>
      </c>
      <c r="BI52">
        <v>4</v>
      </c>
      <c r="BJ52" t="s">
        <v>3</v>
      </c>
      <c r="BM52">
        <v>0</v>
      </c>
      <c r="BN52">
        <v>0</v>
      </c>
      <c r="BO52" t="s">
        <v>3</v>
      </c>
      <c r="BP52">
        <v>0</v>
      </c>
      <c r="BQ52">
        <v>1</v>
      </c>
      <c r="BR52">
        <v>0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 t="s">
        <v>3</v>
      </c>
      <c r="BZ52">
        <v>70</v>
      </c>
      <c r="CA52">
        <v>10</v>
      </c>
      <c r="CB52" t="s">
        <v>3</v>
      </c>
      <c r="CE52">
        <v>0</v>
      </c>
      <c r="CF52">
        <v>0</v>
      </c>
      <c r="CG52">
        <v>0</v>
      </c>
      <c r="CM52">
        <v>0</v>
      </c>
      <c r="CN52" t="s">
        <v>3</v>
      </c>
      <c r="CO52">
        <v>0</v>
      </c>
      <c r="CP52">
        <f t="shared" si="34"/>
        <v>0</v>
      </c>
      <c r="CQ52">
        <f t="shared" si="35"/>
        <v>0</v>
      </c>
      <c r="CR52">
        <f t="shared" si="36"/>
        <v>0</v>
      </c>
      <c r="CS52">
        <f t="shared" si="37"/>
        <v>0</v>
      </c>
      <c r="CT52">
        <f t="shared" si="38"/>
        <v>0</v>
      </c>
      <c r="CU52">
        <f t="shared" si="39"/>
        <v>0</v>
      </c>
      <c r="CV52">
        <f t="shared" si="40"/>
        <v>0</v>
      </c>
      <c r="CW52">
        <f t="shared" si="41"/>
        <v>0</v>
      </c>
      <c r="CX52">
        <f t="shared" si="42"/>
        <v>0</v>
      </c>
      <c r="CY52">
        <f t="shared" si="43"/>
        <v>0</v>
      </c>
      <c r="CZ52">
        <f t="shared" si="44"/>
        <v>0</v>
      </c>
      <c r="DC52" t="s">
        <v>3</v>
      </c>
      <c r="DD52" t="s">
        <v>3</v>
      </c>
      <c r="DE52" t="s">
        <v>3</v>
      </c>
      <c r="DF52" t="s">
        <v>3</v>
      </c>
      <c r="DG52" t="s">
        <v>3</v>
      </c>
      <c r="DH52" t="s">
        <v>3</v>
      </c>
      <c r="DI52" t="s">
        <v>3</v>
      </c>
      <c r="DJ52" t="s">
        <v>3</v>
      </c>
      <c r="DK52" t="s">
        <v>3</v>
      </c>
      <c r="DL52" t="s">
        <v>3</v>
      </c>
      <c r="DM52" t="s">
        <v>3</v>
      </c>
      <c r="DN52">
        <v>0</v>
      </c>
      <c r="DO52">
        <v>0</v>
      </c>
      <c r="DP52">
        <v>1</v>
      </c>
      <c r="DQ52">
        <v>1</v>
      </c>
      <c r="DZ52" t="s">
        <v>3</v>
      </c>
      <c r="EA52" t="s">
        <v>3</v>
      </c>
      <c r="EB52" t="s">
        <v>3</v>
      </c>
      <c r="EC52" t="s">
        <v>3</v>
      </c>
      <c r="EE52">
        <v>43033442</v>
      </c>
      <c r="EF52">
        <v>1</v>
      </c>
      <c r="EG52" t="s">
        <v>22</v>
      </c>
      <c r="EH52">
        <v>0</v>
      </c>
      <c r="EI52" t="s">
        <v>3</v>
      </c>
      <c r="EJ52">
        <v>4</v>
      </c>
      <c r="EK52">
        <v>0</v>
      </c>
      <c r="EL52" t="s">
        <v>23</v>
      </c>
      <c r="EM52" t="s">
        <v>24</v>
      </c>
      <c r="EO52" t="s">
        <v>3</v>
      </c>
      <c r="EQ52">
        <v>0</v>
      </c>
      <c r="ER52">
        <v>0</v>
      </c>
      <c r="ES52">
        <v>0</v>
      </c>
      <c r="ET52">
        <v>0</v>
      </c>
      <c r="EU52">
        <v>0</v>
      </c>
      <c r="EV52">
        <v>0</v>
      </c>
      <c r="EW52">
        <v>0</v>
      </c>
      <c r="EX52">
        <v>0</v>
      </c>
      <c r="FQ52">
        <v>0</v>
      </c>
      <c r="FR52">
        <f t="shared" si="45"/>
        <v>0</v>
      </c>
      <c r="FS52">
        <v>0</v>
      </c>
      <c r="FX52">
        <v>70</v>
      </c>
      <c r="FY52">
        <v>10</v>
      </c>
      <c r="GA52" t="s">
        <v>3</v>
      </c>
      <c r="GD52">
        <v>0</v>
      </c>
      <c r="GF52">
        <v>749206967</v>
      </c>
      <c r="GG52">
        <v>2</v>
      </c>
      <c r="GH52">
        <v>0</v>
      </c>
      <c r="GI52">
        <v>-2</v>
      </c>
      <c r="GJ52">
        <v>0</v>
      </c>
      <c r="GK52">
        <f>ROUND(R52*(R12)/100,2)</f>
        <v>0</v>
      </c>
      <c r="GL52">
        <f t="shared" si="46"/>
        <v>0</v>
      </c>
      <c r="GM52">
        <f t="shared" si="47"/>
        <v>0</v>
      </c>
      <c r="GN52">
        <f t="shared" si="48"/>
        <v>0</v>
      </c>
      <c r="GO52">
        <f t="shared" si="49"/>
        <v>0</v>
      </c>
      <c r="GP52">
        <f t="shared" si="50"/>
        <v>0</v>
      </c>
      <c r="GR52">
        <v>0</v>
      </c>
      <c r="GS52">
        <v>3</v>
      </c>
      <c r="GT52">
        <v>0</v>
      </c>
      <c r="GU52" t="s">
        <v>3</v>
      </c>
      <c r="GV52">
        <f t="shared" si="51"/>
        <v>0</v>
      </c>
      <c r="GW52">
        <v>1</v>
      </c>
      <c r="GX52">
        <f t="shared" si="52"/>
        <v>0</v>
      </c>
      <c r="HA52">
        <v>0</v>
      </c>
      <c r="HB52">
        <v>0</v>
      </c>
      <c r="HC52">
        <f t="shared" si="53"/>
        <v>0</v>
      </c>
      <c r="HE52" t="s">
        <v>3</v>
      </c>
      <c r="HF52" t="s">
        <v>3</v>
      </c>
      <c r="HM52" t="s">
        <v>3</v>
      </c>
      <c r="HN52" t="s">
        <v>3</v>
      </c>
      <c r="HO52" t="s">
        <v>3</v>
      </c>
      <c r="HP52" t="s">
        <v>3</v>
      </c>
      <c r="HQ52" t="s">
        <v>3</v>
      </c>
      <c r="IK52">
        <v>0</v>
      </c>
    </row>
    <row r="53" spans="1:245" x14ac:dyDescent="0.2">
      <c r="A53">
        <v>18</v>
      </c>
      <c r="B53">
        <v>1</v>
      </c>
      <c r="E53" t="s">
        <v>129</v>
      </c>
      <c r="F53" t="s">
        <v>34</v>
      </c>
      <c r="G53" t="s">
        <v>121</v>
      </c>
      <c r="H53" t="s">
        <v>64</v>
      </c>
      <c r="I53">
        <f>I51*J53</f>
        <v>0</v>
      </c>
      <c r="J53">
        <v>103</v>
      </c>
      <c r="K53">
        <v>103</v>
      </c>
      <c r="O53">
        <f t="shared" si="14"/>
        <v>0</v>
      </c>
      <c r="P53">
        <f t="shared" si="15"/>
        <v>0</v>
      </c>
      <c r="Q53">
        <f t="shared" si="16"/>
        <v>0</v>
      </c>
      <c r="R53">
        <f t="shared" si="17"/>
        <v>0</v>
      </c>
      <c r="S53">
        <f t="shared" si="18"/>
        <v>0</v>
      </c>
      <c r="T53">
        <f t="shared" si="19"/>
        <v>0</v>
      </c>
      <c r="U53">
        <f t="shared" si="20"/>
        <v>0</v>
      </c>
      <c r="V53">
        <f t="shared" si="21"/>
        <v>0</v>
      </c>
      <c r="W53">
        <f t="shared" si="22"/>
        <v>0</v>
      </c>
      <c r="X53">
        <f t="shared" si="23"/>
        <v>0</v>
      </c>
      <c r="Y53">
        <f t="shared" si="24"/>
        <v>0</v>
      </c>
      <c r="AA53">
        <v>43095088</v>
      </c>
      <c r="AB53">
        <f t="shared" si="25"/>
        <v>90.51</v>
      </c>
      <c r="AC53">
        <f t="shared" si="26"/>
        <v>90.51</v>
      </c>
      <c r="AD53">
        <f t="shared" si="27"/>
        <v>0</v>
      </c>
      <c r="AE53">
        <f t="shared" si="28"/>
        <v>0</v>
      </c>
      <c r="AF53">
        <f t="shared" si="29"/>
        <v>0</v>
      </c>
      <c r="AG53">
        <f t="shared" si="30"/>
        <v>0</v>
      </c>
      <c r="AH53">
        <f t="shared" si="31"/>
        <v>0</v>
      </c>
      <c r="AI53">
        <f t="shared" si="32"/>
        <v>0</v>
      </c>
      <c r="AJ53">
        <f t="shared" si="33"/>
        <v>0</v>
      </c>
      <c r="AK53">
        <v>90.51</v>
      </c>
      <c r="AL53">
        <v>90.51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70</v>
      </c>
      <c r="AU53">
        <v>10</v>
      </c>
      <c r="AV53">
        <v>1</v>
      </c>
      <c r="AW53">
        <v>1</v>
      </c>
      <c r="AZ53">
        <v>1</v>
      </c>
      <c r="BA53">
        <v>1</v>
      </c>
      <c r="BB53">
        <v>1</v>
      </c>
      <c r="BC53">
        <v>1</v>
      </c>
      <c r="BD53" t="s">
        <v>3</v>
      </c>
      <c r="BE53" t="s">
        <v>3</v>
      </c>
      <c r="BF53" t="s">
        <v>3</v>
      </c>
      <c r="BG53" t="s">
        <v>3</v>
      </c>
      <c r="BH53">
        <v>3</v>
      </c>
      <c r="BI53">
        <v>4</v>
      </c>
      <c r="BJ53" t="s">
        <v>3</v>
      </c>
      <c r="BM53">
        <v>0</v>
      </c>
      <c r="BN53">
        <v>0</v>
      </c>
      <c r="BO53" t="s">
        <v>3</v>
      </c>
      <c r="BP53">
        <v>0</v>
      </c>
      <c r="BQ53">
        <v>1</v>
      </c>
      <c r="BR53">
        <v>0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 t="s">
        <v>3</v>
      </c>
      <c r="BZ53">
        <v>70</v>
      </c>
      <c r="CA53">
        <v>10</v>
      </c>
      <c r="CB53" t="s">
        <v>3</v>
      </c>
      <c r="CE53">
        <v>0</v>
      </c>
      <c r="CF53">
        <v>0</v>
      </c>
      <c r="CG53">
        <v>0</v>
      </c>
      <c r="CM53">
        <v>0</v>
      </c>
      <c r="CN53" t="s">
        <v>3</v>
      </c>
      <c r="CO53">
        <v>0</v>
      </c>
      <c r="CP53">
        <f t="shared" si="34"/>
        <v>0</v>
      </c>
      <c r="CQ53">
        <f t="shared" si="35"/>
        <v>90.51</v>
      </c>
      <c r="CR53">
        <f t="shared" si="36"/>
        <v>0</v>
      </c>
      <c r="CS53">
        <f t="shared" si="37"/>
        <v>0</v>
      </c>
      <c r="CT53">
        <f t="shared" si="38"/>
        <v>0</v>
      </c>
      <c r="CU53">
        <f t="shared" si="39"/>
        <v>0</v>
      </c>
      <c r="CV53">
        <f t="shared" si="40"/>
        <v>0</v>
      </c>
      <c r="CW53">
        <f t="shared" si="41"/>
        <v>0</v>
      </c>
      <c r="CX53">
        <f t="shared" si="42"/>
        <v>0</v>
      </c>
      <c r="CY53">
        <f t="shared" si="43"/>
        <v>0</v>
      </c>
      <c r="CZ53">
        <f t="shared" si="44"/>
        <v>0</v>
      </c>
      <c r="DC53" t="s">
        <v>3</v>
      </c>
      <c r="DD53" t="s">
        <v>3</v>
      </c>
      <c r="DE53" t="s">
        <v>3</v>
      </c>
      <c r="DF53" t="s">
        <v>3</v>
      </c>
      <c r="DG53" t="s">
        <v>3</v>
      </c>
      <c r="DH53" t="s">
        <v>3</v>
      </c>
      <c r="DI53" t="s">
        <v>3</v>
      </c>
      <c r="DJ53" t="s">
        <v>3</v>
      </c>
      <c r="DK53" t="s">
        <v>3</v>
      </c>
      <c r="DL53" t="s">
        <v>3</v>
      </c>
      <c r="DM53" t="s">
        <v>3</v>
      </c>
      <c r="DN53">
        <v>0</v>
      </c>
      <c r="DO53">
        <v>0</v>
      </c>
      <c r="DP53">
        <v>1</v>
      </c>
      <c r="DQ53">
        <v>1</v>
      </c>
      <c r="DU53">
        <v>1003</v>
      </c>
      <c r="DV53" t="s">
        <v>64</v>
      </c>
      <c r="DW53" t="s">
        <v>64</v>
      </c>
      <c r="DX53">
        <v>1</v>
      </c>
      <c r="DZ53" t="s">
        <v>3</v>
      </c>
      <c r="EA53" t="s">
        <v>3</v>
      </c>
      <c r="EB53" t="s">
        <v>3</v>
      </c>
      <c r="EC53" t="s">
        <v>3</v>
      </c>
      <c r="EE53">
        <v>43033442</v>
      </c>
      <c r="EF53">
        <v>1</v>
      </c>
      <c r="EG53" t="s">
        <v>22</v>
      </c>
      <c r="EH53">
        <v>0</v>
      </c>
      <c r="EI53" t="s">
        <v>3</v>
      </c>
      <c r="EJ53">
        <v>4</v>
      </c>
      <c r="EK53">
        <v>0</v>
      </c>
      <c r="EL53" t="s">
        <v>23</v>
      </c>
      <c r="EM53" t="s">
        <v>24</v>
      </c>
      <c r="EO53" t="s">
        <v>3</v>
      </c>
      <c r="EQ53">
        <v>0</v>
      </c>
      <c r="ER53">
        <v>90.51</v>
      </c>
      <c r="ES53">
        <v>90.51</v>
      </c>
      <c r="ET53">
        <v>0</v>
      </c>
      <c r="EU53">
        <v>0</v>
      </c>
      <c r="EV53">
        <v>0</v>
      </c>
      <c r="EW53">
        <v>0</v>
      </c>
      <c r="EX53">
        <v>0</v>
      </c>
      <c r="FQ53">
        <v>0</v>
      </c>
      <c r="FR53">
        <f t="shared" si="45"/>
        <v>0</v>
      </c>
      <c r="FS53">
        <v>0</v>
      </c>
      <c r="FX53">
        <v>70</v>
      </c>
      <c r="FY53">
        <v>10</v>
      </c>
      <c r="GA53" t="s">
        <v>3</v>
      </c>
      <c r="GD53">
        <v>0</v>
      </c>
      <c r="GF53">
        <v>-453885095</v>
      </c>
      <c r="GG53">
        <v>2</v>
      </c>
      <c r="GH53">
        <v>0</v>
      </c>
      <c r="GI53">
        <v>-2</v>
      </c>
      <c r="GJ53">
        <v>0</v>
      </c>
      <c r="GK53">
        <f>ROUND(R53*(R12)/100,2)</f>
        <v>0</v>
      </c>
      <c r="GL53">
        <f t="shared" si="46"/>
        <v>0</v>
      </c>
      <c r="GM53">
        <f t="shared" si="47"/>
        <v>0</v>
      </c>
      <c r="GN53">
        <f t="shared" si="48"/>
        <v>0</v>
      </c>
      <c r="GO53">
        <f t="shared" si="49"/>
        <v>0</v>
      </c>
      <c r="GP53">
        <f t="shared" si="50"/>
        <v>0</v>
      </c>
      <c r="GR53">
        <v>0</v>
      </c>
      <c r="GS53">
        <v>0</v>
      </c>
      <c r="GT53">
        <v>0</v>
      </c>
      <c r="GU53" t="s">
        <v>3</v>
      </c>
      <c r="GV53">
        <f t="shared" si="51"/>
        <v>0</v>
      </c>
      <c r="GW53">
        <v>1</v>
      </c>
      <c r="GX53">
        <f t="shared" si="52"/>
        <v>0</v>
      </c>
      <c r="HA53">
        <v>0</v>
      </c>
      <c r="HB53">
        <v>0</v>
      </c>
      <c r="HC53">
        <f t="shared" si="53"/>
        <v>0</v>
      </c>
      <c r="HE53" t="s">
        <v>3</v>
      </c>
      <c r="HF53" t="s">
        <v>3</v>
      </c>
      <c r="HM53" t="s">
        <v>3</v>
      </c>
      <c r="HN53" t="s">
        <v>3</v>
      </c>
      <c r="HO53" t="s">
        <v>3</v>
      </c>
      <c r="HP53" t="s">
        <v>3</v>
      </c>
      <c r="HQ53" t="s">
        <v>3</v>
      </c>
      <c r="IK53">
        <v>0</v>
      </c>
    </row>
    <row r="54" spans="1:245" x14ac:dyDescent="0.2">
      <c r="A54">
        <v>18</v>
      </c>
      <c r="B54">
        <v>1</v>
      </c>
      <c r="E54" t="s">
        <v>130</v>
      </c>
      <c r="F54" t="s">
        <v>34</v>
      </c>
      <c r="G54" t="s">
        <v>123</v>
      </c>
      <c r="H54" t="s">
        <v>20</v>
      </c>
      <c r="I54">
        <f>I51*J54</f>
        <v>0</v>
      </c>
      <c r="J54">
        <v>15.384615</v>
      </c>
      <c r="K54">
        <v>15.384615</v>
      </c>
      <c r="O54">
        <f t="shared" si="14"/>
        <v>0</v>
      </c>
      <c r="P54">
        <f t="shared" si="15"/>
        <v>0</v>
      </c>
      <c r="Q54">
        <f t="shared" si="16"/>
        <v>0</v>
      </c>
      <c r="R54">
        <f t="shared" si="17"/>
        <v>0</v>
      </c>
      <c r="S54">
        <f t="shared" si="18"/>
        <v>0</v>
      </c>
      <c r="T54">
        <f t="shared" si="19"/>
        <v>0</v>
      </c>
      <c r="U54">
        <f t="shared" si="20"/>
        <v>0</v>
      </c>
      <c r="V54">
        <f t="shared" si="21"/>
        <v>0</v>
      </c>
      <c r="W54">
        <f t="shared" si="22"/>
        <v>0</v>
      </c>
      <c r="X54">
        <f t="shared" si="23"/>
        <v>0</v>
      </c>
      <c r="Y54">
        <f t="shared" si="24"/>
        <v>0</v>
      </c>
      <c r="AA54">
        <v>43095088</v>
      </c>
      <c r="AB54">
        <f t="shared" si="25"/>
        <v>350</v>
      </c>
      <c r="AC54">
        <f t="shared" si="26"/>
        <v>350</v>
      </c>
      <c r="AD54">
        <f t="shared" si="27"/>
        <v>0</v>
      </c>
      <c r="AE54">
        <f t="shared" si="28"/>
        <v>0</v>
      </c>
      <c r="AF54">
        <f t="shared" si="29"/>
        <v>0</v>
      </c>
      <c r="AG54">
        <f t="shared" si="30"/>
        <v>0</v>
      </c>
      <c r="AH54">
        <f t="shared" si="31"/>
        <v>0</v>
      </c>
      <c r="AI54">
        <f t="shared" si="32"/>
        <v>0</v>
      </c>
      <c r="AJ54">
        <f t="shared" si="33"/>
        <v>0</v>
      </c>
      <c r="AK54">
        <v>350</v>
      </c>
      <c r="AL54">
        <v>350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70</v>
      </c>
      <c r="AU54">
        <v>10</v>
      </c>
      <c r="AV54">
        <v>1</v>
      </c>
      <c r="AW54">
        <v>1</v>
      </c>
      <c r="AZ54">
        <v>1</v>
      </c>
      <c r="BA54">
        <v>1</v>
      </c>
      <c r="BB54">
        <v>1</v>
      </c>
      <c r="BC54">
        <v>1</v>
      </c>
      <c r="BD54" t="s">
        <v>3</v>
      </c>
      <c r="BE54" t="s">
        <v>3</v>
      </c>
      <c r="BF54" t="s">
        <v>3</v>
      </c>
      <c r="BG54" t="s">
        <v>3</v>
      </c>
      <c r="BH54">
        <v>3</v>
      </c>
      <c r="BI54">
        <v>4</v>
      </c>
      <c r="BJ54" t="s">
        <v>3</v>
      </c>
      <c r="BM54">
        <v>0</v>
      </c>
      <c r="BN54">
        <v>0</v>
      </c>
      <c r="BO54" t="s">
        <v>3</v>
      </c>
      <c r="BP54">
        <v>0</v>
      </c>
      <c r="BQ54">
        <v>1</v>
      </c>
      <c r="BR54">
        <v>0</v>
      </c>
      <c r="BS54">
        <v>1</v>
      </c>
      <c r="BT54">
        <v>1</v>
      </c>
      <c r="BU54">
        <v>1</v>
      </c>
      <c r="BV54">
        <v>1</v>
      </c>
      <c r="BW54">
        <v>1</v>
      </c>
      <c r="BX54">
        <v>1</v>
      </c>
      <c r="BY54" t="s">
        <v>3</v>
      </c>
      <c r="BZ54">
        <v>70</v>
      </c>
      <c r="CA54">
        <v>10</v>
      </c>
      <c r="CB54" t="s">
        <v>3</v>
      </c>
      <c r="CE54">
        <v>0</v>
      </c>
      <c r="CF54">
        <v>0</v>
      </c>
      <c r="CG54">
        <v>0</v>
      </c>
      <c r="CM54">
        <v>0</v>
      </c>
      <c r="CN54" t="s">
        <v>3</v>
      </c>
      <c r="CO54">
        <v>0</v>
      </c>
      <c r="CP54">
        <f t="shared" si="34"/>
        <v>0</v>
      </c>
      <c r="CQ54">
        <f t="shared" si="35"/>
        <v>350</v>
      </c>
      <c r="CR54">
        <f t="shared" si="36"/>
        <v>0</v>
      </c>
      <c r="CS54">
        <f t="shared" si="37"/>
        <v>0</v>
      </c>
      <c r="CT54">
        <f t="shared" si="38"/>
        <v>0</v>
      </c>
      <c r="CU54">
        <f t="shared" si="39"/>
        <v>0</v>
      </c>
      <c r="CV54">
        <f t="shared" si="40"/>
        <v>0</v>
      </c>
      <c r="CW54">
        <f t="shared" si="41"/>
        <v>0</v>
      </c>
      <c r="CX54">
        <f t="shared" si="42"/>
        <v>0</v>
      </c>
      <c r="CY54">
        <f t="shared" si="43"/>
        <v>0</v>
      </c>
      <c r="CZ54">
        <f t="shared" si="44"/>
        <v>0</v>
      </c>
      <c r="DC54" t="s">
        <v>3</v>
      </c>
      <c r="DD54" t="s">
        <v>3</v>
      </c>
      <c r="DE54" t="s">
        <v>3</v>
      </c>
      <c r="DF54" t="s">
        <v>3</v>
      </c>
      <c r="DG54" t="s">
        <v>3</v>
      </c>
      <c r="DH54" t="s">
        <v>3</v>
      </c>
      <c r="DI54" t="s">
        <v>3</v>
      </c>
      <c r="DJ54" t="s">
        <v>3</v>
      </c>
      <c r="DK54" t="s">
        <v>3</v>
      </c>
      <c r="DL54" t="s">
        <v>3</v>
      </c>
      <c r="DM54" t="s">
        <v>3</v>
      </c>
      <c r="DN54">
        <v>0</v>
      </c>
      <c r="DO54">
        <v>0</v>
      </c>
      <c r="DP54">
        <v>1</v>
      </c>
      <c r="DQ54">
        <v>1</v>
      </c>
      <c r="DU54">
        <v>1010</v>
      </c>
      <c r="DV54" t="s">
        <v>20</v>
      </c>
      <c r="DW54" t="s">
        <v>20</v>
      </c>
      <c r="DX54">
        <v>1</v>
      </c>
      <c r="DZ54" t="s">
        <v>3</v>
      </c>
      <c r="EA54" t="s">
        <v>3</v>
      </c>
      <c r="EB54" t="s">
        <v>3</v>
      </c>
      <c r="EC54" t="s">
        <v>3</v>
      </c>
      <c r="EE54">
        <v>43033442</v>
      </c>
      <c r="EF54">
        <v>1</v>
      </c>
      <c r="EG54" t="s">
        <v>22</v>
      </c>
      <c r="EH54">
        <v>0</v>
      </c>
      <c r="EI54" t="s">
        <v>3</v>
      </c>
      <c r="EJ54">
        <v>4</v>
      </c>
      <c r="EK54">
        <v>0</v>
      </c>
      <c r="EL54" t="s">
        <v>23</v>
      </c>
      <c r="EM54" t="s">
        <v>24</v>
      </c>
      <c r="EO54" t="s">
        <v>3</v>
      </c>
      <c r="EQ54">
        <v>0</v>
      </c>
      <c r="ER54">
        <v>350</v>
      </c>
      <c r="ES54">
        <v>350</v>
      </c>
      <c r="ET54">
        <v>0</v>
      </c>
      <c r="EU54">
        <v>0</v>
      </c>
      <c r="EV54">
        <v>0</v>
      </c>
      <c r="EW54">
        <v>0</v>
      </c>
      <c r="EX54">
        <v>0</v>
      </c>
      <c r="FQ54">
        <v>0</v>
      </c>
      <c r="FR54">
        <f t="shared" si="45"/>
        <v>0</v>
      </c>
      <c r="FS54">
        <v>0</v>
      </c>
      <c r="FX54">
        <v>70</v>
      </c>
      <c r="FY54">
        <v>10</v>
      </c>
      <c r="GA54" t="s">
        <v>3</v>
      </c>
      <c r="GD54">
        <v>0</v>
      </c>
      <c r="GF54">
        <v>-804423527</v>
      </c>
      <c r="GG54">
        <v>2</v>
      </c>
      <c r="GH54">
        <v>0</v>
      </c>
      <c r="GI54">
        <v>-2</v>
      </c>
      <c r="GJ54">
        <v>0</v>
      </c>
      <c r="GK54">
        <f>ROUND(R54*(R12)/100,2)</f>
        <v>0</v>
      </c>
      <c r="GL54">
        <f t="shared" si="46"/>
        <v>0</v>
      </c>
      <c r="GM54">
        <f t="shared" si="47"/>
        <v>0</v>
      </c>
      <c r="GN54">
        <f t="shared" si="48"/>
        <v>0</v>
      </c>
      <c r="GO54">
        <f t="shared" si="49"/>
        <v>0</v>
      </c>
      <c r="GP54">
        <f t="shared" si="50"/>
        <v>0</v>
      </c>
      <c r="GR54">
        <v>0</v>
      </c>
      <c r="GS54">
        <v>0</v>
      </c>
      <c r="GT54">
        <v>0</v>
      </c>
      <c r="GU54" t="s">
        <v>3</v>
      </c>
      <c r="GV54">
        <f t="shared" si="51"/>
        <v>0</v>
      </c>
      <c r="GW54">
        <v>1</v>
      </c>
      <c r="GX54">
        <f t="shared" si="52"/>
        <v>0</v>
      </c>
      <c r="HA54">
        <v>0</v>
      </c>
      <c r="HB54">
        <v>0</v>
      </c>
      <c r="HC54">
        <f t="shared" si="53"/>
        <v>0</v>
      </c>
      <c r="HE54" t="s">
        <v>3</v>
      </c>
      <c r="HF54" t="s">
        <v>3</v>
      </c>
      <c r="HM54" t="s">
        <v>3</v>
      </c>
      <c r="HN54" t="s">
        <v>3</v>
      </c>
      <c r="HO54" t="s">
        <v>3</v>
      </c>
      <c r="HP54" t="s">
        <v>3</v>
      </c>
      <c r="HQ54" t="s">
        <v>3</v>
      </c>
      <c r="IK54">
        <v>0</v>
      </c>
    </row>
    <row r="55" spans="1:245" x14ac:dyDescent="0.2">
      <c r="A55">
        <v>17</v>
      </c>
      <c r="B55">
        <v>1</v>
      </c>
      <c r="C55">
        <f>ROW(SmtRes!A63)</f>
        <v>63</v>
      </c>
      <c r="D55">
        <f>ROW(EtalonRes!A56)</f>
        <v>56</v>
      </c>
      <c r="E55" t="s">
        <v>131</v>
      </c>
      <c r="F55" t="s">
        <v>132</v>
      </c>
      <c r="G55" t="s">
        <v>133</v>
      </c>
      <c r="H55" t="s">
        <v>20</v>
      </c>
      <c r="I55">
        <v>5</v>
      </c>
      <c r="J55">
        <v>0</v>
      </c>
      <c r="K55">
        <v>5</v>
      </c>
      <c r="O55">
        <f t="shared" si="14"/>
        <v>5448.45</v>
      </c>
      <c r="P55">
        <f t="shared" si="15"/>
        <v>0</v>
      </c>
      <c r="Q55">
        <f t="shared" si="16"/>
        <v>3606.1</v>
      </c>
      <c r="R55">
        <f t="shared" si="17"/>
        <v>1956.9</v>
      </c>
      <c r="S55">
        <f t="shared" si="18"/>
        <v>1842.35</v>
      </c>
      <c r="T55">
        <f t="shared" si="19"/>
        <v>0</v>
      </c>
      <c r="U55">
        <f t="shared" si="20"/>
        <v>5.8999999999999995</v>
      </c>
      <c r="V55">
        <f t="shared" si="21"/>
        <v>0</v>
      </c>
      <c r="W55">
        <f t="shared" si="22"/>
        <v>0</v>
      </c>
      <c r="X55">
        <f t="shared" si="23"/>
        <v>1289.6500000000001</v>
      </c>
      <c r="Y55">
        <f t="shared" si="24"/>
        <v>184.24</v>
      </c>
      <c r="AA55">
        <v>43095088</v>
      </c>
      <c r="AB55">
        <f t="shared" si="25"/>
        <v>1089.69</v>
      </c>
      <c r="AC55">
        <f t="shared" si="26"/>
        <v>0</v>
      </c>
      <c r="AD55">
        <f t="shared" si="27"/>
        <v>721.22</v>
      </c>
      <c r="AE55">
        <f t="shared" si="28"/>
        <v>391.38</v>
      </c>
      <c r="AF55">
        <f t="shared" si="29"/>
        <v>368.47</v>
      </c>
      <c r="AG55">
        <f t="shared" si="30"/>
        <v>0</v>
      </c>
      <c r="AH55">
        <f t="shared" si="31"/>
        <v>1.18</v>
      </c>
      <c r="AI55">
        <f t="shared" si="32"/>
        <v>0</v>
      </c>
      <c r="AJ55">
        <f t="shared" si="33"/>
        <v>0</v>
      </c>
      <c r="AK55">
        <v>1089.69</v>
      </c>
      <c r="AL55">
        <v>0</v>
      </c>
      <c r="AM55">
        <v>721.22</v>
      </c>
      <c r="AN55">
        <v>391.38</v>
      </c>
      <c r="AO55">
        <v>368.47</v>
      </c>
      <c r="AP55">
        <v>0</v>
      </c>
      <c r="AQ55">
        <v>1.18</v>
      </c>
      <c r="AR55">
        <v>0</v>
      </c>
      <c r="AS55">
        <v>0</v>
      </c>
      <c r="AT55">
        <v>70</v>
      </c>
      <c r="AU55">
        <v>10</v>
      </c>
      <c r="AV55">
        <v>1</v>
      </c>
      <c r="AW55">
        <v>1</v>
      </c>
      <c r="AZ55">
        <v>1</v>
      </c>
      <c r="BA55">
        <v>1</v>
      </c>
      <c r="BB55">
        <v>1</v>
      </c>
      <c r="BC55">
        <v>1</v>
      </c>
      <c r="BD55" t="s">
        <v>3</v>
      </c>
      <c r="BE55" t="s">
        <v>3</v>
      </c>
      <c r="BF55" t="s">
        <v>3</v>
      </c>
      <c r="BG55" t="s">
        <v>3</v>
      </c>
      <c r="BH55">
        <v>0</v>
      </c>
      <c r="BI55">
        <v>4</v>
      </c>
      <c r="BJ55" t="s">
        <v>134</v>
      </c>
      <c r="BM55">
        <v>0</v>
      </c>
      <c r="BN55">
        <v>0</v>
      </c>
      <c r="BO55" t="s">
        <v>3</v>
      </c>
      <c r="BP55">
        <v>0</v>
      </c>
      <c r="BQ55">
        <v>1</v>
      </c>
      <c r="BR55">
        <v>0</v>
      </c>
      <c r="BS55">
        <v>1</v>
      </c>
      <c r="BT55">
        <v>1</v>
      </c>
      <c r="BU55">
        <v>1</v>
      </c>
      <c r="BV55">
        <v>1</v>
      </c>
      <c r="BW55">
        <v>1</v>
      </c>
      <c r="BX55">
        <v>1</v>
      </c>
      <c r="BY55" t="s">
        <v>3</v>
      </c>
      <c r="BZ55">
        <v>70</v>
      </c>
      <c r="CA55">
        <v>10</v>
      </c>
      <c r="CB55" t="s">
        <v>3</v>
      </c>
      <c r="CE55">
        <v>0</v>
      </c>
      <c r="CF55">
        <v>0</v>
      </c>
      <c r="CG55">
        <v>0</v>
      </c>
      <c r="CM55">
        <v>0</v>
      </c>
      <c r="CN55" t="s">
        <v>3</v>
      </c>
      <c r="CO55">
        <v>0</v>
      </c>
      <c r="CP55">
        <f t="shared" si="34"/>
        <v>5448.45</v>
      </c>
      <c r="CQ55">
        <f t="shared" si="35"/>
        <v>0</v>
      </c>
      <c r="CR55">
        <f t="shared" si="36"/>
        <v>721.22</v>
      </c>
      <c r="CS55">
        <f t="shared" si="37"/>
        <v>391.38</v>
      </c>
      <c r="CT55">
        <f t="shared" si="38"/>
        <v>368.47</v>
      </c>
      <c r="CU55">
        <f t="shared" si="39"/>
        <v>0</v>
      </c>
      <c r="CV55">
        <f t="shared" si="40"/>
        <v>1.18</v>
      </c>
      <c r="CW55">
        <f t="shared" si="41"/>
        <v>0</v>
      </c>
      <c r="CX55">
        <f t="shared" si="42"/>
        <v>0</v>
      </c>
      <c r="CY55">
        <f t="shared" si="43"/>
        <v>1289.645</v>
      </c>
      <c r="CZ55">
        <f t="shared" si="44"/>
        <v>184.23500000000001</v>
      </c>
      <c r="DC55" t="s">
        <v>3</v>
      </c>
      <c r="DD55" t="s">
        <v>3</v>
      </c>
      <c r="DE55" t="s">
        <v>3</v>
      </c>
      <c r="DF55" t="s">
        <v>3</v>
      </c>
      <c r="DG55" t="s">
        <v>3</v>
      </c>
      <c r="DH55" t="s">
        <v>3</v>
      </c>
      <c r="DI55" t="s">
        <v>3</v>
      </c>
      <c r="DJ55" t="s">
        <v>3</v>
      </c>
      <c r="DK55" t="s">
        <v>3</v>
      </c>
      <c r="DL55" t="s">
        <v>3</v>
      </c>
      <c r="DM55" t="s">
        <v>3</v>
      </c>
      <c r="DN55">
        <v>0</v>
      </c>
      <c r="DO55">
        <v>0</v>
      </c>
      <c r="DP55">
        <v>1</v>
      </c>
      <c r="DQ55">
        <v>1</v>
      </c>
      <c r="DU55">
        <v>1010</v>
      </c>
      <c r="DV55" t="s">
        <v>20</v>
      </c>
      <c r="DW55" t="s">
        <v>20</v>
      </c>
      <c r="DX55">
        <v>1</v>
      </c>
      <c r="DZ55" t="s">
        <v>3</v>
      </c>
      <c r="EA55" t="s">
        <v>3</v>
      </c>
      <c r="EB55" t="s">
        <v>3</v>
      </c>
      <c r="EC55" t="s">
        <v>3</v>
      </c>
      <c r="EE55">
        <v>43033442</v>
      </c>
      <c r="EF55">
        <v>1</v>
      </c>
      <c r="EG55" t="s">
        <v>22</v>
      </c>
      <c r="EH55">
        <v>0</v>
      </c>
      <c r="EI55" t="s">
        <v>3</v>
      </c>
      <c r="EJ55">
        <v>4</v>
      </c>
      <c r="EK55">
        <v>0</v>
      </c>
      <c r="EL55" t="s">
        <v>23</v>
      </c>
      <c r="EM55" t="s">
        <v>24</v>
      </c>
      <c r="EO55" t="s">
        <v>3</v>
      </c>
      <c r="EQ55">
        <v>0</v>
      </c>
      <c r="ER55">
        <v>1089.69</v>
      </c>
      <c r="ES55">
        <v>0</v>
      </c>
      <c r="ET55">
        <v>721.22</v>
      </c>
      <c r="EU55">
        <v>391.38</v>
      </c>
      <c r="EV55">
        <v>368.47</v>
      </c>
      <c r="EW55">
        <v>1.18</v>
      </c>
      <c r="EX55">
        <v>0</v>
      </c>
      <c r="EY55">
        <v>0</v>
      </c>
      <c r="FQ55">
        <v>0</v>
      </c>
      <c r="FR55">
        <f t="shared" si="45"/>
        <v>0</v>
      </c>
      <c r="FS55">
        <v>0</v>
      </c>
      <c r="FX55">
        <v>70</v>
      </c>
      <c r="FY55">
        <v>10</v>
      </c>
      <c r="GA55" t="s">
        <v>3</v>
      </c>
      <c r="GD55">
        <v>0</v>
      </c>
      <c r="GF55">
        <v>540670553</v>
      </c>
      <c r="GG55">
        <v>2</v>
      </c>
      <c r="GH55">
        <v>1</v>
      </c>
      <c r="GI55">
        <v>-2</v>
      </c>
      <c r="GJ55">
        <v>0</v>
      </c>
      <c r="GK55">
        <f>ROUND(R55*(R12)/100,2)</f>
        <v>2113.4499999999998</v>
      </c>
      <c r="GL55">
        <f t="shared" si="46"/>
        <v>0</v>
      </c>
      <c r="GM55">
        <f t="shared" si="47"/>
        <v>9035.7900000000009</v>
      </c>
      <c r="GN55">
        <f t="shared" si="48"/>
        <v>0</v>
      </c>
      <c r="GO55">
        <f t="shared" si="49"/>
        <v>0</v>
      </c>
      <c r="GP55">
        <f t="shared" si="50"/>
        <v>9035.7900000000009</v>
      </c>
      <c r="GR55">
        <v>0</v>
      </c>
      <c r="GS55">
        <v>3</v>
      </c>
      <c r="GT55">
        <v>0</v>
      </c>
      <c r="GU55" t="s">
        <v>3</v>
      </c>
      <c r="GV55">
        <f t="shared" si="51"/>
        <v>0</v>
      </c>
      <c r="GW55">
        <v>1</v>
      </c>
      <c r="GX55">
        <f t="shared" si="52"/>
        <v>0</v>
      </c>
      <c r="HA55">
        <v>0</v>
      </c>
      <c r="HB55">
        <v>0</v>
      </c>
      <c r="HC55">
        <f t="shared" si="53"/>
        <v>0</v>
      </c>
      <c r="HE55" t="s">
        <v>3</v>
      </c>
      <c r="HF55" t="s">
        <v>3</v>
      </c>
      <c r="HM55" t="s">
        <v>3</v>
      </c>
      <c r="HN55" t="s">
        <v>3</v>
      </c>
      <c r="HO55" t="s">
        <v>3</v>
      </c>
      <c r="HP55" t="s">
        <v>3</v>
      </c>
      <c r="HQ55" t="s">
        <v>3</v>
      </c>
      <c r="IK55">
        <v>0</v>
      </c>
    </row>
    <row r="56" spans="1:245" x14ac:dyDescent="0.2">
      <c r="A56">
        <v>18</v>
      </c>
      <c r="B56">
        <v>1</v>
      </c>
      <c r="E56" t="s">
        <v>135</v>
      </c>
      <c r="F56" t="s">
        <v>34</v>
      </c>
      <c r="G56" t="s">
        <v>136</v>
      </c>
      <c r="H56" t="s">
        <v>20</v>
      </c>
      <c r="I56">
        <f>I55*J56</f>
        <v>5</v>
      </c>
      <c r="J56">
        <v>1</v>
      </c>
      <c r="K56">
        <v>1</v>
      </c>
      <c r="O56">
        <f t="shared" ref="O56:O87" si="54">ROUND(CP56,2)</f>
        <v>40603.35</v>
      </c>
      <c r="P56">
        <f t="shared" ref="P56:P87" si="55">ROUND(CQ56*I56,2)</f>
        <v>40603.35</v>
      </c>
      <c r="Q56">
        <f t="shared" ref="Q56:Q87" si="56">ROUND(CR56*I56,2)</f>
        <v>0</v>
      </c>
      <c r="R56">
        <f t="shared" ref="R56:R87" si="57">ROUND(CS56*I56,2)</f>
        <v>0</v>
      </c>
      <c r="S56">
        <f t="shared" ref="S56:S87" si="58">ROUND(CT56*I56,2)</f>
        <v>0</v>
      </c>
      <c r="T56">
        <f t="shared" ref="T56:T87" si="59">ROUND(CU56*I56,2)</f>
        <v>0</v>
      </c>
      <c r="U56">
        <f t="shared" ref="U56:U87" si="60">CV56*I56</f>
        <v>0</v>
      </c>
      <c r="V56">
        <f t="shared" ref="V56:V87" si="61">CW56*I56</f>
        <v>0</v>
      </c>
      <c r="W56">
        <f t="shared" ref="W56:W87" si="62">ROUND(CX56*I56,2)</f>
        <v>0</v>
      </c>
      <c r="X56">
        <f t="shared" ref="X56:X87" si="63">ROUND(CY56,2)</f>
        <v>0</v>
      </c>
      <c r="Y56">
        <f t="shared" ref="Y56:Y87" si="64">ROUND(CZ56,2)</f>
        <v>0</v>
      </c>
      <c r="AA56">
        <v>43095088</v>
      </c>
      <c r="AB56">
        <f t="shared" ref="AB56:AB87" si="65">ROUND((AC56+AD56+AF56),6)</f>
        <v>8120.67</v>
      </c>
      <c r="AC56">
        <f t="shared" ref="AC56:AC87" si="66">ROUND((ES56),6)</f>
        <v>8120.67</v>
      </c>
      <c r="AD56">
        <f t="shared" ref="AD56:AD87" si="67">ROUND((((ET56)-(EU56))+AE56),6)</f>
        <v>0</v>
      </c>
      <c r="AE56">
        <f t="shared" ref="AE56:AE87" si="68">ROUND((EU56),6)</f>
        <v>0</v>
      </c>
      <c r="AF56">
        <f t="shared" ref="AF56:AF87" si="69">ROUND((EV56),6)</f>
        <v>0</v>
      </c>
      <c r="AG56">
        <f t="shared" ref="AG56:AG87" si="70">ROUND((AP56),6)</f>
        <v>0</v>
      </c>
      <c r="AH56">
        <f t="shared" ref="AH56:AH87" si="71">(EW56)</f>
        <v>0</v>
      </c>
      <c r="AI56">
        <f t="shared" ref="AI56:AI87" si="72">(EX56)</f>
        <v>0</v>
      </c>
      <c r="AJ56">
        <f t="shared" ref="AJ56:AJ87" si="73">(AS56)</f>
        <v>0</v>
      </c>
      <c r="AK56">
        <v>8120.67</v>
      </c>
      <c r="AL56">
        <v>8120.67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70</v>
      </c>
      <c r="AU56">
        <v>10</v>
      </c>
      <c r="AV56">
        <v>1</v>
      </c>
      <c r="AW56">
        <v>1</v>
      </c>
      <c r="AZ56">
        <v>1</v>
      </c>
      <c r="BA56">
        <v>1</v>
      </c>
      <c r="BB56">
        <v>1</v>
      </c>
      <c r="BC56">
        <v>1</v>
      </c>
      <c r="BD56" t="s">
        <v>3</v>
      </c>
      <c r="BE56" t="s">
        <v>3</v>
      </c>
      <c r="BF56" t="s">
        <v>3</v>
      </c>
      <c r="BG56" t="s">
        <v>3</v>
      </c>
      <c r="BH56">
        <v>3</v>
      </c>
      <c r="BI56">
        <v>4</v>
      </c>
      <c r="BJ56" t="s">
        <v>3</v>
      </c>
      <c r="BM56">
        <v>0</v>
      </c>
      <c r="BN56">
        <v>0</v>
      </c>
      <c r="BO56" t="s">
        <v>3</v>
      </c>
      <c r="BP56">
        <v>0</v>
      </c>
      <c r="BQ56">
        <v>1</v>
      </c>
      <c r="BR56">
        <v>0</v>
      </c>
      <c r="BS56">
        <v>1</v>
      </c>
      <c r="BT56">
        <v>1</v>
      </c>
      <c r="BU56">
        <v>1</v>
      </c>
      <c r="BV56">
        <v>1</v>
      </c>
      <c r="BW56">
        <v>1</v>
      </c>
      <c r="BX56">
        <v>1</v>
      </c>
      <c r="BY56" t="s">
        <v>3</v>
      </c>
      <c r="BZ56">
        <v>70</v>
      </c>
      <c r="CA56">
        <v>10</v>
      </c>
      <c r="CB56" t="s">
        <v>3</v>
      </c>
      <c r="CE56">
        <v>0</v>
      </c>
      <c r="CF56">
        <v>0</v>
      </c>
      <c r="CG56">
        <v>0</v>
      </c>
      <c r="CM56">
        <v>0</v>
      </c>
      <c r="CN56" t="s">
        <v>3</v>
      </c>
      <c r="CO56">
        <v>0</v>
      </c>
      <c r="CP56">
        <f t="shared" ref="CP56:CP87" si="74">(P56+Q56+S56)</f>
        <v>40603.35</v>
      </c>
      <c r="CQ56">
        <f t="shared" ref="CQ56:CQ87" si="75">(AC56*BC56*AW56)</f>
        <v>8120.67</v>
      </c>
      <c r="CR56">
        <f t="shared" ref="CR56:CR87" si="76">((((ET56)*BB56-(EU56)*BS56)+AE56*BS56)*AV56)</f>
        <v>0</v>
      </c>
      <c r="CS56">
        <f t="shared" ref="CS56:CS87" si="77">(AE56*BS56*AV56)</f>
        <v>0</v>
      </c>
      <c r="CT56">
        <f t="shared" ref="CT56:CT87" si="78">(AF56*BA56*AV56)</f>
        <v>0</v>
      </c>
      <c r="CU56">
        <f t="shared" ref="CU56:CU87" si="79">AG56</f>
        <v>0</v>
      </c>
      <c r="CV56">
        <f t="shared" ref="CV56:CV87" si="80">(AH56*AV56)</f>
        <v>0</v>
      </c>
      <c r="CW56">
        <f t="shared" ref="CW56:CW87" si="81">AI56</f>
        <v>0</v>
      </c>
      <c r="CX56">
        <f t="shared" ref="CX56:CX87" si="82">AJ56</f>
        <v>0</v>
      </c>
      <c r="CY56">
        <f t="shared" ref="CY56:CY87" si="83">((S56*BZ56)/100)</f>
        <v>0</v>
      </c>
      <c r="CZ56">
        <f t="shared" ref="CZ56:CZ87" si="84">((S56*CA56)/100)</f>
        <v>0</v>
      </c>
      <c r="DC56" t="s">
        <v>3</v>
      </c>
      <c r="DD56" t="s">
        <v>3</v>
      </c>
      <c r="DE56" t="s">
        <v>3</v>
      </c>
      <c r="DF56" t="s">
        <v>3</v>
      </c>
      <c r="DG56" t="s">
        <v>3</v>
      </c>
      <c r="DH56" t="s">
        <v>3</v>
      </c>
      <c r="DI56" t="s">
        <v>3</v>
      </c>
      <c r="DJ56" t="s">
        <v>3</v>
      </c>
      <c r="DK56" t="s">
        <v>3</v>
      </c>
      <c r="DL56" t="s">
        <v>3</v>
      </c>
      <c r="DM56" t="s">
        <v>3</v>
      </c>
      <c r="DN56">
        <v>0</v>
      </c>
      <c r="DO56">
        <v>0</v>
      </c>
      <c r="DP56">
        <v>1</v>
      </c>
      <c r="DQ56">
        <v>1</v>
      </c>
      <c r="DU56">
        <v>1010</v>
      </c>
      <c r="DV56" t="s">
        <v>20</v>
      </c>
      <c r="DW56" t="s">
        <v>20</v>
      </c>
      <c r="DX56">
        <v>1</v>
      </c>
      <c r="DZ56" t="s">
        <v>3</v>
      </c>
      <c r="EA56" t="s">
        <v>3</v>
      </c>
      <c r="EB56" t="s">
        <v>3</v>
      </c>
      <c r="EC56" t="s">
        <v>3</v>
      </c>
      <c r="EE56">
        <v>43033442</v>
      </c>
      <c r="EF56">
        <v>1</v>
      </c>
      <c r="EG56" t="s">
        <v>22</v>
      </c>
      <c r="EH56">
        <v>0</v>
      </c>
      <c r="EI56" t="s">
        <v>3</v>
      </c>
      <c r="EJ56">
        <v>4</v>
      </c>
      <c r="EK56">
        <v>0</v>
      </c>
      <c r="EL56" t="s">
        <v>23</v>
      </c>
      <c r="EM56" t="s">
        <v>24</v>
      </c>
      <c r="EO56" t="s">
        <v>3</v>
      </c>
      <c r="EQ56">
        <v>0</v>
      </c>
      <c r="ER56">
        <v>8120.67</v>
      </c>
      <c r="ES56">
        <v>8120.67</v>
      </c>
      <c r="ET56">
        <v>0</v>
      </c>
      <c r="EU56">
        <v>0</v>
      </c>
      <c r="EV56">
        <v>0</v>
      </c>
      <c r="EW56">
        <v>0</v>
      </c>
      <c r="EX56">
        <v>0</v>
      </c>
      <c r="EZ56">
        <v>5</v>
      </c>
      <c r="FC56">
        <v>1</v>
      </c>
      <c r="FD56">
        <v>18</v>
      </c>
      <c r="FF56">
        <v>9744.7999999999993</v>
      </c>
      <c r="FQ56">
        <v>0</v>
      </c>
      <c r="FR56">
        <f t="shared" ref="FR56:FR87" si="85">ROUND(IF(AND(BH56=3,BI56=3),P56,0),2)</f>
        <v>0</v>
      </c>
      <c r="FS56">
        <v>0</v>
      </c>
      <c r="FX56">
        <v>70</v>
      </c>
      <c r="FY56">
        <v>10</v>
      </c>
      <c r="GA56" t="s">
        <v>137</v>
      </c>
      <c r="GD56">
        <v>0</v>
      </c>
      <c r="GF56">
        <v>-1350317839</v>
      </c>
      <c r="GG56">
        <v>2</v>
      </c>
      <c r="GH56">
        <v>3</v>
      </c>
      <c r="GI56">
        <v>-2</v>
      </c>
      <c r="GJ56">
        <v>0</v>
      </c>
      <c r="GK56">
        <f>ROUND(R56*(R12)/100,2)</f>
        <v>0</v>
      </c>
      <c r="GL56">
        <f t="shared" ref="GL56:GL87" si="86">ROUND(IF(AND(BH56=3,BI56=3,FS56&lt;&gt;0),P56,0),2)</f>
        <v>0</v>
      </c>
      <c r="GM56">
        <f t="shared" ref="GM56:GM87" si="87">ROUND(O56+X56+Y56+GK56,2)+GX56</f>
        <v>40603.35</v>
      </c>
      <c r="GN56">
        <f t="shared" ref="GN56:GN87" si="88">IF(OR(BI56=0,BI56=1),ROUND(O56+X56+Y56+GK56,2),0)</f>
        <v>0</v>
      </c>
      <c r="GO56">
        <f t="shared" ref="GO56:GO87" si="89">IF(BI56=2,ROUND(O56+X56+Y56+GK56,2),0)</f>
        <v>0</v>
      </c>
      <c r="GP56">
        <f t="shared" ref="GP56:GP87" si="90">IF(BI56=4,ROUND(O56+X56+Y56+GK56,2)+GX56,0)</f>
        <v>40603.35</v>
      </c>
      <c r="GR56">
        <v>1</v>
      </c>
      <c r="GS56">
        <v>1</v>
      </c>
      <c r="GT56">
        <v>0</v>
      </c>
      <c r="GU56" t="s">
        <v>3</v>
      </c>
      <c r="GV56">
        <f t="shared" ref="GV56:GV87" si="91">ROUND((GT56),6)</f>
        <v>0</v>
      </c>
      <c r="GW56">
        <v>1</v>
      </c>
      <c r="GX56">
        <f t="shared" ref="GX56:GX87" si="92">ROUND(HC56*I56,2)</f>
        <v>0</v>
      </c>
      <c r="HA56">
        <v>0</v>
      </c>
      <c r="HB56">
        <v>0</v>
      </c>
      <c r="HC56">
        <f t="shared" ref="HC56:HC87" si="93">GV56*GW56</f>
        <v>0</v>
      </c>
      <c r="HE56" t="s">
        <v>37</v>
      </c>
      <c r="HF56" t="s">
        <v>37</v>
      </c>
      <c r="HM56" t="s">
        <v>3</v>
      </c>
      <c r="HN56" t="s">
        <v>3</v>
      </c>
      <c r="HO56" t="s">
        <v>3</v>
      </c>
      <c r="HP56" t="s">
        <v>3</v>
      </c>
      <c r="HQ56" t="s">
        <v>3</v>
      </c>
      <c r="IK56">
        <v>0</v>
      </c>
    </row>
    <row r="57" spans="1:245" x14ac:dyDescent="0.2">
      <c r="A57">
        <v>18</v>
      </c>
      <c r="B57">
        <v>1</v>
      </c>
      <c r="E57" t="s">
        <v>138</v>
      </c>
      <c r="F57" t="s">
        <v>34</v>
      </c>
      <c r="G57" t="s">
        <v>139</v>
      </c>
      <c r="H57" t="s">
        <v>20</v>
      </c>
      <c r="I57">
        <f>I55*J57</f>
        <v>0</v>
      </c>
      <c r="J57">
        <v>0</v>
      </c>
      <c r="K57">
        <v>0</v>
      </c>
      <c r="O57">
        <f t="shared" si="54"/>
        <v>0</v>
      </c>
      <c r="P57">
        <f t="shared" si="55"/>
        <v>0</v>
      </c>
      <c r="Q57">
        <f t="shared" si="56"/>
        <v>0</v>
      </c>
      <c r="R57">
        <f t="shared" si="57"/>
        <v>0</v>
      </c>
      <c r="S57">
        <f t="shared" si="58"/>
        <v>0</v>
      </c>
      <c r="T57">
        <f t="shared" si="59"/>
        <v>0</v>
      </c>
      <c r="U57">
        <f t="shared" si="60"/>
        <v>0</v>
      </c>
      <c r="V57">
        <f t="shared" si="61"/>
        <v>0</v>
      </c>
      <c r="W57">
        <f t="shared" si="62"/>
        <v>0</v>
      </c>
      <c r="X57">
        <f t="shared" si="63"/>
        <v>0</v>
      </c>
      <c r="Y57">
        <f t="shared" si="64"/>
        <v>0</v>
      </c>
      <c r="AA57">
        <v>43095088</v>
      </c>
      <c r="AB57">
        <f t="shared" si="65"/>
        <v>4138.33</v>
      </c>
      <c r="AC57">
        <f t="shared" si="66"/>
        <v>4138.33</v>
      </c>
      <c r="AD57">
        <f t="shared" si="67"/>
        <v>0</v>
      </c>
      <c r="AE57">
        <f t="shared" si="68"/>
        <v>0</v>
      </c>
      <c r="AF57">
        <f t="shared" si="69"/>
        <v>0</v>
      </c>
      <c r="AG57">
        <f t="shared" si="70"/>
        <v>0</v>
      </c>
      <c r="AH57">
        <f t="shared" si="71"/>
        <v>0</v>
      </c>
      <c r="AI57">
        <f t="shared" si="72"/>
        <v>0</v>
      </c>
      <c r="AJ57">
        <f t="shared" si="73"/>
        <v>0</v>
      </c>
      <c r="AK57">
        <v>4138.33</v>
      </c>
      <c r="AL57">
        <v>4138.33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70</v>
      </c>
      <c r="AU57">
        <v>10</v>
      </c>
      <c r="AV57">
        <v>1</v>
      </c>
      <c r="AW57">
        <v>1</v>
      </c>
      <c r="AZ57">
        <v>1</v>
      </c>
      <c r="BA57">
        <v>1</v>
      </c>
      <c r="BB57">
        <v>1</v>
      </c>
      <c r="BC57">
        <v>1</v>
      </c>
      <c r="BD57" t="s">
        <v>3</v>
      </c>
      <c r="BE57" t="s">
        <v>3</v>
      </c>
      <c r="BF57" t="s">
        <v>3</v>
      </c>
      <c r="BG57" t="s">
        <v>3</v>
      </c>
      <c r="BH57">
        <v>3</v>
      </c>
      <c r="BI57">
        <v>4</v>
      </c>
      <c r="BJ57" t="s">
        <v>3</v>
      </c>
      <c r="BM57">
        <v>0</v>
      </c>
      <c r="BN57">
        <v>0</v>
      </c>
      <c r="BO57" t="s">
        <v>3</v>
      </c>
      <c r="BP57">
        <v>0</v>
      </c>
      <c r="BQ57">
        <v>1</v>
      </c>
      <c r="BR57">
        <v>0</v>
      </c>
      <c r="BS57">
        <v>1</v>
      </c>
      <c r="BT57">
        <v>1</v>
      </c>
      <c r="BU57">
        <v>1</v>
      </c>
      <c r="BV57">
        <v>1</v>
      </c>
      <c r="BW57">
        <v>1</v>
      </c>
      <c r="BX57">
        <v>1</v>
      </c>
      <c r="BY57" t="s">
        <v>3</v>
      </c>
      <c r="BZ57">
        <v>70</v>
      </c>
      <c r="CA57">
        <v>10</v>
      </c>
      <c r="CB57" t="s">
        <v>3</v>
      </c>
      <c r="CE57">
        <v>0</v>
      </c>
      <c r="CF57">
        <v>0</v>
      </c>
      <c r="CG57">
        <v>0</v>
      </c>
      <c r="CM57">
        <v>0</v>
      </c>
      <c r="CN57" t="s">
        <v>3</v>
      </c>
      <c r="CO57">
        <v>0</v>
      </c>
      <c r="CP57">
        <f t="shared" si="74"/>
        <v>0</v>
      </c>
      <c r="CQ57">
        <f t="shared" si="75"/>
        <v>4138.33</v>
      </c>
      <c r="CR57">
        <f t="shared" si="76"/>
        <v>0</v>
      </c>
      <c r="CS57">
        <f t="shared" si="77"/>
        <v>0</v>
      </c>
      <c r="CT57">
        <f t="shared" si="78"/>
        <v>0</v>
      </c>
      <c r="CU57">
        <f t="shared" si="79"/>
        <v>0</v>
      </c>
      <c r="CV57">
        <f t="shared" si="80"/>
        <v>0</v>
      </c>
      <c r="CW57">
        <f t="shared" si="81"/>
        <v>0</v>
      </c>
      <c r="CX57">
        <f t="shared" si="82"/>
        <v>0</v>
      </c>
      <c r="CY57">
        <f t="shared" si="83"/>
        <v>0</v>
      </c>
      <c r="CZ57">
        <f t="shared" si="84"/>
        <v>0</v>
      </c>
      <c r="DC57" t="s">
        <v>3</v>
      </c>
      <c r="DD57" t="s">
        <v>3</v>
      </c>
      <c r="DE57" t="s">
        <v>3</v>
      </c>
      <c r="DF57" t="s">
        <v>3</v>
      </c>
      <c r="DG57" t="s">
        <v>3</v>
      </c>
      <c r="DH57" t="s">
        <v>3</v>
      </c>
      <c r="DI57" t="s">
        <v>3</v>
      </c>
      <c r="DJ57" t="s">
        <v>3</v>
      </c>
      <c r="DK57" t="s">
        <v>3</v>
      </c>
      <c r="DL57" t="s">
        <v>3</v>
      </c>
      <c r="DM57" t="s">
        <v>3</v>
      </c>
      <c r="DN57">
        <v>0</v>
      </c>
      <c r="DO57">
        <v>0</v>
      </c>
      <c r="DP57">
        <v>1</v>
      </c>
      <c r="DQ57">
        <v>1</v>
      </c>
      <c r="DU57">
        <v>1010</v>
      </c>
      <c r="DV57" t="s">
        <v>20</v>
      </c>
      <c r="DW57" t="s">
        <v>20</v>
      </c>
      <c r="DX57">
        <v>1</v>
      </c>
      <c r="DZ57" t="s">
        <v>3</v>
      </c>
      <c r="EA57" t="s">
        <v>3</v>
      </c>
      <c r="EB57" t="s">
        <v>3</v>
      </c>
      <c r="EC57" t="s">
        <v>3</v>
      </c>
      <c r="EE57">
        <v>43033442</v>
      </c>
      <c r="EF57">
        <v>1</v>
      </c>
      <c r="EG57" t="s">
        <v>22</v>
      </c>
      <c r="EH57">
        <v>0</v>
      </c>
      <c r="EI57" t="s">
        <v>3</v>
      </c>
      <c r="EJ57">
        <v>4</v>
      </c>
      <c r="EK57">
        <v>0</v>
      </c>
      <c r="EL57" t="s">
        <v>23</v>
      </c>
      <c r="EM57" t="s">
        <v>24</v>
      </c>
      <c r="EO57" t="s">
        <v>3</v>
      </c>
      <c r="EQ57">
        <v>0</v>
      </c>
      <c r="ER57">
        <v>4138.33</v>
      </c>
      <c r="ES57">
        <v>4138.33</v>
      </c>
      <c r="ET57">
        <v>0</v>
      </c>
      <c r="EU57">
        <v>0</v>
      </c>
      <c r="EV57">
        <v>0</v>
      </c>
      <c r="EW57">
        <v>0</v>
      </c>
      <c r="EX57">
        <v>0</v>
      </c>
      <c r="FQ57">
        <v>0</v>
      </c>
      <c r="FR57">
        <f t="shared" si="85"/>
        <v>0</v>
      </c>
      <c r="FS57">
        <v>0</v>
      </c>
      <c r="FX57">
        <v>70</v>
      </c>
      <c r="FY57">
        <v>10</v>
      </c>
      <c r="GA57" t="s">
        <v>3</v>
      </c>
      <c r="GD57">
        <v>0</v>
      </c>
      <c r="GF57">
        <v>527535904</v>
      </c>
      <c r="GG57">
        <v>2</v>
      </c>
      <c r="GH57">
        <v>0</v>
      </c>
      <c r="GI57">
        <v>-2</v>
      </c>
      <c r="GJ57">
        <v>0</v>
      </c>
      <c r="GK57">
        <f>ROUND(R57*(R12)/100,2)</f>
        <v>0</v>
      </c>
      <c r="GL57">
        <f t="shared" si="86"/>
        <v>0</v>
      </c>
      <c r="GM57">
        <f t="shared" si="87"/>
        <v>0</v>
      </c>
      <c r="GN57">
        <f t="shared" si="88"/>
        <v>0</v>
      </c>
      <c r="GO57">
        <f t="shared" si="89"/>
        <v>0</v>
      </c>
      <c r="GP57">
        <f t="shared" si="90"/>
        <v>0</v>
      </c>
      <c r="GR57">
        <v>0</v>
      </c>
      <c r="GS57">
        <v>0</v>
      </c>
      <c r="GT57">
        <v>0</v>
      </c>
      <c r="GU57" t="s">
        <v>3</v>
      </c>
      <c r="GV57">
        <f t="shared" si="91"/>
        <v>0</v>
      </c>
      <c r="GW57">
        <v>1</v>
      </c>
      <c r="GX57">
        <f t="shared" si="92"/>
        <v>0</v>
      </c>
      <c r="HA57">
        <v>0</v>
      </c>
      <c r="HB57">
        <v>0</v>
      </c>
      <c r="HC57">
        <f t="shared" si="93"/>
        <v>0</v>
      </c>
      <c r="HE57" t="s">
        <v>3</v>
      </c>
      <c r="HF57" t="s">
        <v>3</v>
      </c>
      <c r="HM57" t="s">
        <v>3</v>
      </c>
      <c r="HN57" t="s">
        <v>3</v>
      </c>
      <c r="HO57" t="s">
        <v>3</v>
      </c>
      <c r="HP57" t="s">
        <v>3</v>
      </c>
      <c r="HQ57" t="s">
        <v>3</v>
      </c>
      <c r="IK57">
        <v>0</v>
      </c>
    </row>
    <row r="58" spans="1:245" x14ac:dyDescent="0.2">
      <c r="A58">
        <v>17</v>
      </c>
      <c r="B58">
        <v>1</v>
      </c>
      <c r="C58">
        <f>ROW(SmtRes!A64)</f>
        <v>64</v>
      </c>
      <c r="D58">
        <f>ROW(EtalonRes!A57)</f>
        <v>57</v>
      </c>
      <c r="E58" t="s">
        <v>140</v>
      </c>
      <c r="F58" t="s">
        <v>141</v>
      </c>
      <c r="G58" t="s">
        <v>142</v>
      </c>
      <c r="H58" t="s">
        <v>20</v>
      </c>
      <c r="I58">
        <v>23</v>
      </c>
      <c r="J58">
        <v>0</v>
      </c>
      <c r="K58">
        <v>23</v>
      </c>
      <c r="O58">
        <f t="shared" si="54"/>
        <v>2929.28</v>
      </c>
      <c r="P58">
        <f t="shared" si="55"/>
        <v>0</v>
      </c>
      <c r="Q58">
        <f t="shared" si="56"/>
        <v>0</v>
      </c>
      <c r="R58">
        <f t="shared" si="57"/>
        <v>0</v>
      </c>
      <c r="S58">
        <f t="shared" si="58"/>
        <v>2929.28</v>
      </c>
      <c r="T58">
        <f t="shared" si="59"/>
        <v>0</v>
      </c>
      <c r="U58">
        <f t="shared" si="60"/>
        <v>13.799999999999999</v>
      </c>
      <c r="V58">
        <f t="shared" si="61"/>
        <v>0</v>
      </c>
      <c r="W58">
        <f t="shared" si="62"/>
        <v>0</v>
      </c>
      <c r="X58">
        <f t="shared" si="63"/>
        <v>2050.5</v>
      </c>
      <c r="Y58">
        <f t="shared" si="64"/>
        <v>292.93</v>
      </c>
      <c r="AA58">
        <v>43095088</v>
      </c>
      <c r="AB58">
        <f t="shared" si="65"/>
        <v>127.36</v>
      </c>
      <c r="AC58">
        <f t="shared" si="66"/>
        <v>0</v>
      </c>
      <c r="AD58">
        <f t="shared" si="67"/>
        <v>0</v>
      </c>
      <c r="AE58">
        <f t="shared" si="68"/>
        <v>0</v>
      </c>
      <c r="AF58">
        <f t="shared" si="69"/>
        <v>127.36</v>
      </c>
      <c r="AG58">
        <f t="shared" si="70"/>
        <v>0</v>
      </c>
      <c r="AH58">
        <f t="shared" si="71"/>
        <v>0.6</v>
      </c>
      <c r="AI58">
        <f t="shared" si="72"/>
        <v>0</v>
      </c>
      <c r="AJ58">
        <f t="shared" si="73"/>
        <v>0</v>
      </c>
      <c r="AK58">
        <v>127.36</v>
      </c>
      <c r="AL58">
        <v>0</v>
      </c>
      <c r="AM58">
        <v>0</v>
      </c>
      <c r="AN58">
        <v>0</v>
      </c>
      <c r="AO58">
        <v>127.36</v>
      </c>
      <c r="AP58">
        <v>0</v>
      </c>
      <c r="AQ58">
        <v>0.6</v>
      </c>
      <c r="AR58">
        <v>0</v>
      </c>
      <c r="AS58">
        <v>0</v>
      </c>
      <c r="AT58">
        <v>70</v>
      </c>
      <c r="AU58">
        <v>10</v>
      </c>
      <c r="AV58">
        <v>1</v>
      </c>
      <c r="AW58">
        <v>1</v>
      </c>
      <c r="AZ58">
        <v>1</v>
      </c>
      <c r="BA58">
        <v>1</v>
      </c>
      <c r="BB58">
        <v>1</v>
      </c>
      <c r="BC58">
        <v>1</v>
      </c>
      <c r="BD58" t="s">
        <v>3</v>
      </c>
      <c r="BE58" t="s">
        <v>3</v>
      </c>
      <c r="BF58" t="s">
        <v>3</v>
      </c>
      <c r="BG58" t="s">
        <v>3</v>
      </c>
      <c r="BH58">
        <v>0</v>
      </c>
      <c r="BI58">
        <v>4</v>
      </c>
      <c r="BJ58" t="s">
        <v>143</v>
      </c>
      <c r="BM58">
        <v>0</v>
      </c>
      <c r="BN58">
        <v>0</v>
      </c>
      <c r="BO58" t="s">
        <v>3</v>
      </c>
      <c r="BP58">
        <v>0</v>
      </c>
      <c r="BQ58">
        <v>1</v>
      </c>
      <c r="BR58">
        <v>0</v>
      </c>
      <c r="BS58">
        <v>1</v>
      </c>
      <c r="BT58">
        <v>1</v>
      </c>
      <c r="BU58">
        <v>1</v>
      </c>
      <c r="BV58">
        <v>1</v>
      </c>
      <c r="BW58">
        <v>1</v>
      </c>
      <c r="BX58">
        <v>1</v>
      </c>
      <c r="BY58" t="s">
        <v>3</v>
      </c>
      <c r="BZ58">
        <v>70</v>
      </c>
      <c r="CA58">
        <v>10</v>
      </c>
      <c r="CB58" t="s">
        <v>3</v>
      </c>
      <c r="CE58">
        <v>0</v>
      </c>
      <c r="CF58">
        <v>0</v>
      </c>
      <c r="CG58">
        <v>0</v>
      </c>
      <c r="CM58">
        <v>0</v>
      </c>
      <c r="CN58" t="s">
        <v>3</v>
      </c>
      <c r="CO58">
        <v>0</v>
      </c>
      <c r="CP58">
        <f t="shared" si="74"/>
        <v>2929.28</v>
      </c>
      <c r="CQ58">
        <f t="shared" si="75"/>
        <v>0</v>
      </c>
      <c r="CR58">
        <f t="shared" si="76"/>
        <v>0</v>
      </c>
      <c r="CS58">
        <f t="shared" si="77"/>
        <v>0</v>
      </c>
      <c r="CT58">
        <f t="shared" si="78"/>
        <v>127.36</v>
      </c>
      <c r="CU58">
        <f t="shared" si="79"/>
        <v>0</v>
      </c>
      <c r="CV58">
        <f t="shared" si="80"/>
        <v>0.6</v>
      </c>
      <c r="CW58">
        <f t="shared" si="81"/>
        <v>0</v>
      </c>
      <c r="CX58">
        <f t="shared" si="82"/>
        <v>0</v>
      </c>
      <c r="CY58">
        <f t="shared" si="83"/>
        <v>2050.4960000000001</v>
      </c>
      <c r="CZ58">
        <f t="shared" si="84"/>
        <v>292.92800000000005</v>
      </c>
      <c r="DC58" t="s">
        <v>3</v>
      </c>
      <c r="DD58" t="s">
        <v>3</v>
      </c>
      <c r="DE58" t="s">
        <v>3</v>
      </c>
      <c r="DF58" t="s">
        <v>3</v>
      </c>
      <c r="DG58" t="s">
        <v>3</v>
      </c>
      <c r="DH58" t="s">
        <v>3</v>
      </c>
      <c r="DI58" t="s">
        <v>3</v>
      </c>
      <c r="DJ58" t="s">
        <v>3</v>
      </c>
      <c r="DK58" t="s">
        <v>3</v>
      </c>
      <c r="DL58" t="s">
        <v>3</v>
      </c>
      <c r="DM58" t="s">
        <v>3</v>
      </c>
      <c r="DN58">
        <v>0</v>
      </c>
      <c r="DO58">
        <v>0</v>
      </c>
      <c r="DP58">
        <v>1</v>
      </c>
      <c r="DQ58">
        <v>1</v>
      </c>
      <c r="DU58">
        <v>1010</v>
      </c>
      <c r="DV58" t="s">
        <v>20</v>
      </c>
      <c r="DW58" t="s">
        <v>20</v>
      </c>
      <c r="DX58">
        <v>1</v>
      </c>
      <c r="DZ58" t="s">
        <v>3</v>
      </c>
      <c r="EA58" t="s">
        <v>3</v>
      </c>
      <c r="EB58" t="s">
        <v>3</v>
      </c>
      <c r="EC58" t="s">
        <v>3</v>
      </c>
      <c r="EE58">
        <v>43033442</v>
      </c>
      <c r="EF58">
        <v>1</v>
      </c>
      <c r="EG58" t="s">
        <v>22</v>
      </c>
      <c r="EH58">
        <v>0</v>
      </c>
      <c r="EI58" t="s">
        <v>3</v>
      </c>
      <c r="EJ58">
        <v>4</v>
      </c>
      <c r="EK58">
        <v>0</v>
      </c>
      <c r="EL58" t="s">
        <v>23</v>
      </c>
      <c r="EM58" t="s">
        <v>24</v>
      </c>
      <c r="EO58" t="s">
        <v>3</v>
      </c>
      <c r="EQ58">
        <v>0</v>
      </c>
      <c r="ER58">
        <v>127.36</v>
      </c>
      <c r="ES58">
        <v>0</v>
      </c>
      <c r="ET58">
        <v>0</v>
      </c>
      <c r="EU58">
        <v>0</v>
      </c>
      <c r="EV58">
        <v>127.36</v>
      </c>
      <c r="EW58">
        <v>0.6</v>
      </c>
      <c r="EX58">
        <v>0</v>
      </c>
      <c r="EY58">
        <v>0</v>
      </c>
      <c r="FQ58">
        <v>0</v>
      </c>
      <c r="FR58">
        <f t="shared" si="85"/>
        <v>0</v>
      </c>
      <c r="FS58">
        <v>0</v>
      </c>
      <c r="FX58">
        <v>70</v>
      </c>
      <c r="FY58">
        <v>10</v>
      </c>
      <c r="GA58" t="s">
        <v>3</v>
      </c>
      <c r="GD58">
        <v>0</v>
      </c>
      <c r="GF58">
        <v>654382296</v>
      </c>
      <c r="GG58">
        <v>2</v>
      </c>
      <c r="GH58">
        <v>1</v>
      </c>
      <c r="GI58">
        <v>-2</v>
      </c>
      <c r="GJ58">
        <v>0</v>
      </c>
      <c r="GK58">
        <f>ROUND(R58*(R12)/100,2)</f>
        <v>0</v>
      </c>
      <c r="GL58">
        <f t="shared" si="86"/>
        <v>0</v>
      </c>
      <c r="GM58">
        <f t="shared" si="87"/>
        <v>5272.71</v>
      </c>
      <c r="GN58">
        <f t="shared" si="88"/>
        <v>0</v>
      </c>
      <c r="GO58">
        <f t="shared" si="89"/>
        <v>0</v>
      </c>
      <c r="GP58">
        <f t="shared" si="90"/>
        <v>5272.71</v>
      </c>
      <c r="GR58">
        <v>0</v>
      </c>
      <c r="GS58">
        <v>3</v>
      </c>
      <c r="GT58">
        <v>0</v>
      </c>
      <c r="GU58" t="s">
        <v>3</v>
      </c>
      <c r="GV58">
        <f t="shared" si="91"/>
        <v>0</v>
      </c>
      <c r="GW58">
        <v>1</v>
      </c>
      <c r="GX58">
        <f t="shared" si="92"/>
        <v>0</v>
      </c>
      <c r="HA58">
        <v>0</v>
      </c>
      <c r="HB58">
        <v>0</v>
      </c>
      <c r="HC58">
        <f t="shared" si="93"/>
        <v>0</v>
      </c>
      <c r="HE58" t="s">
        <v>3</v>
      </c>
      <c r="HF58" t="s">
        <v>3</v>
      </c>
      <c r="HM58" t="s">
        <v>3</v>
      </c>
      <c r="HN58" t="s">
        <v>3</v>
      </c>
      <c r="HO58" t="s">
        <v>3</v>
      </c>
      <c r="HP58" t="s">
        <v>3</v>
      </c>
      <c r="HQ58" t="s">
        <v>3</v>
      </c>
      <c r="IK58">
        <v>0</v>
      </c>
    </row>
    <row r="59" spans="1:245" x14ac:dyDescent="0.2">
      <c r="A59">
        <v>18</v>
      </c>
      <c r="B59">
        <v>1</v>
      </c>
      <c r="E59" t="s">
        <v>144</v>
      </c>
      <c r="F59" t="s">
        <v>34</v>
      </c>
      <c r="G59" t="s">
        <v>145</v>
      </c>
      <c r="H59" t="s">
        <v>20</v>
      </c>
      <c r="I59">
        <f>I58*J59</f>
        <v>23</v>
      </c>
      <c r="J59">
        <v>1</v>
      </c>
      <c r="K59">
        <v>1</v>
      </c>
      <c r="O59">
        <f t="shared" si="54"/>
        <v>181592.59</v>
      </c>
      <c r="P59">
        <f t="shared" si="55"/>
        <v>181592.59</v>
      </c>
      <c r="Q59">
        <f t="shared" si="56"/>
        <v>0</v>
      </c>
      <c r="R59">
        <f t="shared" si="57"/>
        <v>0</v>
      </c>
      <c r="S59">
        <f t="shared" si="58"/>
        <v>0</v>
      </c>
      <c r="T59">
        <f t="shared" si="59"/>
        <v>0</v>
      </c>
      <c r="U59">
        <f t="shared" si="60"/>
        <v>0</v>
      </c>
      <c r="V59">
        <f t="shared" si="61"/>
        <v>0</v>
      </c>
      <c r="W59">
        <f t="shared" si="62"/>
        <v>0</v>
      </c>
      <c r="X59">
        <f t="shared" si="63"/>
        <v>0</v>
      </c>
      <c r="Y59">
        <f t="shared" si="64"/>
        <v>0</v>
      </c>
      <c r="AA59">
        <v>43095088</v>
      </c>
      <c r="AB59">
        <f t="shared" si="65"/>
        <v>7895.33</v>
      </c>
      <c r="AC59">
        <f t="shared" si="66"/>
        <v>7895.33</v>
      </c>
      <c r="AD59">
        <f t="shared" si="67"/>
        <v>0</v>
      </c>
      <c r="AE59">
        <f t="shared" si="68"/>
        <v>0</v>
      </c>
      <c r="AF59">
        <f t="shared" si="69"/>
        <v>0</v>
      </c>
      <c r="AG59">
        <f t="shared" si="70"/>
        <v>0</v>
      </c>
      <c r="AH59">
        <f t="shared" si="71"/>
        <v>0</v>
      </c>
      <c r="AI59">
        <f t="shared" si="72"/>
        <v>0</v>
      </c>
      <c r="AJ59">
        <f t="shared" si="73"/>
        <v>0</v>
      </c>
      <c r="AK59">
        <v>7895.33</v>
      </c>
      <c r="AL59">
        <v>7895.33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70</v>
      </c>
      <c r="AU59">
        <v>10</v>
      </c>
      <c r="AV59">
        <v>1</v>
      </c>
      <c r="AW59">
        <v>1</v>
      </c>
      <c r="AZ59">
        <v>1</v>
      </c>
      <c r="BA59">
        <v>1</v>
      </c>
      <c r="BB59">
        <v>1</v>
      </c>
      <c r="BC59">
        <v>1</v>
      </c>
      <c r="BD59" t="s">
        <v>3</v>
      </c>
      <c r="BE59" t="s">
        <v>3</v>
      </c>
      <c r="BF59" t="s">
        <v>3</v>
      </c>
      <c r="BG59" t="s">
        <v>3</v>
      </c>
      <c r="BH59">
        <v>3</v>
      </c>
      <c r="BI59">
        <v>4</v>
      </c>
      <c r="BJ59" t="s">
        <v>3</v>
      </c>
      <c r="BM59">
        <v>0</v>
      </c>
      <c r="BN59">
        <v>0</v>
      </c>
      <c r="BO59" t="s">
        <v>3</v>
      </c>
      <c r="BP59">
        <v>0</v>
      </c>
      <c r="BQ59">
        <v>1</v>
      </c>
      <c r="BR59">
        <v>0</v>
      </c>
      <c r="BS59">
        <v>1</v>
      </c>
      <c r="BT59">
        <v>1</v>
      </c>
      <c r="BU59">
        <v>1</v>
      </c>
      <c r="BV59">
        <v>1</v>
      </c>
      <c r="BW59">
        <v>1</v>
      </c>
      <c r="BX59">
        <v>1</v>
      </c>
      <c r="BY59" t="s">
        <v>3</v>
      </c>
      <c r="BZ59">
        <v>70</v>
      </c>
      <c r="CA59">
        <v>10</v>
      </c>
      <c r="CB59" t="s">
        <v>3</v>
      </c>
      <c r="CE59">
        <v>0</v>
      </c>
      <c r="CF59">
        <v>0</v>
      </c>
      <c r="CG59">
        <v>0</v>
      </c>
      <c r="CM59">
        <v>0</v>
      </c>
      <c r="CN59" t="s">
        <v>3</v>
      </c>
      <c r="CO59">
        <v>0</v>
      </c>
      <c r="CP59">
        <f t="shared" si="74"/>
        <v>181592.59</v>
      </c>
      <c r="CQ59">
        <f t="shared" si="75"/>
        <v>7895.33</v>
      </c>
      <c r="CR59">
        <f t="shared" si="76"/>
        <v>0</v>
      </c>
      <c r="CS59">
        <f t="shared" si="77"/>
        <v>0</v>
      </c>
      <c r="CT59">
        <f t="shared" si="78"/>
        <v>0</v>
      </c>
      <c r="CU59">
        <f t="shared" si="79"/>
        <v>0</v>
      </c>
      <c r="CV59">
        <f t="shared" si="80"/>
        <v>0</v>
      </c>
      <c r="CW59">
        <f t="shared" si="81"/>
        <v>0</v>
      </c>
      <c r="CX59">
        <f t="shared" si="82"/>
        <v>0</v>
      </c>
      <c r="CY59">
        <f t="shared" si="83"/>
        <v>0</v>
      </c>
      <c r="CZ59">
        <f t="shared" si="84"/>
        <v>0</v>
      </c>
      <c r="DC59" t="s">
        <v>3</v>
      </c>
      <c r="DD59" t="s">
        <v>3</v>
      </c>
      <c r="DE59" t="s">
        <v>3</v>
      </c>
      <c r="DF59" t="s">
        <v>3</v>
      </c>
      <c r="DG59" t="s">
        <v>3</v>
      </c>
      <c r="DH59" t="s">
        <v>3</v>
      </c>
      <c r="DI59" t="s">
        <v>3</v>
      </c>
      <c r="DJ59" t="s">
        <v>3</v>
      </c>
      <c r="DK59" t="s">
        <v>3</v>
      </c>
      <c r="DL59" t="s">
        <v>3</v>
      </c>
      <c r="DM59" t="s">
        <v>3</v>
      </c>
      <c r="DN59">
        <v>0</v>
      </c>
      <c r="DO59">
        <v>0</v>
      </c>
      <c r="DP59">
        <v>1</v>
      </c>
      <c r="DQ59">
        <v>1</v>
      </c>
      <c r="DU59">
        <v>1010</v>
      </c>
      <c r="DV59" t="s">
        <v>20</v>
      </c>
      <c r="DW59" t="s">
        <v>20</v>
      </c>
      <c r="DX59">
        <v>1</v>
      </c>
      <c r="DZ59" t="s">
        <v>3</v>
      </c>
      <c r="EA59" t="s">
        <v>3</v>
      </c>
      <c r="EB59" t="s">
        <v>3</v>
      </c>
      <c r="EC59" t="s">
        <v>3</v>
      </c>
      <c r="EE59">
        <v>43033442</v>
      </c>
      <c r="EF59">
        <v>1</v>
      </c>
      <c r="EG59" t="s">
        <v>22</v>
      </c>
      <c r="EH59">
        <v>0</v>
      </c>
      <c r="EI59" t="s">
        <v>3</v>
      </c>
      <c r="EJ59">
        <v>4</v>
      </c>
      <c r="EK59">
        <v>0</v>
      </c>
      <c r="EL59" t="s">
        <v>23</v>
      </c>
      <c r="EM59" t="s">
        <v>24</v>
      </c>
      <c r="EO59" t="s">
        <v>3</v>
      </c>
      <c r="EQ59">
        <v>0</v>
      </c>
      <c r="ER59">
        <v>7895.33</v>
      </c>
      <c r="ES59">
        <v>7895.33</v>
      </c>
      <c r="ET59">
        <v>0</v>
      </c>
      <c r="EU59">
        <v>0</v>
      </c>
      <c r="EV59">
        <v>0</v>
      </c>
      <c r="EW59">
        <v>0</v>
      </c>
      <c r="EX59">
        <v>0</v>
      </c>
      <c r="EZ59">
        <v>5</v>
      </c>
      <c r="FC59">
        <v>1</v>
      </c>
      <c r="FD59">
        <v>18</v>
      </c>
      <c r="FF59">
        <v>9474.4</v>
      </c>
      <c r="FQ59">
        <v>0</v>
      </c>
      <c r="FR59">
        <f t="shared" si="85"/>
        <v>0</v>
      </c>
      <c r="FS59">
        <v>0</v>
      </c>
      <c r="FX59">
        <v>70</v>
      </c>
      <c r="FY59">
        <v>10</v>
      </c>
      <c r="GA59" t="s">
        <v>146</v>
      </c>
      <c r="GD59">
        <v>0</v>
      </c>
      <c r="GF59">
        <v>1618422261</v>
      </c>
      <c r="GG59">
        <v>2</v>
      </c>
      <c r="GH59">
        <v>3</v>
      </c>
      <c r="GI59">
        <v>-2</v>
      </c>
      <c r="GJ59">
        <v>0</v>
      </c>
      <c r="GK59">
        <f>ROUND(R59*(R12)/100,2)</f>
        <v>0</v>
      </c>
      <c r="GL59">
        <f t="shared" si="86"/>
        <v>0</v>
      </c>
      <c r="GM59">
        <f t="shared" si="87"/>
        <v>181592.59</v>
      </c>
      <c r="GN59">
        <f t="shared" si="88"/>
        <v>0</v>
      </c>
      <c r="GO59">
        <f t="shared" si="89"/>
        <v>0</v>
      </c>
      <c r="GP59">
        <f t="shared" si="90"/>
        <v>181592.59</v>
      </c>
      <c r="GR59">
        <v>1</v>
      </c>
      <c r="GS59">
        <v>1</v>
      </c>
      <c r="GT59">
        <v>0</v>
      </c>
      <c r="GU59" t="s">
        <v>3</v>
      </c>
      <c r="GV59">
        <f t="shared" si="91"/>
        <v>0</v>
      </c>
      <c r="GW59">
        <v>1</v>
      </c>
      <c r="GX59">
        <f t="shared" si="92"/>
        <v>0</v>
      </c>
      <c r="HA59">
        <v>0</v>
      </c>
      <c r="HB59">
        <v>0</v>
      </c>
      <c r="HC59">
        <f t="shared" si="93"/>
        <v>0</v>
      </c>
      <c r="HE59" t="s">
        <v>37</v>
      </c>
      <c r="HF59" t="s">
        <v>37</v>
      </c>
      <c r="HM59" t="s">
        <v>3</v>
      </c>
      <c r="HN59" t="s">
        <v>3</v>
      </c>
      <c r="HO59" t="s">
        <v>3</v>
      </c>
      <c r="HP59" t="s">
        <v>3</v>
      </c>
      <c r="HQ59" t="s">
        <v>3</v>
      </c>
      <c r="IK59">
        <v>0</v>
      </c>
    </row>
    <row r="60" spans="1:245" x14ac:dyDescent="0.2">
      <c r="A60">
        <v>17</v>
      </c>
      <c r="B60">
        <v>1</v>
      </c>
      <c r="C60">
        <f>ROW(SmtRes!A73)</f>
        <v>73</v>
      </c>
      <c r="D60">
        <f>ROW(EtalonRes!A66)</f>
        <v>66</v>
      </c>
      <c r="E60" t="s">
        <v>147</v>
      </c>
      <c r="F60" t="s">
        <v>148</v>
      </c>
      <c r="G60" t="s">
        <v>149</v>
      </c>
      <c r="H60" t="s">
        <v>118</v>
      </c>
      <c r="I60">
        <f>ROUND(22/100,9)</f>
        <v>0.22</v>
      </c>
      <c r="J60">
        <v>0</v>
      </c>
      <c r="K60">
        <f>ROUND(22/100,9)</f>
        <v>0.22</v>
      </c>
      <c r="O60">
        <f t="shared" si="54"/>
        <v>1620.95</v>
      </c>
      <c r="P60">
        <f t="shared" si="55"/>
        <v>641.48</v>
      </c>
      <c r="Q60">
        <f t="shared" si="56"/>
        <v>9.19</v>
      </c>
      <c r="R60">
        <f t="shared" si="57"/>
        <v>1.1000000000000001</v>
      </c>
      <c r="S60">
        <f t="shared" si="58"/>
        <v>970.28</v>
      </c>
      <c r="T60">
        <f t="shared" si="59"/>
        <v>0</v>
      </c>
      <c r="U60">
        <f t="shared" si="60"/>
        <v>3.7972000000000006</v>
      </c>
      <c r="V60">
        <f t="shared" si="61"/>
        <v>0</v>
      </c>
      <c r="W60">
        <f t="shared" si="62"/>
        <v>0</v>
      </c>
      <c r="X60">
        <f t="shared" si="63"/>
        <v>679.2</v>
      </c>
      <c r="Y60">
        <f t="shared" si="64"/>
        <v>97.03</v>
      </c>
      <c r="AA60">
        <v>43095088</v>
      </c>
      <c r="AB60">
        <f t="shared" si="65"/>
        <v>7367.94</v>
      </c>
      <c r="AC60">
        <f t="shared" si="66"/>
        <v>2915.8</v>
      </c>
      <c r="AD60">
        <f t="shared" si="67"/>
        <v>41.77</v>
      </c>
      <c r="AE60">
        <f t="shared" si="68"/>
        <v>5</v>
      </c>
      <c r="AF60">
        <f t="shared" si="69"/>
        <v>4410.37</v>
      </c>
      <c r="AG60">
        <f t="shared" si="70"/>
        <v>0</v>
      </c>
      <c r="AH60">
        <f t="shared" si="71"/>
        <v>17.260000000000002</v>
      </c>
      <c r="AI60">
        <f t="shared" si="72"/>
        <v>0</v>
      </c>
      <c r="AJ60">
        <f t="shared" si="73"/>
        <v>0</v>
      </c>
      <c r="AK60">
        <v>7367.94</v>
      </c>
      <c r="AL60">
        <v>2915.8</v>
      </c>
      <c r="AM60">
        <v>41.77</v>
      </c>
      <c r="AN60">
        <v>5</v>
      </c>
      <c r="AO60">
        <v>4410.37</v>
      </c>
      <c r="AP60">
        <v>0</v>
      </c>
      <c r="AQ60">
        <v>17.260000000000002</v>
      </c>
      <c r="AR60">
        <v>0</v>
      </c>
      <c r="AS60">
        <v>0</v>
      </c>
      <c r="AT60">
        <v>70</v>
      </c>
      <c r="AU60">
        <v>10</v>
      </c>
      <c r="AV60">
        <v>1</v>
      </c>
      <c r="AW60">
        <v>1</v>
      </c>
      <c r="AZ60">
        <v>1</v>
      </c>
      <c r="BA60">
        <v>1</v>
      </c>
      <c r="BB60">
        <v>1</v>
      </c>
      <c r="BC60">
        <v>1</v>
      </c>
      <c r="BD60" t="s">
        <v>3</v>
      </c>
      <c r="BE60" t="s">
        <v>3</v>
      </c>
      <c r="BF60" t="s">
        <v>3</v>
      </c>
      <c r="BG60" t="s">
        <v>3</v>
      </c>
      <c r="BH60">
        <v>0</v>
      </c>
      <c r="BI60">
        <v>4</v>
      </c>
      <c r="BJ60" t="s">
        <v>150</v>
      </c>
      <c r="BM60">
        <v>0</v>
      </c>
      <c r="BN60">
        <v>0</v>
      </c>
      <c r="BO60" t="s">
        <v>3</v>
      </c>
      <c r="BP60">
        <v>0</v>
      </c>
      <c r="BQ60">
        <v>1</v>
      </c>
      <c r="BR60">
        <v>0</v>
      </c>
      <c r="BS60">
        <v>1</v>
      </c>
      <c r="BT60">
        <v>1</v>
      </c>
      <c r="BU60">
        <v>1</v>
      </c>
      <c r="BV60">
        <v>1</v>
      </c>
      <c r="BW60">
        <v>1</v>
      </c>
      <c r="BX60">
        <v>1</v>
      </c>
      <c r="BY60" t="s">
        <v>3</v>
      </c>
      <c r="BZ60">
        <v>70</v>
      </c>
      <c r="CA60">
        <v>10</v>
      </c>
      <c r="CB60" t="s">
        <v>3</v>
      </c>
      <c r="CE60">
        <v>0</v>
      </c>
      <c r="CF60">
        <v>0</v>
      </c>
      <c r="CG60">
        <v>0</v>
      </c>
      <c r="CM60">
        <v>0</v>
      </c>
      <c r="CN60" t="s">
        <v>3</v>
      </c>
      <c r="CO60">
        <v>0</v>
      </c>
      <c r="CP60">
        <f t="shared" si="74"/>
        <v>1620.95</v>
      </c>
      <c r="CQ60">
        <f t="shared" si="75"/>
        <v>2915.8</v>
      </c>
      <c r="CR60">
        <f t="shared" si="76"/>
        <v>41.77</v>
      </c>
      <c r="CS60">
        <f t="shared" si="77"/>
        <v>5</v>
      </c>
      <c r="CT60">
        <f t="shared" si="78"/>
        <v>4410.37</v>
      </c>
      <c r="CU60">
        <f t="shared" si="79"/>
        <v>0</v>
      </c>
      <c r="CV60">
        <f t="shared" si="80"/>
        <v>17.260000000000002</v>
      </c>
      <c r="CW60">
        <f t="shared" si="81"/>
        <v>0</v>
      </c>
      <c r="CX60">
        <f t="shared" si="82"/>
        <v>0</v>
      </c>
      <c r="CY60">
        <f t="shared" si="83"/>
        <v>679.19599999999991</v>
      </c>
      <c r="CZ60">
        <f t="shared" si="84"/>
        <v>97.027999999999992</v>
      </c>
      <c r="DC60" t="s">
        <v>3</v>
      </c>
      <c r="DD60" t="s">
        <v>3</v>
      </c>
      <c r="DE60" t="s">
        <v>3</v>
      </c>
      <c r="DF60" t="s">
        <v>3</v>
      </c>
      <c r="DG60" t="s">
        <v>3</v>
      </c>
      <c r="DH60" t="s">
        <v>3</v>
      </c>
      <c r="DI60" t="s">
        <v>3</v>
      </c>
      <c r="DJ60" t="s">
        <v>3</v>
      </c>
      <c r="DK60" t="s">
        <v>3</v>
      </c>
      <c r="DL60" t="s">
        <v>3</v>
      </c>
      <c r="DM60" t="s">
        <v>3</v>
      </c>
      <c r="DN60">
        <v>0</v>
      </c>
      <c r="DO60">
        <v>0</v>
      </c>
      <c r="DP60">
        <v>1</v>
      </c>
      <c r="DQ60">
        <v>1</v>
      </c>
      <c r="DU60">
        <v>1003</v>
      </c>
      <c r="DV60" t="s">
        <v>118</v>
      </c>
      <c r="DW60" t="s">
        <v>118</v>
      </c>
      <c r="DX60">
        <v>100</v>
      </c>
      <c r="DZ60" t="s">
        <v>3</v>
      </c>
      <c r="EA60" t="s">
        <v>3</v>
      </c>
      <c r="EB60" t="s">
        <v>3</v>
      </c>
      <c r="EC60" t="s">
        <v>3</v>
      </c>
      <c r="EE60">
        <v>43033442</v>
      </c>
      <c r="EF60">
        <v>1</v>
      </c>
      <c r="EG60" t="s">
        <v>22</v>
      </c>
      <c r="EH60">
        <v>0</v>
      </c>
      <c r="EI60" t="s">
        <v>3</v>
      </c>
      <c r="EJ60">
        <v>4</v>
      </c>
      <c r="EK60">
        <v>0</v>
      </c>
      <c r="EL60" t="s">
        <v>23</v>
      </c>
      <c r="EM60" t="s">
        <v>24</v>
      </c>
      <c r="EO60" t="s">
        <v>3</v>
      </c>
      <c r="EQ60">
        <v>0</v>
      </c>
      <c r="ER60">
        <v>7367.94</v>
      </c>
      <c r="ES60">
        <v>2915.8</v>
      </c>
      <c r="ET60">
        <v>41.77</v>
      </c>
      <c r="EU60">
        <v>5</v>
      </c>
      <c r="EV60">
        <v>4410.37</v>
      </c>
      <c r="EW60">
        <v>17.260000000000002</v>
      </c>
      <c r="EX60">
        <v>0</v>
      </c>
      <c r="EY60">
        <v>0</v>
      </c>
      <c r="FQ60">
        <v>0</v>
      </c>
      <c r="FR60">
        <f t="shared" si="85"/>
        <v>0</v>
      </c>
      <c r="FS60">
        <v>0</v>
      </c>
      <c r="FX60">
        <v>70</v>
      </c>
      <c r="FY60">
        <v>10</v>
      </c>
      <c r="GA60" t="s">
        <v>3</v>
      </c>
      <c r="GD60">
        <v>0</v>
      </c>
      <c r="GF60">
        <v>-1305030134</v>
      </c>
      <c r="GG60">
        <v>2</v>
      </c>
      <c r="GH60">
        <v>1</v>
      </c>
      <c r="GI60">
        <v>-2</v>
      </c>
      <c r="GJ60">
        <v>0</v>
      </c>
      <c r="GK60">
        <f>ROUND(R60*(R12)/100,2)</f>
        <v>1.19</v>
      </c>
      <c r="GL60">
        <f t="shared" si="86"/>
        <v>0</v>
      </c>
      <c r="GM60">
        <f t="shared" si="87"/>
        <v>2398.37</v>
      </c>
      <c r="GN60">
        <f t="shared" si="88"/>
        <v>0</v>
      </c>
      <c r="GO60">
        <f t="shared" si="89"/>
        <v>0</v>
      </c>
      <c r="GP60">
        <f t="shared" si="90"/>
        <v>2398.37</v>
      </c>
      <c r="GR60">
        <v>0</v>
      </c>
      <c r="GS60">
        <v>3</v>
      </c>
      <c r="GT60">
        <v>0</v>
      </c>
      <c r="GU60" t="s">
        <v>3</v>
      </c>
      <c r="GV60">
        <f t="shared" si="91"/>
        <v>0</v>
      </c>
      <c r="GW60">
        <v>1</v>
      </c>
      <c r="GX60">
        <f t="shared" si="92"/>
        <v>0</v>
      </c>
      <c r="HA60">
        <v>0</v>
      </c>
      <c r="HB60">
        <v>0</v>
      </c>
      <c r="HC60">
        <f t="shared" si="93"/>
        <v>0</v>
      </c>
      <c r="HE60" t="s">
        <v>3</v>
      </c>
      <c r="HF60" t="s">
        <v>3</v>
      </c>
      <c r="HM60" t="s">
        <v>3</v>
      </c>
      <c r="HN60" t="s">
        <v>3</v>
      </c>
      <c r="HO60" t="s">
        <v>3</v>
      </c>
      <c r="HP60" t="s">
        <v>3</v>
      </c>
      <c r="HQ60" t="s">
        <v>3</v>
      </c>
      <c r="IK60">
        <v>0</v>
      </c>
    </row>
    <row r="61" spans="1:245" x14ac:dyDescent="0.2">
      <c r="A61">
        <v>18</v>
      </c>
      <c r="B61">
        <v>1</v>
      </c>
      <c r="C61">
        <v>72</v>
      </c>
      <c r="E61" t="s">
        <v>151</v>
      </c>
      <c r="F61" t="s">
        <v>152</v>
      </c>
      <c r="G61" t="s">
        <v>153</v>
      </c>
      <c r="H61" t="s">
        <v>20</v>
      </c>
      <c r="I61">
        <f>I60*J61</f>
        <v>-1.1000000000000001</v>
      </c>
      <c r="J61">
        <v>-5</v>
      </c>
      <c r="K61">
        <v>-5</v>
      </c>
      <c r="O61">
        <f t="shared" si="54"/>
        <v>-33.26</v>
      </c>
      <c r="P61">
        <f t="shared" si="55"/>
        <v>-33.26</v>
      </c>
      <c r="Q61">
        <f t="shared" si="56"/>
        <v>0</v>
      </c>
      <c r="R61">
        <f t="shared" si="57"/>
        <v>0</v>
      </c>
      <c r="S61">
        <f t="shared" si="58"/>
        <v>0</v>
      </c>
      <c r="T61">
        <f t="shared" si="59"/>
        <v>0</v>
      </c>
      <c r="U61">
        <f t="shared" si="60"/>
        <v>0</v>
      </c>
      <c r="V61">
        <f t="shared" si="61"/>
        <v>0</v>
      </c>
      <c r="W61">
        <f t="shared" si="62"/>
        <v>0</v>
      </c>
      <c r="X61">
        <f t="shared" si="63"/>
        <v>0</v>
      </c>
      <c r="Y61">
        <f t="shared" si="64"/>
        <v>0</v>
      </c>
      <c r="AA61">
        <v>43095088</v>
      </c>
      <c r="AB61">
        <f t="shared" si="65"/>
        <v>30.24</v>
      </c>
      <c r="AC61">
        <f t="shared" si="66"/>
        <v>30.24</v>
      </c>
      <c r="AD61">
        <f t="shared" si="67"/>
        <v>0</v>
      </c>
      <c r="AE61">
        <f t="shared" si="68"/>
        <v>0</v>
      </c>
      <c r="AF61">
        <f t="shared" si="69"/>
        <v>0</v>
      </c>
      <c r="AG61">
        <f t="shared" si="70"/>
        <v>0</v>
      </c>
      <c r="AH61">
        <f t="shared" si="71"/>
        <v>0</v>
      </c>
      <c r="AI61">
        <f t="shared" si="72"/>
        <v>0</v>
      </c>
      <c r="AJ61">
        <f t="shared" si="73"/>
        <v>0</v>
      </c>
      <c r="AK61">
        <v>30.24</v>
      </c>
      <c r="AL61">
        <v>30.24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70</v>
      </c>
      <c r="AU61">
        <v>10</v>
      </c>
      <c r="AV61">
        <v>1</v>
      </c>
      <c r="AW61">
        <v>1</v>
      </c>
      <c r="AZ61">
        <v>1</v>
      </c>
      <c r="BA61">
        <v>1</v>
      </c>
      <c r="BB61">
        <v>1</v>
      </c>
      <c r="BC61">
        <v>1</v>
      </c>
      <c r="BD61" t="s">
        <v>3</v>
      </c>
      <c r="BE61" t="s">
        <v>3</v>
      </c>
      <c r="BF61" t="s">
        <v>3</v>
      </c>
      <c r="BG61" t="s">
        <v>3</v>
      </c>
      <c r="BH61">
        <v>3</v>
      </c>
      <c r="BI61">
        <v>4</v>
      </c>
      <c r="BJ61" t="s">
        <v>154</v>
      </c>
      <c r="BM61">
        <v>0</v>
      </c>
      <c r="BN61">
        <v>0</v>
      </c>
      <c r="BO61" t="s">
        <v>3</v>
      </c>
      <c r="BP61">
        <v>0</v>
      </c>
      <c r="BQ61">
        <v>1</v>
      </c>
      <c r="BR61">
        <v>1</v>
      </c>
      <c r="BS61">
        <v>1</v>
      </c>
      <c r="BT61">
        <v>1</v>
      </c>
      <c r="BU61">
        <v>1</v>
      </c>
      <c r="BV61">
        <v>1</v>
      </c>
      <c r="BW61">
        <v>1</v>
      </c>
      <c r="BX61">
        <v>1</v>
      </c>
      <c r="BY61" t="s">
        <v>3</v>
      </c>
      <c r="BZ61">
        <v>70</v>
      </c>
      <c r="CA61">
        <v>10</v>
      </c>
      <c r="CB61" t="s">
        <v>3</v>
      </c>
      <c r="CE61">
        <v>0</v>
      </c>
      <c r="CF61">
        <v>0</v>
      </c>
      <c r="CG61">
        <v>0</v>
      </c>
      <c r="CM61">
        <v>0</v>
      </c>
      <c r="CN61" t="s">
        <v>3</v>
      </c>
      <c r="CO61">
        <v>0</v>
      </c>
      <c r="CP61">
        <f t="shared" si="74"/>
        <v>-33.26</v>
      </c>
      <c r="CQ61">
        <f t="shared" si="75"/>
        <v>30.24</v>
      </c>
      <c r="CR61">
        <f t="shared" si="76"/>
        <v>0</v>
      </c>
      <c r="CS61">
        <f t="shared" si="77"/>
        <v>0</v>
      </c>
      <c r="CT61">
        <f t="shared" si="78"/>
        <v>0</v>
      </c>
      <c r="CU61">
        <f t="shared" si="79"/>
        <v>0</v>
      </c>
      <c r="CV61">
        <f t="shared" si="80"/>
        <v>0</v>
      </c>
      <c r="CW61">
        <f t="shared" si="81"/>
        <v>0</v>
      </c>
      <c r="CX61">
        <f t="shared" si="82"/>
        <v>0</v>
      </c>
      <c r="CY61">
        <f t="shared" si="83"/>
        <v>0</v>
      </c>
      <c r="CZ61">
        <f t="shared" si="84"/>
        <v>0</v>
      </c>
      <c r="DC61" t="s">
        <v>3</v>
      </c>
      <c r="DD61" t="s">
        <v>3</v>
      </c>
      <c r="DE61" t="s">
        <v>3</v>
      </c>
      <c r="DF61" t="s">
        <v>3</v>
      </c>
      <c r="DG61" t="s">
        <v>3</v>
      </c>
      <c r="DH61" t="s">
        <v>3</v>
      </c>
      <c r="DI61" t="s">
        <v>3</v>
      </c>
      <c r="DJ61" t="s">
        <v>3</v>
      </c>
      <c r="DK61" t="s">
        <v>3</v>
      </c>
      <c r="DL61" t="s">
        <v>3</v>
      </c>
      <c r="DM61" t="s">
        <v>3</v>
      </c>
      <c r="DN61">
        <v>0</v>
      </c>
      <c r="DO61">
        <v>0</v>
      </c>
      <c r="DP61">
        <v>1</v>
      </c>
      <c r="DQ61">
        <v>1</v>
      </c>
      <c r="DU61">
        <v>1010</v>
      </c>
      <c r="DV61" t="s">
        <v>20</v>
      </c>
      <c r="DW61" t="s">
        <v>20</v>
      </c>
      <c r="DX61">
        <v>1</v>
      </c>
      <c r="DZ61" t="s">
        <v>3</v>
      </c>
      <c r="EA61" t="s">
        <v>3</v>
      </c>
      <c r="EB61" t="s">
        <v>3</v>
      </c>
      <c r="EC61" t="s">
        <v>3</v>
      </c>
      <c r="EE61">
        <v>43033442</v>
      </c>
      <c r="EF61">
        <v>1</v>
      </c>
      <c r="EG61" t="s">
        <v>22</v>
      </c>
      <c r="EH61">
        <v>0</v>
      </c>
      <c r="EI61" t="s">
        <v>3</v>
      </c>
      <c r="EJ61">
        <v>4</v>
      </c>
      <c r="EK61">
        <v>0</v>
      </c>
      <c r="EL61" t="s">
        <v>23</v>
      </c>
      <c r="EM61" t="s">
        <v>24</v>
      </c>
      <c r="EO61" t="s">
        <v>3</v>
      </c>
      <c r="EQ61">
        <v>0</v>
      </c>
      <c r="ER61">
        <v>30.24</v>
      </c>
      <c r="ES61">
        <v>30.24</v>
      </c>
      <c r="ET61">
        <v>0</v>
      </c>
      <c r="EU61">
        <v>0</v>
      </c>
      <c r="EV61">
        <v>0</v>
      </c>
      <c r="EW61">
        <v>0</v>
      </c>
      <c r="EX61">
        <v>0</v>
      </c>
      <c r="FQ61">
        <v>0</v>
      </c>
      <c r="FR61">
        <f t="shared" si="85"/>
        <v>0</v>
      </c>
      <c r="FS61">
        <v>0</v>
      </c>
      <c r="FX61">
        <v>70</v>
      </c>
      <c r="FY61">
        <v>10</v>
      </c>
      <c r="GA61" t="s">
        <v>3</v>
      </c>
      <c r="GD61">
        <v>0</v>
      </c>
      <c r="GF61">
        <v>1056150913</v>
      </c>
      <c r="GG61">
        <v>2</v>
      </c>
      <c r="GH61">
        <v>1</v>
      </c>
      <c r="GI61">
        <v>-2</v>
      </c>
      <c r="GJ61">
        <v>0</v>
      </c>
      <c r="GK61">
        <f>ROUND(R61*(R12)/100,2)</f>
        <v>0</v>
      </c>
      <c r="GL61">
        <f t="shared" si="86"/>
        <v>0</v>
      </c>
      <c r="GM61">
        <f t="shared" si="87"/>
        <v>-33.26</v>
      </c>
      <c r="GN61">
        <f t="shared" si="88"/>
        <v>0</v>
      </c>
      <c r="GO61">
        <f t="shared" si="89"/>
        <v>0</v>
      </c>
      <c r="GP61">
        <f t="shared" si="90"/>
        <v>-33.26</v>
      </c>
      <c r="GR61">
        <v>0</v>
      </c>
      <c r="GS61">
        <v>3</v>
      </c>
      <c r="GT61">
        <v>0</v>
      </c>
      <c r="GU61" t="s">
        <v>3</v>
      </c>
      <c r="GV61">
        <f t="shared" si="91"/>
        <v>0</v>
      </c>
      <c r="GW61">
        <v>1</v>
      </c>
      <c r="GX61">
        <f t="shared" si="92"/>
        <v>0</v>
      </c>
      <c r="HA61">
        <v>0</v>
      </c>
      <c r="HB61">
        <v>0</v>
      </c>
      <c r="HC61">
        <f t="shared" si="93"/>
        <v>0</v>
      </c>
      <c r="HE61" t="s">
        <v>3</v>
      </c>
      <c r="HF61" t="s">
        <v>3</v>
      </c>
      <c r="HM61" t="s">
        <v>3</v>
      </c>
      <c r="HN61" t="s">
        <v>3</v>
      </c>
      <c r="HO61" t="s">
        <v>3</v>
      </c>
      <c r="HP61" t="s">
        <v>3</v>
      </c>
      <c r="HQ61" t="s">
        <v>3</v>
      </c>
      <c r="IK61">
        <v>0</v>
      </c>
    </row>
    <row r="62" spans="1:245" x14ac:dyDescent="0.2">
      <c r="A62">
        <v>17</v>
      </c>
      <c r="B62">
        <v>1</v>
      </c>
      <c r="C62">
        <f>ROW(SmtRes!A74)</f>
        <v>74</v>
      </c>
      <c r="D62">
        <f>ROW(EtalonRes!A67)</f>
        <v>67</v>
      </c>
      <c r="E62" t="s">
        <v>155</v>
      </c>
      <c r="F62" t="s">
        <v>156</v>
      </c>
      <c r="G62" t="s">
        <v>157</v>
      </c>
      <c r="H62" t="s">
        <v>118</v>
      </c>
      <c r="I62">
        <f>ROUND(22/100,9)</f>
        <v>0.22</v>
      </c>
      <c r="J62">
        <v>0</v>
      </c>
      <c r="K62">
        <f>ROUND(22/100,9)</f>
        <v>0.22</v>
      </c>
      <c r="O62">
        <f t="shared" si="54"/>
        <v>454.75</v>
      </c>
      <c r="P62">
        <f t="shared" si="55"/>
        <v>0</v>
      </c>
      <c r="Q62">
        <f t="shared" si="56"/>
        <v>0</v>
      </c>
      <c r="R62">
        <f t="shared" si="57"/>
        <v>0</v>
      </c>
      <c r="S62">
        <f t="shared" si="58"/>
        <v>454.75</v>
      </c>
      <c r="T62">
        <f t="shared" si="59"/>
        <v>0</v>
      </c>
      <c r="U62">
        <f t="shared" si="60"/>
        <v>1.8237999999999999</v>
      </c>
      <c r="V62">
        <f t="shared" si="61"/>
        <v>0</v>
      </c>
      <c r="W62">
        <f t="shared" si="62"/>
        <v>0</v>
      </c>
      <c r="X62">
        <f t="shared" si="63"/>
        <v>318.33</v>
      </c>
      <c r="Y62">
        <f t="shared" si="64"/>
        <v>45.48</v>
      </c>
      <c r="AA62">
        <v>43095088</v>
      </c>
      <c r="AB62">
        <f t="shared" si="65"/>
        <v>2067.0300000000002</v>
      </c>
      <c r="AC62">
        <f t="shared" si="66"/>
        <v>0</v>
      </c>
      <c r="AD62">
        <f t="shared" si="67"/>
        <v>0</v>
      </c>
      <c r="AE62">
        <f t="shared" si="68"/>
        <v>0</v>
      </c>
      <c r="AF62">
        <f t="shared" si="69"/>
        <v>2067.0300000000002</v>
      </c>
      <c r="AG62">
        <f t="shared" si="70"/>
        <v>0</v>
      </c>
      <c r="AH62">
        <f t="shared" si="71"/>
        <v>8.2899999999999991</v>
      </c>
      <c r="AI62">
        <f t="shared" si="72"/>
        <v>0</v>
      </c>
      <c r="AJ62">
        <f t="shared" si="73"/>
        <v>0</v>
      </c>
      <c r="AK62">
        <v>2067.0300000000002</v>
      </c>
      <c r="AL62">
        <v>0</v>
      </c>
      <c r="AM62">
        <v>0</v>
      </c>
      <c r="AN62">
        <v>0</v>
      </c>
      <c r="AO62">
        <v>2067.0300000000002</v>
      </c>
      <c r="AP62">
        <v>0</v>
      </c>
      <c r="AQ62">
        <v>8.2899999999999991</v>
      </c>
      <c r="AR62">
        <v>0</v>
      </c>
      <c r="AS62">
        <v>0</v>
      </c>
      <c r="AT62">
        <v>70</v>
      </c>
      <c r="AU62">
        <v>10</v>
      </c>
      <c r="AV62">
        <v>1</v>
      </c>
      <c r="AW62">
        <v>1</v>
      </c>
      <c r="AZ62">
        <v>1</v>
      </c>
      <c r="BA62">
        <v>1</v>
      </c>
      <c r="BB62">
        <v>1</v>
      </c>
      <c r="BC62">
        <v>1</v>
      </c>
      <c r="BD62" t="s">
        <v>3</v>
      </c>
      <c r="BE62" t="s">
        <v>3</v>
      </c>
      <c r="BF62" t="s">
        <v>3</v>
      </c>
      <c r="BG62" t="s">
        <v>3</v>
      </c>
      <c r="BH62">
        <v>0</v>
      </c>
      <c r="BI62">
        <v>4</v>
      </c>
      <c r="BJ62" t="s">
        <v>158</v>
      </c>
      <c r="BM62">
        <v>0</v>
      </c>
      <c r="BN62">
        <v>0</v>
      </c>
      <c r="BO62" t="s">
        <v>3</v>
      </c>
      <c r="BP62">
        <v>0</v>
      </c>
      <c r="BQ62">
        <v>1</v>
      </c>
      <c r="BR62">
        <v>0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 t="s">
        <v>3</v>
      </c>
      <c r="BZ62">
        <v>70</v>
      </c>
      <c r="CA62">
        <v>10</v>
      </c>
      <c r="CB62" t="s">
        <v>3</v>
      </c>
      <c r="CE62">
        <v>0</v>
      </c>
      <c r="CF62">
        <v>0</v>
      </c>
      <c r="CG62">
        <v>0</v>
      </c>
      <c r="CM62">
        <v>0</v>
      </c>
      <c r="CN62" t="s">
        <v>3</v>
      </c>
      <c r="CO62">
        <v>0</v>
      </c>
      <c r="CP62">
        <f t="shared" si="74"/>
        <v>454.75</v>
      </c>
      <c r="CQ62">
        <f t="shared" si="75"/>
        <v>0</v>
      </c>
      <c r="CR62">
        <f t="shared" si="76"/>
        <v>0</v>
      </c>
      <c r="CS62">
        <f t="shared" si="77"/>
        <v>0</v>
      </c>
      <c r="CT62">
        <f t="shared" si="78"/>
        <v>2067.0300000000002</v>
      </c>
      <c r="CU62">
        <f t="shared" si="79"/>
        <v>0</v>
      </c>
      <c r="CV62">
        <f t="shared" si="80"/>
        <v>8.2899999999999991</v>
      </c>
      <c r="CW62">
        <f t="shared" si="81"/>
        <v>0</v>
      </c>
      <c r="CX62">
        <f t="shared" si="82"/>
        <v>0</v>
      </c>
      <c r="CY62">
        <f t="shared" si="83"/>
        <v>318.32499999999999</v>
      </c>
      <c r="CZ62">
        <f t="shared" si="84"/>
        <v>45.475000000000001</v>
      </c>
      <c r="DC62" t="s">
        <v>3</v>
      </c>
      <c r="DD62" t="s">
        <v>3</v>
      </c>
      <c r="DE62" t="s">
        <v>3</v>
      </c>
      <c r="DF62" t="s">
        <v>3</v>
      </c>
      <c r="DG62" t="s">
        <v>3</v>
      </c>
      <c r="DH62" t="s">
        <v>3</v>
      </c>
      <c r="DI62" t="s">
        <v>3</v>
      </c>
      <c r="DJ62" t="s">
        <v>3</v>
      </c>
      <c r="DK62" t="s">
        <v>3</v>
      </c>
      <c r="DL62" t="s">
        <v>3</v>
      </c>
      <c r="DM62" t="s">
        <v>3</v>
      </c>
      <c r="DN62">
        <v>0</v>
      </c>
      <c r="DO62">
        <v>0</v>
      </c>
      <c r="DP62">
        <v>1</v>
      </c>
      <c r="DQ62">
        <v>1</v>
      </c>
      <c r="DU62">
        <v>1003</v>
      </c>
      <c r="DV62" t="s">
        <v>118</v>
      </c>
      <c r="DW62" t="s">
        <v>118</v>
      </c>
      <c r="DX62">
        <v>100</v>
      </c>
      <c r="DZ62" t="s">
        <v>3</v>
      </c>
      <c r="EA62" t="s">
        <v>3</v>
      </c>
      <c r="EB62" t="s">
        <v>3</v>
      </c>
      <c r="EC62" t="s">
        <v>3</v>
      </c>
      <c r="EE62">
        <v>43033442</v>
      </c>
      <c r="EF62">
        <v>1</v>
      </c>
      <c r="EG62" t="s">
        <v>22</v>
      </c>
      <c r="EH62">
        <v>0</v>
      </c>
      <c r="EI62" t="s">
        <v>3</v>
      </c>
      <c r="EJ62">
        <v>4</v>
      </c>
      <c r="EK62">
        <v>0</v>
      </c>
      <c r="EL62" t="s">
        <v>23</v>
      </c>
      <c r="EM62" t="s">
        <v>24</v>
      </c>
      <c r="EO62" t="s">
        <v>3</v>
      </c>
      <c r="EQ62">
        <v>0</v>
      </c>
      <c r="ER62">
        <v>2067.0300000000002</v>
      </c>
      <c r="ES62">
        <v>0</v>
      </c>
      <c r="ET62">
        <v>0</v>
      </c>
      <c r="EU62">
        <v>0</v>
      </c>
      <c r="EV62">
        <v>2067.0300000000002</v>
      </c>
      <c r="EW62">
        <v>8.2899999999999991</v>
      </c>
      <c r="EX62">
        <v>0</v>
      </c>
      <c r="EY62">
        <v>0</v>
      </c>
      <c r="FQ62">
        <v>0</v>
      </c>
      <c r="FR62">
        <f t="shared" si="85"/>
        <v>0</v>
      </c>
      <c r="FS62">
        <v>0</v>
      </c>
      <c r="FX62">
        <v>70</v>
      </c>
      <c r="FY62">
        <v>10</v>
      </c>
      <c r="GA62" t="s">
        <v>3</v>
      </c>
      <c r="GD62">
        <v>0</v>
      </c>
      <c r="GF62">
        <v>-1023371187</v>
      </c>
      <c r="GG62">
        <v>2</v>
      </c>
      <c r="GH62">
        <v>1</v>
      </c>
      <c r="GI62">
        <v>-2</v>
      </c>
      <c r="GJ62">
        <v>0</v>
      </c>
      <c r="GK62">
        <f>ROUND(R62*(R12)/100,2)</f>
        <v>0</v>
      </c>
      <c r="GL62">
        <f t="shared" si="86"/>
        <v>0</v>
      </c>
      <c r="GM62">
        <f t="shared" si="87"/>
        <v>818.56</v>
      </c>
      <c r="GN62">
        <f t="shared" si="88"/>
        <v>0</v>
      </c>
      <c r="GO62">
        <f t="shared" si="89"/>
        <v>0</v>
      </c>
      <c r="GP62">
        <f t="shared" si="90"/>
        <v>818.56</v>
      </c>
      <c r="GR62">
        <v>0</v>
      </c>
      <c r="GS62">
        <v>3</v>
      </c>
      <c r="GT62">
        <v>0</v>
      </c>
      <c r="GU62" t="s">
        <v>3</v>
      </c>
      <c r="GV62">
        <f t="shared" si="91"/>
        <v>0</v>
      </c>
      <c r="GW62">
        <v>1</v>
      </c>
      <c r="GX62">
        <f t="shared" si="92"/>
        <v>0</v>
      </c>
      <c r="HA62">
        <v>0</v>
      </c>
      <c r="HB62">
        <v>0</v>
      </c>
      <c r="HC62">
        <f t="shared" si="93"/>
        <v>0</v>
      </c>
      <c r="HE62" t="s">
        <v>3</v>
      </c>
      <c r="HF62" t="s">
        <v>3</v>
      </c>
      <c r="HM62" t="s">
        <v>3</v>
      </c>
      <c r="HN62" t="s">
        <v>3</v>
      </c>
      <c r="HO62" t="s">
        <v>3</v>
      </c>
      <c r="HP62" t="s">
        <v>3</v>
      </c>
      <c r="HQ62" t="s">
        <v>3</v>
      </c>
      <c r="IK62">
        <v>0</v>
      </c>
    </row>
    <row r="63" spans="1:245" x14ac:dyDescent="0.2">
      <c r="A63">
        <v>18</v>
      </c>
      <c r="B63">
        <v>1</v>
      </c>
      <c r="E63" t="s">
        <v>159</v>
      </c>
      <c r="F63" t="s">
        <v>34</v>
      </c>
      <c r="G63" t="s">
        <v>121</v>
      </c>
      <c r="H63" t="s">
        <v>64</v>
      </c>
      <c r="I63">
        <f>I62*J63</f>
        <v>0</v>
      </c>
      <c r="J63">
        <v>0</v>
      </c>
      <c r="K63">
        <v>0</v>
      </c>
      <c r="O63">
        <f t="shared" si="54"/>
        <v>0</v>
      </c>
      <c r="P63">
        <f t="shared" si="55"/>
        <v>0</v>
      </c>
      <c r="Q63">
        <f t="shared" si="56"/>
        <v>0</v>
      </c>
      <c r="R63">
        <f t="shared" si="57"/>
        <v>0</v>
      </c>
      <c r="S63">
        <f t="shared" si="58"/>
        <v>0</v>
      </c>
      <c r="T63">
        <f t="shared" si="59"/>
        <v>0</v>
      </c>
      <c r="U63">
        <f t="shared" si="60"/>
        <v>0</v>
      </c>
      <c r="V63">
        <f t="shared" si="61"/>
        <v>0</v>
      </c>
      <c r="W63">
        <f t="shared" si="62"/>
        <v>0</v>
      </c>
      <c r="X63">
        <f t="shared" si="63"/>
        <v>0</v>
      </c>
      <c r="Y63">
        <f t="shared" si="64"/>
        <v>0</v>
      </c>
      <c r="AA63">
        <v>43095088</v>
      </c>
      <c r="AB63">
        <f t="shared" si="65"/>
        <v>154.24</v>
      </c>
      <c r="AC63">
        <f t="shared" si="66"/>
        <v>154.24</v>
      </c>
      <c r="AD63">
        <f t="shared" si="67"/>
        <v>0</v>
      </c>
      <c r="AE63">
        <f t="shared" si="68"/>
        <v>0</v>
      </c>
      <c r="AF63">
        <f t="shared" si="69"/>
        <v>0</v>
      </c>
      <c r="AG63">
        <f t="shared" si="70"/>
        <v>0</v>
      </c>
      <c r="AH63">
        <f t="shared" si="71"/>
        <v>0</v>
      </c>
      <c r="AI63">
        <f t="shared" si="72"/>
        <v>0</v>
      </c>
      <c r="AJ63">
        <f t="shared" si="73"/>
        <v>0</v>
      </c>
      <c r="AK63">
        <v>154.24</v>
      </c>
      <c r="AL63">
        <v>154.24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70</v>
      </c>
      <c r="AU63">
        <v>10</v>
      </c>
      <c r="AV63">
        <v>1</v>
      </c>
      <c r="AW63">
        <v>1</v>
      </c>
      <c r="AZ63">
        <v>1</v>
      </c>
      <c r="BA63">
        <v>1</v>
      </c>
      <c r="BB63">
        <v>1</v>
      </c>
      <c r="BC63">
        <v>1</v>
      </c>
      <c r="BD63" t="s">
        <v>3</v>
      </c>
      <c r="BE63" t="s">
        <v>3</v>
      </c>
      <c r="BF63" t="s">
        <v>3</v>
      </c>
      <c r="BG63" t="s">
        <v>3</v>
      </c>
      <c r="BH63">
        <v>3</v>
      </c>
      <c r="BI63">
        <v>4</v>
      </c>
      <c r="BJ63" t="s">
        <v>3</v>
      </c>
      <c r="BM63">
        <v>0</v>
      </c>
      <c r="BN63">
        <v>0</v>
      </c>
      <c r="BO63" t="s">
        <v>3</v>
      </c>
      <c r="BP63">
        <v>0</v>
      </c>
      <c r="BQ63">
        <v>1</v>
      </c>
      <c r="BR63">
        <v>0</v>
      </c>
      <c r="BS63">
        <v>1</v>
      </c>
      <c r="BT63">
        <v>1</v>
      </c>
      <c r="BU63">
        <v>1</v>
      </c>
      <c r="BV63">
        <v>1</v>
      </c>
      <c r="BW63">
        <v>1</v>
      </c>
      <c r="BX63">
        <v>1</v>
      </c>
      <c r="BY63" t="s">
        <v>3</v>
      </c>
      <c r="BZ63">
        <v>70</v>
      </c>
      <c r="CA63">
        <v>10</v>
      </c>
      <c r="CB63" t="s">
        <v>3</v>
      </c>
      <c r="CE63">
        <v>0</v>
      </c>
      <c r="CF63">
        <v>0</v>
      </c>
      <c r="CG63">
        <v>0</v>
      </c>
      <c r="CM63">
        <v>0</v>
      </c>
      <c r="CN63" t="s">
        <v>3</v>
      </c>
      <c r="CO63">
        <v>0</v>
      </c>
      <c r="CP63">
        <f t="shared" si="74"/>
        <v>0</v>
      </c>
      <c r="CQ63">
        <f t="shared" si="75"/>
        <v>154.24</v>
      </c>
      <c r="CR63">
        <f t="shared" si="76"/>
        <v>0</v>
      </c>
      <c r="CS63">
        <f t="shared" si="77"/>
        <v>0</v>
      </c>
      <c r="CT63">
        <f t="shared" si="78"/>
        <v>0</v>
      </c>
      <c r="CU63">
        <f t="shared" si="79"/>
        <v>0</v>
      </c>
      <c r="CV63">
        <f t="shared" si="80"/>
        <v>0</v>
      </c>
      <c r="CW63">
        <f t="shared" si="81"/>
        <v>0</v>
      </c>
      <c r="CX63">
        <f t="shared" si="82"/>
        <v>0</v>
      </c>
      <c r="CY63">
        <f t="shared" si="83"/>
        <v>0</v>
      </c>
      <c r="CZ63">
        <f t="shared" si="84"/>
        <v>0</v>
      </c>
      <c r="DC63" t="s">
        <v>3</v>
      </c>
      <c r="DD63" t="s">
        <v>3</v>
      </c>
      <c r="DE63" t="s">
        <v>3</v>
      </c>
      <c r="DF63" t="s">
        <v>3</v>
      </c>
      <c r="DG63" t="s">
        <v>3</v>
      </c>
      <c r="DH63" t="s">
        <v>3</v>
      </c>
      <c r="DI63" t="s">
        <v>3</v>
      </c>
      <c r="DJ63" t="s">
        <v>3</v>
      </c>
      <c r="DK63" t="s">
        <v>3</v>
      </c>
      <c r="DL63" t="s">
        <v>3</v>
      </c>
      <c r="DM63" t="s">
        <v>3</v>
      </c>
      <c r="DN63">
        <v>0</v>
      </c>
      <c r="DO63">
        <v>0</v>
      </c>
      <c r="DP63">
        <v>1</v>
      </c>
      <c r="DQ63">
        <v>1</v>
      </c>
      <c r="DU63">
        <v>1003</v>
      </c>
      <c r="DV63" t="s">
        <v>64</v>
      </c>
      <c r="DW63" t="s">
        <v>64</v>
      </c>
      <c r="DX63">
        <v>1</v>
      </c>
      <c r="DZ63" t="s">
        <v>3</v>
      </c>
      <c r="EA63" t="s">
        <v>3</v>
      </c>
      <c r="EB63" t="s">
        <v>3</v>
      </c>
      <c r="EC63" t="s">
        <v>3</v>
      </c>
      <c r="EE63">
        <v>43033442</v>
      </c>
      <c r="EF63">
        <v>1</v>
      </c>
      <c r="EG63" t="s">
        <v>22</v>
      </c>
      <c r="EH63">
        <v>0</v>
      </c>
      <c r="EI63" t="s">
        <v>3</v>
      </c>
      <c r="EJ63">
        <v>4</v>
      </c>
      <c r="EK63">
        <v>0</v>
      </c>
      <c r="EL63" t="s">
        <v>23</v>
      </c>
      <c r="EM63" t="s">
        <v>24</v>
      </c>
      <c r="EO63" t="s">
        <v>3</v>
      </c>
      <c r="EQ63">
        <v>0</v>
      </c>
      <c r="ER63">
        <v>154.24</v>
      </c>
      <c r="ES63">
        <v>154.24</v>
      </c>
      <c r="ET63">
        <v>0</v>
      </c>
      <c r="EU63">
        <v>0</v>
      </c>
      <c r="EV63">
        <v>0</v>
      </c>
      <c r="EW63">
        <v>0</v>
      </c>
      <c r="EX63">
        <v>0</v>
      </c>
      <c r="EZ63">
        <v>5</v>
      </c>
      <c r="FC63">
        <v>1</v>
      </c>
      <c r="FD63">
        <v>18</v>
      </c>
      <c r="FF63">
        <v>185.09</v>
      </c>
      <c r="FQ63">
        <v>0</v>
      </c>
      <c r="FR63">
        <f t="shared" si="85"/>
        <v>0</v>
      </c>
      <c r="FS63">
        <v>0</v>
      </c>
      <c r="FX63">
        <v>70</v>
      </c>
      <c r="FY63">
        <v>10</v>
      </c>
      <c r="GA63" t="s">
        <v>160</v>
      </c>
      <c r="GD63">
        <v>0</v>
      </c>
      <c r="GF63">
        <v>-453885095</v>
      </c>
      <c r="GG63">
        <v>2</v>
      </c>
      <c r="GH63">
        <v>3</v>
      </c>
      <c r="GI63">
        <v>-2</v>
      </c>
      <c r="GJ63">
        <v>0</v>
      </c>
      <c r="GK63">
        <f>ROUND(R63*(R12)/100,2)</f>
        <v>0</v>
      </c>
      <c r="GL63">
        <f t="shared" si="86"/>
        <v>0</v>
      </c>
      <c r="GM63">
        <f t="shared" si="87"/>
        <v>0</v>
      </c>
      <c r="GN63">
        <f t="shared" si="88"/>
        <v>0</v>
      </c>
      <c r="GO63">
        <f t="shared" si="89"/>
        <v>0</v>
      </c>
      <c r="GP63">
        <f t="shared" si="90"/>
        <v>0</v>
      </c>
      <c r="GR63">
        <v>1</v>
      </c>
      <c r="GS63">
        <v>1</v>
      </c>
      <c r="GT63">
        <v>0</v>
      </c>
      <c r="GU63" t="s">
        <v>3</v>
      </c>
      <c r="GV63">
        <f t="shared" si="91"/>
        <v>0</v>
      </c>
      <c r="GW63">
        <v>1</v>
      </c>
      <c r="GX63">
        <f t="shared" si="92"/>
        <v>0</v>
      </c>
      <c r="HA63">
        <v>0</v>
      </c>
      <c r="HB63">
        <v>0</v>
      </c>
      <c r="HC63">
        <f t="shared" si="93"/>
        <v>0</v>
      </c>
      <c r="HE63" t="s">
        <v>37</v>
      </c>
      <c r="HF63" t="s">
        <v>37</v>
      </c>
      <c r="HM63" t="s">
        <v>3</v>
      </c>
      <c r="HN63" t="s">
        <v>3</v>
      </c>
      <c r="HO63" t="s">
        <v>3</v>
      </c>
      <c r="HP63" t="s">
        <v>3</v>
      </c>
      <c r="HQ63" t="s">
        <v>3</v>
      </c>
      <c r="IK63">
        <v>0</v>
      </c>
    </row>
    <row r="64" spans="1:245" x14ac:dyDescent="0.2">
      <c r="A64">
        <v>18</v>
      </c>
      <c r="B64">
        <v>1</v>
      </c>
      <c r="E64" t="s">
        <v>161</v>
      </c>
      <c r="F64" t="s">
        <v>34</v>
      </c>
      <c r="G64" t="s">
        <v>162</v>
      </c>
      <c r="H64" t="s">
        <v>20</v>
      </c>
      <c r="I64">
        <f>I62*J64</f>
        <v>22</v>
      </c>
      <c r="J64">
        <v>100</v>
      </c>
      <c r="K64">
        <v>100</v>
      </c>
      <c r="O64">
        <f t="shared" si="54"/>
        <v>14300</v>
      </c>
      <c r="P64">
        <f t="shared" si="55"/>
        <v>14300</v>
      </c>
      <c r="Q64">
        <f t="shared" si="56"/>
        <v>0</v>
      </c>
      <c r="R64">
        <f t="shared" si="57"/>
        <v>0</v>
      </c>
      <c r="S64">
        <f t="shared" si="58"/>
        <v>0</v>
      </c>
      <c r="T64">
        <f t="shared" si="59"/>
        <v>0</v>
      </c>
      <c r="U64">
        <f t="shared" si="60"/>
        <v>0</v>
      </c>
      <c r="V64">
        <f t="shared" si="61"/>
        <v>0</v>
      </c>
      <c r="W64">
        <f t="shared" si="62"/>
        <v>0</v>
      </c>
      <c r="X64">
        <f t="shared" si="63"/>
        <v>0</v>
      </c>
      <c r="Y64">
        <f t="shared" si="64"/>
        <v>0</v>
      </c>
      <c r="AA64">
        <v>43095088</v>
      </c>
      <c r="AB64">
        <f t="shared" si="65"/>
        <v>650</v>
      </c>
      <c r="AC64">
        <f t="shared" si="66"/>
        <v>650</v>
      </c>
      <c r="AD64">
        <f t="shared" si="67"/>
        <v>0</v>
      </c>
      <c r="AE64">
        <f t="shared" si="68"/>
        <v>0</v>
      </c>
      <c r="AF64">
        <f t="shared" si="69"/>
        <v>0</v>
      </c>
      <c r="AG64">
        <f t="shared" si="70"/>
        <v>0</v>
      </c>
      <c r="AH64">
        <f t="shared" si="71"/>
        <v>0</v>
      </c>
      <c r="AI64">
        <f t="shared" si="72"/>
        <v>0</v>
      </c>
      <c r="AJ64">
        <f t="shared" si="73"/>
        <v>0</v>
      </c>
      <c r="AK64">
        <v>650</v>
      </c>
      <c r="AL64">
        <v>650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70</v>
      </c>
      <c r="AU64">
        <v>10</v>
      </c>
      <c r="AV64">
        <v>1</v>
      </c>
      <c r="AW64">
        <v>1</v>
      </c>
      <c r="AZ64">
        <v>1</v>
      </c>
      <c r="BA64">
        <v>1</v>
      </c>
      <c r="BB64">
        <v>1</v>
      </c>
      <c r="BC64">
        <v>1</v>
      </c>
      <c r="BD64" t="s">
        <v>3</v>
      </c>
      <c r="BE64" t="s">
        <v>3</v>
      </c>
      <c r="BF64" t="s">
        <v>3</v>
      </c>
      <c r="BG64" t="s">
        <v>3</v>
      </c>
      <c r="BH64">
        <v>3</v>
      </c>
      <c r="BI64">
        <v>4</v>
      </c>
      <c r="BJ64" t="s">
        <v>3</v>
      </c>
      <c r="BM64">
        <v>0</v>
      </c>
      <c r="BN64">
        <v>0</v>
      </c>
      <c r="BO64" t="s">
        <v>3</v>
      </c>
      <c r="BP64">
        <v>0</v>
      </c>
      <c r="BQ64">
        <v>1</v>
      </c>
      <c r="BR64">
        <v>0</v>
      </c>
      <c r="BS64">
        <v>1</v>
      </c>
      <c r="BT64">
        <v>1</v>
      </c>
      <c r="BU64">
        <v>1</v>
      </c>
      <c r="BV64">
        <v>1</v>
      </c>
      <c r="BW64">
        <v>1</v>
      </c>
      <c r="BX64">
        <v>1</v>
      </c>
      <c r="BY64" t="s">
        <v>3</v>
      </c>
      <c r="BZ64">
        <v>70</v>
      </c>
      <c r="CA64">
        <v>10</v>
      </c>
      <c r="CB64" t="s">
        <v>3</v>
      </c>
      <c r="CE64">
        <v>0</v>
      </c>
      <c r="CF64">
        <v>0</v>
      </c>
      <c r="CG64">
        <v>0</v>
      </c>
      <c r="CM64">
        <v>0</v>
      </c>
      <c r="CN64" t="s">
        <v>3</v>
      </c>
      <c r="CO64">
        <v>0</v>
      </c>
      <c r="CP64">
        <f t="shared" si="74"/>
        <v>14300</v>
      </c>
      <c r="CQ64">
        <f t="shared" si="75"/>
        <v>650</v>
      </c>
      <c r="CR64">
        <f t="shared" si="76"/>
        <v>0</v>
      </c>
      <c r="CS64">
        <f t="shared" si="77"/>
        <v>0</v>
      </c>
      <c r="CT64">
        <f t="shared" si="78"/>
        <v>0</v>
      </c>
      <c r="CU64">
        <f t="shared" si="79"/>
        <v>0</v>
      </c>
      <c r="CV64">
        <f t="shared" si="80"/>
        <v>0</v>
      </c>
      <c r="CW64">
        <f t="shared" si="81"/>
        <v>0</v>
      </c>
      <c r="CX64">
        <f t="shared" si="82"/>
        <v>0</v>
      </c>
      <c r="CY64">
        <f t="shared" si="83"/>
        <v>0</v>
      </c>
      <c r="CZ64">
        <f t="shared" si="84"/>
        <v>0</v>
      </c>
      <c r="DC64" t="s">
        <v>3</v>
      </c>
      <c r="DD64" t="s">
        <v>3</v>
      </c>
      <c r="DE64" t="s">
        <v>3</v>
      </c>
      <c r="DF64" t="s">
        <v>3</v>
      </c>
      <c r="DG64" t="s">
        <v>3</v>
      </c>
      <c r="DH64" t="s">
        <v>3</v>
      </c>
      <c r="DI64" t="s">
        <v>3</v>
      </c>
      <c r="DJ64" t="s">
        <v>3</v>
      </c>
      <c r="DK64" t="s">
        <v>3</v>
      </c>
      <c r="DL64" t="s">
        <v>3</v>
      </c>
      <c r="DM64" t="s">
        <v>3</v>
      </c>
      <c r="DN64">
        <v>0</v>
      </c>
      <c r="DO64">
        <v>0</v>
      </c>
      <c r="DP64">
        <v>1</v>
      </c>
      <c r="DQ64">
        <v>1</v>
      </c>
      <c r="DU64">
        <v>1010</v>
      </c>
      <c r="DV64" t="s">
        <v>20</v>
      </c>
      <c r="DW64" t="s">
        <v>20</v>
      </c>
      <c r="DX64">
        <v>1</v>
      </c>
      <c r="DZ64" t="s">
        <v>3</v>
      </c>
      <c r="EA64" t="s">
        <v>3</v>
      </c>
      <c r="EB64" t="s">
        <v>3</v>
      </c>
      <c r="EC64" t="s">
        <v>3</v>
      </c>
      <c r="EE64">
        <v>43033442</v>
      </c>
      <c r="EF64">
        <v>1</v>
      </c>
      <c r="EG64" t="s">
        <v>22</v>
      </c>
      <c r="EH64">
        <v>0</v>
      </c>
      <c r="EI64" t="s">
        <v>3</v>
      </c>
      <c r="EJ64">
        <v>4</v>
      </c>
      <c r="EK64">
        <v>0</v>
      </c>
      <c r="EL64" t="s">
        <v>23</v>
      </c>
      <c r="EM64" t="s">
        <v>24</v>
      </c>
      <c r="EO64" t="s">
        <v>3</v>
      </c>
      <c r="EQ64">
        <v>0</v>
      </c>
      <c r="ER64">
        <v>650</v>
      </c>
      <c r="ES64">
        <v>650</v>
      </c>
      <c r="ET64">
        <v>0</v>
      </c>
      <c r="EU64">
        <v>0</v>
      </c>
      <c r="EV64">
        <v>0</v>
      </c>
      <c r="EW64">
        <v>0</v>
      </c>
      <c r="EX64">
        <v>0</v>
      </c>
      <c r="EZ64">
        <v>5</v>
      </c>
      <c r="FC64">
        <v>1</v>
      </c>
      <c r="FD64">
        <v>18</v>
      </c>
      <c r="FF64">
        <v>780</v>
      </c>
      <c r="FQ64">
        <v>0</v>
      </c>
      <c r="FR64">
        <f t="shared" si="85"/>
        <v>0</v>
      </c>
      <c r="FS64">
        <v>0</v>
      </c>
      <c r="FX64">
        <v>70</v>
      </c>
      <c r="FY64">
        <v>10</v>
      </c>
      <c r="GA64" t="s">
        <v>163</v>
      </c>
      <c r="GD64">
        <v>0</v>
      </c>
      <c r="GF64">
        <v>812398041</v>
      </c>
      <c r="GG64">
        <v>2</v>
      </c>
      <c r="GH64">
        <v>3</v>
      </c>
      <c r="GI64">
        <v>-2</v>
      </c>
      <c r="GJ64">
        <v>0</v>
      </c>
      <c r="GK64">
        <f>ROUND(R64*(R12)/100,2)</f>
        <v>0</v>
      </c>
      <c r="GL64">
        <f t="shared" si="86"/>
        <v>0</v>
      </c>
      <c r="GM64">
        <f t="shared" si="87"/>
        <v>14300</v>
      </c>
      <c r="GN64">
        <f t="shared" si="88"/>
        <v>0</v>
      </c>
      <c r="GO64">
        <f t="shared" si="89"/>
        <v>0</v>
      </c>
      <c r="GP64">
        <f t="shared" si="90"/>
        <v>14300</v>
      </c>
      <c r="GR64">
        <v>1</v>
      </c>
      <c r="GS64">
        <v>1</v>
      </c>
      <c r="GT64">
        <v>0</v>
      </c>
      <c r="GU64" t="s">
        <v>3</v>
      </c>
      <c r="GV64">
        <f t="shared" si="91"/>
        <v>0</v>
      </c>
      <c r="GW64">
        <v>1</v>
      </c>
      <c r="GX64">
        <f t="shared" si="92"/>
        <v>0</v>
      </c>
      <c r="HA64">
        <v>0</v>
      </c>
      <c r="HB64">
        <v>0</v>
      </c>
      <c r="HC64">
        <f t="shared" si="93"/>
        <v>0</v>
      </c>
      <c r="HE64" t="s">
        <v>37</v>
      </c>
      <c r="HF64" t="s">
        <v>37</v>
      </c>
      <c r="HM64" t="s">
        <v>3</v>
      </c>
      <c r="HN64" t="s">
        <v>3</v>
      </c>
      <c r="HO64" t="s">
        <v>3</v>
      </c>
      <c r="HP64" t="s">
        <v>3</v>
      </c>
      <c r="HQ64" t="s">
        <v>3</v>
      </c>
      <c r="IK64">
        <v>0</v>
      </c>
    </row>
    <row r="65" spans="1:245" x14ac:dyDescent="0.2">
      <c r="A65">
        <v>17</v>
      </c>
      <c r="B65">
        <v>1</v>
      </c>
      <c r="C65">
        <f>ROW(SmtRes!A91)</f>
        <v>91</v>
      </c>
      <c r="D65">
        <f>ROW(EtalonRes!A80)</f>
        <v>80</v>
      </c>
      <c r="E65" t="s">
        <v>164</v>
      </c>
      <c r="F65" t="s">
        <v>165</v>
      </c>
      <c r="G65" t="s">
        <v>166</v>
      </c>
      <c r="H65" t="s">
        <v>118</v>
      </c>
      <c r="I65">
        <f>ROUND(91/100,9)</f>
        <v>0.91</v>
      </c>
      <c r="J65">
        <v>0</v>
      </c>
      <c r="K65">
        <f>ROUND(91/100,9)</f>
        <v>0.91</v>
      </c>
      <c r="O65">
        <f t="shared" si="54"/>
        <v>39349.160000000003</v>
      </c>
      <c r="P65">
        <f t="shared" si="55"/>
        <v>29418.35</v>
      </c>
      <c r="Q65">
        <f t="shared" si="56"/>
        <v>38.21</v>
      </c>
      <c r="R65">
        <f t="shared" si="57"/>
        <v>0.25</v>
      </c>
      <c r="S65">
        <f t="shared" si="58"/>
        <v>9892.6</v>
      </c>
      <c r="T65">
        <f t="shared" si="59"/>
        <v>0</v>
      </c>
      <c r="U65">
        <f t="shared" si="60"/>
        <v>42.569800000000001</v>
      </c>
      <c r="V65">
        <f t="shared" si="61"/>
        <v>0</v>
      </c>
      <c r="W65">
        <f t="shared" si="62"/>
        <v>0</v>
      </c>
      <c r="X65">
        <f t="shared" si="63"/>
        <v>6924.82</v>
      </c>
      <c r="Y65">
        <f t="shared" si="64"/>
        <v>989.26</v>
      </c>
      <c r="AA65">
        <v>43095088</v>
      </c>
      <c r="AB65">
        <f t="shared" si="65"/>
        <v>43240.84</v>
      </c>
      <c r="AC65">
        <f t="shared" si="66"/>
        <v>32327.86</v>
      </c>
      <c r="AD65">
        <f t="shared" si="67"/>
        <v>41.99</v>
      </c>
      <c r="AE65">
        <f t="shared" si="68"/>
        <v>0.28000000000000003</v>
      </c>
      <c r="AF65">
        <f t="shared" si="69"/>
        <v>10870.99</v>
      </c>
      <c r="AG65">
        <f t="shared" si="70"/>
        <v>0</v>
      </c>
      <c r="AH65">
        <f t="shared" si="71"/>
        <v>46.78</v>
      </c>
      <c r="AI65">
        <f t="shared" si="72"/>
        <v>0</v>
      </c>
      <c r="AJ65">
        <f t="shared" si="73"/>
        <v>0</v>
      </c>
      <c r="AK65">
        <v>43240.84</v>
      </c>
      <c r="AL65">
        <v>32327.86</v>
      </c>
      <c r="AM65">
        <v>41.99</v>
      </c>
      <c r="AN65">
        <v>0.28000000000000003</v>
      </c>
      <c r="AO65">
        <v>10870.99</v>
      </c>
      <c r="AP65">
        <v>0</v>
      </c>
      <c r="AQ65">
        <v>46.78</v>
      </c>
      <c r="AR65">
        <v>0</v>
      </c>
      <c r="AS65">
        <v>0</v>
      </c>
      <c r="AT65">
        <v>70</v>
      </c>
      <c r="AU65">
        <v>10</v>
      </c>
      <c r="AV65">
        <v>1</v>
      </c>
      <c r="AW65">
        <v>1</v>
      </c>
      <c r="AZ65">
        <v>1</v>
      </c>
      <c r="BA65">
        <v>1</v>
      </c>
      <c r="BB65">
        <v>1</v>
      </c>
      <c r="BC65">
        <v>1</v>
      </c>
      <c r="BD65" t="s">
        <v>3</v>
      </c>
      <c r="BE65" t="s">
        <v>3</v>
      </c>
      <c r="BF65" t="s">
        <v>3</v>
      </c>
      <c r="BG65" t="s">
        <v>3</v>
      </c>
      <c r="BH65">
        <v>0</v>
      </c>
      <c r="BI65">
        <v>4</v>
      </c>
      <c r="BJ65" t="s">
        <v>167</v>
      </c>
      <c r="BM65">
        <v>0</v>
      </c>
      <c r="BN65">
        <v>0</v>
      </c>
      <c r="BO65" t="s">
        <v>3</v>
      </c>
      <c r="BP65">
        <v>0</v>
      </c>
      <c r="BQ65">
        <v>1</v>
      </c>
      <c r="BR65">
        <v>0</v>
      </c>
      <c r="BS65">
        <v>1</v>
      </c>
      <c r="BT65">
        <v>1</v>
      </c>
      <c r="BU65">
        <v>1</v>
      </c>
      <c r="BV65">
        <v>1</v>
      </c>
      <c r="BW65">
        <v>1</v>
      </c>
      <c r="BX65">
        <v>1</v>
      </c>
      <c r="BY65" t="s">
        <v>3</v>
      </c>
      <c r="BZ65">
        <v>70</v>
      </c>
      <c r="CA65">
        <v>10</v>
      </c>
      <c r="CB65" t="s">
        <v>3</v>
      </c>
      <c r="CE65">
        <v>0</v>
      </c>
      <c r="CF65">
        <v>0</v>
      </c>
      <c r="CG65">
        <v>0</v>
      </c>
      <c r="CM65">
        <v>0</v>
      </c>
      <c r="CN65" t="s">
        <v>3</v>
      </c>
      <c r="CO65">
        <v>0</v>
      </c>
      <c r="CP65">
        <f t="shared" si="74"/>
        <v>39349.159999999996</v>
      </c>
      <c r="CQ65">
        <f t="shared" si="75"/>
        <v>32327.86</v>
      </c>
      <c r="CR65">
        <f t="shared" si="76"/>
        <v>41.99</v>
      </c>
      <c r="CS65">
        <f t="shared" si="77"/>
        <v>0.28000000000000003</v>
      </c>
      <c r="CT65">
        <f t="shared" si="78"/>
        <v>10870.99</v>
      </c>
      <c r="CU65">
        <f t="shared" si="79"/>
        <v>0</v>
      </c>
      <c r="CV65">
        <f t="shared" si="80"/>
        <v>46.78</v>
      </c>
      <c r="CW65">
        <f t="shared" si="81"/>
        <v>0</v>
      </c>
      <c r="CX65">
        <f t="shared" si="82"/>
        <v>0</v>
      </c>
      <c r="CY65">
        <f t="shared" si="83"/>
        <v>6924.82</v>
      </c>
      <c r="CZ65">
        <f t="shared" si="84"/>
        <v>989.26</v>
      </c>
      <c r="DC65" t="s">
        <v>3</v>
      </c>
      <c r="DD65" t="s">
        <v>3</v>
      </c>
      <c r="DE65" t="s">
        <v>3</v>
      </c>
      <c r="DF65" t="s">
        <v>3</v>
      </c>
      <c r="DG65" t="s">
        <v>3</v>
      </c>
      <c r="DH65" t="s">
        <v>3</v>
      </c>
      <c r="DI65" t="s">
        <v>3</v>
      </c>
      <c r="DJ65" t="s">
        <v>3</v>
      </c>
      <c r="DK65" t="s">
        <v>3</v>
      </c>
      <c r="DL65" t="s">
        <v>3</v>
      </c>
      <c r="DM65" t="s">
        <v>3</v>
      </c>
      <c r="DN65">
        <v>0</v>
      </c>
      <c r="DO65">
        <v>0</v>
      </c>
      <c r="DP65">
        <v>1</v>
      </c>
      <c r="DQ65">
        <v>1</v>
      </c>
      <c r="DU65">
        <v>1003</v>
      </c>
      <c r="DV65" t="s">
        <v>118</v>
      </c>
      <c r="DW65" t="s">
        <v>118</v>
      </c>
      <c r="DX65">
        <v>100</v>
      </c>
      <c r="DZ65" t="s">
        <v>3</v>
      </c>
      <c r="EA65" t="s">
        <v>3</v>
      </c>
      <c r="EB65" t="s">
        <v>3</v>
      </c>
      <c r="EC65" t="s">
        <v>3</v>
      </c>
      <c r="EE65">
        <v>43033442</v>
      </c>
      <c r="EF65">
        <v>1</v>
      </c>
      <c r="EG65" t="s">
        <v>22</v>
      </c>
      <c r="EH65">
        <v>0</v>
      </c>
      <c r="EI65" t="s">
        <v>3</v>
      </c>
      <c r="EJ65">
        <v>4</v>
      </c>
      <c r="EK65">
        <v>0</v>
      </c>
      <c r="EL65" t="s">
        <v>23</v>
      </c>
      <c r="EM65" t="s">
        <v>24</v>
      </c>
      <c r="EO65" t="s">
        <v>3</v>
      </c>
      <c r="EQ65">
        <v>0</v>
      </c>
      <c r="ER65">
        <v>43240.84</v>
      </c>
      <c r="ES65">
        <v>32327.86</v>
      </c>
      <c r="ET65">
        <v>41.99</v>
      </c>
      <c r="EU65">
        <v>0.28000000000000003</v>
      </c>
      <c r="EV65">
        <v>10870.99</v>
      </c>
      <c r="EW65">
        <v>46.78</v>
      </c>
      <c r="EX65">
        <v>0</v>
      </c>
      <c r="EY65">
        <v>0</v>
      </c>
      <c r="FQ65">
        <v>0</v>
      </c>
      <c r="FR65">
        <f t="shared" si="85"/>
        <v>0</v>
      </c>
      <c r="FS65">
        <v>0</v>
      </c>
      <c r="FX65">
        <v>70</v>
      </c>
      <c r="FY65">
        <v>10</v>
      </c>
      <c r="GA65" t="s">
        <v>3</v>
      </c>
      <c r="GD65">
        <v>0</v>
      </c>
      <c r="GF65">
        <v>-927158430</v>
      </c>
      <c r="GG65">
        <v>2</v>
      </c>
      <c r="GH65">
        <v>1</v>
      </c>
      <c r="GI65">
        <v>-2</v>
      </c>
      <c r="GJ65">
        <v>0</v>
      </c>
      <c r="GK65">
        <f>ROUND(R65*(R12)/100,2)</f>
        <v>0.27</v>
      </c>
      <c r="GL65">
        <f t="shared" si="86"/>
        <v>0</v>
      </c>
      <c r="GM65">
        <f t="shared" si="87"/>
        <v>47263.51</v>
      </c>
      <c r="GN65">
        <f t="shared" si="88"/>
        <v>0</v>
      </c>
      <c r="GO65">
        <f t="shared" si="89"/>
        <v>0</v>
      </c>
      <c r="GP65">
        <f t="shared" si="90"/>
        <v>47263.51</v>
      </c>
      <c r="GR65">
        <v>0</v>
      </c>
      <c r="GS65">
        <v>3</v>
      </c>
      <c r="GT65">
        <v>0</v>
      </c>
      <c r="GU65" t="s">
        <v>3</v>
      </c>
      <c r="GV65">
        <f t="shared" si="91"/>
        <v>0</v>
      </c>
      <c r="GW65">
        <v>1</v>
      </c>
      <c r="GX65">
        <f t="shared" si="92"/>
        <v>0</v>
      </c>
      <c r="HA65">
        <v>0</v>
      </c>
      <c r="HB65">
        <v>0</v>
      </c>
      <c r="HC65">
        <f t="shared" si="93"/>
        <v>0</v>
      </c>
      <c r="HE65" t="s">
        <v>3</v>
      </c>
      <c r="HF65" t="s">
        <v>3</v>
      </c>
      <c r="HM65" t="s">
        <v>3</v>
      </c>
      <c r="HN65" t="s">
        <v>3</v>
      </c>
      <c r="HO65" t="s">
        <v>3</v>
      </c>
      <c r="HP65" t="s">
        <v>3</v>
      </c>
      <c r="HQ65" t="s">
        <v>3</v>
      </c>
      <c r="IK65">
        <v>0</v>
      </c>
    </row>
    <row r="66" spans="1:245" x14ac:dyDescent="0.2">
      <c r="A66">
        <v>18</v>
      </c>
      <c r="B66">
        <v>1</v>
      </c>
      <c r="E66" t="s">
        <v>168</v>
      </c>
      <c r="F66" t="s">
        <v>34</v>
      </c>
      <c r="G66" t="s">
        <v>169</v>
      </c>
      <c r="H66" t="s">
        <v>64</v>
      </c>
      <c r="I66">
        <f>I65*J66</f>
        <v>91</v>
      </c>
      <c r="J66">
        <v>100</v>
      </c>
      <c r="K66">
        <v>100</v>
      </c>
      <c r="O66">
        <f t="shared" si="54"/>
        <v>21688.03</v>
      </c>
      <c r="P66">
        <f t="shared" si="55"/>
        <v>21688.03</v>
      </c>
      <c r="Q66">
        <f t="shared" si="56"/>
        <v>0</v>
      </c>
      <c r="R66">
        <f t="shared" si="57"/>
        <v>0</v>
      </c>
      <c r="S66">
        <f t="shared" si="58"/>
        <v>0</v>
      </c>
      <c r="T66">
        <f t="shared" si="59"/>
        <v>0</v>
      </c>
      <c r="U66">
        <f t="shared" si="60"/>
        <v>0</v>
      </c>
      <c r="V66">
        <f t="shared" si="61"/>
        <v>0</v>
      </c>
      <c r="W66">
        <f t="shared" si="62"/>
        <v>0</v>
      </c>
      <c r="X66">
        <f t="shared" si="63"/>
        <v>0</v>
      </c>
      <c r="Y66">
        <f t="shared" si="64"/>
        <v>0</v>
      </c>
      <c r="AA66">
        <v>43095088</v>
      </c>
      <c r="AB66">
        <f t="shared" si="65"/>
        <v>238.33</v>
      </c>
      <c r="AC66">
        <f t="shared" si="66"/>
        <v>238.33</v>
      </c>
      <c r="AD66">
        <f t="shared" si="67"/>
        <v>0</v>
      </c>
      <c r="AE66">
        <f t="shared" si="68"/>
        <v>0</v>
      </c>
      <c r="AF66">
        <f t="shared" si="69"/>
        <v>0</v>
      </c>
      <c r="AG66">
        <f t="shared" si="70"/>
        <v>0</v>
      </c>
      <c r="AH66">
        <f t="shared" si="71"/>
        <v>0</v>
      </c>
      <c r="AI66">
        <f t="shared" si="72"/>
        <v>0</v>
      </c>
      <c r="AJ66">
        <f t="shared" si="73"/>
        <v>0</v>
      </c>
      <c r="AK66">
        <v>238.33</v>
      </c>
      <c r="AL66">
        <v>238.33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70</v>
      </c>
      <c r="AU66">
        <v>10</v>
      </c>
      <c r="AV66">
        <v>1</v>
      </c>
      <c r="AW66">
        <v>1</v>
      </c>
      <c r="AZ66">
        <v>1</v>
      </c>
      <c r="BA66">
        <v>1</v>
      </c>
      <c r="BB66">
        <v>1</v>
      </c>
      <c r="BC66">
        <v>1</v>
      </c>
      <c r="BD66" t="s">
        <v>3</v>
      </c>
      <c r="BE66" t="s">
        <v>3</v>
      </c>
      <c r="BF66" t="s">
        <v>3</v>
      </c>
      <c r="BG66" t="s">
        <v>3</v>
      </c>
      <c r="BH66">
        <v>3</v>
      </c>
      <c r="BI66">
        <v>4</v>
      </c>
      <c r="BJ66" t="s">
        <v>3</v>
      </c>
      <c r="BM66">
        <v>0</v>
      </c>
      <c r="BN66">
        <v>0</v>
      </c>
      <c r="BO66" t="s">
        <v>3</v>
      </c>
      <c r="BP66">
        <v>0</v>
      </c>
      <c r="BQ66">
        <v>1</v>
      </c>
      <c r="BR66">
        <v>0</v>
      </c>
      <c r="BS66">
        <v>1</v>
      </c>
      <c r="BT66">
        <v>1</v>
      </c>
      <c r="BU66">
        <v>1</v>
      </c>
      <c r="BV66">
        <v>1</v>
      </c>
      <c r="BW66">
        <v>1</v>
      </c>
      <c r="BX66">
        <v>1</v>
      </c>
      <c r="BY66" t="s">
        <v>3</v>
      </c>
      <c r="BZ66">
        <v>70</v>
      </c>
      <c r="CA66">
        <v>10</v>
      </c>
      <c r="CB66" t="s">
        <v>3</v>
      </c>
      <c r="CE66">
        <v>0</v>
      </c>
      <c r="CF66">
        <v>0</v>
      </c>
      <c r="CG66">
        <v>0</v>
      </c>
      <c r="CM66">
        <v>0</v>
      </c>
      <c r="CN66" t="s">
        <v>3</v>
      </c>
      <c r="CO66">
        <v>0</v>
      </c>
      <c r="CP66">
        <f t="shared" si="74"/>
        <v>21688.03</v>
      </c>
      <c r="CQ66">
        <f t="shared" si="75"/>
        <v>238.33</v>
      </c>
      <c r="CR66">
        <f t="shared" si="76"/>
        <v>0</v>
      </c>
      <c r="CS66">
        <f t="shared" si="77"/>
        <v>0</v>
      </c>
      <c r="CT66">
        <f t="shared" si="78"/>
        <v>0</v>
      </c>
      <c r="CU66">
        <f t="shared" si="79"/>
        <v>0</v>
      </c>
      <c r="CV66">
        <f t="shared" si="80"/>
        <v>0</v>
      </c>
      <c r="CW66">
        <f t="shared" si="81"/>
        <v>0</v>
      </c>
      <c r="CX66">
        <f t="shared" si="82"/>
        <v>0</v>
      </c>
      <c r="CY66">
        <f t="shared" si="83"/>
        <v>0</v>
      </c>
      <c r="CZ66">
        <f t="shared" si="84"/>
        <v>0</v>
      </c>
      <c r="DC66" t="s">
        <v>3</v>
      </c>
      <c r="DD66" t="s">
        <v>3</v>
      </c>
      <c r="DE66" t="s">
        <v>3</v>
      </c>
      <c r="DF66" t="s">
        <v>3</v>
      </c>
      <c r="DG66" t="s">
        <v>3</v>
      </c>
      <c r="DH66" t="s">
        <v>3</v>
      </c>
      <c r="DI66" t="s">
        <v>3</v>
      </c>
      <c r="DJ66" t="s">
        <v>3</v>
      </c>
      <c r="DK66" t="s">
        <v>3</v>
      </c>
      <c r="DL66" t="s">
        <v>3</v>
      </c>
      <c r="DM66" t="s">
        <v>3</v>
      </c>
      <c r="DN66">
        <v>0</v>
      </c>
      <c r="DO66">
        <v>0</v>
      </c>
      <c r="DP66">
        <v>1</v>
      </c>
      <c r="DQ66">
        <v>1</v>
      </c>
      <c r="DU66">
        <v>1003</v>
      </c>
      <c r="DV66" t="s">
        <v>64</v>
      </c>
      <c r="DW66" t="s">
        <v>64</v>
      </c>
      <c r="DX66">
        <v>1</v>
      </c>
      <c r="DZ66" t="s">
        <v>3</v>
      </c>
      <c r="EA66" t="s">
        <v>3</v>
      </c>
      <c r="EB66" t="s">
        <v>3</v>
      </c>
      <c r="EC66" t="s">
        <v>3</v>
      </c>
      <c r="EE66">
        <v>43033442</v>
      </c>
      <c r="EF66">
        <v>1</v>
      </c>
      <c r="EG66" t="s">
        <v>22</v>
      </c>
      <c r="EH66">
        <v>0</v>
      </c>
      <c r="EI66" t="s">
        <v>3</v>
      </c>
      <c r="EJ66">
        <v>4</v>
      </c>
      <c r="EK66">
        <v>0</v>
      </c>
      <c r="EL66" t="s">
        <v>23</v>
      </c>
      <c r="EM66" t="s">
        <v>24</v>
      </c>
      <c r="EO66" t="s">
        <v>3</v>
      </c>
      <c r="EQ66">
        <v>0</v>
      </c>
      <c r="ER66">
        <v>238.33</v>
      </c>
      <c r="ES66">
        <v>238.33</v>
      </c>
      <c r="ET66">
        <v>0</v>
      </c>
      <c r="EU66">
        <v>0</v>
      </c>
      <c r="EV66">
        <v>0</v>
      </c>
      <c r="EW66">
        <v>0</v>
      </c>
      <c r="EX66">
        <v>0</v>
      </c>
      <c r="EZ66">
        <v>5</v>
      </c>
      <c r="FC66">
        <v>1</v>
      </c>
      <c r="FD66">
        <v>18</v>
      </c>
      <c r="FF66">
        <v>286</v>
      </c>
      <c r="FQ66">
        <v>0</v>
      </c>
      <c r="FR66">
        <f t="shared" si="85"/>
        <v>0</v>
      </c>
      <c r="FS66">
        <v>0</v>
      </c>
      <c r="FX66">
        <v>70</v>
      </c>
      <c r="FY66">
        <v>10</v>
      </c>
      <c r="GA66" t="s">
        <v>170</v>
      </c>
      <c r="GD66">
        <v>0</v>
      </c>
      <c r="GF66">
        <v>1133486443</v>
      </c>
      <c r="GG66">
        <v>2</v>
      </c>
      <c r="GH66">
        <v>3</v>
      </c>
      <c r="GI66">
        <v>-2</v>
      </c>
      <c r="GJ66">
        <v>0</v>
      </c>
      <c r="GK66">
        <f>ROUND(R66*(R12)/100,2)</f>
        <v>0</v>
      </c>
      <c r="GL66">
        <f t="shared" si="86"/>
        <v>0</v>
      </c>
      <c r="GM66">
        <f t="shared" si="87"/>
        <v>21688.03</v>
      </c>
      <c r="GN66">
        <f t="shared" si="88"/>
        <v>0</v>
      </c>
      <c r="GO66">
        <f t="shared" si="89"/>
        <v>0</v>
      </c>
      <c r="GP66">
        <f t="shared" si="90"/>
        <v>21688.03</v>
      </c>
      <c r="GR66">
        <v>1</v>
      </c>
      <c r="GS66">
        <v>1</v>
      </c>
      <c r="GT66">
        <v>0</v>
      </c>
      <c r="GU66" t="s">
        <v>3</v>
      </c>
      <c r="GV66">
        <f t="shared" si="91"/>
        <v>0</v>
      </c>
      <c r="GW66">
        <v>1</v>
      </c>
      <c r="GX66">
        <f t="shared" si="92"/>
        <v>0</v>
      </c>
      <c r="HA66">
        <v>0</v>
      </c>
      <c r="HB66">
        <v>0</v>
      </c>
      <c r="HC66">
        <f t="shared" si="93"/>
        <v>0</v>
      </c>
      <c r="HE66" t="s">
        <v>37</v>
      </c>
      <c r="HF66" t="s">
        <v>37</v>
      </c>
      <c r="HM66" t="s">
        <v>3</v>
      </c>
      <c r="HN66" t="s">
        <v>3</v>
      </c>
      <c r="HO66" t="s">
        <v>3</v>
      </c>
      <c r="HP66" t="s">
        <v>3</v>
      </c>
      <c r="HQ66" t="s">
        <v>3</v>
      </c>
      <c r="IK66">
        <v>0</v>
      </c>
    </row>
    <row r="67" spans="1:245" x14ac:dyDescent="0.2">
      <c r="A67">
        <v>18</v>
      </c>
      <c r="B67">
        <v>1</v>
      </c>
      <c r="C67">
        <v>88</v>
      </c>
      <c r="E67" t="s">
        <v>171</v>
      </c>
      <c r="F67" t="s">
        <v>34</v>
      </c>
      <c r="G67" t="s">
        <v>172</v>
      </c>
      <c r="H67" t="s">
        <v>20</v>
      </c>
      <c r="I67">
        <f>I65*J67</f>
        <v>0</v>
      </c>
      <c r="J67">
        <v>0</v>
      </c>
      <c r="K67">
        <v>0</v>
      </c>
      <c r="O67">
        <f t="shared" si="54"/>
        <v>0</v>
      </c>
      <c r="P67">
        <f t="shared" si="55"/>
        <v>0</v>
      </c>
      <c r="Q67">
        <f t="shared" si="56"/>
        <v>0</v>
      </c>
      <c r="R67">
        <f t="shared" si="57"/>
        <v>0</v>
      </c>
      <c r="S67">
        <f t="shared" si="58"/>
        <v>0</v>
      </c>
      <c r="T67">
        <f t="shared" si="59"/>
        <v>0</v>
      </c>
      <c r="U67">
        <f t="shared" si="60"/>
        <v>0</v>
      </c>
      <c r="V67">
        <f t="shared" si="61"/>
        <v>0</v>
      </c>
      <c r="W67">
        <f t="shared" si="62"/>
        <v>0</v>
      </c>
      <c r="X67">
        <f t="shared" si="63"/>
        <v>0</v>
      </c>
      <c r="Y67">
        <f t="shared" si="64"/>
        <v>0</v>
      </c>
      <c r="AA67">
        <v>43095088</v>
      </c>
      <c r="AB67">
        <f t="shared" si="65"/>
        <v>96.95</v>
      </c>
      <c r="AC67">
        <f t="shared" si="66"/>
        <v>96.95</v>
      </c>
      <c r="AD67">
        <f t="shared" si="67"/>
        <v>0</v>
      </c>
      <c r="AE67">
        <f t="shared" si="68"/>
        <v>0</v>
      </c>
      <c r="AF67">
        <f t="shared" si="69"/>
        <v>0</v>
      </c>
      <c r="AG67">
        <f t="shared" si="70"/>
        <v>0</v>
      </c>
      <c r="AH67">
        <f t="shared" si="71"/>
        <v>0</v>
      </c>
      <c r="AI67">
        <f t="shared" si="72"/>
        <v>0</v>
      </c>
      <c r="AJ67">
        <f t="shared" si="73"/>
        <v>0</v>
      </c>
      <c r="AK67">
        <v>96.95</v>
      </c>
      <c r="AL67">
        <v>96.95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70</v>
      </c>
      <c r="AU67">
        <v>10</v>
      </c>
      <c r="AV67">
        <v>1</v>
      </c>
      <c r="AW67">
        <v>1</v>
      </c>
      <c r="AZ67">
        <v>1</v>
      </c>
      <c r="BA67">
        <v>1</v>
      </c>
      <c r="BB67">
        <v>1</v>
      </c>
      <c r="BC67">
        <v>1</v>
      </c>
      <c r="BD67" t="s">
        <v>3</v>
      </c>
      <c r="BE67" t="s">
        <v>3</v>
      </c>
      <c r="BF67" t="s">
        <v>3</v>
      </c>
      <c r="BG67" t="s">
        <v>3</v>
      </c>
      <c r="BH67">
        <v>3</v>
      </c>
      <c r="BI67">
        <v>4</v>
      </c>
      <c r="BJ67" t="s">
        <v>3</v>
      </c>
      <c r="BM67">
        <v>0</v>
      </c>
      <c r="BN67">
        <v>0</v>
      </c>
      <c r="BO67" t="s">
        <v>3</v>
      </c>
      <c r="BP67">
        <v>0</v>
      </c>
      <c r="BQ67">
        <v>1</v>
      </c>
      <c r="BR67">
        <v>0</v>
      </c>
      <c r="BS67">
        <v>1</v>
      </c>
      <c r="BT67">
        <v>1</v>
      </c>
      <c r="BU67">
        <v>1</v>
      </c>
      <c r="BV67">
        <v>1</v>
      </c>
      <c r="BW67">
        <v>1</v>
      </c>
      <c r="BX67">
        <v>1</v>
      </c>
      <c r="BY67" t="s">
        <v>3</v>
      </c>
      <c r="BZ67">
        <v>70</v>
      </c>
      <c r="CA67">
        <v>10</v>
      </c>
      <c r="CB67" t="s">
        <v>3</v>
      </c>
      <c r="CE67">
        <v>0</v>
      </c>
      <c r="CF67">
        <v>0</v>
      </c>
      <c r="CG67">
        <v>0</v>
      </c>
      <c r="CM67">
        <v>0</v>
      </c>
      <c r="CN67" t="s">
        <v>3</v>
      </c>
      <c r="CO67">
        <v>0</v>
      </c>
      <c r="CP67">
        <f t="shared" si="74"/>
        <v>0</v>
      </c>
      <c r="CQ67">
        <f t="shared" si="75"/>
        <v>96.95</v>
      </c>
      <c r="CR67">
        <f t="shared" si="76"/>
        <v>0</v>
      </c>
      <c r="CS67">
        <f t="shared" si="77"/>
        <v>0</v>
      </c>
      <c r="CT67">
        <f t="shared" si="78"/>
        <v>0</v>
      </c>
      <c r="CU67">
        <f t="shared" si="79"/>
        <v>0</v>
      </c>
      <c r="CV67">
        <f t="shared" si="80"/>
        <v>0</v>
      </c>
      <c r="CW67">
        <f t="shared" si="81"/>
        <v>0</v>
      </c>
      <c r="CX67">
        <f t="shared" si="82"/>
        <v>0</v>
      </c>
      <c r="CY67">
        <f t="shared" si="83"/>
        <v>0</v>
      </c>
      <c r="CZ67">
        <f t="shared" si="84"/>
        <v>0</v>
      </c>
      <c r="DC67" t="s">
        <v>3</v>
      </c>
      <c r="DD67" t="s">
        <v>3</v>
      </c>
      <c r="DE67" t="s">
        <v>3</v>
      </c>
      <c r="DF67" t="s">
        <v>3</v>
      </c>
      <c r="DG67" t="s">
        <v>3</v>
      </c>
      <c r="DH67" t="s">
        <v>3</v>
      </c>
      <c r="DI67" t="s">
        <v>3</v>
      </c>
      <c r="DJ67" t="s">
        <v>3</v>
      </c>
      <c r="DK67" t="s">
        <v>3</v>
      </c>
      <c r="DL67" t="s">
        <v>3</v>
      </c>
      <c r="DM67" t="s">
        <v>3</v>
      </c>
      <c r="DN67">
        <v>0</v>
      </c>
      <c r="DO67">
        <v>0</v>
      </c>
      <c r="DP67">
        <v>1</v>
      </c>
      <c r="DQ67">
        <v>1</v>
      </c>
      <c r="DU67">
        <v>1010</v>
      </c>
      <c r="DV67" t="s">
        <v>20</v>
      </c>
      <c r="DW67" t="s">
        <v>20</v>
      </c>
      <c r="DX67">
        <v>1</v>
      </c>
      <c r="DZ67" t="s">
        <v>3</v>
      </c>
      <c r="EA67" t="s">
        <v>3</v>
      </c>
      <c r="EB67" t="s">
        <v>3</v>
      </c>
      <c r="EC67" t="s">
        <v>3</v>
      </c>
      <c r="EE67">
        <v>43033442</v>
      </c>
      <c r="EF67">
        <v>1</v>
      </c>
      <c r="EG67" t="s">
        <v>22</v>
      </c>
      <c r="EH67">
        <v>0</v>
      </c>
      <c r="EI67" t="s">
        <v>3</v>
      </c>
      <c r="EJ67">
        <v>4</v>
      </c>
      <c r="EK67">
        <v>0</v>
      </c>
      <c r="EL67" t="s">
        <v>23</v>
      </c>
      <c r="EM67" t="s">
        <v>24</v>
      </c>
      <c r="EO67" t="s">
        <v>3</v>
      </c>
      <c r="EQ67">
        <v>0</v>
      </c>
      <c r="ER67">
        <v>96.95</v>
      </c>
      <c r="ES67">
        <v>96.95</v>
      </c>
      <c r="ET67">
        <v>0</v>
      </c>
      <c r="EU67">
        <v>0</v>
      </c>
      <c r="EV67">
        <v>0</v>
      </c>
      <c r="EW67">
        <v>0</v>
      </c>
      <c r="EX67">
        <v>0</v>
      </c>
      <c r="EZ67">
        <v>5</v>
      </c>
      <c r="FC67">
        <v>1</v>
      </c>
      <c r="FD67">
        <v>18</v>
      </c>
      <c r="FF67">
        <v>116.34</v>
      </c>
      <c r="FQ67">
        <v>0</v>
      </c>
      <c r="FR67">
        <f t="shared" si="85"/>
        <v>0</v>
      </c>
      <c r="FS67">
        <v>0</v>
      </c>
      <c r="FX67">
        <v>70</v>
      </c>
      <c r="FY67">
        <v>10</v>
      </c>
      <c r="GA67" t="s">
        <v>173</v>
      </c>
      <c r="GD67">
        <v>0</v>
      </c>
      <c r="GF67">
        <v>248786424</v>
      </c>
      <c r="GG67">
        <v>2</v>
      </c>
      <c r="GH67">
        <v>3</v>
      </c>
      <c r="GI67">
        <v>-2</v>
      </c>
      <c r="GJ67">
        <v>0</v>
      </c>
      <c r="GK67">
        <f>ROUND(R67*(R12)/100,2)</f>
        <v>0</v>
      </c>
      <c r="GL67">
        <f t="shared" si="86"/>
        <v>0</v>
      </c>
      <c r="GM67">
        <f t="shared" si="87"/>
        <v>0</v>
      </c>
      <c r="GN67">
        <f t="shared" si="88"/>
        <v>0</v>
      </c>
      <c r="GO67">
        <f t="shared" si="89"/>
        <v>0</v>
      </c>
      <c r="GP67">
        <f t="shared" si="90"/>
        <v>0</v>
      </c>
      <c r="GR67">
        <v>1</v>
      </c>
      <c r="GS67">
        <v>1</v>
      </c>
      <c r="GT67">
        <v>0</v>
      </c>
      <c r="GU67" t="s">
        <v>3</v>
      </c>
      <c r="GV67">
        <f t="shared" si="91"/>
        <v>0</v>
      </c>
      <c r="GW67">
        <v>1</v>
      </c>
      <c r="GX67">
        <f t="shared" si="92"/>
        <v>0</v>
      </c>
      <c r="HA67">
        <v>0</v>
      </c>
      <c r="HB67">
        <v>0</v>
      </c>
      <c r="HC67">
        <f t="shared" si="93"/>
        <v>0</v>
      </c>
      <c r="HE67" t="s">
        <v>37</v>
      </c>
      <c r="HF67" t="s">
        <v>37</v>
      </c>
      <c r="HM67" t="s">
        <v>3</v>
      </c>
      <c r="HN67" t="s">
        <v>3</v>
      </c>
      <c r="HO67" t="s">
        <v>3</v>
      </c>
      <c r="HP67" t="s">
        <v>3</v>
      </c>
      <c r="HQ67" t="s">
        <v>3</v>
      </c>
      <c r="IK67">
        <v>0</v>
      </c>
    </row>
    <row r="68" spans="1:245" x14ac:dyDescent="0.2">
      <c r="A68">
        <v>18</v>
      </c>
      <c r="B68">
        <v>1</v>
      </c>
      <c r="C68">
        <v>89</v>
      </c>
      <c r="E68" t="s">
        <v>174</v>
      </c>
      <c r="F68" t="s">
        <v>34</v>
      </c>
      <c r="G68" t="s">
        <v>175</v>
      </c>
      <c r="H68" t="s">
        <v>20</v>
      </c>
      <c r="I68">
        <f>I65*J68</f>
        <v>0</v>
      </c>
      <c r="J68">
        <v>0</v>
      </c>
      <c r="K68">
        <v>0</v>
      </c>
      <c r="O68">
        <f t="shared" si="54"/>
        <v>0</v>
      </c>
      <c r="P68">
        <f t="shared" si="55"/>
        <v>0</v>
      </c>
      <c r="Q68">
        <f t="shared" si="56"/>
        <v>0</v>
      </c>
      <c r="R68">
        <f t="shared" si="57"/>
        <v>0</v>
      </c>
      <c r="S68">
        <f t="shared" si="58"/>
        <v>0</v>
      </c>
      <c r="T68">
        <f t="shared" si="59"/>
        <v>0</v>
      </c>
      <c r="U68">
        <f t="shared" si="60"/>
        <v>0</v>
      </c>
      <c r="V68">
        <f t="shared" si="61"/>
        <v>0</v>
      </c>
      <c r="W68">
        <f t="shared" si="62"/>
        <v>0</v>
      </c>
      <c r="X68">
        <f t="shared" si="63"/>
        <v>0</v>
      </c>
      <c r="Y68">
        <f t="shared" si="64"/>
        <v>0</v>
      </c>
      <c r="AA68">
        <v>43095088</v>
      </c>
      <c r="AB68">
        <f t="shared" si="65"/>
        <v>253.05</v>
      </c>
      <c r="AC68">
        <f t="shared" si="66"/>
        <v>253.05</v>
      </c>
      <c r="AD68">
        <f t="shared" si="67"/>
        <v>0</v>
      </c>
      <c r="AE68">
        <f t="shared" si="68"/>
        <v>0</v>
      </c>
      <c r="AF68">
        <f t="shared" si="69"/>
        <v>0</v>
      </c>
      <c r="AG68">
        <f t="shared" si="70"/>
        <v>0</v>
      </c>
      <c r="AH68">
        <f t="shared" si="71"/>
        <v>0</v>
      </c>
      <c r="AI68">
        <f t="shared" si="72"/>
        <v>0</v>
      </c>
      <c r="AJ68">
        <f t="shared" si="73"/>
        <v>0</v>
      </c>
      <c r="AK68">
        <v>253.05</v>
      </c>
      <c r="AL68">
        <v>253.05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70</v>
      </c>
      <c r="AU68">
        <v>10</v>
      </c>
      <c r="AV68">
        <v>1</v>
      </c>
      <c r="AW68">
        <v>1</v>
      </c>
      <c r="AZ68">
        <v>1</v>
      </c>
      <c r="BA68">
        <v>1</v>
      </c>
      <c r="BB68">
        <v>1</v>
      </c>
      <c r="BC68">
        <v>1</v>
      </c>
      <c r="BD68" t="s">
        <v>3</v>
      </c>
      <c r="BE68" t="s">
        <v>3</v>
      </c>
      <c r="BF68" t="s">
        <v>3</v>
      </c>
      <c r="BG68" t="s">
        <v>3</v>
      </c>
      <c r="BH68">
        <v>3</v>
      </c>
      <c r="BI68">
        <v>4</v>
      </c>
      <c r="BJ68" t="s">
        <v>3</v>
      </c>
      <c r="BM68">
        <v>0</v>
      </c>
      <c r="BN68">
        <v>0</v>
      </c>
      <c r="BO68" t="s">
        <v>3</v>
      </c>
      <c r="BP68">
        <v>0</v>
      </c>
      <c r="BQ68">
        <v>1</v>
      </c>
      <c r="BR68">
        <v>0</v>
      </c>
      <c r="BS68">
        <v>1</v>
      </c>
      <c r="BT68">
        <v>1</v>
      </c>
      <c r="BU68">
        <v>1</v>
      </c>
      <c r="BV68">
        <v>1</v>
      </c>
      <c r="BW68">
        <v>1</v>
      </c>
      <c r="BX68">
        <v>1</v>
      </c>
      <c r="BY68" t="s">
        <v>3</v>
      </c>
      <c r="BZ68">
        <v>70</v>
      </c>
      <c r="CA68">
        <v>10</v>
      </c>
      <c r="CB68" t="s">
        <v>3</v>
      </c>
      <c r="CE68">
        <v>0</v>
      </c>
      <c r="CF68">
        <v>0</v>
      </c>
      <c r="CG68">
        <v>0</v>
      </c>
      <c r="CM68">
        <v>0</v>
      </c>
      <c r="CN68" t="s">
        <v>3</v>
      </c>
      <c r="CO68">
        <v>0</v>
      </c>
      <c r="CP68">
        <f t="shared" si="74"/>
        <v>0</v>
      </c>
      <c r="CQ68">
        <f t="shared" si="75"/>
        <v>253.05</v>
      </c>
      <c r="CR68">
        <f t="shared" si="76"/>
        <v>0</v>
      </c>
      <c r="CS68">
        <f t="shared" si="77"/>
        <v>0</v>
      </c>
      <c r="CT68">
        <f t="shared" si="78"/>
        <v>0</v>
      </c>
      <c r="CU68">
        <f t="shared" si="79"/>
        <v>0</v>
      </c>
      <c r="CV68">
        <f t="shared" si="80"/>
        <v>0</v>
      </c>
      <c r="CW68">
        <f t="shared" si="81"/>
        <v>0</v>
      </c>
      <c r="CX68">
        <f t="shared" si="82"/>
        <v>0</v>
      </c>
      <c r="CY68">
        <f t="shared" si="83"/>
        <v>0</v>
      </c>
      <c r="CZ68">
        <f t="shared" si="84"/>
        <v>0</v>
      </c>
      <c r="DC68" t="s">
        <v>3</v>
      </c>
      <c r="DD68" t="s">
        <v>3</v>
      </c>
      <c r="DE68" t="s">
        <v>3</v>
      </c>
      <c r="DF68" t="s">
        <v>3</v>
      </c>
      <c r="DG68" t="s">
        <v>3</v>
      </c>
      <c r="DH68" t="s">
        <v>3</v>
      </c>
      <c r="DI68" t="s">
        <v>3</v>
      </c>
      <c r="DJ68" t="s">
        <v>3</v>
      </c>
      <c r="DK68" t="s">
        <v>3</v>
      </c>
      <c r="DL68" t="s">
        <v>3</v>
      </c>
      <c r="DM68" t="s">
        <v>3</v>
      </c>
      <c r="DN68">
        <v>0</v>
      </c>
      <c r="DO68">
        <v>0</v>
      </c>
      <c r="DP68">
        <v>1</v>
      </c>
      <c r="DQ68">
        <v>1</v>
      </c>
      <c r="DU68">
        <v>1010</v>
      </c>
      <c r="DV68" t="s">
        <v>20</v>
      </c>
      <c r="DW68" t="s">
        <v>20</v>
      </c>
      <c r="DX68">
        <v>1</v>
      </c>
      <c r="DZ68" t="s">
        <v>3</v>
      </c>
      <c r="EA68" t="s">
        <v>3</v>
      </c>
      <c r="EB68" t="s">
        <v>3</v>
      </c>
      <c r="EC68" t="s">
        <v>3</v>
      </c>
      <c r="EE68">
        <v>43033442</v>
      </c>
      <c r="EF68">
        <v>1</v>
      </c>
      <c r="EG68" t="s">
        <v>22</v>
      </c>
      <c r="EH68">
        <v>0</v>
      </c>
      <c r="EI68" t="s">
        <v>3</v>
      </c>
      <c r="EJ68">
        <v>4</v>
      </c>
      <c r="EK68">
        <v>0</v>
      </c>
      <c r="EL68" t="s">
        <v>23</v>
      </c>
      <c r="EM68" t="s">
        <v>24</v>
      </c>
      <c r="EO68" t="s">
        <v>3</v>
      </c>
      <c r="EQ68">
        <v>0</v>
      </c>
      <c r="ER68">
        <v>253.05</v>
      </c>
      <c r="ES68">
        <v>253.05</v>
      </c>
      <c r="ET68">
        <v>0</v>
      </c>
      <c r="EU68">
        <v>0</v>
      </c>
      <c r="EV68">
        <v>0</v>
      </c>
      <c r="EW68">
        <v>0</v>
      </c>
      <c r="EX68">
        <v>0</v>
      </c>
      <c r="EZ68">
        <v>5</v>
      </c>
      <c r="FC68">
        <v>1</v>
      </c>
      <c r="FD68">
        <v>18</v>
      </c>
      <c r="FF68">
        <v>303.66000000000003</v>
      </c>
      <c r="FQ68">
        <v>0</v>
      </c>
      <c r="FR68">
        <f t="shared" si="85"/>
        <v>0</v>
      </c>
      <c r="FS68">
        <v>0</v>
      </c>
      <c r="FX68">
        <v>70</v>
      </c>
      <c r="FY68">
        <v>10</v>
      </c>
      <c r="GA68" t="s">
        <v>176</v>
      </c>
      <c r="GD68">
        <v>0</v>
      </c>
      <c r="GF68">
        <v>-134123137</v>
      </c>
      <c r="GG68">
        <v>2</v>
      </c>
      <c r="GH68">
        <v>3</v>
      </c>
      <c r="GI68">
        <v>-2</v>
      </c>
      <c r="GJ68">
        <v>0</v>
      </c>
      <c r="GK68">
        <f>ROUND(R68*(R12)/100,2)</f>
        <v>0</v>
      </c>
      <c r="GL68">
        <f t="shared" si="86"/>
        <v>0</v>
      </c>
      <c r="GM68">
        <f t="shared" si="87"/>
        <v>0</v>
      </c>
      <c r="GN68">
        <f t="shared" si="88"/>
        <v>0</v>
      </c>
      <c r="GO68">
        <f t="shared" si="89"/>
        <v>0</v>
      </c>
      <c r="GP68">
        <f t="shared" si="90"/>
        <v>0</v>
      </c>
      <c r="GR68">
        <v>1</v>
      </c>
      <c r="GS68">
        <v>1</v>
      </c>
      <c r="GT68">
        <v>0</v>
      </c>
      <c r="GU68" t="s">
        <v>3</v>
      </c>
      <c r="GV68">
        <f t="shared" si="91"/>
        <v>0</v>
      </c>
      <c r="GW68">
        <v>1</v>
      </c>
      <c r="GX68">
        <f t="shared" si="92"/>
        <v>0</v>
      </c>
      <c r="HA68">
        <v>0</v>
      </c>
      <c r="HB68">
        <v>0</v>
      </c>
      <c r="HC68">
        <f t="shared" si="93"/>
        <v>0</v>
      </c>
      <c r="HE68" t="s">
        <v>37</v>
      </c>
      <c r="HF68" t="s">
        <v>37</v>
      </c>
      <c r="HM68" t="s">
        <v>3</v>
      </c>
      <c r="HN68" t="s">
        <v>3</v>
      </c>
      <c r="HO68" t="s">
        <v>3</v>
      </c>
      <c r="HP68" t="s">
        <v>3</v>
      </c>
      <c r="HQ68" t="s">
        <v>3</v>
      </c>
      <c r="IK68">
        <v>0</v>
      </c>
    </row>
    <row r="69" spans="1:245" x14ac:dyDescent="0.2">
      <c r="A69">
        <v>18</v>
      </c>
      <c r="B69">
        <v>1</v>
      </c>
      <c r="C69">
        <v>90</v>
      </c>
      <c r="E69" t="s">
        <v>177</v>
      </c>
      <c r="F69" t="s">
        <v>34</v>
      </c>
      <c r="G69" t="s">
        <v>178</v>
      </c>
      <c r="H69" t="s">
        <v>20</v>
      </c>
      <c r="I69">
        <f>I65*J69</f>
        <v>0</v>
      </c>
      <c r="J69">
        <v>0</v>
      </c>
      <c r="K69">
        <v>0</v>
      </c>
      <c r="O69">
        <f t="shared" si="54"/>
        <v>0</v>
      </c>
      <c r="P69">
        <f t="shared" si="55"/>
        <v>0</v>
      </c>
      <c r="Q69">
        <f t="shared" si="56"/>
        <v>0</v>
      </c>
      <c r="R69">
        <f t="shared" si="57"/>
        <v>0</v>
      </c>
      <c r="S69">
        <f t="shared" si="58"/>
        <v>0</v>
      </c>
      <c r="T69">
        <f t="shared" si="59"/>
        <v>0</v>
      </c>
      <c r="U69">
        <f t="shared" si="60"/>
        <v>0</v>
      </c>
      <c r="V69">
        <f t="shared" si="61"/>
        <v>0</v>
      </c>
      <c r="W69">
        <f t="shared" si="62"/>
        <v>0</v>
      </c>
      <c r="X69">
        <f t="shared" si="63"/>
        <v>0</v>
      </c>
      <c r="Y69">
        <f t="shared" si="64"/>
        <v>0</v>
      </c>
      <c r="AA69">
        <v>43095088</v>
      </c>
      <c r="AB69">
        <f t="shared" si="65"/>
        <v>278.60000000000002</v>
      </c>
      <c r="AC69">
        <f t="shared" si="66"/>
        <v>278.60000000000002</v>
      </c>
      <c r="AD69">
        <f t="shared" si="67"/>
        <v>0</v>
      </c>
      <c r="AE69">
        <f t="shared" si="68"/>
        <v>0</v>
      </c>
      <c r="AF69">
        <f t="shared" si="69"/>
        <v>0</v>
      </c>
      <c r="AG69">
        <f t="shared" si="70"/>
        <v>0</v>
      </c>
      <c r="AH69">
        <f t="shared" si="71"/>
        <v>0</v>
      </c>
      <c r="AI69">
        <f t="shared" si="72"/>
        <v>0</v>
      </c>
      <c r="AJ69">
        <f t="shared" si="73"/>
        <v>0</v>
      </c>
      <c r="AK69">
        <v>278.60000000000002</v>
      </c>
      <c r="AL69">
        <v>278.60000000000002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70</v>
      </c>
      <c r="AU69">
        <v>10</v>
      </c>
      <c r="AV69">
        <v>1</v>
      </c>
      <c r="AW69">
        <v>1</v>
      </c>
      <c r="AZ69">
        <v>1</v>
      </c>
      <c r="BA69">
        <v>1</v>
      </c>
      <c r="BB69">
        <v>1</v>
      </c>
      <c r="BC69">
        <v>1</v>
      </c>
      <c r="BD69" t="s">
        <v>3</v>
      </c>
      <c r="BE69" t="s">
        <v>3</v>
      </c>
      <c r="BF69" t="s">
        <v>3</v>
      </c>
      <c r="BG69" t="s">
        <v>3</v>
      </c>
      <c r="BH69">
        <v>3</v>
      </c>
      <c r="BI69">
        <v>4</v>
      </c>
      <c r="BJ69" t="s">
        <v>3</v>
      </c>
      <c r="BM69">
        <v>0</v>
      </c>
      <c r="BN69">
        <v>0</v>
      </c>
      <c r="BO69" t="s">
        <v>3</v>
      </c>
      <c r="BP69">
        <v>0</v>
      </c>
      <c r="BQ69">
        <v>1</v>
      </c>
      <c r="BR69">
        <v>0</v>
      </c>
      <c r="BS69">
        <v>1</v>
      </c>
      <c r="BT69">
        <v>1</v>
      </c>
      <c r="BU69">
        <v>1</v>
      </c>
      <c r="BV69">
        <v>1</v>
      </c>
      <c r="BW69">
        <v>1</v>
      </c>
      <c r="BX69">
        <v>1</v>
      </c>
      <c r="BY69" t="s">
        <v>3</v>
      </c>
      <c r="BZ69">
        <v>70</v>
      </c>
      <c r="CA69">
        <v>10</v>
      </c>
      <c r="CB69" t="s">
        <v>3</v>
      </c>
      <c r="CE69">
        <v>0</v>
      </c>
      <c r="CF69">
        <v>0</v>
      </c>
      <c r="CG69">
        <v>0</v>
      </c>
      <c r="CM69">
        <v>0</v>
      </c>
      <c r="CN69" t="s">
        <v>3</v>
      </c>
      <c r="CO69">
        <v>0</v>
      </c>
      <c r="CP69">
        <f t="shared" si="74"/>
        <v>0</v>
      </c>
      <c r="CQ69">
        <f t="shared" si="75"/>
        <v>278.60000000000002</v>
      </c>
      <c r="CR69">
        <f t="shared" si="76"/>
        <v>0</v>
      </c>
      <c r="CS69">
        <f t="shared" si="77"/>
        <v>0</v>
      </c>
      <c r="CT69">
        <f t="shared" si="78"/>
        <v>0</v>
      </c>
      <c r="CU69">
        <f t="shared" si="79"/>
        <v>0</v>
      </c>
      <c r="CV69">
        <f t="shared" si="80"/>
        <v>0</v>
      </c>
      <c r="CW69">
        <f t="shared" si="81"/>
        <v>0</v>
      </c>
      <c r="CX69">
        <f t="shared" si="82"/>
        <v>0</v>
      </c>
      <c r="CY69">
        <f t="shared" si="83"/>
        <v>0</v>
      </c>
      <c r="CZ69">
        <f t="shared" si="84"/>
        <v>0</v>
      </c>
      <c r="DC69" t="s">
        <v>3</v>
      </c>
      <c r="DD69" t="s">
        <v>3</v>
      </c>
      <c r="DE69" t="s">
        <v>3</v>
      </c>
      <c r="DF69" t="s">
        <v>3</v>
      </c>
      <c r="DG69" t="s">
        <v>3</v>
      </c>
      <c r="DH69" t="s">
        <v>3</v>
      </c>
      <c r="DI69" t="s">
        <v>3</v>
      </c>
      <c r="DJ69" t="s">
        <v>3</v>
      </c>
      <c r="DK69" t="s">
        <v>3</v>
      </c>
      <c r="DL69" t="s">
        <v>3</v>
      </c>
      <c r="DM69" t="s">
        <v>3</v>
      </c>
      <c r="DN69">
        <v>0</v>
      </c>
      <c r="DO69">
        <v>0</v>
      </c>
      <c r="DP69">
        <v>1</v>
      </c>
      <c r="DQ69">
        <v>1</v>
      </c>
      <c r="DU69">
        <v>1010</v>
      </c>
      <c r="DV69" t="s">
        <v>20</v>
      </c>
      <c r="DW69" t="s">
        <v>20</v>
      </c>
      <c r="DX69">
        <v>1</v>
      </c>
      <c r="DZ69" t="s">
        <v>3</v>
      </c>
      <c r="EA69" t="s">
        <v>3</v>
      </c>
      <c r="EB69" t="s">
        <v>3</v>
      </c>
      <c r="EC69" t="s">
        <v>3</v>
      </c>
      <c r="EE69">
        <v>43033442</v>
      </c>
      <c r="EF69">
        <v>1</v>
      </c>
      <c r="EG69" t="s">
        <v>22</v>
      </c>
      <c r="EH69">
        <v>0</v>
      </c>
      <c r="EI69" t="s">
        <v>3</v>
      </c>
      <c r="EJ69">
        <v>4</v>
      </c>
      <c r="EK69">
        <v>0</v>
      </c>
      <c r="EL69" t="s">
        <v>23</v>
      </c>
      <c r="EM69" t="s">
        <v>24</v>
      </c>
      <c r="EO69" t="s">
        <v>3</v>
      </c>
      <c r="EQ69">
        <v>0</v>
      </c>
      <c r="ER69">
        <v>278.60000000000002</v>
      </c>
      <c r="ES69">
        <v>278.60000000000002</v>
      </c>
      <c r="ET69">
        <v>0</v>
      </c>
      <c r="EU69">
        <v>0</v>
      </c>
      <c r="EV69">
        <v>0</v>
      </c>
      <c r="EW69">
        <v>0</v>
      </c>
      <c r="EX69">
        <v>0</v>
      </c>
      <c r="EZ69">
        <v>5</v>
      </c>
      <c r="FC69">
        <v>1</v>
      </c>
      <c r="FD69">
        <v>18</v>
      </c>
      <c r="FF69">
        <v>334.32</v>
      </c>
      <c r="FQ69">
        <v>0</v>
      </c>
      <c r="FR69">
        <f t="shared" si="85"/>
        <v>0</v>
      </c>
      <c r="FS69">
        <v>0</v>
      </c>
      <c r="FX69">
        <v>70</v>
      </c>
      <c r="FY69">
        <v>10</v>
      </c>
      <c r="GA69" t="s">
        <v>179</v>
      </c>
      <c r="GD69">
        <v>0</v>
      </c>
      <c r="GF69">
        <v>1293862133</v>
      </c>
      <c r="GG69">
        <v>2</v>
      </c>
      <c r="GH69">
        <v>3</v>
      </c>
      <c r="GI69">
        <v>-2</v>
      </c>
      <c r="GJ69">
        <v>0</v>
      </c>
      <c r="GK69">
        <f>ROUND(R69*(R12)/100,2)</f>
        <v>0</v>
      </c>
      <c r="GL69">
        <f t="shared" si="86"/>
        <v>0</v>
      </c>
      <c r="GM69">
        <f t="shared" si="87"/>
        <v>0</v>
      </c>
      <c r="GN69">
        <f t="shared" si="88"/>
        <v>0</v>
      </c>
      <c r="GO69">
        <f t="shared" si="89"/>
        <v>0</v>
      </c>
      <c r="GP69">
        <f t="shared" si="90"/>
        <v>0</v>
      </c>
      <c r="GR69">
        <v>1</v>
      </c>
      <c r="GS69">
        <v>1</v>
      </c>
      <c r="GT69">
        <v>0</v>
      </c>
      <c r="GU69" t="s">
        <v>3</v>
      </c>
      <c r="GV69">
        <f t="shared" si="91"/>
        <v>0</v>
      </c>
      <c r="GW69">
        <v>1</v>
      </c>
      <c r="GX69">
        <f t="shared" si="92"/>
        <v>0</v>
      </c>
      <c r="HA69">
        <v>0</v>
      </c>
      <c r="HB69">
        <v>0</v>
      </c>
      <c r="HC69">
        <f t="shared" si="93"/>
        <v>0</v>
      </c>
      <c r="HE69" t="s">
        <v>37</v>
      </c>
      <c r="HF69" t="s">
        <v>37</v>
      </c>
      <c r="HM69" t="s">
        <v>3</v>
      </c>
      <c r="HN69" t="s">
        <v>3</v>
      </c>
      <c r="HO69" t="s">
        <v>3</v>
      </c>
      <c r="HP69" t="s">
        <v>3</v>
      </c>
      <c r="HQ69" t="s">
        <v>3</v>
      </c>
      <c r="IK69">
        <v>0</v>
      </c>
    </row>
    <row r="70" spans="1:245" x14ac:dyDescent="0.2">
      <c r="A70">
        <v>18</v>
      </c>
      <c r="B70">
        <v>1</v>
      </c>
      <c r="C70">
        <v>91</v>
      </c>
      <c r="E70" t="s">
        <v>180</v>
      </c>
      <c r="F70" t="s">
        <v>34</v>
      </c>
      <c r="G70" t="s">
        <v>181</v>
      </c>
      <c r="H70" t="s">
        <v>20</v>
      </c>
      <c r="I70">
        <f>I65*J70</f>
        <v>0</v>
      </c>
      <c r="J70">
        <v>0</v>
      </c>
      <c r="K70">
        <v>0</v>
      </c>
      <c r="O70">
        <f t="shared" si="54"/>
        <v>0</v>
      </c>
      <c r="P70">
        <f t="shared" si="55"/>
        <v>0</v>
      </c>
      <c r="Q70">
        <f t="shared" si="56"/>
        <v>0</v>
      </c>
      <c r="R70">
        <f t="shared" si="57"/>
        <v>0</v>
      </c>
      <c r="S70">
        <f t="shared" si="58"/>
        <v>0</v>
      </c>
      <c r="T70">
        <f t="shared" si="59"/>
        <v>0</v>
      </c>
      <c r="U70">
        <f t="shared" si="60"/>
        <v>0</v>
      </c>
      <c r="V70">
        <f t="shared" si="61"/>
        <v>0</v>
      </c>
      <c r="W70">
        <f t="shared" si="62"/>
        <v>0</v>
      </c>
      <c r="X70">
        <f t="shared" si="63"/>
        <v>0</v>
      </c>
      <c r="Y70">
        <f t="shared" si="64"/>
        <v>0</v>
      </c>
      <c r="AA70">
        <v>43095088</v>
      </c>
      <c r="AB70">
        <f t="shared" si="65"/>
        <v>482.89</v>
      </c>
      <c r="AC70">
        <f t="shared" si="66"/>
        <v>482.89</v>
      </c>
      <c r="AD70">
        <f t="shared" si="67"/>
        <v>0</v>
      </c>
      <c r="AE70">
        <f t="shared" si="68"/>
        <v>0</v>
      </c>
      <c r="AF70">
        <f t="shared" si="69"/>
        <v>0</v>
      </c>
      <c r="AG70">
        <f t="shared" si="70"/>
        <v>0</v>
      </c>
      <c r="AH70">
        <f t="shared" si="71"/>
        <v>0</v>
      </c>
      <c r="AI70">
        <f t="shared" si="72"/>
        <v>0</v>
      </c>
      <c r="AJ70">
        <f t="shared" si="73"/>
        <v>0</v>
      </c>
      <c r="AK70">
        <v>482.89</v>
      </c>
      <c r="AL70">
        <v>482.89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70</v>
      </c>
      <c r="AU70">
        <v>10</v>
      </c>
      <c r="AV70">
        <v>1</v>
      </c>
      <c r="AW70">
        <v>1</v>
      </c>
      <c r="AZ70">
        <v>1</v>
      </c>
      <c r="BA70">
        <v>1</v>
      </c>
      <c r="BB70">
        <v>1</v>
      </c>
      <c r="BC70">
        <v>1</v>
      </c>
      <c r="BD70" t="s">
        <v>3</v>
      </c>
      <c r="BE70" t="s">
        <v>3</v>
      </c>
      <c r="BF70" t="s">
        <v>3</v>
      </c>
      <c r="BG70" t="s">
        <v>3</v>
      </c>
      <c r="BH70">
        <v>3</v>
      </c>
      <c r="BI70">
        <v>4</v>
      </c>
      <c r="BJ70" t="s">
        <v>3</v>
      </c>
      <c r="BM70">
        <v>0</v>
      </c>
      <c r="BN70">
        <v>0</v>
      </c>
      <c r="BO70" t="s">
        <v>3</v>
      </c>
      <c r="BP70">
        <v>0</v>
      </c>
      <c r="BQ70">
        <v>1</v>
      </c>
      <c r="BR70">
        <v>0</v>
      </c>
      <c r="BS70">
        <v>1</v>
      </c>
      <c r="BT70">
        <v>1</v>
      </c>
      <c r="BU70">
        <v>1</v>
      </c>
      <c r="BV70">
        <v>1</v>
      </c>
      <c r="BW70">
        <v>1</v>
      </c>
      <c r="BX70">
        <v>1</v>
      </c>
      <c r="BY70" t="s">
        <v>3</v>
      </c>
      <c r="BZ70">
        <v>70</v>
      </c>
      <c r="CA70">
        <v>10</v>
      </c>
      <c r="CB70" t="s">
        <v>3</v>
      </c>
      <c r="CE70">
        <v>0</v>
      </c>
      <c r="CF70">
        <v>0</v>
      </c>
      <c r="CG70">
        <v>0</v>
      </c>
      <c r="CM70">
        <v>0</v>
      </c>
      <c r="CN70" t="s">
        <v>3</v>
      </c>
      <c r="CO70">
        <v>0</v>
      </c>
      <c r="CP70">
        <f t="shared" si="74"/>
        <v>0</v>
      </c>
      <c r="CQ70">
        <f t="shared" si="75"/>
        <v>482.89</v>
      </c>
      <c r="CR70">
        <f t="shared" si="76"/>
        <v>0</v>
      </c>
      <c r="CS70">
        <f t="shared" si="77"/>
        <v>0</v>
      </c>
      <c r="CT70">
        <f t="shared" si="78"/>
        <v>0</v>
      </c>
      <c r="CU70">
        <f t="shared" si="79"/>
        <v>0</v>
      </c>
      <c r="CV70">
        <f t="shared" si="80"/>
        <v>0</v>
      </c>
      <c r="CW70">
        <f t="shared" si="81"/>
        <v>0</v>
      </c>
      <c r="CX70">
        <f t="shared" si="82"/>
        <v>0</v>
      </c>
      <c r="CY70">
        <f t="shared" si="83"/>
        <v>0</v>
      </c>
      <c r="CZ70">
        <f t="shared" si="84"/>
        <v>0</v>
      </c>
      <c r="DC70" t="s">
        <v>3</v>
      </c>
      <c r="DD70" t="s">
        <v>3</v>
      </c>
      <c r="DE70" t="s">
        <v>3</v>
      </c>
      <c r="DF70" t="s">
        <v>3</v>
      </c>
      <c r="DG70" t="s">
        <v>3</v>
      </c>
      <c r="DH70" t="s">
        <v>3</v>
      </c>
      <c r="DI70" t="s">
        <v>3</v>
      </c>
      <c r="DJ70" t="s">
        <v>3</v>
      </c>
      <c r="DK70" t="s">
        <v>3</v>
      </c>
      <c r="DL70" t="s">
        <v>3</v>
      </c>
      <c r="DM70" t="s">
        <v>3</v>
      </c>
      <c r="DN70">
        <v>0</v>
      </c>
      <c r="DO70">
        <v>0</v>
      </c>
      <c r="DP70">
        <v>1</v>
      </c>
      <c r="DQ70">
        <v>1</v>
      </c>
      <c r="DU70">
        <v>1010</v>
      </c>
      <c r="DV70" t="s">
        <v>20</v>
      </c>
      <c r="DW70" t="s">
        <v>20</v>
      </c>
      <c r="DX70">
        <v>1</v>
      </c>
      <c r="DZ70" t="s">
        <v>3</v>
      </c>
      <c r="EA70" t="s">
        <v>3</v>
      </c>
      <c r="EB70" t="s">
        <v>3</v>
      </c>
      <c r="EC70" t="s">
        <v>3</v>
      </c>
      <c r="EE70">
        <v>43033442</v>
      </c>
      <c r="EF70">
        <v>1</v>
      </c>
      <c r="EG70" t="s">
        <v>22</v>
      </c>
      <c r="EH70">
        <v>0</v>
      </c>
      <c r="EI70" t="s">
        <v>3</v>
      </c>
      <c r="EJ70">
        <v>4</v>
      </c>
      <c r="EK70">
        <v>0</v>
      </c>
      <c r="EL70" t="s">
        <v>23</v>
      </c>
      <c r="EM70" t="s">
        <v>24</v>
      </c>
      <c r="EO70" t="s">
        <v>3</v>
      </c>
      <c r="EQ70">
        <v>0</v>
      </c>
      <c r="ER70">
        <v>482.89</v>
      </c>
      <c r="ES70">
        <v>482.89</v>
      </c>
      <c r="ET70">
        <v>0</v>
      </c>
      <c r="EU70">
        <v>0</v>
      </c>
      <c r="EV70">
        <v>0</v>
      </c>
      <c r="EW70">
        <v>0</v>
      </c>
      <c r="EX70">
        <v>0</v>
      </c>
      <c r="EZ70">
        <v>5</v>
      </c>
      <c r="FC70">
        <v>1</v>
      </c>
      <c r="FD70">
        <v>18</v>
      </c>
      <c r="FF70">
        <v>579.47</v>
      </c>
      <c r="FQ70">
        <v>0</v>
      </c>
      <c r="FR70">
        <f t="shared" si="85"/>
        <v>0</v>
      </c>
      <c r="FS70">
        <v>0</v>
      </c>
      <c r="FX70">
        <v>70</v>
      </c>
      <c r="FY70">
        <v>10</v>
      </c>
      <c r="GA70" t="s">
        <v>182</v>
      </c>
      <c r="GD70">
        <v>0</v>
      </c>
      <c r="GF70">
        <v>-492715906</v>
      </c>
      <c r="GG70">
        <v>2</v>
      </c>
      <c r="GH70">
        <v>3</v>
      </c>
      <c r="GI70">
        <v>-2</v>
      </c>
      <c r="GJ70">
        <v>0</v>
      </c>
      <c r="GK70">
        <f>ROUND(R70*(R12)/100,2)</f>
        <v>0</v>
      </c>
      <c r="GL70">
        <f t="shared" si="86"/>
        <v>0</v>
      </c>
      <c r="GM70">
        <f t="shared" si="87"/>
        <v>0</v>
      </c>
      <c r="GN70">
        <f t="shared" si="88"/>
        <v>0</v>
      </c>
      <c r="GO70">
        <f t="shared" si="89"/>
        <v>0</v>
      </c>
      <c r="GP70">
        <f t="shared" si="90"/>
        <v>0</v>
      </c>
      <c r="GR70">
        <v>1</v>
      </c>
      <c r="GS70">
        <v>1</v>
      </c>
      <c r="GT70">
        <v>0</v>
      </c>
      <c r="GU70" t="s">
        <v>3</v>
      </c>
      <c r="GV70">
        <f t="shared" si="91"/>
        <v>0</v>
      </c>
      <c r="GW70">
        <v>1</v>
      </c>
      <c r="GX70">
        <f t="shared" si="92"/>
        <v>0</v>
      </c>
      <c r="HA70">
        <v>0</v>
      </c>
      <c r="HB70">
        <v>0</v>
      </c>
      <c r="HC70">
        <f t="shared" si="93"/>
        <v>0</v>
      </c>
      <c r="HE70" t="s">
        <v>37</v>
      </c>
      <c r="HF70" t="s">
        <v>37</v>
      </c>
      <c r="HM70" t="s">
        <v>3</v>
      </c>
      <c r="HN70" t="s">
        <v>3</v>
      </c>
      <c r="HO70" t="s">
        <v>3</v>
      </c>
      <c r="HP70" t="s">
        <v>3</v>
      </c>
      <c r="HQ70" t="s">
        <v>3</v>
      </c>
      <c r="IK70">
        <v>0</v>
      </c>
    </row>
    <row r="71" spans="1:245" x14ac:dyDescent="0.2">
      <c r="A71">
        <v>18</v>
      </c>
      <c r="B71">
        <v>1</v>
      </c>
      <c r="C71">
        <v>80</v>
      </c>
      <c r="E71" t="s">
        <v>183</v>
      </c>
      <c r="F71" t="s">
        <v>184</v>
      </c>
      <c r="G71" t="s">
        <v>185</v>
      </c>
      <c r="H71" t="s">
        <v>64</v>
      </c>
      <c r="I71">
        <f>I65*J71</f>
        <v>-91</v>
      </c>
      <c r="J71">
        <v>-100</v>
      </c>
      <c r="K71">
        <v>-100</v>
      </c>
      <c r="O71">
        <f t="shared" si="54"/>
        <v>-15100.54</v>
      </c>
      <c r="P71">
        <f t="shared" si="55"/>
        <v>-15100.54</v>
      </c>
      <c r="Q71">
        <f t="shared" si="56"/>
        <v>0</v>
      </c>
      <c r="R71">
        <f t="shared" si="57"/>
        <v>0</v>
      </c>
      <c r="S71">
        <f t="shared" si="58"/>
        <v>0</v>
      </c>
      <c r="T71">
        <f t="shared" si="59"/>
        <v>0</v>
      </c>
      <c r="U71">
        <f t="shared" si="60"/>
        <v>0</v>
      </c>
      <c r="V71">
        <f t="shared" si="61"/>
        <v>0</v>
      </c>
      <c r="W71">
        <f t="shared" si="62"/>
        <v>0</v>
      </c>
      <c r="X71">
        <f t="shared" si="63"/>
        <v>0</v>
      </c>
      <c r="Y71">
        <f t="shared" si="64"/>
        <v>0</v>
      </c>
      <c r="AA71">
        <v>43095088</v>
      </c>
      <c r="AB71">
        <f t="shared" si="65"/>
        <v>165.94</v>
      </c>
      <c r="AC71">
        <f t="shared" si="66"/>
        <v>165.94</v>
      </c>
      <c r="AD71">
        <f t="shared" si="67"/>
        <v>0</v>
      </c>
      <c r="AE71">
        <f t="shared" si="68"/>
        <v>0</v>
      </c>
      <c r="AF71">
        <f t="shared" si="69"/>
        <v>0</v>
      </c>
      <c r="AG71">
        <f t="shared" si="70"/>
        <v>0</v>
      </c>
      <c r="AH71">
        <f t="shared" si="71"/>
        <v>0</v>
      </c>
      <c r="AI71">
        <f t="shared" si="72"/>
        <v>0</v>
      </c>
      <c r="AJ71">
        <f t="shared" si="73"/>
        <v>0</v>
      </c>
      <c r="AK71">
        <v>165.94</v>
      </c>
      <c r="AL71">
        <v>165.94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70</v>
      </c>
      <c r="AU71">
        <v>10</v>
      </c>
      <c r="AV71">
        <v>1</v>
      </c>
      <c r="AW71">
        <v>1</v>
      </c>
      <c r="AZ71">
        <v>1</v>
      </c>
      <c r="BA71">
        <v>1</v>
      </c>
      <c r="BB71">
        <v>1</v>
      </c>
      <c r="BC71">
        <v>1</v>
      </c>
      <c r="BD71" t="s">
        <v>3</v>
      </c>
      <c r="BE71" t="s">
        <v>3</v>
      </c>
      <c r="BF71" t="s">
        <v>3</v>
      </c>
      <c r="BG71" t="s">
        <v>3</v>
      </c>
      <c r="BH71">
        <v>3</v>
      </c>
      <c r="BI71">
        <v>4</v>
      </c>
      <c r="BJ71" t="s">
        <v>186</v>
      </c>
      <c r="BM71">
        <v>0</v>
      </c>
      <c r="BN71">
        <v>0</v>
      </c>
      <c r="BO71" t="s">
        <v>3</v>
      </c>
      <c r="BP71">
        <v>0</v>
      </c>
      <c r="BQ71">
        <v>1</v>
      </c>
      <c r="BR71">
        <v>1</v>
      </c>
      <c r="BS71">
        <v>1</v>
      </c>
      <c r="BT71">
        <v>1</v>
      </c>
      <c r="BU71">
        <v>1</v>
      </c>
      <c r="BV71">
        <v>1</v>
      </c>
      <c r="BW71">
        <v>1</v>
      </c>
      <c r="BX71">
        <v>1</v>
      </c>
      <c r="BY71" t="s">
        <v>3</v>
      </c>
      <c r="BZ71">
        <v>70</v>
      </c>
      <c r="CA71">
        <v>10</v>
      </c>
      <c r="CB71" t="s">
        <v>3</v>
      </c>
      <c r="CE71">
        <v>0</v>
      </c>
      <c r="CF71">
        <v>0</v>
      </c>
      <c r="CG71">
        <v>0</v>
      </c>
      <c r="CM71">
        <v>0</v>
      </c>
      <c r="CN71" t="s">
        <v>3</v>
      </c>
      <c r="CO71">
        <v>0</v>
      </c>
      <c r="CP71">
        <f t="shared" si="74"/>
        <v>-15100.54</v>
      </c>
      <c r="CQ71">
        <f t="shared" si="75"/>
        <v>165.94</v>
      </c>
      <c r="CR71">
        <f t="shared" si="76"/>
        <v>0</v>
      </c>
      <c r="CS71">
        <f t="shared" si="77"/>
        <v>0</v>
      </c>
      <c r="CT71">
        <f t="shared" si="78"/>
        <v>0</v>
      </c>
      <c r="CU71">
        <f t="shared" si="79"/>
        <v>0</v>
      </c>
      <c r="CV71">
        <f t="shared" si="80"/>
        <v>0</v>
      </c>
      <c r="CW71">
        <f t="shared" si="81"/>
        <v>0</v>
      </c>
      <c r="CX71">
        <f t="shared" si="82"/>
        <v>0</v>
      </c>
      <c r="CY71">
        <f t="shared" si="83"/>
        <v>0</v>
      </c>
      <c r="CZ71">
        <f t="shared" si="84"/>
        <v>0</v>
      </c>
      <c r="DC71" t="s">
        <v>3</v>
      </c>
      <c r="DD71" t="s">
        <v>3</v>
      </c>
      <c r="DE71" t="s">
        <v>3</v>
      </c>
      <c r="DF71" t="s">
        <v>3</v>
      </c>
      <c r="DG71" t="s">
        <v>3</v>
      </c>
      <c r="DH71" t="s">
        <v>3</v>
      </c>
      <c r="DI71" t="s">
        <v>3</v>
      </c>
      <c r="DJ71" t="s">
        <v>3</v>
      </c>
      <c r="DK71" t="s">
        <v>3</v>
      </c>
      <c r="DL71" t="s">
        <v>3</v>
      </c>
      <c r="DM71" t="s">
        <v>3</v>
      </c>
      <c r="DN71">
        <v>0</v>
      </c>
      <c r="DO71">
        <v>0</v>
      </c>
      <c r="DP71">
        <v>1</v>
      </c>
      <c r="DQ71">
        <v>1</v>
      </c>
      <c r="DU71">
        <v>1003</v>
      </c>
      <c r="DV71" t="s">
        <v>64</v>
      </c>
      <c r="DW71" t="s">
        <v>64</v>
      </c>
      <c r="DX71">
        <v>1</v>
      </c>
      <c r="DZ71" t="s">
        <v>3</v>
      </c>
      <c r="EA71" t="s">
        <v>3</v>
      </c>
      <c r="EB71" t="s">
        <v>3</v>
      </c>
      <c r="EC71" t="s">
        <v>3</v>
      </c>
      <c r="EE71">
        <v>43033442</v>
      </c>
      <c r="EF71">
        <v>1</v>
      </c>
      <c r="EG71" t="s">
        <v>22</v>
      </c>
      <c r="EH71">
        <v>0</v>
      </c>
      <c r="EI71" t="s">
        <v>3</v>
      </c>
      <c r="EJ71">
        <v>4</v>
      </c>
      <c r="EK71">
        <v>0</v>
      </c>
      <c r="EL71" t="s">
        <v>23</v>
      </c>
      <c r="EM71" t="s">
        <v>24</v>
      </c>
      <c r="EO71" t="s">
        <v>3</v>
      </c>
      <c r="EQ71">
        <v>0</v>
      </c>
      <c r="ER71">
        <v>165.94</v>
      </c>
      <c r="ES71">
        <v>165.94</v>
      </c>
      <c r="ET71">
        <v>0</v>
      </c>
      <c r="EU71">
        <v>0</v>
      </c>
      <c r="EV71">
        <v>0</v>
      </c>
      <c r="EW71">
        <v>0</v>
      </c>
      <c r="EX71">
        <v>0</v>
      </c>
      <c r="FQ71">
        <v>0</v>
      </c>
      <c r="FR71">
        <f t="shared" si="85"/>
        <v>0</v>
      </c>
      <c r="FS71">
        <v>0</v>
      </c>
      <c r="FX71">
        <v>70</v>
      </c>
      <c r="FY71">
        <v>10</v>
      </c>
      <c r="GA71" t="s">
        <v>3</v>
      </c>
      <c r="GD71">
        <v>0</v>
      </c>
      <c r="GF71">
        <v>28000038</v>
      </c>
      <c r="GG71">
        <v>2</v>
      </c>
      <c r="GH71">
        <v>1</v>
      </c>
      <c r="GI71">
        <v>-2</v>
      </c>
      <c r="GJ71">
        <v>0</v>
      </c>
      <c r="GK71">
        <f>ROUND(R71*(R12)/100,2)</f>
        <v>0</v>
      </c>
      <c r="GL71">
        <f t="shared" si="86"/>
        <v>0</v>
      </c>
      <c r="GM71">
        <f t="shared" si="87"/>
        <v>-15100.54</v>
      </c>
      <c r="GN71">
        <f t="shared" si="88"/>
        <v>0</v>
      </c>
      <c r="GO71">
        <f t="shared" si="89"/>
        <v>0</v>
      </c>
      <c r="GP71">
        <f t="shared" si="90"/>
        <v>-15100.54</v>
      </c>
      <c r="GR71">
        <v>0</v>
      </c>
      <c r="GS71">
        <v>3</v>
      </c>
      <c r="GT71">
        <v>0</v>
      </c>
      <c r="GU71" t="s">
        <v>3</v>
      </c>
      <c r="GV71">
        <f t="shared" si="91"/>
        <v>0</v>
      </c>
      <c r="GW71">
        <v>1</v>
      </c>
      <c r="GX71">
        <f t="shared" si="92"/>
        <v>0</v>
      </c>
      <c r="HA71">
        <v>0</v>
      </c>
      <c r="HB71">
        <v>0</v>
      </c>
      <c r="HC71">
        <f t="shared" si="93"/>
        <v>0</v>
      </c>
      <c r="HE71" t="s">
        <v>3</v>
      </c>
      <c r="HF71" t="s">
        <v>3</v>
      </c>
      <c r="HM71" t="s">
        <v>3</v>
      </c>
      <c r="HN71" t="s">
        <v>3</v>
      </c>
      <c r="HO71" t="s">
        <v>3</v>
      </c>
      <c r="HP71" t="s">
        <v>3</v>
      </c>
      <c r="HQ71" t="s">
        <v>3</v>
      </c>
      <c r="IK71">
        <v>0</v>
      </c>
    </row>
    <row r="72" spans="1:245" x14ac:dyDescent="0.2">
      <c r="A72">
        <v>18</v>
      </c>
      <c r="B72">
        <v>1</v>
      </c>
      <c r="C72">
        <v>81</v>
      </c>
      <c r="E72" t="s">
        <v>187</v>
      </c>
      <c r="F72" t="s">
        <v>188</v>
      </c>
      <c r="G72" t="s">
        <v>189</v>
      </c>
      <c r="H72" t="s">
        <v>20</v>
      </c>
      <c r="I72">
        <f>I65*J72</f>
        <v>-13.65</v>
      </c>
      <c r="J72">
        <v>-15</v>
      </c>
      <c r="K72">
        <v>-15</v>
      </c>
      <c r="O72">
        <f t="shared" si="54"/>
        <v>-1184.68</v>
      </c>
      <c r="P72">
        <f t="shared" si="55"/>
        <v>-1184.68</v>
      </c>
      <c r="Q72">
        <f t="shared" si="56"/>
        <v>0</v>
      </c>
      <c r="R72">
        <f t="shared" si="57"/>
        <v>0</v>
      </c>
      <c r="S72">
        <f t="shared" si="58"/>
        <v>0</v>
      </c>
      <c r="T72">
        <f t="shared" si="59"/>
        <v>0</v>
      </c>
      <c r="U72">
        <f t="shared" si="60"/>
        <v>0</v>
      </c>
      <c r="V72">
        <f t="shared" si="61"/>
        <v>0</v>
      </c>
      <c r="W72">
        <f t="shared" si="62"/>
        <v>0</v>
      </c>
      <c r="X72">
        <f t="shared" si="63"/>
        <v>0</v>
      </c>
      <c r="Y72">
        <f t="shared" si="64"/>
        <v>0</v>
      </c>
      <c r="AA72">
        <v>43095088</v>
      </c>
      <c r="AB72">
        <f t="shared" si="65"/>
        <v>86.79</v>
      </c>
      <c r="AC72">
        <f t="shared" si="66"/>
        <v>86.79</v>
      </c>
      <c r="AD72">
        <f t="shared" si="67"/>
        <v>0</v>
      </c>
      <c r="AE72">
        <f t="shared" si="68"/>
        <v>0</v>
      </c>
      <c r="AF72">
        <f t="shared" si="69"/>
        <v>0</v>
      </c>
      <c r="AG72">
        <f t="shared" si="70"/>
        <v>0</v>
      </c>
      <c r="AH72">
        <f t="shared" si="71"/>
        <v>0</v>
      </c>
      <c r="AI72">
        <f t="shared" si="72"/>
        <v>0</v>
      </c>
      <c r="AJ72">
        <f t="shared" si="73"/>
        <v>0</v>
      </c>
      <c r="AK72">
        <v>86.79</v>
      </c>
      <c r="AL72">
        <v>86.79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70</v>
      </c>
      <c r="AU72">
        <v>10</v>
      </c>
      <c r="AV72">
        <v>1</v>
      </c>
      <c r="AW72">
        <v>1</v>
      </c>
      <c r="AZ72">
        <v>1</v>
      </c>
      <c r="BA72">
        <v>1</v>
      </c>
      <c r="BB72">
        <v>1</v>
      </c>
      <c r="BC72">
        <v>1</v>
      </c>
      <c r="BD72" t="s">
        <v>3</v>
      </c>
      <c r="BE72" t="s">
        <v>3</v>
      </c>
      <c r="BF72" t="s">
        <v>3</v>
      </c>
      <c r="BG72" t="s">
        <v>3</v>
      </c>
      <c r="BH72">
        <v>3</v>
      </c>
      <c r="BI72">
        <v>4</v>
      </c>
      <c r="BJ72" t="s">
        <v>190</v>
      </c>
      <c r="BM72">
        <v>0</v>
      </c>
      <c r="BN72">
        <v>0</v>
      </c>
      <c r="BO72" t="s">
        <v>3</v>
      </c>
      <c r="BP72">
        <v>0</v>
      </c>
      <c r="BQ72">
        <v>1</v>
      </c>
      <c r="BR72">
        <v>1</v>
      </c>
      <c r="BS72">
        <v>1</v>
      </c>
      <c r="BT72">
        <v>1</v>
      </c>
      <c r="BU72">
        <v>1</v>
      </c>
      <c r="BV72">
        <v>1</v>
      </c>
      <c r="BW72">
        <v>1</v>
      </c>
      <c r="BX72">
        <v>1</v>
      </c>
      <c r="BY72" t="s">
        <v>3</v>
      </c>
      <c r="BZ72">
        <v>70</v>
      </c>
      <c r="CA72">
        <v>10</v>
      </c>
      <c r="CB72" t="s">
        <v>3</v>
      </c>
      <c r="CE72">
        <v>0</v>
      </c>
      <c r="CF72">
        <v>0</v>
      </c>
      <c r="CG72">
        <v>0</v>
      </c>
      <c r="CM72">
        <v>0</v>
      </c>
      <c r="CN72" t="s">
        <v>3</v>
      </c>
      <c r="CO72">
        <v>0</v>
      </c>
      <c r="CP72">
        <f t="shared" si="74"/>
        <v>-1184.68</v>
      </c>
      <c r="CQ72">
        <f t="shared" si="75"/>
        <v>86.79</v>
      </c>
      <c r="CR72">
        <f t="shared" si="76"/>
        <v>0</v>
      </c>
      <c r="CS72">
        <f t="shared" si="77"/>
        <v>0</v>
      </c>
      <c r="CT72">
        <f t="shared" si="78"/>
        <v>0</v>
      </c>
      <c r="CU72">
        <f t="shared" si="79"/>
        <v>0</v>
      </c>
      <c r="CV72">
        <f t="shared" si="80"/>
        <v>0</v>
      </c>
      <c r="CW72">
        <f t="shared" si="81"/>
        <v>0</v>
      </c>
      <c r="CX72">
        <f t="shared" si="82"/>
        <v>0</v>
      </c>
      <c r="CY72">
        <f t="shared" si="83"/>
        <v>0</v>
      </c>
      <c r="CZ72">
        <f t="shared" si="84"/>
        <v>0</v>
      </c>
      <c r="DC72" t="s">
        <v>3</v>
      </c>
      <c r="DD72" t="s">
        <v>3</v>
      </c>
      <c r="DE72" t="s">
        <v>3</v>
      </c>
      <c r="DF72" t="s">
        <v>3</v>
      </c>
      <c r="DG72" t="s">
        <v>3</v>
      </c>
      <c r="DH72" t="s">
        <v>3</v>
      </c>
      <c r="DI72" t="s">
        <v>3</v>
      </c>
      <c r="DJ72" t="s">
        <v>3</v>
      </c>
      <c r="DK72" t="s">
        <v>3</v>
      </c>
      <c r="DL72" t="s">
        <v>3</v>
      </c>
      <c r="DM72" t="s">
        <v>3</v>
      </c>
      <c r="DN72">
        <v>0</v>
      </c>
      <c r="DO72">
        <v>0</v>
      </c>
      <c r="DP72">
        <v>1</v>
      </c>
      <c r="DQ72">
        <v>1</v>
      </c>
      <c r="DU72">
        <v>1010</v>
      </c>
      <c r="DV72" t="s">
        <v>20</v>
      </c>
      <c r="DW72" t="s">
        <v>20</v>
      </c>
      <c r="DX72">
        <v>1</v>
      </c>
      <c r="DZ72" t="s">
        <v>3</v>
      </c>
      <c r="EA72" t="s">
        <v>3</v>
      </c>
      <c r="EB72" t="s">
        <v>3</v>
      </c>
      <c r="EC72" t="s">
        <v>3</v>
      </c>
      <c r="EE72">
        <v>43033442</v>
      </c>
      <c r="EF72">
        <v>1</v>
      </c>
      <c r="EG72" t="s">
        <v>22</v>
      </c>
      <c r="EH72">
        <v>0</v>
      </c>
      <c r="EI72" t="s">
        <v>3</v>
      </c>
      <c r="EJ72">
        <v>4</v>
      </c>
      <c r="EK72">
        <v>0</v>
      </c>
      <c r="EL72" t="s">
        <v>23</v>
      </c>
      <c r="EM72" t="s">
        <v>24</v>
      </c>
      <c r="EO72" t="s">
        <v>3</v>
      </c>
      <c r="EQ72">
        <v>0</v>
      </c>
      <c r="ER72">
        <v>86.79</v>
      </c>
      <c r="ES72">
        <v>86.79</v>
      </c>
      <c r="ET72">
        <v>0</v>
      </c>
      <c r="EU72">
        <v>0</v>
      </c>
      <c r="EV72">
        <v>0</v>
      </c>
      <c r="EW72">
        <v>0</v>
      </c>
      <c r="EX72">
        <v>0</v>
      </c>
      <c r="FQ72">
        <v>0</v>
      </c>
      <c r="FR72">
        <f t="shared" si="85"/>
        <v>0</v>
      </c>
      <c r="FS72">
        <v>0</v>
      </c>
      <c r="FX72">
        <v>70</v>
      </c>
      <c r="FY72">
        <v>10</v>
      </c>
      <c r="GA72" t="s">
        <v>3</v>
      </c>
      <c r="GD72">
        <v>0</v>
      </c>
      <c r="GF72">
        <v>1132684788</v>
      </c>
      <c r="GG72">
        <v>2</v>
      </c>
      <c r="GH72">
        <v>1</v>
      </c>
      <c r="GI72">
        <v>-2</v>
      </c>
      <c r="GJ72">
        <v>0</v>
      </c>
      <c r="GK72">
        <f>ROUND(R72*(R12)/100,2)</f>
        <v>0</v>
      </c>
      <c r="GL72">
        <f t="shared" si="86"/>
        <v>0</v>
      </c>
      <c r="GM72">
        <f t="shared" si="87"/>
        <v>-1184.68</v>
      </c>
      <c r="GN72">
        <f t="shared" si="88"/>
        <v>0</v>
      </c>
      <c r="GO72">
        <f t="shared" si="89"/>
        <v>0</v>
      </c>
      <c r="GP72">
        <f t="shared" si="90"/>
        <v>-1184.68</v>
      </c>
      <c r="GR72">
        <v>0</v>
      </c>
      <c r="GS72">
        <v>3</v>
      </c>
      <c r="GT72">
        <v>0</v>
      </c>
      <c r="GU72" t="s">
        <v>3</v>
      </c>
      <c r="GV72">
        <f t="shared" si="91"/>
        <v>0</v>
      </c>
      <c r="GW72">
        <v>1</v>
      </c>
      <c r="GX72">
        <f t="shared" si="92"/>
        <v>0</v>
      </c>
      <c r="HA72">
        <v>0</v>
      </c>
      <c r="HB72">
        <v>0</v>
      </c>
      <c r="HC72">
        <f t="shared" si="93"/>
        <v>0</v>
      </c>
      <c r="HE72" t="s">
        <v>3</v>
      </c>
      <c r="HF72" t="s">
        <v>3</v>
      </c>
      <c r="HM72" t="s">
        <v>3</v>
      </c>
      <c r="HN72" t="s">
        <v>3</v>
      </c>
      <c r="HO72" t="s">
        <v>3</v>
      </c>
      <c r="HP72" t="s">
        <v>3</v>
      </c>
      <c r="HQ72" t="s">
        <v>3</v>
      </c>
      <c r="IK72">
        <v>0</v>
      </c>
    </row>
    <row r="73" spans="1:245" x14ac:dyDescent="0.2">
      <c r="A73">
        <v>18</v>
      </c>
      <c r="B73">
        <v>1</v>
      </c>
      <c r="C73">
        <v>82</v>
      </c>
      <c r="E73" t="s">
        <v>191</v>
      </c>
      <c r="F73" t="s">
        <v>192</v>
      </c>
      <c r="G73" t="s">
        <v>193</v>
      </c>
      <c r="H73" t="s">
        <v>20</v>
      </c>
      <c r="I73">
        <f>I65*J73</f>
        <v>-3.64</v>
      </c>
      <c r="J73">
        <v>-4</v>
      </c>
      <c r="K73">
        <v>-4</v>
      </c>
      <c r="O73">
        <f t="shared" si="54"/>
        <v>-269.47000000000003</v>
      </c>
      <c r="P73">
        <f t="shared" si="55"/>
        <v>-269.47000000000003</v>
      </c>
      <c r="Q73">
        <f t="shared" si="56"/>
        <v>0</v>
      </c>
      <c r="R73">
        <f t="shared" si="57"/>
        <v>0</v>
      </c>
      <c r="S73">
        <f t="shared" si="58"/>
        <v>0</v>
      </c>
      <c r="T73">
        <f t="shared" si="59"/>
        <v>0</v>
      </c>
      <c r="U73">
        <f t="shared" si="60"/>
        <v>0</v>
      </c>
      <c r="V73">
        <f t="shared" si="61"/>
        <v>0</v>
      </c>
      <c r="W73">
        <f t="shared" si="62"/>
        <v>0</v>
      </c>
      <c r="X73">
        <f t="shared" si="63"/>
        <v>0</v>
      </c>
      <c r="Y73">
        <f t="shared" si="64"/>
        <v>0</v>
      </c>
      <c r="AA73">
        <v>43095088</v>
      </c>
      <c r="AB73">
        <f t="shared" si="65"/>
        <v>74.03</v>
      </c>
      <c r="AC73">
        <f t="shared" si="66"/>
        <v>74.03</v>
      </c>
      <c r="AD73">
        <f t="shared" si="67"/>
        <v>0</v>
      </c>
      <c r="AE73">
        <f t="shared" si="68"/>
        <v>0</v>
      </c>
      <c r="AF73">
        <f t="shared" si="69"/>
        <v>0</v>
      </c>
      <c r="AG73">
        <f t="shared" si="70"/>
        <v>0</v>
      </c>
      <c r="AH73">
        <f t="shared" si="71"/>
        <v>0</v>
      </c>
      <c r="AI73">
        <f t="shared" si="72"/>
        <v>0</v>
      </c>
      <c r="AJ73">
        <f t="shared" si="73"/>
        <v>0</v>
      </c>
      <c r="AK73">
        <v>74.03</v>
      </c>
      <c r="AL73">
        <v>74.03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70</v>
      </c>
      <c r="AU73">
        <v>10</v>
      </c>
      <c r="AV73">
        <v>1</v>
      </c>
      <c r="AW73">
        <v>1</v>
      </c>
      <c r="AZ73">
        <v>1</v>
      </c>
      <c r="BA73">
        <v>1</v>
      </c>
      <c r="BB73">
        <v>1</v>
      </c>
      <c r="BC73">
        <v>1</v>
      </c>
      <c r="BD73" t="s">
        <v>3</v>
      </c>
      <c r="BE73" t="s">
        <v>3</v>
      </c>
      <c r="BF73" t="s">
        <v>3</v>
      </c>
      <c r="BG73" t="s">
        <v>3</v>
      </c>
      <c r="BH73">
        <v>3</v>
      </c>
      <c r="BI73">
        <v>4</v>
      </c>
      <c r="BJ73" t="s">
        <v>194</v>
      </c>
      <c r="BM73">
        <v>0</v>
      </c>
      <c r="BN73">
        <v>0</v>
      </c>
      <c r="BO73" t="s">
        <v>3</v>
      </c>
      <c r="BP73">
        <v>0</v>
      </c>
      <c r="BQ73">
        <v>1</v>
      </c>
      <c r="BR73">
        <v>1</v>
      </c>
      <c r="BS73">
        <v>1</v>
      </c>
      <c r="BT73">
        <v>1</v>
      </c>
      <c r="BU73">
        <v>1</v>
      </c>
      <c r="BV73">
        <v>1</v>
      </c>
      <c r="BW73">
        <v>1</v>
      </c>
      <c r="BX73">
        <v>1</v>
      </c>
      <c r="BY73" t="s">
        <v>3</v>
      </c>
      <c r="BZ73">
        <v>70</v>
      </c>
      <c r="CA73">
        <v>10</v>
      </c>
      <c r="CB73" t="s">
        <v>3</v>
      </c>
      <c r="CE73">
        <v>0</v>
      </c>
      <c r="CF73">
        <v>0</v>
      </c>
      <c r="CG73">
        <v>0</v>
      </c>
      <c r="CM73">
        <v>0</v>
      </c>
      <c r="CN73" t="s">
        <v>3</v>
      </c>
      <c r="CO73">
        <v>0</v>
      </c>
      <c r="CP73">
        <f t="shared" si="74"/>
        <v>-269.47000000000003</v>
      </c>
      <c r="CQ73">
        <f t="shared" si="75"/>
        <v>74.03</v>
      </c>
      <c r="CR73">
        <f t="shared" si="76"/>
        <v>0</v>
      </c>
      <c r="CS73">
        <f t="shared" si="77"/>
        <v>0</v>
      </c>
      <c r="CT73">
        <f t="shared" si="78"/>
        <v>0</v>
      </c>
      <c r="CU73">
        <f t="shared" si="79"/>
        <v>0</v>
      </c>
      <c r="CV73">
        <f t="shared" si="80"/>
        <v>0</v>
      </c>
      <c r="CW73">
        <f t="shared" si="81"/>
        <v>0</v>
      </c>
      <c r="CX73">
        <f t="shared" si="82"/>
        <v>0</v>
      </c>
      <c r="CY73">
        <f t="shared" si="83"/>
        <v>0</v>
      </c>
      <c r="CZ73">
        <f t="shared" si="84"/>
        <v>0</v>
      </c>
      <c r="DC73" t="s">
        <v>3</v>
      </c>
      <c r="DD73" t="s">
        <v>3</v>
      </c>
      <c r="DE73" t="s">
        <v>3</v>
      </c>
      <c r="DF73" t="s">
        <v>3</v>
      </c>
      <c r="DG73" t="s">
        <v>3</v>
      </c>
      <c r="DH73" t="s">
        <v>3</v>
      </c>
      <c r="DI73" t="s">
        <v>3</v>
      </c>
      <c r="DJ73" t="s">
        <v>3</v>
      </c>
      <c r="DK73" t="s">
        <v>3</v>
      </c>
      <c r="DL73" t="s">
        <v>3</v>
      </c>
      <c r="DM73" t="s">
        <v>3</v>
      </c>
      <c r="DN73">
        <v>0</v>
      </c>
      <c r="DO73">
        <v>0</v>
      </c>
      <c r="DP73">
        <v>1</v>
      </c>
      <c r="DQ73">
        <v>1</v>
      </c>
      <c r="DU73">
        <v>1010</v>
      </c>
      <c r="DV73" t="s">
        <v>20</v>
      </c>
      <c r="DW73" t="s">
        <v>20</v>
      </c>
      <c r="DX73">
        <v>1</v>
      </c>
      <c r="DZ73" t="s">
        <v>3</v>
      </c>
      <c r="EA73" t="s">
        <v>3</v>
      </c>
      <c r="EB73" t="s">
        <v>3</v>
      </c>
      <c r="EC73" t="s">
        <v>3</v>
      </c>
      <c r="EE73">
        <v>43033442</v>
      </c>
      <c r="EF73">
        <v>1</v>
      </c>
      <c r="EG73" t="s">
        <v>22</v>
      </c>
      <c r="EH73">
        <v>0</v>
      </c>
      <c r="EI73" t="s">
        <v>3</v>
      </c>
      <c r="EJ73">
        <v>4</v>
      </c>
      <c r="EK73">
        <v>0</v>
      </c>
      <c r="EL73" t="s">
        <v>23</v>
      </c>
      <c r="EM73" t="s">
        <v>24</v>
      </c>
      <c r="EO73" t="s">
        <v>3</v>
      </c>
      <c r="EQ73">
        <v>0</v>
      </c>
      <c r="ER73">
        <v>74.03</v>
      </c>
      <c r="ES73">
        <v>74.03</v>
      </c>
      <c r="ET73">
        <v>0</v>
      </c>
      <c r="EU73">
        <v>0</v>
      </c>
      <c r="EV73">
        <v>0</v>
      </c>
      <c r="EW73">
        <v>0</v>
      </c>
      <c r="EX73">
        <v>0</v>
      </c>
      <c r="FQ73">
        <v>0</v>
      </c>
      <c r="FR73">
        <f t="shared" si="85"/>
        <v>0</v>
      </c>
      <c r="FS73">
        <v>0</v>
      </c>
      <c r="FX73">
        <v>70</v>
      </c>
      <c r="FY73">
        <v>10</v>
      </c>
      <c r="GA73" t="s">
        <v>3</v>
      </c>
      <c r="GD73">
        <v>0</v>
      </c>
      <c r="GF73">
        <v>-16663223</v>
      </c>
      <c r="GG73">
        <v>2</v>
      </c>
      <c r="GH73">
        <v>1</v>
      </c>
      <c r="GI73">
        <v>-2</v>
      </c>
      <c r="GJ73">
        <v>0</v>
      </c>
      <c r="GK73">
        <f>ROUND(R73*(R12)/100,2)</f>
        <v>0</v>
      </c>
      <c r="GL73">
        <f t="shared" si="86"/>
        <v>0</v>
      </c>
      <c r="GM73">
        <f t="shared" si="87"/>
        <v>-269.47000000000003</v>
      </c>
      <c r="GN73">
        <f t="shared" si="88"/>
        <v>0</v>
      </c>
      <c r="GO73">
        <f t="shared" si="89"/>
        <v>0</v>
      </c>
      <c r="GP73">
        <f t="shared" si="90"/>
        <v>-269.47000000000003</v>
      </c>
      <c r="GR73">
        <v>0</v>
      </c>
      <c r="GS73">
        <v>3</v>
      </c>
      <c r="GT73">
        <v>0</v>
      </c>
      <c r="GU73" t="s">
        <v>3</v>
      </c>
      <c r="GV73">
        <f t="shared" si="91"/>
        <v>0</v>
      </c>
      <c r="GW73">
        <v>1</v>
      </c>
      <c r="GX73">
        <f t="shared" si="92"/>
        <v>0</v>
      </c>
      <c r="HA73">
        <v>0</v>
      </c>
      <c r="HB73">
        <v>0</v>
      </c>
      <c r="HC73">
        <f t="shared" si="93"/>
        <v>0</v>
      </c>
      <c r="HE73" t="s">
        <v>3</v>
      </c>
      <c r="HF73" t="s">
        <v>3</v>
      </c>
      <c r="HM73" t="s">
        <v>3</v>
      </c>
      <c r="HN73" t="s">
        <v>3</v>
      </c>
      <c r="HO73" t="s">
        <v>3</v>
      </c>
      <c r="HP73" t="s">
        <v>3</v>
      </c>
      <c r="HQ73" t="s">
        <v>3</v>
      </c>
      <c r="IK73">
        <v>0</v>
      </c>
    </row>
    <row r="74" spans="1:245" x14ac:dyDescent="0.2">
      <c r="A74">
        <v>18</v>
      </c>
      <c r="B74">
        <v>1</v>
      </c>
      <c r="C74">
        <v>83</v>
      </c>
      <c r="E74" t="s">
        <v>195</v>
      </c>
      <c r="F74" t="s">
        <v>196</v>
      </c>
      <c r="G74" t="s">
        <v>197</v>
      </c>
      <c r="H74" t="s">
        <v>20</v>
      </c>
      <c r="I74">
        <f>I65*J74</f>
        <v>-1.82</v>
      </c>
      <c r="J74">
        <v>-2</v>
      </c>
      <c r="K74">
        <v>-2</v>
      </c>
      <c r="O74">
        <f t="shared" si="54"/>
        <v>-324.01</v>
      </c>
      <c r="P74">
        <f t="shared" si="55"/>
        <v>-324.01</v>
      </c>
      <c r="Q74">
        <f t="shared" si="56"/>
        <v>0</v>
      </c>
      <c r="R74">
        <f t="shared" si="57"/>
        <v>0</v>
      </c>
      <c r="S74">
        <f t="shared" si="58"/>
        <v>0</v>
      </c>
      <c r="T74">
        <f t="shared" si="59"/>
        <v>0</v>
      </c>
      <c r="U74">
        <f t="shared" si="60"/>
        <v>0</v>
      </c>
      <c r="V74">
        <f t="shared" si="61"/>
        <v>0</v>
      </c>
      <c r="W74">
        <f t="shared" si="62"/>
        <v>0</v>
      </c>
      <c r="X74">
        <f t="shared" si="63"/>
        <v>0</v>
      </c>
      <c r="Y74">
        <f t="shared" si="64"/>
        <v>0</v>
      </c>
      <c r="AA74">
        <v>43095088</v>
      </c>
      <c r="AB74">
        <f t="shared" si="65"/>
        <v>178.03</v>
      </c>
      <c r="AC74">
        <f t="shared" si="66"/>
        <v>178.03</v>
      </c>
      <c r="AD74">
        <f t="shared" si="67"/>
        <v>0</v>
      </c>
      <c r="AE74">
        <f t="shared" si="68"/>
        <v>0</v>
      </c>
      <c r="AF74">
        <f t="shared" si="69"/>
        <v>0</v>
      </c>
      <c r="AG74">
        <f t="shared" si="70"/>
        <v>0</v>
      </c>
      <c r="AH74">
        <f t="shared" si="71"/>
        <v>0</v>
      </c>
      <c r="AI74">
        <f t="shared" si="72"/>
        <v>0</v>
      </c>
      <c r="AJ74">
        <f t="shared" si="73"/>
        <v>0</v>
      </c>
      <c r="AK74">
        <v>178.03</v>
      </c>
      <c r="AL74">
        <v>178.03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70</v>
      </c>
      <c r="AU74">
        <v>10</v>
      </c>
      <c r="AV74">
        <v>1</v>
      </c>
      <c r="AW74">
        <v>1</v>
      </c>
      <c r="AZ74">
        <v>1</v>
      </c>
      <c r="BA74">
        <v>1</v>
      </c>
      <c r="BB74">
        <v>1</v>
      </c>
      <c r="BC74">
        <v>1</v>
      </c>
      <c r="BD74" t="s">
        <v>3</v>
      </c>
      <c r="BE74" t="s">
        <v>3</v>
      </c>
      <c r="BF74" t="s">
        <v>3</v>
      </c>
      <c r="BG74" t="s">
        <v>3</v>
      </c>
      <c r="BH74">
        <v>3</v>
      </c>
      <c r="BI74">
        <v>4</v>
      </c>
      <c r="BJ74" t="s">
        <v>198</v>
      </c>
      <c r="BM74">
        <v>0</v>
      </c>
      <c r="BN74">
        <v>0</v>
      </c>
      <c r="BO74" t="s">
        <v>3</v>
      </c>
      <c r="BP74">
        <v>0</v>
      </c>
      <c r="BQ74">
        <v>1</v>
      </c>
      <c r="BR74">
        <v>1</v>
      </c>
      <c r="BS74">
        <v>1</v>
      </c>
      <c r="BT74">
        <v>1</v>
      </c>
      <c r="BU74">
        <v>1</v>
      </c>
      <c r="BV74">
        <v>1</v>
      </c>
      <c r="BW74">
        <v>1</v>
      </c>
      <c r="BX74">
        <v>1</v>
      </c>
      <c r="BY74" t="s">
        <v>3</v>
      </c>
      <c r="BZ74">
        <v>70</v>
      </c>
      <c r="CA74">
        <v>10</v>
      </c>
      <c r="CB74" t="s">
        <v>3</v>
      </c>
      <c r="CE74">
        <v>0</v>
      </c>
      <c r="CF74">
        <v>0</v>
      </c>
      <c r="CG74">
        <v>0</v>
      </c>
      <c r="CM74">
        <v>0</v>
      </c>
      <c r="CN74" t="s">
        <v>3</v>
      </c>
      <c r="CO74">
        <v>0</v>
      </c>
      <c r="CP74">
        <f t="shared" si="74"/>
        <v>-324.01</v>
      </c>
      <c r="CQ74">
        <f t="shared" si="75"/>
        <v>178.03</v>
      </c>
      <c r="CR74">
        <f t="shared" si="76"/>
        <v>0</v>
      </c>
      <c r="CS74">
        <f t="shared" si="77"/>
        <v>0</v>
      </c>
      <c r="CT74">
        <f t="shared" si="78"/>
        <v>0</v>
      </c>
      <c r="CU74">
        <f t="shared" si="79"/>
        <v>0</v>
      </c>
      <c r="CV74">
        <f t="shared" si="80"/>
        <v>0</v>
      </c>
      <c r="CW74">
        <f t="shared" si="81"/>
        <v>0</v>
      </c>
      <c r="CX74">
        <f t="shared" si="82"/>
        <v>0</v>
      </c>
      <c r="CY74">
        <f t="shared" si="83"/>
        <v>0</v>
      </c>
      <c r="CZ74">
        <f t="shared" si="84"/>
        <v>0</v>
      </c>
      <c r="DC74" t="s">
        <v>3</v>
      </c>
      <c r="DD74" t="s">
        <v>3</v>
      </c>
      <c r="DE74" t="s">
        <v>3</v>
      </c>
      <c r="DF74" t="s">
        <v>3</v>
      </c>
      <c r="DG74" t="s">
        <v>3</v>
      </c>
      <c r="DH74" t="s">
        <v>3</v>
      </c>
      <c r="DI74" t="s">
        <v>3</v>
      </c>
      <c r="DJ74" t="s">
        <v>3</v>
      </c>
      <c r="DK74" t="s">
        <v>3</v>
      </c>
      <c r="DL74" t="s">
        <v>3</v>
      </c>
      <c r="DM74" t="s">
        <v>3</v>
      </c>
      <c r="DN74">
        <v>0</v>
      </c>
      <c r="DO74">
        <v>0</v>
      </c>
      <c r="DP74">
        <v>1</v>
      </c>
      <c r="DQ74">
        <v>1</v>
      </c>
      <c r="DU74">
        <v>1010</v>
      </c>
      <c r="DV74" t="s">
        <v>20</v>
      </c>
      <c r="DW74" t="s">
        <v>20</v>
      </c>
      <c r="DX74">
        <v>1</v>
      </c>
      <c r="DZ74" t="s">
        <v>3</v>
      </c>
      <c r="EA74" t="s">
        <v>3</v>
      </c>
      <c r="EB74" t="s">
        <v>3</v>
      </c>
      <c r="EC74" t="s">
        <v>3</v>
      </c>
      <c r="EE74">
        <v>43033442</v>
      </c>
      <c r="EF74">
        <v>1</v>
      </c>
      <c r="EG74" t="s">
        <v>22</v>
      </c>
      <c r="EH74">
        <v>0</v>
      </c>
      <c r="EI74" t="s">
        <v>3</v>
      </c>
      <c r="EJ74">
        <v>4</v>
      </c>
      <c r="EK74">
        <v>0</v>
      </c>
      <c r="EL74" t="s">
        <v>23</v>
      </c>
      <c r="EM74" t="s">
        <v>24</v>
      </c>
      <c r="EO74" t="s">
        <v>3</v>
      </c>
      <c r="EQ74">
        <v>0</v>
      </c>
      <c r="ER74">
        <v>178.03</v>
      </c>
      <c r="ES74">
        <v>178.03</v>
      </c>
      <c r="ET74">
        <v>0</v>
      </c>
      <c r="EU74">
        <v>0</v>
      </c>
      <c r="EV74">
        <v>0</v>
      </c>
      <c r="EW74">
        <v>0</v>
      </c>
      <c r="EX74">
        <v>0</v>
      </c>
      <c r="FQ74">
        <v>0</v>
      </c>
      <c r="FR74">
        <f t="shared" si="85"/>
        <v>0</v>
      </c>
      <c r="FS74">
        <v>0</v>
      </c>
      <c r="FX74">
        <v>70</v>
      </c>
      <c r="FY74">
        <v>10</v>
      </c>
      <c r="GA74" t="s">
        <v>3</v>
      </c>
      <c r="GD74">
        <v>0</v>
      </c>
      <c r="GF74">
        <v>-111436853</v>
      </c>
      <c r="GG74">
        <v>2</v>
      </c>
      <c r="GH74">
        <v>1</v>
      </c>
      <c r="GI74">
        <v>-2</v>
      </c>
      <c r="GJ74">
        <v>0</v>
      </c>
      <c r="GK74">
        <f>ROUND(R74*(R12)/100,2)</f>
        <v>0</v>
      </c>
      <c r="GL74">
        <f t="shared" si="86"/>
        <v>0</v>
      </c>
      <c r="GM74">
        <f t="shared" si="87"/>
        <v>-324.01</v>
      </c>
      <c r="GN74">
        <f t="shared" si="88"/>
        <v>0</v>
      </c>
      <c r="GO74">
        <f t="shared" si="89"/>
        <v>0</v>
      </c>
      <c r="GP74">
        <f t="shared" si="90"/>
        <v>-324.01</v>
      </c>
      <c r="GR74">
        <v>0</v>
      </c>
      <c r="GS74">
        <v>3</v>
      </c>
      <c r="GT74">
        <v>0</v>
      </c>
      <c r="GU74" t="s">
        <v>3</v>
      </c>
      <c r="GV74">
        <f t="shared" si="91"/>
        <v>0</v>
      </c>
      <c r="GW74">
        <v>1</v>
      </c>
      <c r="GX74">
        <f t="shared" si="92"/>
        <v>0</v>
      </c>
      <c r="HA74">
        <v>0</v>
      </c>
      <c r="HB74">
        <v>0</v>
      </c>
      <c r="HC74">
        <f t="shared" si="93"/>
        <v>0</v>
      </c>
      <c r="HE74" t="s">
        <v>3</v>
      </c>
      <c r="HF74" t="s">
        <v>3</v>
      </c>
      <c r="HM74" t="s">
        <v>3</v>
      </c>
      <c r="HN74" t="s">
        <v>3</v>
      </c>
      <c r="HO74" t="s">
        <v>3</v>
      </c>
      <c r="HP74" t="s">
        <v>3</v>
      </c>
      <c r="HQ74" t="s">
        <v>3</v>
      </c>
      <c r="IK74">
        <v>0</v>
      </c>
    </row>
    <row r="75" spans="1:245" x14ac:dyDescent="0.2">
      <c r="A75">
        <v>18</v>
      </c>
      <c r="B75">
        <v>1</v>
      </c>
      <c r="C75">
        <v>84</v>
      </c>
      <c r="E75" t="s">
        <v>199</v>
      </c>
      <c r="F75" t="s">
        <v>200</v>
      </c>
      <c r="G75" t="s">
        <v>201</v>
      </c>
      <c r="H75" t="s">
        <v>20</v>
      </c>
      <c r="I75">
        <f>I65*J75</f>
        <v>-1.82</v>
      </c>
      <c r="J75">
        <v>-2</v>
      </c>
      <c r="K75">
        <v>-2</v>
      </c>
      <c r="O75">
        <f t="shared" si="54"/>
        <v>-248.43</v>
      </c>
      <c r="P75">
        <f t="shared" si="55"/>
        <v>-248.43</v>
      </c>
      <c r="Q75">
        <f t="shared" si="56"/>
        <v>0</v>
      </c>
      <c r="R75">
        <f t="shared" si="57"/>
        <v>0</v>
      </c>
      <c r="S75">
        <f t="shared" si="58"/>
        <v>0</v>
      </c>
      <c r="T75">
        <f t="shared" si="59"/>
        <v>0</v>
      </c>
      <c r="U75">
        <f t="shared" si="60"/>
        <v>0</v>
      </c>
      <c r="V75">
        <f t="shared" si="61"/>
        <v>0</v>
      </c>
      <c r="W75">
        <f t="shared" si="62"/>
        <v>0</v>
      </c>
      <c r="X75">
        <f t="shared" si="63"/>
        <v>0</v>
      </c>
      <c r="Y75">
        <f t="shared" si="64"/>
        <v>0</v>
      </c>
      <c r="AA75">
        <v>43095088</v>
      </c>
      <c r="AB75">
        <f t="shared" si="65"/>
        <v>136.5</v>
      </c>
      <c r="AC75">
        <f t="shared" si="66"/>
        <v>136.5</v>
      </c>
      <c r="AD75">
        <f t="shared" si="67"/>
        <v>0</v>
      </c>
      <c r="AE75">
        <f t="shared" si="68"/>
        <v>0</v>
      </c>
      <c r="AF75">
        <f t="shared" si="69"/>
        <v>0</v>
      </c>
      <c r="AG75">
        <f t="shared" si="70"/>
        <v>0</v>
      </c>
      <c r="AH75">
        <f t="shared" si="71"/>
        <v>0</v>
      </c>
      <c r="AI75">
        <f t="shared" si="72"/>
        <v>0</v>
      </c>
      <c r="AJ75">
        <f t="shared" si="73"/>
        <v>0</v>
      </c>
      <c r="AK75">
        <v>136.5</v>
      </c>
      <c r="AL75">
        <v>136.5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70</v>
      </c>
      <c r="AU75">
        <v>10</v>
      </c>
      <c r="AV75">
        <v>1</v>
      </c>
      <c r="AW75">
        <v>1</v>
      </c>
      <c r="AZ75">
        <v>1</v>
      </c>
      <c r="BA75">
        <v>1</v>
      </c>
      <c r="BB75">
        <v>1</v>
      </c>
      <c r="BC75">
        <v>1</v>
      </c>
      <c r="BD75" t="s">
        <v>3</v>
      </c>
      <c r="BE75" t="s">
        <v>3</v>
      </c>
      <c r="BF75" t="s">
        <v>3</v>
      </c>
      <c r="BG75" t="s">
        <v>3</v>
      </c>
      <c r="BH75">
        <v>3</v>
      </c>
      <c r="BI75">
        <v>4</v>
      </c>
      <c r="BJ75" t="s">
        <v>202</v>
      </c>
      <c r="BM75">
        <v>0</v>
      </c>
      <c r="BN75">
        <v>0</v>
      </c>
      <c r="BO75" t="s">
        <v>3</v>
      </c>
      <c r="BP75">
        <v>0</v>
      </c>
      <c r="BQ75">
        <v>1</v>
      </c>
      <c r="BR75">
        <v>1</v>
      </c>
      <c r="BS75">
        <v>1</v>
      </c>
      <c r="BT75">
        <v>1</v>
      </c>
      <c r="BU75">
        <v>1</v>
      </c>
      <c r="BV75">
        <v>1</v>
      </c>
      <c r="BW75">
        <v>1</v>
      </c>
      <c r="BX75">
        <v>1</v>
      </c>
      <c r="BY75" t="s">
        <v>3</v>
      </c>
      <c r="BZ75">
        <v>70</v>
      </c>
      <c r="CA75">
        <v>10</v>
      </c>
      <c r="CB75" t="s">
        <v>3</v>
      </c>
      <c r="CE75">
        <v>0</v>
      </c>
      <c r="CF75">
        <v>0</v>
      </c>
      <c r="CG75">
        <v>0</v>
      </c>
      <c r="CM75">
        <v>0</v>
      </c>
      <c r="CN75" t="s">
        <v>3</v>
      </c>
      <c r="CO75">
        <v>0</v>
      </c>
      <c r="CP75">
        <f t="shared" si="74"/>
        <v>-248.43</v>
      </c>
      <c r="CQ75">
        <f t="shared" si="75"/>
        <v>136.5</v>
      </c>
      <c r="CR75">
        <f t="shared" si="76"/>
        <v>0</v>
      </c>
      <c r="CS75">
        <f t="shared" si="77"/>
        <v>0</v>
      </c>
      <c r="CT75">
        <f t="shared" si="78"/>
        <v>0</v>
      </c>
      <c r="CU75">
        <f t="shared" si="79"/>
        <v>0</v>
      </c>
      <c r="CV75">
        <f t="shared" si="80"/>
        <v>0</v>
      </c>
      <c r="CW75">
        <f t="shared" si="81"/>
        <v>0</v>
      </c>
      <c r="CX75">
        <f t="shared" si="82"/>
        <v>0</v>
      </c>
      <c r="CY75">
        <f t="shared" si="83"/>
        <v>0</v>
      </c>
      <c r="CZ75">
        <f t="shared" si="84"/>
        <v>0</v>
      </c>
      <c r="DC75" t="s">
        <v>3</v>
      </c>
      <c r="DD75" t="s">
        <v>3</v>
      </c>
      <c r="DE75" t="s">
        <v>3</v>
      </c>
      <c r="DF75" t="s">
        <v>3</v>
      </c>
      <c r="DG75" t="s">
        <v>3</v>
      </c>
      <c r="DH75" t="s">
        <v>3</v>
      </c>
      <c r="DI75" t="s">
        <v>3</v>
      </c>
      <c r="DJ75" t="s">
        <v>3</v>
      </c>
      <c r="DK75" t="s">
        <v>3</v>
      </c>
      <c r="DL75" t="s">
        <v>3</v>
      </c>
      <c r="DM75" t="s">
        <v>3</v>
      </c>
      <c r="DN75">
        <v>0</v>
      </c>
      <c r="DO75">
        <v>0</v>
      </c>
      <c r="DP75">
        <v>1</v>
      </c>
      <c r="DQ75">
        <v>1</v>
      </c>
      <c r="DU75">
        <v>1010</v>
      </c>
      <c r="DV75" t="s">
        <v>20</v>
      </c>
      <c r="DW75" t="s">
        <v>20</v>
      </c>
      <c r="DX75">
        <v>1</v>
      </c>
      <c r="DZ75" t="s">
        <v>3</v>
      </c>
      <c r="EA75" t="s">
        <v>3</v>
      </c>
      <c r="EB75" t="s">
        <v>3</v>
      </c>
      <c r="EC75" t="s">
        <v>3</v>
      </c>
      <c r="EE75">
        <v>43033442</v>
      </c>
      <c r="EF75">
        <v>1</v>
      </c>
      <c r="EG75" t="s">
        <v>22</v>
      </c>
      <c r="EH75">
        <v>0</v>
      </c>
      <c r="EI75" t="s">
        <v>3</v>
      </c>
      <c r="EJ75">
        <v>4</v>
      </c>
      <c r="EK75">
        <v>0</v>
      </c>
      <c r="EL75" t="s">
        <v>23</v>
      </c>
      <c r="EM75" t="s">
        <v>24</v>
      </c>
      <c r="EO75" t="s">
        <v>3</v>
      </c>
      <c r="EQ75">
        <v>0</v>
      </c>
      <c r="ER75">
        <v>136.5</v>
      </c>
      <c r="ES75">
        <v>136.5</v>
      </c>
      <c r="ET75">
        <v>0</v>
      </c>
      <c r="EU75">
        <v>0</v>
      </c>
      <c r="EV75">
        <v>0</v>
      </c>
      <c r="EW75">
        <v>0</v>
      </c>
      <c r="EX75">
        <v>0</v>
      </c>
      <c r="FQ75">
        <v>0</v>
      </c>
      <c r="FR75">
        <f t="shared" si="85"/>
        <v>0</v>
      </c>
      <c r="FS75">
        <v>0</v>
      </c>
      <c r="FX75">
        <v>70</v>
      </c>
      <c r="FY75">
        <v>10</v>
      </c>
      <c r="GA75" t="s">
        <v>3</v>
      </c>
      <c r="GD75">
        <v>0</v>
      </c>
      <c r="GF75">
        <v>1961322459</v>
      </c>
      <c r="GG75">
        <v>2</v>
      </c>
      <c r="GH75">
        <v>1</v>
      </c>
      <c r="GI75">
        <v>-2</v>
      </c>
      <c r="GJ75">
        <v>0</v>
      </c>
      <c r="GK75">
        <f>ROUND(R75*(R12)/100,2)</f>
        <v>0</v>
      </c>
      <c r="GL75">
        <f t="shared" si="86"/>
        <v>0</v>
      </c>
      <c r="GM75">
        <f t="shared" si="87"/>
        <v>-248.43</v>
      </c>
      <c r="GN75">
        <f t="shared" si="88"/>
        <v>0</v>
      </c>
      <c r="GO75">
        <f t="shared" si="89"/>
        <v>0</v>
      </c>
      <c r="GP75">
        <f t="shared" si="90"/>
        <v>-248.43</v>
      </c>
      <c r="GR75">
        <v>0</v>
      </c>
      <c r="GS75">
        <v>3</v>
      </c>
      <c r="GT75">
        <v>0</v>
      </c>
      <c r="GU75" t="s">
        <v>3</v>
      </c>
      <c r="GV75">
        <f t="shared" si="91"/>
        <v>0</v>
      </c>
      <c r="GW75">
        <v>1</v>
      </c>
      <c r="GX75">
        <f t="shared" si="92"/>
        <v>0</v>
      </c>
      <c r="HA75">
        <v>0</v>
      </c>
      <c r="HB75">
        <v>0</v>
      </c>
      <c r="HC75">
        <f t="shared" si="93"/>
        <v>0</v>
      </c>
      <c r="HE75" t="s">
        <v>3</v>
      </c>
      <c r="HF75" t="s">
        <v>3</v>
      </c>
      <c r="HM75" t="s">
        <v>3</v>
      </c>
      <c r="HN75" t="s">
        <v>3</v>
      </c>
      <c r="HO75" t="s">
        <v>3</v>
      </c>
      <c r="HP75" t="s">
        <v>3</v>
      </c>
      <c r="HQ75" t="s">
        <v>3</v>
      </c>
      <c r="IK75">
        <v>0</v>
      </c>
    </row>
    <row r="76" spans="1:245" x14ac:dyDescent="0.2">
      <c r="A76">
        <v>18</v>
      </c>
      <c r="B76">
        <v>1</v>
      </c>
      <c r="C76">
        <v>85</v>
      </c>
      <c r="E76" t="s">
        <v>203</v>
      </c>
      <c r="F76" t="s">
        <v>204</v>
      </c>
      <c r="G76" t="s">
        <v>205</v>
      </c>
      <c r="H76" t="s">
        <v>20</v>
      </c>
      <c r="I76">
        <f>I65*J76</f>
        <v>-13.65</v>
      </c>
      <c r="J76">
        <v>-15</v>
      </c>
      <c r="K76">
        <v>-15</v>
      </c>
      <c r="O76">
        <f t="shared" si="54"/>
        <v>-1935.43</v>
      </c>
      <c r="P76">
        <f t="shared" si="55"/>
        <v>-1935.43</v>
      </c>
      <c r="Q76">
        <f t="shared" si="56"/>
        <v>0</v>
      </c>
      <c r="R76">
        <f t="shared" si="57"/>
        <v>0</v>
      </c>
      <c r="S76">
        <f t="shared" si="58"/>
        <v>0</v>
      </c>
      <c r="T76">
        <f t="shared" si="59"/>
        <v>0</v>
      </c>
      <c r="U76">
        <f t="shared" si="60"/>
        <v>0</v>
      </c>
      <c r="V76">
        <f t="shared" si="61"/>
        <v>0</v>
      </c>
      <c r="W76">
        <f t="shared" si="62"/>
        <v>0</v>
      </c>
      <c r="X76">
        <f t="shared" si="63"/>
        <v>0</v>
      </c>
      <c r="Y76">
        <f t="shared" si="64"/>
        <v>0</v>
      </c>
      <c r="AA76">
        <v>43095088</v>
      </c>
      <c r="AB76">
        <f t="shared" si="65"/>
        <v>141.79</v>
      </c>
      <c r="AC76">
        <f t="shared" si="66"/>
        <v>141.79</v>
      </c>
      <c r="AD76">
        <f t="shared" si="67"/>
        <v>0</v>
      </c>
      <c r="AE76">
        <f t="shared" si="68"/>
        <v>0</v>
      </c>
      <c r="AF76">
        <f t="shared" si="69"/>
        <v>0</v>
      </c>
      <c r="AG76">
        <f t="shared" si="70"/>
        <v>0</v>
      </c>
      <c r="AH76">
        <f t="shared" si="71"/>
        <v>0</v>
      </c>
      <c r="AI76">
        <f t="shared" si="72"/>
        <v>0</v>
      </c>
      <c r="AJ76">
        <f t="shared" si="73"/>
        <v>0</v>
      </c>
      <c r="AK76">
        <v>141.79</v>
      </c>
      <c r="AL76">
        <v>141.79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70</v>
      </c>
      <c r="AU76">
        <v>10</v>
      </c>
      <c r="AV76">
        <v>1</v>
      </c>
      <c r="AW76">
        <v>1</v>
      </c>
      <c r="AZ76">
        <v>1</v>
      </c>
      <c r="BA76">
        <v>1</v>
      </c>
      <c r="BB76">
        <v>1</v>
      </c>
      <c r="BC76">
        <v>1</v>
      </c>
      <c r="BD76" t="s">
        <v>3</v>
      </c>
      <c r="BE76" t="s">
        <v>3</v>
      </c>
      <c r="BF76" t="s">
        <v>3</v>
      </c>
      <c r="BG76" t="s">
        <v>3</v>
      </c>
      <c r="BH76">
        <v>3</v>
      </c>
      <c r="BI76">
        <v>4</v>
      </c>
      <c r="BJ76" t="s">
        <v>206</v>
      </c>
      <c r="BM76">
        <v>0</v>
      </c>
      <c r="BN76">
        <v>0</v>
      </c>
      <c r="BO76" t="s">
        <v>3</v>
      </c>
      <c r="BP76">
        <v>0</v>
      </c>
      <c r="BQ76">
        <v>1</v>
      </c>
      <c r="BR76">
        <v>1</v>
      </c>
      <c r="BS76">
        <v>1</v>
      </c>
      <c r="BT76">
        <v>1</v>
      </c>
      <c r="BU76">
        <v>1</v>
      </c>
      <c r="BV76">
        <v>1</v>
      </c>
      <c r="BW76">
        <v>1</v>
      </c>
      <c r="BX76">
        <v>1</v>
      </c>
      <c r="BY76" t="s">
        <v>3</v>
      </c>
      <c r="BZ76">
        <v>70</v>
      </c>
      <c r="CA76">
        <v>10</v>
      </c>
      <c r="CB76" t="s">
        <v>3</v>
      </c>
      <c r="CE76">
        <v>0</v>
      </c>
      <c r="CF76">
        <v>0</v>
      </c>
      <c r="CG76">
        <v>0</v>
      </c>
      <c r="CM76">
        <v>0</v>
      </c>
      <c r="CN76" t="s">
        <v>3</v>
      </c>
      <c r="CO76">
        <v>0</v>
      </c>
      <c r="CP76">
        <f t="shared" si="74"/>
        <v>-1935.43</v>
      </c>
      <c r="CQ76">
        <f t="shared" si="75"/>
        <v>141.79</v>
      </c>
      <c r="CR76">
        <f t="shared" si="76"/>
        <v>0</v>
      </c>
      <c r="CS76">
        <f t="shared" si="77"/>
        <v>0</v>
      </c>
      <c r="CT76">
        <f t="shared" si="78"/>
        <v>0</v>
      </c>
      <c r="CU76">
        <f t="shared" si="79"/>
        <v>0</v>
      </c>
      <c r="CV76">
        <f t="shared" si="80"/>
        <v>0</v>
      </c>
      <c r="CW76">
        <f t="shared" si="81"/>
        <v>0</v>
      </c>
      <c r="CX76">
        <f t="shared" si="82"/>
        <v>0</v>
      </c>
      <c r="CY76">
        <f t="shared" si="83"/>
        <v>0</v>
      </c>
      <c r="CZ76">
        <f t="shared" si="84"/>
        <v>0</v>
      </c>
      <c r="DC76" t="s">
        <v>3</v>
      </c>
      <c r="DD76" t="s">
        <v>3</v>
      </c>
      <c r="DE76" t="s">
        <v>3</v>
      </c>
      <c r="DF76" t="s">
        <v>3</v>
      </c>
      <c r="DG76" t="s">
        <v>3</v>
      </c>
      <c r="DH76" t="s">
        <v>3</v>
      </c>
      <c r="DI76" t="s">
        <v>3</v>
      </c>
      <c r="DJ76" t="s">
        <v>3</v>
      </c>
      <c r="DK76" t="s">
        <v>3</v>
      </c>
      <c r="DL76" t="s">
        <v>3</v>
      </c>
      <c r="DM76" t="s">
        <v>3</v>
      </c>
      <c r="DN76">
        <v>0</v>
      </c>
      <c r="DO76">
        <v>0</v>
      </c>
      <c r="DP76">
        <v>1</v>
      </c>
      <c r="DQ76">
        <v>1</v>
      </c>
      <c r="DU76">
        <v>1010</v>
      </c>
      <c r="DV76" t="s">
        <v>20</v>
      </c>
      <c r="DW76" t="s">
        <v>20</v>
      </c>
      <c r="DX76">
        <v>1</v>
      </c>
      <c r="DZ76" t="s">
        <v>3</v>
      </c>
      <c r="EA76" t="s">
        <v>3</v>
      </c>
      <c r="EB76" t="s">
        <v>3</v>
      </c>
      <c r="EC76" t="s">
        <v>3</v>
      </c>
      <c r="EE76">
        <v>43033442</v>
      </c>
      <c r="EF76">
        <v>1</v>
      </c>
      <c r="EG76" t="s">
        <v>22</v>
      </c>
      <c r="EH76">
        <v>0</v>
      </c>
      <c r="EI76" t="s">
        <v>3</v>
      </c>
      <c r="EJ76">
        <v>4</v>
      </c>
      <c r="EK76">
        <v>0</v>
      </c>
      <c r="EL76" t="s">
        <v>23</v>
      </c>
      <c r="EM76" t="s">
        <v>24</v>
      </c>
      <c r="EO76" t="s">
        <v>3</v>
      </c>
      <c r="EQ76">
        <v>0</v>
      </c>
      <c r="ER76">
        <v>141.79</v>
      </c>
      <c r="ES76">
        <v>141.79</v>
      </c>
      <c r="ET76">
        <v>0</v>
      </c>
      <c r="EU76">
        <v>0</v>
      </c>
      <c r="EV76">
        <v>0</v>
      </c>
      <c r="EW76">
        <v>0</v>
      </c>
      <c r="EX76">
        <v>0</v>
      </c>
      <c r="FQ76">
        <v>0</v>
      </c>
      <c r="FR76">
        <f t="shared" si="85"/>
        <v>0</v>
      </c>
      <c r="FS76">
        <v>0</v>
      </c>
      <c r="FX76">
        <v>70</v>
      </c>
      <c r="FY76">
        <v>10</v>
      </c>
      <c r="GA76" t="s">
        <v>3</v>
      </c>
      <c r="GD76">
        <v>0</v>
      </c>
      <c r="GF76">
        <v>-1028089448</v>
      </c>
      <c r="GG76">
        <v>2</v>
      </c>
      <c r="GH76">
        <v>1</v>
      </c>
      <c r="GI76">
        <v>-2</v>
      </c>
      <c r="GJ76">
        <v>0</v>
      </c>
      <c r="GK76">
        <f>ROUND(R76*(R12)/100,2)</f>
        <v>0</v>
      </c>
      <c r="GL76">
        <f t="shared" si="86"/>
        <v>0</v>
      </c>
      <c r="GM76">
        <f t="shared" si="87"/>
        <v>-1935.43</v>
      </c>
      <c r="GN76">
        <f t="shared" si="88"/>
        <v>0</v>
      </c>
      <c r="GO76">
        <f t="shared" si="89"/>
        <v>0</v>
      </c>
      <c r="GP76">
        <f t="shared" si="90"/>
        <v>-1935.43</v>
      </c>
      <c r="GR76">
        <v>0</v>
      </c>
      <c r="GS76">
        <v>3</v>
      </c>
      <c r="GT76">
        <v>0</v>
      </c>
      <c r="GU76" t="s">
        <v>3</v>
      </c>
      <c r="GV76">
        <f t="shared" si="91"/>
        <v>0</v>
      </c>
      <c r="GW76">
        <v>1</v>
      </c>
      <c r="GX76">
        <f t="shared" si="92"/>
        <v>0</v>
      </c>
      <c r="HA76">
        <v>0</v>
      </c>
      <c r="HB76">
        <v>0</v>
      </c>
      <c r="HC76">
        <f t="shared" si="93"/>
        <v>0</v>
      </c>
      <c r="HE76" t="s">
        <v>3</v>
      </c>
      <c r="HF76" t="s">
        <v>3</v>
      </c>
      <c r="HM76" t="s">
        <v>3</v>
      </c>
      <c r="HN76" t="s">
        <v>3</v>
      </c>
      <c r="HO76" t="s">
        <v>3</v>
      </c>
      <c r="HP76" t="s">
        <v>3</v>
      </c>
      <c r="HQ76" t="s">
        <v>3</v>
      </c>
      <c r="IK76">
        <v>0</v>
      </c>
    </row>
    <row r="77" spans="1:245" x14ac:dyDescent="0.2">
      <c r="A77">
        <v>18</v>
      </c>
      <c r="B77">
        <v>1</v>
      </c>
      <c r="C77">
        <v>86</v>
      </c>
      <c r="E77" t="s">
        <v>207</v>
      </c>
      <c r="F77" t="s">
        <v>208</v>
      </c>
      <c r="G77" t="s">
        <v>209</v>
      </c>
      <c r="H77" t="s">
        <v>20</v>
      </c>
      <c r="I77">
        <f>I65*J77</f>
        <v>-1.82</v>
      </c>
      <c r="J77">
        <v>-2</v>
      </c>
      <c r="K77">
        <v>-2</v>
      </c>
      <c r="O77">
        <f t="shared" si="54"/>
        <v>-350.2</v>
      </c>
      <c r="P77">
        <f t="shared" si="55"/>
        <v>-350.2</v>
      </c>
      <c r="Q77">
        <f t="shared" si="56"/>
        <v>0</v>
      </c>
      <c r="R77">
        <f t="shared" si="57"/>
        <v>0</v>
      </c>
      <c r="S77">
        <f t="shared" si="58"/>
        <v>0</v>
      </c>
      <c r="T77">
        <f t="shared" si="59"/>
        <v>0</v>
      </c>
      <c r="U77">
        <f t="shared" si="60"/>
        <v>0</v>
      </c>
      <c r="V77">
        <f t="shared" si="61"/>
        <v>0</v>
      </c>
      <c r="W77">
        <f t="shared" si="62"/>
        <v>0</v>
      </c>
      <c r="X77">
        <f t="shared" si="63"/>
        <v>0</v>
      </c>
      <c r="Y77">
        <f t="shared" si="64"/>
        <v>0</v>
      </c>
      <c r="AA77">
        <v>43095088</v>
      </c>
      <c r="AB77">
        <f t="shared" si="65"/>
        <v>192.42</v>
      </c>
      <c r="AC77">
        <f t="shared" si="66"/>
        <v>192.42</v>
      </c>
      <c r="AD77">
        <f t="shared" si="67"/>
        <v>0</v>
      </c>
      <c r="AE77">
        <f t="shared" si="68"/>
        <v>0</v>
      </c>
      <c r="AF77">
        <f t="shared" si="69"/>
        <v>0</v>
      </c>
      <c r="AG77">
        <f t="shared" si="70"/>
        <v>0</v>
      </c>
      <c r="AH77">
        <f t="shared" si="71"/>
        <v>0</v>
      </c>
      <c r="AI77">
        <f t="shared" si="72"/>
        <v>0</v>
      </c>
      <c r="AJ77">
        <f t="shared" si="73"/>
        <v>0</v>
      </c>
      <c r="AK77">
        <v>192.42</v>
      </c>
      <c r="AL77">
        <v>192.42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70</v>
      </c>
      <c r="AU77">
        <v>10</v>
      </c>
      <c r="AV77">
        <v>1</v>
      </c>
      <c r="AW77">
        <v>1</v>
      </c>
      <c r="AZ77">
        <v>1</v>
      </c>
      <c r="BA77">
        <v>1</v>
      </c>
      <c r="BB77">
        <v>1</v>
      </c>
      <c r="BC77">
        <v>1</v>
      </c>
      <c r="BD77" t="s">
        <v>3</v>
      </c>
      <c r="BE77" t="s">
        <v>3</v>
      </c>
      <c r="BF77" t="s">
        <v>3</v>
      </c>
      <c r="BG77" t="s">
        <v>3</v>
      </c>
      <c r="BH77">
        <v>3</v>
      </c>
      <c r="BI77">
        <v>4</v>
      </c>
      <c r="BJ77" t="s">
        <v>210</v>
      </c>
      <c r="BM77">
        <v>0</v>
      </c>
      <c r="BN77">
        <v>0</v>
      </c>
      <c r="BO77" t="s">
        <v>3</v>
      </c>
      <c r="BP77">
        <v>0</v>
      </c>
      <c r="BQ77">
        <v>1</v>
      </c>
      <c r="BR77">
        <v>1</v>
      </c>
      <c r="BS77">
        <v>1</v>
      </c>
      <c r="BT77">
        <v>1</v>
      </c>
      <c r="BU77">
        <v>1</v>
      </c>
      <c r="BV77">
        <v>1</v>
      </c>
      <c r="BW77">
        <v>1</v>
      </c>
      <c r="BX77">
        <v>1</v>
      </c>
      <c r="BY77" t="s">
        <v>3</v>
      </c>
      <c r="BZ77">
        <v>70</v>
      </c>
      <c r="CA77">
        <v>10</v>
      </c>
      <c r="CB77" t="s">
        <v>3</v>
      </c>
      <c r="CE77">
        <v>0</v>
      </c>
      <c r="CF77">
        <v>0</v>
      </c>
      <c r="CG77">
        <v>0</v>
      </c>
      <c r="CM77">
        <v>0</v>
      </c>
      <c r="CN77" t="s">
        <v>3</v>
      </c>
      <c r="CO77">
        <v>0</v>
      </c>
      <c r="CP77">
        <f t="shared" si="74"/>
        <v>-350.2</v>
      </c>
      <c r="CQ77">
        <f t="shared" si="75"/>
        <v>192.42</v>
      </c>
      <c r="CR77">
        <f t="shared" si="76"/>
        <v>0</v>
      </c>
      <c r="CS77">
        <f t="shared" si="77"/>
        <v>0</v>
      </c>
      <c r="CT77">
        <f t="shared" si="78"/>
        <v>0</v>
      </c>
      <c r="CU77">
        <f t="shared" si="79"/>
        <v>0</v>
      </c>
      <c r="CV77">
        <f t="shared" si="80"/>
        <v>0</v>
      </c>
      <c r="CW77">
        <f t="shared" si="81"/>
        <v>0</v>
      </c>
      <c r="CX77">
        <f t="shared" si="82"/>
        <v>0</v>
      </c>
      <c r="CY77">
        <f t="shared" si="83"/>
        <v>0</v>
      </c>
      <c r="CZ77">
        <f t="shared" si="84"/>
        <v>0</v>
      </c>
      <c r="DC77" t="s">
        <v>3</v>
      </c>
      <c r="DD77" t="s">
        <v>3</v>
      </c>
      <c r="DE77" t="s">
        <v>3</v>
      </c>
      <c r="DF77" t="s">
        <v>3</v>
      </c>
      <c r="DG77" t="s">
        <v>3</v>
      </c>
      <c r="DH77" t="s">
        <v>3</v>
      </c>
      <c r="DI77" t="s">
        <v>3</v>
      </c>
      <c r="DJ77" t="s">
        <v>3</v>
      </c>
      <c r="DK77" t="s">
        <v>3</v>
      </c>
      <c r="DL77" t="s">
        <v>3</v>
      </c>
      <c r="DM77" t="s">
        <v>3</v>
      </c>
      <c r="DN77">
        <v>0</v>
      </c>
      <c r="DO77">
        <v>0</v>
      </c>
      <c r="DP77">
        <v>1</v>
      </c>
      <c r="DQ77">
        <v>1</v>
      </c>
      <c r="DU77">
        <v>1010</v>
      </c>
      <c r="DV77" t="s">
        <v>20</v>
      </c>
      <c r="DW77" t="s">
        <v>20</v>
      </c>
      <c r="DX77">
        <v>1</v>
      </c>
      <c r="DZ77" t="s">
        <v>3</v>
      </c>
      <c r="EA77" t="s">
        <v>3</v>
      </c>
      <c r="EB77" t="s">
        <v>3</v>
      </c>
      <c r="EC77" t="s">
        <v>3</v>
      </c>
      <c r="EE77">
        <v>43033442</v>
      </c>
      <c r="EF77">
        <v>1</v>
      </c>
      <c r="EG77" t="s">
        <v>22</v>
      </c>
      <c r="EH77">
        <v>0</v>
      </c>
      <c r="EI77" t="s">
        <v>3</v>
      </c>
      <c r="EJ77">
        <v>4</v>
      </c>
      <c r="EK77">
        <v>0</v>
      </c>
      <c r="EL77" t="s">
        <v>23</v>
      </c>
      <c r="EM77" t="s">
        <v>24</v>
      </c>
      <c r="EO77" t="s">
        <v>3</v>
      </c>
      <c r="EQ77">
        <v>0</v>
      </c>
      <c r="ER77">
        <v>192.42</v>
      </c>
      <c r="ES77">
        <v>192.42</v>
      </c>
      <c r="ET77">
        <v>0</v>
      </c>
      <c r="EU77">
        <v>0</v>
      </c>
      <c r="EV77">
        <v>0</v>
      </c>
      <c r="EW77">
        <v>0</v>
      </c>
      <c r="EX77">
        <v>0</v>
      </c>
      <c r="FQ77">
        <v>0</v>
      </c>
      <c r="FR77">
        <f t="shared" si="85"/>
        <v>0</v>
      </c>
      <c r="FS77">
        <v>0</v>
      </c>
      <c r="FX77">
        <v>70</v>
      </c>
      <c r="FY77">
        <v>10</v>
      </c>
      <c r="GA77" t="s">
        <v>3</v>
      </c>
      <c r="GD77">
        <v>0</v>
      </c>
      <c r="GF77">
        <v>1061756975</v>
      </c>
      <c r="GG77">
        <v>2</v>
      </c>
      <c r="GH77">
        <v>1</v>
      </c>
      <c r="GI77">
        <v>-2</v>
      </c>
      <c r="GJ77">
        <v>0</v>
      </c>
      <c r="GK77">
        <f>ROUND(R77*(R12)/100,2)</f>
        <v>0</v>
      </c>
      <c r="GL77">
        <f t="shared" si="86"/>
        <v>0</v>
      </c>
      <c r="GM77">
        <f t="shared" si="87"/>
        <v>-350.2</v>
      </c>
      <c r="GN77">
        <f t="shared" si="88"/>
        <v>0</v>
      </c>
      <c r="GO77">
        <f t="shared" si="89"/>
        <v>0</v>
      </c>
      <c r="GP77">
        <f t="shared" si="90"/>
        <v>-350.2</v>
      </c>
      <c r="GR77">
        <v>0</v>
      </c>
      <c r="GS77">
        <v>3</v>
      </c>
      <c r="GT77">
        <v>0</v>
      </c>
      <c r="GU77" t="s">
        <v>3</v>
      </c>
      <c r="GV77">
        <f t="shared" si="91"/>
        <v>0</v>
      </c>
      <c r="GW77">
        <v>1</v>
      </c>
      <c r="GX77">
        <f t="shared" si="92"/>
        <v>0</v>
      </c>
      <c r="HA77">
        <v>0</v>
      </c>
      <c r="HB77">
        <v>0</v>
      </c>
      <c r="HC77">
        <f t="shared" si="93"/>
        <v>0</v>
      </c>
      <c r="HE77" t="s">
        <v>3</v>
      </c>
      <c r="HF77" t="s">
        <v>3</v>
      </c>
      <c r="HM77" t="s">
        <v>3</v>
      </c>
      <c r="HN77" t="s">
        <v>3</v>
      </c>
      <c r="HO77" t="s">
        <v>3</v>
      </c>
      <c r="HP77" t="s">
        <v>3</v>
      </c>
      <c r="HQ77" t="s">
        <v>3</v>
      </c>
      <c r="IK77">
        <v>0</v>
      </c>
    </row>
    <row r="78" spans="1:245" x14ac:dyDescent="0.2">
      <c r="A78">
        <v>17</v>
      </c>
      <c r="B78">
        <v>1</v>
      </c>
      <c r="C78">
        <f>ROW(SmtRes!A99)</f>
        <v>99</v>
      </c>
      <c r="D78">
        <f>ROW(EtalonRes!A88)</f>
        <v>88</v>
      </c>
      <c r="E78" t="s">
        <v>211</v>
      </c>
      <c r="F78" t="s">
        <v>212</v>
      </c>
      <c r="G78" t="s">
        <v>213</v>
      </c>
      <c r="H78" t="s">
        <v>118</v>
      </c>
      <c r="I78">
        <f>ROUND(144/100,9)</f>
        <v>1.44</v>
      </c>
      <c r="J78">
        <v>0</v>
      </c>
      <c r="K78">
        <f>ROUND(144/100,9)</f>
        <v>1.44</v>
      </c>
      <c r="O78">
        <f t="shared" si="54"/>
        <v>26004.27</v>
      </c>
      <c r="P78">
        <f t="shared" si="55"/>
        <v>24302.38</v>
      </c>
      <c r="Q78">
        <f t="shared" si="56"/>
        <v>0</v>
      </c>
      <c r="R78">
        <f t="shared" si="57"/>
        <v>0</v>
      </c>
      <c r="S78">
        <f t="shared" si="58"/>
        <v>1701.89</v>
      </c>
      <c r="T78">
        <f t="shared" si="59"/>
        <v>0</v>
      </c>
      <c r="U78">
        <f t="shared" si="60"/>
        <v>6.8255999999999997</v>
      </c>
      <c r="V78">
        <f t="shared" si="61"/>
        <v>0</v>
      </c>
      <c r="W78">
        <f t="shared" si="62"/>
        <v>0</v>
      </c>
      <c r="X78">
        <f t="shared" si="63"/>
        <v>1191.32</v>
      </c>
      <c r="Y78">
        <f t="shared" si="64"/>
        <v>170.19</v>
      </c>
      <c r="AA78">
        <v>43095088</v>
      </c>
      <c r="AB78">
        <f t="shared" si="65"/>
        <v>18058.52</v>
      </c>
      <c r="AC78">
        <f t="shared" si="66"/>
        <v>16876.650000000001</v>
      </c>
      <c r="AD78">
        <f t="shared" si="67"/>
        <v>0</v>
      </c>
      <c r="AE78">
        <f t="shared" si="68"/>
        <v>0</v>
      </c>
      <c r="AF78">
        <f t="shared" si="69"/>
        <v>1181.8699999999999</v>
      </c>
      <c r="AG78">
        <f t="shared" si="70"/>
        <v>0</v>
      </c>
      <c r="AH78">
        <f t="shared" si="71"/>
        <v>4.74</v>
      </c>
      <c r="AI78">
        <f t="shared" si="72"/>
        <v>0</v>
      </c>
      <c r="AJ78">
        <f t="shared" si="73"/>
        <v>0</v>
      </c>
      <c r="AK78">
        <v>18058.52</v>
      </c>
      <c r="AL78">
        <v>16876.650000000001</v>
      </c>
      <c r="AM78">
        <v>0</v>
      </c>
      <c r="AN78">
        <v>0</v>
      </c>
      <c r="AO78">
        <v>1181.8699999999999</v>
      </c>
      <c r="AP78">
        <v>0</v>
      </c>
      <c r="AQ78">
        <v>4.74</v>
      </c>
      <c r="AR78">
        <v>0</v>
      </c>
      <c r="AS78">
        <v>0</v>
      </c>
      <c r="AT78">
        <v>70</v>
      </c>
      <c r="AU78">
        <v>10</v>
      </c>
      <c r="AV78">
        <v>1</v>
      </c>
      <c r="AW78">
        <v>1</v>
      </c>
      <c r="AZ78">
        <v>1</v>
      </c>
      <c r="BA78">
        <v>1</v>
      </c>
      <c r="BB78">
        <v>1</v>
      </c>
      <c r="BC78">
        <v>1</v>
      </c>
      <c r="BD78" t="s">
        <v>3</v>
      </c>
      <c r="BE78" t="s">
        <v>3</v>
      </c>
      <c r="BF78" t="s">
        <v>3</v>
      </c>
      <c r="BG78" t="s">
        <v>3</v>
      </c>
      <c r="BH78">
        <v>0</v>
      </c>
      <c r="BI78">
        <v>4</v>
      </c>
      <c r="BJ78" t="s">
        <v>214</v>
      </c>
      <c r="BM78">
        <v>0</v>
      </c>
      <c r="BN78">
        <v>0</v>
      </c>
      <c r="BO78" t="s">
        <v>3</v>
      </c>
      <c r="BP78">
        <v>0</v>
      </c>
      <c r="BQ78">
        <v>1</v>
      </c>
      <c r="BR78">
        <v>0</v>
      </c>
      <c r="BS78">
        <v>1</v>
      </c>
      <c r="BT78">
        <v>1</v>
      </c>
      <c r="BU78">
        <v>1</v>
      </c>
      <c r="BV78">
        <v>1</v>
      </c>
      <c r="BW78">
        <v>1</v>
      </c>
      <c r="BX78">
        <v>1</v>
      </c>
      <c r="BY78" t="s">
        <v>3</v>
      </c>
      <c r="BZ78">
        <v>70</v>
      </c>
      <c r="CA78">
        <v>10</v>
      </c>
      <c r="CB78" t="s">
        <v>3</v>
      </c>
      <c r="CE78">
        <v>0</v>
      </c>
      <c r="CF78">
        <v>0</v>
      </c>
      <c r="CG78">
        <v>0</v>
      </c>
      <c r="CM78">
        <v>0</v>
      </c>
      <c r="CN78" t="s">
        <v>3</v>
      </c>
      <c r="CO78">
        <v>0</v>
      </c>
      <c r="CP78">
        <f t="shared" si="74"/>
        <v>26004.27</v>
      </c>
      <c r="CQ78">
        <f t="shared" si="75"/>
        <v>16876.650000000001</v>
      </c>
      <c r="CR78">
        <f t="shared" si="76"/>
        <v>0</v>
      </c>
      <c r="CS78">
        <f t="shared" si="77"/>
        <v>0</v>
      </c>
      <c r="CT78">
        <f t="shared" si="78"/>
        <v>1181.8699999999999</v>
      </c>
      <c r="CU78">
        <f t="shared" si="79"/>
        <v>0</v>
      </c>
      <c r="CV78">
        <f t="shared" si="80"/>
        <v>4.74</v>
      </c>
      <c r="CW78">
        <f t="shared" si="81"/>
        <v>0</v>
      </c>
      <c r="CX78">
        <f t="shared" si="82"/>
        <v>0</v>
      </c>
      <c r="CY78">
        <f t="shared" si="83"/>
        <v>1191.3230000000001</v>
      </c>
      <c r="CZ78">
        <f t="shared" si="84"/>
        <v>170.18900000000002</v>
      </c>
      <c r="DC78" t="s">
        <v>3</v>
      </c>
      <c r="DD78" t="s">
        <v>3</v>
      </c>
      <c r="DE78" t="s">
        <v>3</v>
      </c>
      <c r="DF78" t="s">
        <v>3</v>
      </c>
      <c r="DG78" t="s">
        <v>3</v>
      </c>
      <c r="DH78" t="s">
        <v>3</v>
      </c>
      <c r="DI78" t="s">
        <v>3</v>
      </c>
      <c r="DJ78" t="s">
        <v>3</v>
      </c>
      <c r="DK78" t="s">
        <v>3</v>
      </c>
      <c r="DL78" t="s">
        <v>3</v>
      </c>
      <c r="DM78" t="s">
        <v>3</v>
      </c>
      <c r="DN78">
        <v>0</v>
      </c>
      <c r="DO78">
        <v>0</v>
      </c>
      <c r="DP78">
        <v>1</v>
      </c>
      <c r="DQ78">
        <v>1</v>
      </c>
      <c r="DU78">
        <v>1003</v>
      </c>
      <c r="DV78" t="s">
        <v>118</v>
      </c>
      <c r="DW78" t="s">
        <v>118</v>
      </c>
      <c r="DX78">
        <v>100</v>
      </c>
      <c r="DZ78" t="s">
        <v>3</v>
      </c>
      <c r="EA78" t="s">
        <v>3</v>
      </c>
      <c r="EB78" t="s">
        <v>3</v>
      </c>
      <c r="EC78" t="s">
        <v>3</v>
      </c>
      <c r="EE78">
        <v>43033442</v>
      </c>
      <c r="EF78">
        <v>1</v>
      </c>
      <c r="EG78" t="s">
        <v>22</v>
      </c>
      <c r="EH78">
        <v>0</v>
      </c>
      <c r="EI78" t="s">
        <v>3</v>
      </c>
      <c r="EJ78">
        <v>4</v>
      </c>
      <c r="EK78">
        <v>0</v>
      </c>
      <c r="EL78" t="s">
        <v>23</v>
      </c>
      <c r="EM78" t="s">
        <v>24</v>
      </c>
      <c r="EO78" t="s">
        <v>3</v>
      </c>
      <c r="EQ78">
        <v>0</v>
      </c>
      <c r="ER78">
        <v>18058.52</v>
      </c>
      <c r="ES78">
        <v>16876.650000000001</v>
      </c>
      <c r="ET78">
        <v>0</v>
      </c>
      <c r="EU78">
        <v>0</v>
      </c>
      <c r="EV78">
        <v>1181.8699999999999</v>
      </c>
      <c r="EW78">
        <v>4.74</v>
      </c>
      <c r="EX78">
        <v>0</v>
      </c>
      <c r="EY78">
        <v>0</v>
      </c>
      <c r="FQ78">
        <v>0</v>
      </c>
      <c r="FR78">
        <f t="shared" si="85"/>
        <v>0</v>
      </c>
      <c r="FS78">
        <v>0</v>
      </c>
      <c r="FX78">
        <v>70</v>
      </c>
      <c r="FY78">
        <v>10</v>
      </c>
      <c r="GA78" t="s">
        <v>3</v>
      </c>
      <c r="GD78">
        <v>0</v>
      </c>
      <c r="GF78">
        <v>161514742</v>
      </c>
      <c r="GG78">
        <v>2</v>
      </c>
      <c r="GH78">
        <v>1</v>
      </c>
      <c r="GI78">
        <v>-2</v>
      </c>
      <c r="GJ78">
        <v>0</v>
      </c>
      <c r="GK78">
        <f>ROUND(R78*(R12)/100,2)</f>
        <v>0</v>
      </c>
      <c r="GL78">
        <f t="shared" si="86"/>
        <v>0</v>
      </c>
      <c r="GM78">
        <f t="shared" si="87"/>
        <v>27365.78</v>
      </c>
      <c r="GN78">
        <f t="shared" si="88"/>
        <v>0</v>
      </c>
      <c r="GO78">
        <f t="shared" si="89"/>
        <v>0</v>
      </c>
      <c r="GP78">
        <f t="shared" si="90"/>
        <v>27365.78</v>
      </c>
      <c r="GR78">
        <v>0</v>
      </c>
      <c r="GS78">
        <v>3</v>
      </c>
      <c r="GT78">
        <v>0</v>
      </c>
      <c r="GU78" t="s">
        <v>3</v>
      </c>
      <c r="GV78">
        <f t="shared" si="91"/>
        <v>0</v>
      </c>
      <c r="GW78">
        <v>1</v>
      </c>
      <c r="GX78">
        <f t="shared" si="92"/>
        <v>0</v>
      </c>
      <c r="HA78">
        <v>0</v>
      </c>
      <c r="HB78">
        <v>0</v>
      </c>
      <c r="HC78">
        <f t="shared" si="93"/>
        <v>0</v>
      </c>
      <c r="HE78" t="s">
        <v>3</v>
      </c>
      <c r="HF78" t="s">
        <v>3</v>
      </c>
      <c r="HM78" t="s">
        <v>3</v>
      </c>
      <c r="HN78" t="s">
        <v>3</v>
      </c>
      <c r="HO78" t="s">
        <v>3</v>
      </c>
      <c r="HP78" t="s">
        <v>3</v>
      </c>
      <c r="HQ78" t="s">
        <v>3</v>
      </c>
      <c r="IK78">
        <v>0</v>
      </c>
    </row>
    <row r="79" spans="1:245" x14ac:dyDescent="0.2">
      <c r="A79">
        <v>18</v>
      </c>
      <c r="B79">
        <v>1</v>
      </c>
      <c r="E79" t="s">
        <v>215</v>
      </c>
      <c r="F79" t="s">
        <v>34</v>
      </c>
      <c r="G79" t="s">
        <v>121</v>
      </c>
      <c r="H79" t="s">
        <v>64</v>
      </c>
      <c r="I79">
        <f>I78*J79</f>
        <v>148.32</v>
      </c>
      <c r="J79">
        <v>103</v>
      </c>
      <c r="K79">
        <v>103</v>
      </c>
      <c r="O79">
        <f t="shared" si="54"/>
        <v>22876.880000000001</v>
      </c>
      <c r="P79">
        <f t="shared" si="55"/>
        <v>22876.880000000001</v>
      </c>
      <c r="Q79">
        <f t="shared" si="56"/>
        <v>0</v>
      </c>
      <c r="R79">
        <f t="shared" si="57"/>
        <v>0</v>
      </c>
      <c r="S79">
        <f t="shared" si="58"/>
        <v>0</v>
      </c>
      <c r="T79">
        <f t="shared" si="59"/>
        <v>0</v>
      </c>
      <c r="U79">
        <f t="shared" si="60"/>
        <v>0</v>
      </c>
      <c r="V79">
        <f t="shared" si="61"/>
        <v>0</v>
      </c>
      <c r="W79">
        <f t="shared" si="62"/>
        <v>0</v>
      </c>
      <c r="X79">
        <f t="shared" si="63"/>
        <v>0</v>
      </c>
      <c r="Y79">
        <f t="shared" si="64"/>
        <v>0</v>
      </c>
      <c r="AA79">
        <v>43095088</v>
      </c>
      <c r="AB79">
        <f t="shared" si="65"/>
        <v>154.24</v>
      </c>
      <c r="AC79">
        <f t="shared" si="66"/>
        <v>154.24</v>
      </c>
      <c r="AD79">
        <f t="shared" si="67"/>
        <v>0</v>
      </c>
      <c r="AE79">
        <f t="shared" si="68"/>
        <v>0</v>
      </c>
      <c r="AF79">
        <f t="shared" si="69"/>
        <v>0</v>
      </c>
      <c r="AG79">
        <f t="shared" si="70"/>
        <v>0</v>
      </c>
      <c r="AH79">
        <f t="shared" si="71"/>
        <v>0</v>
      </c>
      <c r="AI79">
        <f t="shared" si="72"/>
        <v>0</v>
      </c>
      <c r="AJ79">
        <f t="shared" si="73"/>
        <v>0</v>
      </c>
      <c r="AK79">
        <v>154.24</v>
      </c>
      <c r="AL79">
        <v>154.24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70</v>
      </c>
      <c r="AU79">
        <v>10</v>
      </c>
      <c r="AV79">
        <v>1</v>
      </c>
      <c r="AW79">
        <v>1</v>
      </c>
      <c r="AZ79">
        <v>1</v>
      </c>
      <c r="BA79">
        <v>1</v>
      </c>
      <c r="BB79">
        <v>1</v>
      </c>
      <c r="BC79">
        <v>1</v>
      </c>
      <c r="BD79" t="s">
        <v>3</v>
      </c>
      <c r="BE79" t="s">
        <v>3</v>
      </c>
      <c r="BF79" t="s">
        <v>3</v>
      </c>
      <c r="BG79" t="s">
        <v>3</v>
      </c>
      <c r="BH79">
        <v>3</v>
      </c>
      <c r="BI79">
        <v>4</v>
      </c>
      <c r="BJ79" t="s">
        <v>3</v>
      </c>
      <c r="BM79">
        <v>0</v>
      </c>
      <c r="BN79">
        <v>0</v>
      </c>
      <c r="BO79" t="s">
        <v>3</v>
      </c>
      <c r="BP79">
        <v>0</v>
      </c>
      <c r="BQ79">
        <v>1</v>
      </c>
      <c r="BR79">
        <v>0</v>
      </c>
      <c r="BS79">
        <v>1</v>
      </c>
      <c r="BT79">
        <v>1</v>
      </c>
      <c r="BU79">
        <v>1</v>
      </c>
      <c r="BV79">
        <v>1</v>
      </c>
      <c r="BW79">
        <v>1</v>
      </c>
      <c r="BX79">
        <v>1</v>
      </c>
      <c r="BY79" t="s">
        <v>3</v>
      </c>
      <c r="BZ79">
        <v>70</v>
      </c>
      <c r="CA79">
        <v>10</v>
      </c>
      <c r="CB79" t="s">
        <v>3</v>
      </c>
      <c r="CE79">
        <v>0</v>
      </c>
      <c r="CF79">
        <v>0</v>
      </c>
      <c r="CG79">
        <v>0</v>
      </c>
      <c r="CM79">
        <v>0</v>
      </c>
      <c r="CN79" t="s">
        <v>3</v>
      </c>
      <c r="CO79">
        <v>0</v>
      </c>
      <c r="CP79">
        <f t="shared" si="74"/>
        <v>22876.880000000001</v>
      </c>
      <c r="CQ79">
        <f t="shared" si="75"/>
        <v>154.24</v>
      </c>
      <c r="CR79">
        <f t="shared" si="76"/>
        <v>0</v>
      </c>
      <c r="CS79">
        <f t="shared" si="77"/>
        <v>0</v>
      </c>
      <c r="CT79">
        <f t="shared" si="78"/>
        <v>0</v>
      </c>
      <c r="CU79">
        <f t="shared" si="79"/>
        <v>0</v>
      </c>
      <c r="CV79">
        <f t="shared" si="80"/>
        <v>0</v>
      </c>
      <c r="CW79">
        <f t="shared" si="81"/>
        <v>0</v>
      </c>
      <c r="CX79">
        <f t="shared" si="82"/>
        <v>0</v>
      </c>
      <c r="CY79">
        <f t="shared" si="83"/>
        <v>0</v>
      </c>
      <c r="CZ79">
        <f t="shared" si="84"/>
        <v>0</v>
      </c>
      <c r="DC79" t="s">
        <v>3</v>
      </c>
      <c r="DD79" t="s">
        <v>3</v>
      </c>
      <c r="DE79" t="s">
        <v>3</v>
      </c>
      <c r="DF79" t="s">
        <v>3</v>
      </c>
      <c r="DG79" t="s">
        <v>3</v>
      </c>
      <c r="DH79" t="s">
        <v>3</v>
      </c>
      <c r="DI79" t="s">
        <v>3</v>
      </c>
      <c r="DJ79" t="s">
        <v>3</v>
      </c>
      <c r="DK79" t="s">
        <v>3</v>
      </c>
      <c r="DL79" t="s">
        <v>3</v>
      </c>
      <c r="DM79" t="s">
        <v>3</v>
      </c>
      <c r="DN79">
        <v>0</v>
      </c>
      <c r="DO79">
        <v>0</v>
      </c>
      <c r="DP79">
        <v>1</v>
      </c>
      <c r="DQ79">
        <v>1</v>
      </c>
      <c r="DU79">
        <v>1003</v>
      </c>
      <c r="DV79" t="s">
        <v>64</v>
      </c>
      <c r="DW79" t="s">
        <v>64</v>
      </c>
      <c r="DX79">
        <v>1</v>
      </c>
      <c r="DZ79" t="s">
        <v>3</v>
      </c>
      <c r="EA79" t="s">
        <v>3</v>
      </c>
      <c r="EB79" t="s">
        <v>3</v>
      </c>
      <c r="EC79" t="s">
        <v>3</v>
      </c>
      <c r="EE79">
        <v>43033442</v>
      </c>
      <c r="EF79">
        <v>1</v>
      </c>
      <c r="EG79" t="s">
        <v>22</v>
      </c>
      <c r="EH79">
        <v>0</v>
      </c>
      <c r="EI79" t="s">
        <v>3</v>
      </c>
      <c r="EJ79">
        <v>4</v>
      </c>
      <c r="EK79">
        <v>0</v>
      </c>
      <c r="EL79" t="s">
        <v>23</v>
      </c>
      <c r="EM79" t="s">
        <v>24</v>
      </c>
      <c r="EO79" t="s">
        <v>3</v>
      </c>
      <c r="EQ79">
        <v>0</v>
      </c>
      <c r="ER79">
        <v>154.24</v>
      </c>
      <c r="ES79">
        <v>154.24</v>
      </c>
      <c r="ET79">
        <v>0</v>
      </c>
      <c r="EU79">
        <v>0</v>
      </c>
      <c r="EV79">
        <v>0</v>
      </c>
      <c r="EW79">
        <v>0</v>
      </c>
      <c r="EX79">
        <v>0</v>
      </c>
      <c r="EZ79">
        <v>5</v>
      </c>
      <c r="FC79">
        <v>1</v>
      </c>
      <c r="FD79">
        <v>18</v>
      </c>
      <c r="FF79">
        <v>185.09</v>
      </c>
      <c r="FQ79">
        <v>0</v>
      </c>
      <c r="FR79">
        <f t="shared" si="85"/>
        <v>0</v>
      </c>
      <c r="FS79">
        <v>0</v>
      </c>
      <c r="FX79">
        <v>70</v>
      </c>
      <c r="FY79">
        <v>10</v>
      </c>
      <c r="GA79" t="s">
        <v>160</v>
      </c>
      <c r="GD79">
        <v>0</v>
      </c>
      <c r="GF79">
        <v>-453885095</v>
      </c>
      <c r="GG79">
        <v>2</v>
      </c>
      <c r="GH79">
        <v>3</v>
      </c>
      <c r="GI79">
        <v>-2</v>
      </c>
      <c r="GJ79">
        <v>0</v>
      </c>
      <c r="GK79">
        <f>ROUND(R79*(R12)/100,2)</f>
        <v>0</v>
      </c>
      <c r="GL79">
        <f t="shared" si="86"/>
        <v>0</v>
      </c>
      <c r="GM79">
        <f t="shared" si="87"/>
        <v>22876.880000000001</v>
      </c>
      <c r="GN79">
        <f t="shared" si="88"/>
        <v>0</v>
      </c>
      <c r="GO79">
        <f t="shared" si="89"/>
        <v>0</v>
      </c>
      <c r="GP79">
        <f t="shared" si="90"/>
        <v>22876.880000000001</v>
      </c>
      <c r="GR79">
        <v>1</v>
      </c>
      <c r="GS79">
        <v>1</v>
      </c>
      <c r="GT79">
        <v>0</v>
      </c>
      <c r="GU79" t="s">
        <v>3</v>
      </c>
      <c r="GV79">
        <f t="shared" si="91"/>
        <v>0</v>
      </c>
      <c r="GW79">
        <v>1</v>
      </c>
      <c r="GX79">
        <f t="shared" si="92"/>
        <v>0</v>
      </c>
      <c r="HA79">
        <v>0</v>
      </c>
      <c r="HB79">
        <v>0</v>
      </c>
      <c r="HC79">
        <f t="shared" si="93"/>
        <v>0</v>
      </c>
      <c r="HE79" t="s">
        <v>37</v>
      </c>
      <c r="HF79" t="s">
        <v>37</v>
      </c>
      <c r="HM79" t="s">
        <v>3</v>
      </c>
      <c r="HN79" t="s">
        <v>3</v>
      </c>
      <c r="HO79" t="s">
        <v>3</v>
      </c>
      <c r="HP79" t="s">
        <v>3</v>
      </c>
      <c r="HQ79" t="s">
        <v>3</v>
      </c>
      <c r="IK79">
        <v>0</v>
      </c>
    </row>
    <row r="80" spans="1:245" x14ac:dyDescent="0.2">
      <c r="A80">
        <v>18</v>
      </c>
      <c r="B80">
        <v>1</v>
      </c>
      <c r="C80">
        <v>99</v>
      </c>
      <c r="E80" t="s">
        <v>216</v>
      </c>
      <c r="F80" t="s">
        <v>217</v>
      </c>
      <c r="G80" t="s">
        <v>218</v>
      </c>
      <c r="H80" t="s">
        <v>219</v>
      </c>
      <c r="I80">
        <f>I78*J80</f>
        <v>-0.14832000000000001</v>
      </c>
      <c r="J80">
        <v>-0.10300000000000001</v>
      </c>
      <c r="K80">
        <v>-0.10299999999999999</v>
      </c>
      <c r="O80">
        <f t="shared" si="54"/>
        <v>-23873.91</v>
      </c>
      <c r="P80">
        <f t="shared" si="55"/>
        <v>-23873.91</v>
      </c>
      <c r="Q80">
        <f t="shared" si="56"/>
        <v>0</v>
      </c>
      <c r="R80">
        <f t="shared" si="57"/>
        <v>0</v>
      </c>
      <c r="S80">
        <f t="shared" si="58"/>
        <v>0</v>
      </c>
      <c r="T80">
        <f t="shared" si="59"/>
        <v>0</v>
      </c>
      <c r="U80">
        <f t="shared" si="60"/>
        <v>0</v>
      </c>
      <c r="V80">
        <f t="shared" si="61"/>
        <v>0</v>
      </c>
      <c r="W80">
        <f t="shared" si="62"/>
        <v>0</v>
      </c>
      <c r="X80">
        <f t="shared" si="63"/>
        <v>0</v>
      </c>
      <c r="Y80">
        <f t="shared" si="64"/>
        <v>0</v>
      </c>
      <c r="AA80">
        <v>43095088</v>
      </c>
      <c r="AB80">
        <f t="shared" si="65"/>
        <v>160962.20000000001</v>
      </c>
      <c r="AC80">
        <f t="shared" si="66"/>
        <v>160962.20000000001</v>
      </c>
      <c r="AD80">
        <f t="shared" si="67"/>
        <v>0</v>
      </c>
      <c r="AE80">
        <f t="shared" si="68"/>
        <v>0</v>
      </c>
      <c r="AF80">
        <f t="shared" si="69"/>
        <v>0</v>
      </c>
      <c r="AG80">
        <f t="shared" si="70"/>
        <v>0</v>
      </c>
      <c r="AH80">
        <f t="shared" si="71"/>
        <v>0</v>
      </c>
      <c r="AI80">
        <f t="shared" si="72"/>
        <v>0</v>
      </c>
      <c r="AJ80">
        <f t="shared" si="73"/>
        <v>0</v>
      </c>
      <c r="AK80">
        <v>160962.20000000001</v>
      </c>
      <c r="AL80">
        <v>160962.20000000001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70</v>
      </c>
      <c r="AU80">
        <v>10</v>
      </c>
      <c r="AV80">
        <v>1</v>
      </c>
      <c r="AW80">
        <v>1</v>
      </c>
      <c r="AZ80">
        <v>1</v>
      </c>
      <c r="BA80">
        <v>1</v>
      </c>
      <c r="BB80">
        <v>1</v>
      </c>
      <c r="BC80">
        <v>1</v>
      </c>
      <c r="BD80" t="s">
        <v>3</v>
      </c>
      <c r="BE80" t="s">
        <v>3</v>
      </c>
      <c r="BF80" t="s">
        <v>3</v>
      </c>
      <c r="BG80" t="s">
        <v>3</v>
      </c>
      <c r="BH80">
        <v>3</v>
      </c>
      <c r="BI80">
        <v>4</v>
      </c>
      <c r="BJ80" t="s">
        <v>220</v>
      </c>
      <c r="BM80">
        <v>0</v>
      </c>
      <c r="BN80">
        <v>0</v>
      </c>
      <c r="BO80" t="s">
        <v>3</v>
      </c>
      <c r="BP80">
        <v>0</v>
      </c>
      <c r="BQ80">
        <v>1</v>
      </c>
      <c r="BR80">
        <v>1</v>
      </c>
      <c r="BS80">
        <v>1</v>
      </c>
      <c r="BT80">
        <v>1</v>
      </c>
      <c r="BU80">
        <v>1</v>
      </c>
      <c r="BV80">
        <v>1</v>
      </c>
      <c r="BW80">
        <v>1</v>
      </c>
      <c r="BX80">
        <v>1</v>
      </c>
      <c r="BY80" t="s">
        <v>3</v>
      </c>
      <c r="BZ80">
        <v>70</v>
      </c>
      <c r="CA80">
        <v>10</v>
      </c>
      <c r="CB80" t="s">
        <v>3</v>
      </c>
      <c r="CE80">
        <v>0</v>
      </c>
      <c r="CF80">
        <v>0</v>
      </c>
      <c r="CG80">
        <v>0</v>
      </c>
      <c r="CM80">
        <v>0</v>
      </c>
      <c r="CN80" t="s">
        <v>3</v>
      </c>
      <c r="CO80">
        <v>0</v>
      </c>
      <c r="CP80">
        <f t="shared" si="74"/>
        <v>-23873.91</v>
      </c>
      <c r="CQ80">
        <f t="shared" si="75"/>
        <v>160962.20000000001</v>
      </c>
      <c r="CR80">
        <f t="shared" si="76"/>
        <v>0</v>
      </c>
      <c r="CS80">
        <f t="shared" si="77"/>
        <v>0</v>
      </c>
      <c r="CT80">
        <f t="shared" si="78"/>
        <v>0</v>
      </c>
      <c r="CU80">
        <f t="shared" si="79"/>
        <v>0</v>
      </c>
      <c r="CV80">
        <f t="shared" si="80"/>
        <v>0</v>
      </c>
      <c r="CW80">
        <f t="shared" si="81"/>
        <v>0</v>
      </c>
      <c r="CX80">
        <f t="shared" si="82"/>
        <v>0</v>
      </c>
      <c r="CY80">
        <f t="shared" si="83"/>
        <v>0</v>
      </c>
      <c r="CZ80">
        <f t="shared" si="84"/>
        <v>0</v>
      </c>
      <c r="DC80" t="s">
        <v>3</v>
      </c>
      <c r="DD80" t="s">
        <v>3</v>
      </c>
      <c r="DE80" t="s">
        <v>3</v>
      </c>
      <c r="DF80" t="s">
        <v>3</v>
      </c>
      <c r="DG80" t="s">
        <v>3</v>
      </c>
      <c r="DH80" t="s">
        <v>3</v>
      </c>
      <c r="DI80" t="s">
        <v>3</v>
      </c>
      <c r="DJ80" t="s">
        <v>3</v>
      </c>
      <c r="DK80" t="s">
        <v>3</v>
      </c>
      <c r="DL80" t="s">
        <v>3</v>
      </c>
      <c r="DM80" t="s">
        <v>3</v>
      </c>
      <c r="DN80">
        <v>0</v>
      </c>
      <c r="DO80">
        <v>0</v>
      </c>
      <c r="DP80">
        <v>1</v>
      </c>
      <c r="DQ80">
        <v>1</v>
      </c>
      <c r="DU80">
        <v>1003</v>
      </c>
      <c r="DV80" t="s">
        <v>219</v>
      </c>
      <c r="DW80" t="s">
        <v>219</v>
      </c>
      <c r="DX80">
        <v>1000</v>
      </c>
      <c r="DZ80" t="s">
        <v>3</v>
      </c>
      <c r="EA80" t="s">
        <v>3</v>
      </c>
      <c r="EB80" t="s">
        <v>3</v>
      </c>
      <c r="EC80" t="s">
        <v>3</v>
      </c>
      <c r="EE80">
        <v>43033442</v>
      </c>
      <c r="EF80">
        <v>1</v>
      </c>
      <c r="EG80" t="s">
        <v>22</v>
      </c>
      <c r="EH80">
        <v>0</v>
      </c>
      <c r="EI80" t="s">
        <v>3</v>
      </c>
      <c r="EJ80">
        <v>4</v>
      </c>
      <c r="EK80">
        <v>0</v>
      </c>
      <c r="EL80" t="s">
        <v>23</v>
      </c>
      <c r="EM80" t="s">
        <v>24</v>
      </c>
      <c r="EO80" t="s">
        <v>3</v>
      </c>
      <c r="EQ80">
        <v>0</v>
      </c>
      <c r="ER80">
        <v>160962.20000000001</v>
      </c>
      <c r="ES80">
        <v>160962.20000000001</v>
      </c>
      <c r="ET80">
        <v>0</v>
      </c>
      <c r="EU80">
        <v>0</v>
      </c>
      <c r="EV80">
        <v>0</v>
      </c>
      <c r="EW80">
        <v>0</v>
      </c>
      <c r="EX80">
        <v>0</v>
      </c>
      <c r="FQ80">
        <v>0</v>
      </c>
      <c r="FR80">
        <f t="shared" si="85"/>
        <v>0</v>
      </c>
      <c r="FS80">
        <v>0</v>
      </c>
      <c r="FX80">
        <v>70</v>
      </c>
      <c r="FY80">
        <v>10</v>
      </c>
      <c r="GA80" t="s">
        <v>3</v>
      </c>
      <c r="GD80">
        <v>0</v>
      </c>
      <c r="GF80">
        <v>550560347</v>
      </c>
      <c r="GG80">
        <v>2</v>
      </c>
      <c r="GH80">
        <v>1</v>
      </c>
      <c r="GI80">
        <v>-2</v>
      </c>
      <c r="GJ80">
        <v>0</v>
      </c>
      <c r="GK80">
        <f>ROUND(R80*(R12)/100,2)</f>
        <v>0</v>
      </c>
      <c r="GL80">
        <f t="shared" si="86"/>
        <v>0</v>
      </c>
      <c r="GM80">
        <f t="shared" si="87"/>
        <v>-23873.91</v>
      </c>
      <c r="GN80">
        <f t="shared" si="88"/>
        <v>0</v>
      </c>
      <c r="GO80">
        <f t="shared" si="89"/>
        <v>0</v>
      </c>
      <c r="GP80">
        <f t="shared" si="90"/>
        <v>-23873.91</v>
      </c>
      <c r="GR80">
        <v>0</v>
      </c>
      <c r="GS80">
        <v>3</v>
      </c>
      <c r="GT80">
        <v>0</v>
      </c>
      <c r="GU80" t="s">
        <v>3</v>
      </c>
      <c r="GV80">
        <f t="shared" si="91"/>
        <v>0</v>
      </c>
      <c r="GW80">
        <v>1</v>
      </c>
      <c r="GX80">
        <f t="shared" si="92"/>
        <v>0</v>
      </c>
      <c r="HA80">
        <v>0</v>
      </c>
      <c r="HB80">
        <v>0</v>
      </c>
      <c r="HC80">
        <f t="shared" si="93"/>
        <v>0</v>
      </c>
      <c r="HE80" t="s">
        <v>3</v>
      </c>
      <c r="HF80" t="s">
        <v>3</v>
      </c>
      <c r="HM80" t="s">
        <v>3</v>
      </c>
      <c r="HN80" t="s">
        <v>3</v>
      </c>
      <c r="HO80" t="s">
        <v>3</v>
      </c>
      <c r="HP80" t="s">
        <v>3</v>
      </c>
      <c r="HQ80" t="s">
        <v>3</v>
      </c>
      <c r="IK80">
        <v>0</v>
      </c>
    </row>
    <row r="81" spans="1:245" x14ac:dyDescent="0.2">
      <c r="A81">
        <v>17</v>
      </c>
      <c r="B81">
        <v>1</v>
      </c>
      <c r="C81">
        <f>ROW(SmtRes!A107)</f>
        <v>107</v>
      </c>
      <c r="D81">
        <f>ROW(EtalonRes!A95)</f>
        <v>95</v>
      </c>
      <c r="E81" t="s">
        <v>221</v>
      </c>
      <c r="F81" t="s">
        <v>222</v>
      </c>
      <c r="G81" t="s">
        <v>223</v>
      </c>
      <c r="H81" t="s">
        <v>118</v>
      </c>
      <c r="I81">
        <f>ROUND(161/100,9)</f>
        <v>1.61</v>
      </c>
      <c r="J81">
        <v>0</v>
      </c>
      <c r="K81">
        <f>ROUND(161/100,9)</f>
        <v>1.61</v>
      </c>
      <c r="O81">
        <f t="shared" si="54"/>
        <v>64811.68</v>
      </c>
      <c r="P81">
        <f t="shared" si="55"/>
        <v>36431.42</v>
      </c>
      <c r="Q81">
        <f t="shared" si="56"/>
        <v>0</v>
      </c>
      <c r="R81">
        <f t="shared" si="57"/>
        <v>0</v>
      </c>
      <c r="S81">
        <f t="shared" si="58"/>
        <v>28380.26</v>
      </c>
      <c r="T81">
        <f t="shared" si="59"/>
        <v>0</v>
      </c>
      <c r="U81">
        <f t="shared" si="60"/>
        <v>108.1276</v>
      </c>
      <c r="V81">
        <f t="shared" si="61"/>
        <v>0</v>
      </c>
      <c r="W81">
        <f t="shared" si="62"/>
        <v>0</v>
      </c>
      <c r="X81">
        <f t="shared" si="63"/>
        <v>19866.18</v>
      </c>
      <c r="Y81">
        <f t="shared" si="64"/>
        <v>2838.03</v>
      </c>
      <c r="AA81">
        <v>43095088</v>
      </c>
      <c r="AB81">
        <f t="shared" si="65"/>
        <v>40255.699999999997</v>
      </c>
      <c r="AC81">
        <f t="shared" si="66"/>
        <v>22628.21</v>
      </c>
      <c r="AD81">
        <f t="shared" si="67"/>
        <v>0</v>
      </c>
      <c r="AE81">
        <f t="shared" si="68"/>
        <v>0</v>
      </c>
      <c r="AF81">
        <f t="shared" si="69"/>
        <v>17627.490000000002</v>
      </c>
      <c r="AG81">
        <f t="shared" si="70"/>
        <v>0</v>
      </c>
      <c r="AH81">
        <f t="shared" si="71"/>
        <v>67.16</v>
      </c>
      <c r="AI81">
        <f t="shared" si="72"/>
        <v>0</v>
      </c>
      <c r="AJ81">
        <f t="shared" si="73"/>
        <v>0</v>
      </c>
      <c r="AK81">
        <v>40255.699999999997</v>
      </c>
      <c r="AL81">
        <v>22628.21</v>
      </c>
      <c r="AM81">
        <v>0</v>
      </c>
      <c r="AN81">
        <v>0</v>
      </c>
      <c r="AO81">
        <v>17627.490000000002</v>
      </c>
      <c r="AP81">
        <v>0</v>
      </c>
      <c r="AQ81">
        <v>67.16</v>
      </c>
      <c r="AR81">
        <v>0</v>
      </c>
      <c r="AS81">
        <v>0</v>
      </c>
      <c r="AT81">
        <v>70</v>
      </c>
      <c r="AU81">
        <v>10</v>
      </c>
      <c r="AV81">
        <v>1</v>
      </c>
      <c r="AW81">
        <v>1</v>
      </c>
      <c r="AZ81">
        <v>1</v>
      </c>
      <c r="BA81">
        <v>1</v>
      </c>
      <c r="BB81">
        <v>1</v>
      </c>
      <c r="BC81">
        <v>1</v>
      </c>
      <c r="BD81" t="s">
        <v>3</v>
      </c>
      <c r="BE81" t="s">
        <v>3</v>
      </c>
      <c r="BF81" t="s">
        <v>3</v>
      </c>
      <c r="BG81" t="s">
        <v>3</v>
      </c>
      <c r="BH81">
        <v>0</v>
      </c>
      <c r="BI81">
        <v>4</v>
      </c>
      <c r="BJ81" t="s">
        <v>224</v>
      </c>
      <c r="BM81">
        <v>0</v>
      </c>
      <c r="BN81">
        <v>0</v>
      </c>
      <c r="BO81" t="s">
        <v>3</v>
      </c>
      <c r="BP81">
        <v>0</v>
      </c>
      <c r="BQ81">
        <v>1</v>
      </c>
      <c r="BR81">
        <v>0</v>
      </c>
      <c r="BS81">
        <v>1</v>
      </c>
      <c r="BT81">
        <v>1</v>
      </c>
      <c r="BU81">
        <v>1</v>
      </c>
      <c r="BV81">
        <v>1</v>
      </c>
      <c r="BW81">
        <v>1</v>
      </c>
      <c r="BX81">
        <v>1</v>
      </c>
      <c r="BY81" t="s">
        <v>3</v>
      </c>
      <c r="BZ81">
        <v>70</v>
      </c>
      <c r="CA81">
        <v>10</v>
      </c>
      <c r="CB81" t="s">
        <v>3</v>
      </c>
      <c r="CE81">
        <v>0</v>
      </c>
      <c r="CF81">
        <v>0</v>
      </c>
      <c r="CG81">
        <v>0</v>
      </c>
      <c r="CM81">
        <v>0</v>
      </c>
      <c r="CN81" t="s">
        <v>3</v>
      </c>
      <c r="CO81">
        <v>0</v>
      </c>
      <c r="CP81">
        <f t="shared" si="74"/>
        <v>64811.679999999993</v>
      </c>
      <c r="CQ81">
        <f t="shared" si="75"/>
        <v>22628.21</v>
      </c>
      <c r="CR81">
        <f t="shared" si="76"/>
        <v>0</v>
      </c>
      <c r="CS81">
        <f t="shared" si="77"/>
        <v>0</v>
      </c>
      <c r="CT81">
        <f t="shared" si="78"/>
        <v>17627.490000000002</v>
      </c>
      <c r="CU81">
        <f t="shared" si="79"/>
        <v>0</v>
      </c>
      <c r="CV81">
        <f t="shared" si="80"/>
        <v>67.16</v>
      </c>
      <c r="CW81">
        <f t="shared" si="81"/>
        <v>0</v>
      </c>
      <c r="CX81">
        <f t="shared" si="82"/>
        <v>0</v>
      </c>
      <c r="CY81">
        <f t="shared" si="83"/>
        <v>19866.182000000001</v>
      </c>
      <c r="CZ81">
        <f t="shared" si="84"/>
        <v>2838.0259999999998</v>
      </c>
      <c r="DC81" t="s">
        <v>3</v>
      </c>
      <c r="DD81" t="s">
        <v>3</v>
      </c>
      <c r="DE81" t="s">
        <v>3</v>
      </c>
      <c r="DF81" t="s">
        <v>3</v>
      </c>
      <c r="DG81" t="s">
        <v>3</v>
      </c>
      <c r="DH81" t="s">
        <v>3</v>
      </c>
      <c r="DI81" t="s">
        <v>3</v>
      </c>
      <c r="DJ81" t="s">
        <v>3</v>
      </c>
      <c r="DK81" t="s">
        <v>3</v>
      </c>
      <c r="DL81" t="s">
        <v>3</v>
      </c>
      <c r="DM81" t="s">
        <v>3</v>
      </c>
      <c r="DN81">
        <v>0</v>
      </c>
      <c r="DO81">
        <v>0</v>
      </c>
      <c r="DP81">
        <v>1</v>
      </c>
      <c r="DQ81">
        <v>1</v>
      </c>
      <c r="DU81">
        <v>1003</v>
      </c>
      <c r="DV81" t="s">
        <v>118</v>
      </c>
      <c r="DW81" t="s">
        <v>118</v>
      </c>
      <c r="DX81">
        <v>100</v>
      </c>
      <c r="DZ81" t="s">
        <v>3</v>
      </c>
      <c r="EA81" t="s">
        <v>3</v>
      </c>
      <c r="EB81" t="s">
        <v>3</v>
      </c>
      <c r="EC81" t="s">
        <v>3</v>
      </c>
      <c r="EE81">
        <v>43033442</v>
      </c>
      <c r="EF81">
        <v>1</v>
      </c>
      <c r="EG81" t="s">
        <v>22</v>
      </c>
      <c r="EH81">
        <v>0</v>
      </c>
      <c r="EI81" t="s">
        <v>3</v>
      </c>
      <c r="EJ81">
        <v>4</v>
      </c>
      <c r="EK81">
        <v>0</v>
      </c>
      <c r="EL81" t="s">
        <v>23</v>
      </c>
      <c r="EM81" t="s">
        <v>24</v>
      </c>
      <c r="EO81" t="s">
        <v>3</v>
      </c>
      <c r="EQ81">
        <v>0</v>
      </c>
      <c r="ER81">
        <v>40255.699999999997</v>
      </c>
      <c r="ES81">
        <v>22628.21</v>
      </c>
      <c r="ET81">
        <v>0</v>
      </c>
      <c r="EU81">
        <v>0</v>
      </c>
      <c r="EV81">
        <v>17627.490000000002</v>
      </c>
      <c r="EW81">
        <v>67.16</v>
      </c>
      <c r="EX81">
        <v>0</v>
      </c>
      <c r="EY81">
        <v>0</v>
      </c>
      <c r="FQ81">
        <v>0</v>
      </c>
      <c r="FR81">
        <f t="shared" si="85"/>
        <v>0</v>
      </c>
      <c r="FS81">
        <v>0</v>
      </c>
      <c r="FX81">
        <v>70</v>
      </c>
      <c r="FY81">
        <v>10</v>
      </c>
      <c r="GA81" t="s">
        <v>3</v>
      </c>
      <c r="GD81">
        <v>0</v>
      </c>
      <c r="GF81">
        <v>-1687001540</v>
      </c>
      <c r="GG81">
        <v>2</v>
      </c>
      <c r="GH81">
        <v>1</v>
      </c>
      <c r="GI81">
        <v>-2</v>
      </c>
      <c r="GJ81">
        <v>0</v>
      </c>
      <c r="GK81">
        <f>ROUND(R81*(R12)/100,2)</f>
        <v>0</v>
      </c>
      <c r="GL81">
        <f t="shared" si="86"/>
        <v>0</v>
      </c>
      <c r="GM81">
        <f t="shared" si="87"/>
        <v>87515.89</v>
      </c>
      <c r="GN81">
        <f t="shared" si="88"/>
        <v>0</v>
      </c>
      <c r="GO81">
        <f t="shared" si="89"/>
        <v>0</v>
      </c>
      <c r="GP81">
        <f t="shared" si="90"/>
        <v>87515.89</v>
      </c>
      <c r="GR81">
        <v>0</v>
      </c>
      <c r="GS81">
        <v>3</v>
      </c>
      <c r="GT81">
        <v>0</v>
      </c>
      <c r="GU81" t="s">
        <v>3</v>
      </c>
      <c r="GV81">
        <f t="shared" si="91"/>
        <v>0</v>
      </c>
      <c r="GW81">
        <v>1</v>
      </c>
      <c r="GX81">
        <f t="shared" si="92"/>
        <v>0</v>
      </c>
      <c r="HA81">
        <v>0</v>
      </c>
      <c r="HB81">
        <v>0</v>
      </c>
      <c r="HC81">
        <f t="shared" si="93"/>
        <v>0</v>
      </c>
      <c r="HE81" t="s">
        <v>3</v>
      </c>
      <c r="HF81" t="s">
        <v>3</v>
      </c>
      <c r="HM81" t="s">
        <v>3</v>
      </c>
      <c r="HN81" t="s">
        <v>3</v>
      </c>
      <c r="HO81" t="s">
        <v>3</v>
      </c>
      <c r="HP81" t="s">
        <v>3</v>
      </c>
      <c r="HQ81" t="s">
        <v>3</v>
      </c>
      <c r="IK81">
        <v>0</v>
      </c>
    </row>
    <row r="82" spans="1:245" x14ac:dyDescent="0.2">
      <c r="A82">
        <v>18</v>
      </c>
      <c r="B82">
        <v>1</v>
      </c>
      <c r="C82">
        <v>104</v>
      </c>
      <c r="E82" t="s">
        <v>225</v>
      </c>
      <c r="F82" t="s">
        <v>226</v>
      </c>
      <c r="G82" t="s">
        <v>227</v>
      </c>
      <c r="H82" t="s">
        <v>64</v>
      </c>
      <c r="I82">
        <f>I81*J82</f>
        <v>161</v>
      </c>
      <c r="J82">
        <v>100</v>
      </c>
      <c r="K82">
        <v>100</v>
      </c>
      <c r="O82">
        <f t="shared" si="54"/>
        <v>4693.1499999999996</v>
      </c>
      <c r="P82">
        <f t="shared" si="55"/>
        <v>4693.1499999999996</v>
      </c>
      <c r="Q82">
        <f t="shared" si="56"/>
        <v>0</v>
      </c>
      <c r="R82">
        <f t="shared" si="57"/>
        <v>0</v>
      </c>
      <c r="S82">
        <f t="shared" si="58"/>
        <v>0</v>
      </c>
      <c r="T82">
        <f t="shared" si="59"/>
        <v>0</v>
      </c>
      <c r="U82">
        <f t="shared" si="60"/>
        <v>0</v>
      </c>
      <c r="V82">
        <f t="shared" si="61"/>
        <v>0</v>
      </c>
      <c r="W82">
        <f t="shared" si="62"/>
        <v>0</v>
      </c>
      <c r="X82">
        <f t="shared" si="63"/>
        <v>0</v>
      </c>
      <c r="Y82">
        <f t="shared" si="64"/>
        <v>0</v>
      </c>
      <c r="AA82">
        <v>43095088</v>
      </c>
      <c r="AB82">
        <f t="shared" si="65"/>
        <v>29.15</v>
      </c>
      <c r="AC82">
        <f t="shared" si="66"/>
        <v>29.15</v>
      </c>
      <c r="AD82">
        <f t="shared" si="67"/>
        <v>0</v>
      </c>
      <c r="AE82">
        <f t="shared" si="68"/>
        <v>0</v>
      </c>
      <c r="AF82">
        <f t="shared" si="69"/>
        <v>0</v>
      </c>
      <c r="AG82">
        <f t="shared" si="70"/>
        <v>0</v>
      </c>
      <c r="AH82">
        <f t="shared" si="71"/>
        <v>0</v>
      </c>
      <c r="AI82">
        <f t="shared" si="72"/>
        <v>0</v>
      </c>
      <c r="AJ82">
        <f t="shared" si="73"/>
        <v>0</v>
      </c>
      <c r="AK82">
        <v>29.15</v>
      </c>
      <c r="AL82">
        <v>29.15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70</v>
      </c>
      <c r="AU82">
        <v>10</v>
      </c>
      <c r="AV82">
        <v>1</v>
      </c>
      <c r="AW82">
        <v>1</v>
      </c>
      <c r="AZ82">
        <v>1</v>
      </c>
      <c r="BA82">
        <v>1</v>
      </c>
      <c r="BB82">
        <v>1</v>
      </c>
      <c r="BC82">
        <v>1</v>
      </c>
      <c r="BD82" t="s">
        <v>3</v>
      </c>
      <c r="BE82" t="s">
        <v>3</v>
      </c>
      <c r="BF82" t="s">
        <v>3</v>
      </c>
      <c r="BG82" t="s">
        <v>3</v>
      </c>
      <c r="BH82">
        <v>3</v>
      </c>
      <c r="BI82">
        <v>4</v>
      </c>
      <c r="BJ82" t="s">
        <v>228</v>
      </c>
      <c r="BM82">
        <v>0</v>
      </c>
      <c r="BN82">
        <v>0</v>
      </c>
      <c r="BO82" t="s">
        <v>3</v>
      </c>
      <c r="BP82">
        <v>0</v>
      </c>
      <c r="BQ82">
        <v>1</v>
      </c>
      <c r="BR82">
        <v>0</v>
      </c>
      <c r="BS82">
        <v>1</v>
      </c>
      <c r="BT82">
        <v>1</v>
      </c>
      <c r="BU82">
        <v>1</v>
      </c>
      <c r="BV82">
        <v>1</v>
      </c>
      <c r="BW82">
        <v>1</v>
      </c>
      <c r="BX82">
        <v>1</v>
      </c>
      <c r="BY82" t="s">
        <v>3</v>
      </c>
      <c r="BZ82">
        <v>70</v>
      </c>
      <c r="CA82">
        <v>10</v>
      </c>
      <c r="CB82" t="s">
        <v>3</v>
      </c>
      <c r="CE82">
        <v>0</v>
      </c>
      <c r="CF82">
        <v>0</v>
      </c>
      <c r="CG82">
        <v>0</v>
      </c>
      <c r="CM82">
        <v>0</v>
      </c>
      <c r="CN82" t="s">
        <v>3</v>
      </c>
      <c r="CO82">
        <v>0</v>
      </c>
      <c r="CP82">
        <f t="shared" si="74"/>
        <v>4693.1499999999996</v>
      </c>
      <c r="CQ82">
        <f t="shared" si="75"/>
        <v>29.15</v>
      </c>
      <c r="CR82">
        <f t="shared" si="76"/>
        <v>0</v>
      </c>
      <c r="CS82">
        <f t="shared" si="77"/>
        <v>0</v>
      </c>
      <c r="CT82">
        <f t="shared" si="78"/>
        <v>0</v>
      </c>
      <c r="CU82">
        <f t="shared" si="79"/>
        <v>0</v>
      </c>
      <c r="CV82">
        <f t="shared" si="80"/>
        <v>0</v>
      </c>
      <c r="CW82">
        <f t="shared" si="81"/>
        <v>0</v>
      </c>
      <c r="CX82">
        <f t="shared" si="82"/>
        <v>0</v>
      </c>
      <c r="CY82">
        <f t="shared" si="83"/>
        <v>0</v>
      </c>
      <c r="CZ82">
        <f t="shared" si="84"/>
        <v>0</v>
      </c>
      <c r="DC82" t="s">
        <v>3</v>
      </c>
      <c r="DD82" t="s">
        <v>3</v>
      </c>
      <c r="DE82" t="s">
        <v>3</v>
      </c>
      <c r="DF82" t="s">
        <v>3</v>
      </c>
      <c r="DG82" t="s">
        <v>3</v>
      </c>
      <c r="DH82" t="s">
        <v>3</v>
      </c>
      <c r="DI82" t="s">
        <v>3</v>
      </c>
      <c r="DJ82" t="s">
        <v>3</v>
      </c>
      <c r="DK82" t="s">
        <v>3</v>
      </c>
      <c r="DL82" t="s">
        <v>3</v>
      </c>
      <c r="DM82" t="s">
        <v>3</v>
      </c>
      <c r="DN82">
        <v>0</v>
      </c>
      <c r="DO82">
        <v>0</v>
      </c>
      <c r="DP82">
        <v>1</v>
      </c>
      <c r="DQ82">
        <v>1</v>
      </c>
      <c r="DU82">
        <v>1003</v>
      </c>
      <c r="DV82" t="s">
        <v>64</v>
      </c>
      <c r="DW82" t="s">
        <v>64</v>
      </c>
      <c r="DX82">
        <v>1</v>
      </c>
      <c r="DZ82" t="s">
        <v>3</v>
      </c>
      <c r="EA82" t="s">
        <v>3</v>
      </c>
      <c r="EB82" t="s">
        <v>3</v>
      </c>
      <c r="EC82" t="s">
        <v>3</v>
      </c>
      <c r="EE82">
        <v>43033442</v>
      </c>
      <c r="EF82">
        <v>1</v>
      </c>
      <c r="EG82" t="s">
        <v>22</v>
      </c>
      <c r="EH82">
        <v>0</v>
      </c>
      <c r="EI82" t="s">
        <v>3</v>
      </c>
      <c r="EJ82">
        <v>4</v>
      </c>
      <c r="EK82">
        <v>0</v>
      </c>
      <c r="EL82" t="s">
        <v>23</v>
      </c>
      <c r="EM82" t="s">
        <v>24</v>
      </c>
      <c r="EO82" t="s">
        <v>3</v>
      </c>
      <c r="EQ82">
        <v>0</v>
      </c>
      <c r="ER82">
        <v>29.15</v>
      </c>
      <c r="ES82">
        <v>29.15</v>
      </c>
      <c r="ET82">
        <v>0</v>
      </c>
      <c r="EU82">
        <v>0</v>
      </c>
      <c r="EV82">
        <v>0</v>
      </c>
      <c r="EW82">
        <v>0</v>
      </c>
      <c r="EX82">
        <v>0</v>
      </c>
      <c r="FQ82">
        <v>0</v>
      </c>
      <c r="FR82">
        <f t="shared" si="85"/>
        <v>0</v>
      </c>
      <c r="FS82">
        <v>0</v>
      </c>
      <c r="FX82">
        <v>70</v>
      </c>
      <c r="FY82">
        <v>10</v>
      </c>
      <c r="GA82" t="s">
        <v>3</v>
      </c>
      <c r="GD82">
        <v>0</v>
      </c>
      <c r="GF82">
        <v>1797441285</v>
      </c>
      <c r="GG82">
        <v>2</v>
      </c>
      <c r="GH82">
        <v>1</v>
      </c>
      <c r="GI82">
        <v>-2</v>
      </c>
      <c r="GJ82">
        <v>0</v>
      </c>
      <c r="GK82">
        <f>ROUND(R82*(R12)/100,2)</f>
        <v>0</v>
      </c>
      <c r="GL82">
        <f t="shared" si="86"/>
        <v>0</v>
      </c>
      <c r="GM82">
        <f t="shared" si="87"/>
        <v>4693.1499999999996</v>
      </c>
      <c r="GN82">
        <f t="shared" si="88"/>
        <v>0</v>
      </c>
      <c r="GO82">
        <f t="shared" si="89"/>
        <v>0</v>
      </c>
      <c r="GP82">
        <f t="shared" si="90"/>
        <v>4693.1499999999996</v>
      </c>
      <c r="GR82">
        <v>0</v>
      </c>
      <c r="GS82">
        <v>3</v>
      </c>
      <c r="GT82">
        <v>0</v>
      </c>
      <c r="GU82" t="s">
        <v>3</v>
      </c>
      <c r="GV82">
        <f t="shared" si="91"/>
        <v>0</v>
      </c>
      <c r="GW82">
        <v>1</v>
      </c>
      <c r="GX82">
        <f t="shared" si="92"/>
        <v>0</v>
      </c>
      <c r="HA82">
        <v>0</v>
      </c>
      <c r="HB82">
        <v>0</v>
      </c>
      <c r="HC82">
        <f t="shared" si="93"/>
        <v>0</v>
      </c>
      <c r="HE82" t="s">
        <v>3</v>
      </c>
      <c r="HF82" t="s">
        <v>3</v>
      </c>
      <c r="HM82" t="s">
        <v>3</v>
      </c>
      <c r="HN82" t="s">
        <v>3</v>
      </c>
      <c r="HO82" t="s">
        <v>3</v>
      </c>
      <c r="HP82" t="s">
        <v>3</v>
      </c>
      <c r="HQ82" t="s">
        <v>3</v>
      </c>
      <c r="IK82">
        <v>0</v>
      </c>
    </row>
    <row r="83" spans="1:245" x14ac:dyDescent="0.2">
      <c r="A83">
        <v>18</v>
      </c>
      <c r="B83">
        <v>1</v>
      </c>
      <c r="E83" t="s">
        <v>229</v>
      </c>
      <c r="F83" t="s">
        <v>34</v>
      </c>
      <c r="G83" t="s">
        <v>230</v>
      </c>
      <c r="H83" t="s">
        <v>64</v>
      </c>
      <c r="I83">
        <f>I81*J83</f>
        <v>24</v>
      </c>
      <c r="J83">
        <v>14.906832298136646</v>
      </c>
      <c r="K83">
        <v>14.906832</v>
      </c>
      <c r="O83">
        <f t="shared" si="54"/>
        <v>1039.92</v>
      </c>
      <c r="P83">
        <f t="shared" si="55"/>
        <v>1039.92</v>
      </c>
      <c r="Q83">
        <f t="shared" si="56"/>
        <v>0</v>
      </c>
      <c r="R83">
        <f t="shared" si="57"/>
        <v>0</v>
      </c>
      <c r="S83">
        <f t="shared" si="58"/>
        <v>0</v>
      </c>
      <c r="T83">
        <f t="shared" si="59"/>
        <v>0</v>
      </c>
      <c r="U83">
        <f t="shared" si="60"/>
        <v>0</v>
      </c>
      <c r="V83">
        <f t="shared" si="61"/>
        <v>0</v>
      </c>
      <c r="W83">
        <f t="shared" si="62"/>
        <v>0</v>
      </c>
      <c r="X83">
        <f t="shared" si="63"/>
        <v>0</v>
      </c>
      <c r="Y83">
        <f t="shared" si="64"/>
        <v>0</v>
      </c>
      <c r="AA83">
        <v>43095088</v>
      </c>
      <c r="AB83">
        <f t="shared" si="65"/>
        <v>43.33</v>
      </c>
      <c r="AC83">
        <f t="shared" si="66"/>
        <v>43.33</v>
      </c>
      <c r="AD83">
        <f t="shared" si="67"/>
        <v>0</v>
      </c>
      <c r="AE83">
        <f t="shared" si="68"/>
        <v>0</v>
      </c>
      <c r="AF83">
        <f t="shared" si="69"/>
        <v>0</v>
      </c>
      <c r="AG83">
        <f t="shared" si="70"/>
        <v>0</v>
      </c>
      <c r="AH83">
        <f t="shared" si="71"/>
        <v>0</v>
      </c>
      <c r="AI83">
        <f t="shared" si="72"/>
        <v>0</v>
      </c>
      <c r="AJ83">
        <f t="shared" si="73"/>
        <v>0</v>
      </c>
      <c r="AK83">
        <v>43.33</v>
      </c>
      <c r="AL83">
        <v>43.33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70</v>
      </c>
      <c r="AU83">
        <v>10</v>
      </c>
      <c r="AV83">
        <v>1</v>
      </c>
      <c r="AW83">
        <v>1</v>
      </c>
      <c r="AZ83">
        <v>1</v>
      </c>
      <c r="BA83">
        <v>1</v>
      </c>
      <c r="BB83">
        <v>1</v>
      </c>
      <c r="BC83">
        <v>1</v>
      </c>
      <c r="BD83" t="s">
        <v>3</v>
      </c>
      <c r="BE83" t="s">
        <v>3</v>
      </c>
      <c r="BF83" t="s">
        <v>3</v>
      </c>
      <c r="BG83" t="s">
        <v>3</v>
      </c>
      <c r="BH83">
        <v>3</v>
      </c>
      <c r="BI83">
        <v>4</v>
      </c>
      <c r="BJ83" t="s">
        <v>3</v>
      </c>
      <c r="BM83">
        <v>0</v>
      </c>
      <c r="BN83">
        <v>0</v>
      </c>
      <c r="BO83" t="s">
        <v>3</v>
      </c>
      <c r="BP83">
        <v>0</v>
      </c>
      <c r="BQ83">
        <v>1</v>
      </c>
      <c r="BR83">
        <v>0</v>
      </c>
      <c r="BS83">
        <v>1</v>
      </c>
      <c r="BT83">
        <v>1</v>
      </c>
      <c r="BU83">
        <v>1</v>
      </c>
      <c r="BV83">
        <v>1</v>
      </c>
      <c r="BW83">
        <v>1</v>
      </c>
      <c r="BX83">
        <v>1</v>
      </c>
      <c r="BY83" t="s">
        <v>3</v>
      </c>
      <c r="BZ83">
        <v>70</v>
      </c>
      <c r="CA83">
        <v>10</v>
      </c>
      <c r="CB83" t="s">
        <v>3</v>
      </c>
      <c r="CE83">
        <v>0</v>
      </c>
      <c r="CF83">
        <v>0</v>
      </c>
      <c r="CG83">
        <v>0</v>
      </c>
      <c r="CM83">
        <v>0</v>
      </c>
      <c r="CN83" t="s">
        <v>3</v>
      </c>
      <c r="CO83">
        <v>0</v>
      </c>
      <c r="CP83">
        <f t="shared" si="74"/>
        <v>1039.92</v>
      </c>
      <c r="CQ83">
        <f t="shared" si="75"/>
        <v>43.33</v>
      </c>
      <c r="CR83">
        <f t="shared" si="76"/>
        <v>0</v>
      </c>
      <c r="CS83">
        <f t="shared" si="77"/>
        <v>0</v>
      </c>
      <c r="CT83">
        <f t="shared" si="78"/>
        <v>0</v>
      </c>
      <c r="CU83">
        <f t="shared" si="79"/>
        <v>0</v>
      </c>
      <c r="CV83">
        <f t="shared" si="80"/>
        <v>0</v>
      </c>
      <c r="CW83">
        <f t="shared" si="81"/>
        <v>0</v>
      </c>
      <c r="CX83">
        <f t="shared" si="82"/>
        <v>0</v>
      </c>
      <c r="CY83">
        <f t="shared" si="83"/>
        <v>0</v>
      </c>
      <c r="CZ83">
        <f t="shared" si="84"/>
        <v>0</v>
      </c>
      <c r="DC83" t="s">
        <v>3</v>
      </c>
      <c r="DD83" t="s">
        <v>3</v>
      </c>
      <c r="DE83" t="s">
        <v>3</v>
      </c>
      <c r="DF83" t="s">
        <v>3</v>
      </c>
      <c r="DG83" t="s">
        <v>3</v>
      </c>
      <c r="DH83" t="s">
        <v>3</v>
      </c>
      <c r="DI83" t="s">
        <v>3</v>
      </c>
      <c r="DJ83" t="s">
        <v>3</v>
      </c>
      <c r="DK83" t="s">
        <v>3</v>
      </c>
      <c r="DL83" t="s">
        <v>3</v>
      </c>
      <c r="DM83" t="s">
        <v>3</v>
      </c>
      <c r="DN83">
        <v>0</v>
      </c>
      <c r="DO83">
        <v>0</v>
      </c>
      <c r="DP83">
        <v>1</v>
      </c>
      <c r="DQ83">
        <v>1</v>
      </c>
      <c r="DU83">
        <v>1003</v>
      </c>
      <c r="DV83" t="s">
        <v>64</v>
      </c>
      <c r="DW83" t="s">
        <v>64</v>
      </c>
      <c r="DX83">
        <v>1</v>
      </c>
      <c r="DZ83" t="s">
        <v>3</v>
      </c>
      <c r="EA83" t="s">
        <v>3</v>
      </c>
      <c r="EB83" t="s">
        <v>3</v>
      </c>
      <c r="EC83" t="s">
        <v>3</v>
      </c>
      <c r="EE83">
        <v>43033442</v>
      </c>
      <c r="EF83">
        <v>1</v>
      </c>
      <c r="EG83" t="s">
        <v>22</v>
      </c>
      <c r="EH83">
        <v>0</v>
      </c>
      <c r="EI83" t="s">
        <v>3</v>
      </c>
      <c r="EJ83">
        <v>4</v>
      </c>
      <c r="EK83">
        <v>0</v>
      </c>
      <c r="EL83" t="s">
        <v>23</v>
      </c>
      <c r="EM83" t="s">
        <v>24</v>
      </c>
      <c r="EO83" t="s">
        <v>3</v>
      </c>
      <c r="EQ83">
        <v>0</v>
      </c>
      <c r="ER83">
        <v>43.33</v>
      </c>
      <c r="ES83">
        <v>43.33</v>
      </c>
      <c r="ET83">
        <v>0</v>
      </c>
      <c r="EU83">
        <v>0</v>
      </c>
      <c r="EV83">
        <v>0</v>
      </c>
      <c r="EW83">
        <v>0</v>
      </c>
      <c r="EX83">
        <v>0</v>
      </c>
      <c r="EZ83">
        <v>5</v>
      </c>
      <c r="FC83">
        <v>1</v>
      </c>
      <c r="FD83">
        <v>18</v>
      </c>
      <c r="FF83">
        <v>52</v>
      </c>
      <c r="FQ83">
        <v>0</v>
      </c>
      <c r="FR83">
        <f t="shared" si="85"/>
        <v>0</v>
      </c>
      <c r="FS83">
        <v>0</v>
      </c>
      <c r="FX83">
        <v>70</v>
      </c>
      <c r="FY83">
        <v>10</v>
      </c>
      <c r="GA83" t="s">
        <v>231</v>
      </c>
      <c r="GD83">
        <v>0</v>
      </c>
      <c r="GF83">
        <v>1315311750</v>
      </c>
      <c r="GG83">
        <v>2</v>
      </c>
      <c r="GH83">
        <v>3</v>
      </c>
      <c r="GI83">
        <v>-2</v>
      </c>
      <c r="GJ83">
        <v>0</v>
      </c>
      <c r="GK83">
        <f>ROUND(R83*(R12)/100,2)</f>
        <v>0</v>
      </c>
      <c r="GL83">
        <f t="shared" si="86"/>
        <v>0</v>
      </c>
      <c r="GM83">
        <f t="shared" si="87"/>
        <v>1039.92</v>
      </c>
      <c r="GN83">
        <f t="shared" si="88"/>
        <v>0</v>
      </c>
      <c r="GO83">
        <f t="shared" si="89"/>
        <v>0</v>
      </c>
      <c r="GP83">
        <f t="shared" si="90"/>
        <v>1039.92</v>
      </c>
      <c r="GR83">
        <v>1</v>
      </c>
      <c r="GS83">
        <v>1</v>
      </c>
      <c r="GT83">
        <v>0</v>
      </c>
      <c r="GU83" t="s">
        <v>3</v>
      </c>
      <c r="GV83">
        <f t="shared" si="91"/>
        <v>0</v>
      </c>
      <c r="GW83">
        <v>1</v>
      </c>
      <c r="GX83">
        <f t="shared" si="92"/>
        <v>0</v>
      </c>
      <c r="HA83">
        <v>0</v>
      </c>
      <c r="HB83">
        <v>0</v>
      </c>
      <c r="HC83">
        <f t="shared" si="93"/>
        <v>0</v>
      </c>
      <c r="HE83" t="s">
        <v>37</v>
      </c>
      <c r="HF83" t="s">
        <v>37</v>
      </c>
      <c r="HM83" t="s">
        <v>3</v>
      </c>
      <c r="HN83" t="s">
        <v>3</v>
      </c>
      <c r="HO83" t="s">
        <v>3</v>
      </c>
      <c r="HP83" t="s">
        <v>3</v>
      </c>
      <c r="HQ83" t="s">
        <v>3</v>
      </c>
      <c r="IK83">
        <v>0</v>
      </c>
    </row>
    <row r="84" spans="1:245" x14ac:dyDescent="0.2">
      <c r="A84">
        <v>18</v>
      </c>
      <c r="B84">
        <v>1</v>
      </c>
      <c r="C84">
        <v>106</v>
      </c>
      <c r="E84" t="s">
        <v>232</v>
      </c>
      <c r="F84" t="s">
        <v>233</v>
      </c>
      <c r="G84" t="s">
        <v>234</v>
      </c>
      <c r="H84" t="s">
        <v>20</v>
      </c>
      <c r="I84">
        <f>I81*J84</f>
        <v>0</v>
      </c>
      <c r="J84">
        <v>0</v>
      </c>
      <c r="K84">
        <v>0</v>
      </c>
      <c r="O84">
        <f t="shared" si="54"/>
        <v>0</v>
      </c>
      <c r="P84">
        <f t="shared" si="55"/>
        <v>0</v>
      </c>
      <c r="Q84">
        <f t="shared" si="56"/>
        <v>0</v>
      </c>
      <c r="R84">
        <f t="shared" si="57"/>
        <v>0</v>
      </c>
      <c r="S84">
        <f t="shared" si="58"/>
        <v>0</v>
      </c>
      <c r="T84">
        <f t="shared" si="59"/>
        <v>0</v>
      </c>
      <c r="U84">
        <f t="shared" si="60"/>
        <v>0</v>
      </c>
      <c r="V84">
        <f t="shared" si="61"/>
        <v>0</v>
      </c>
      <c r="W84">
        <f t="shared" si="62"/>
        <v>0</v>
      </c>
      <c r="X84">
        <f t="shared" si="63"/>
        <v>0</v>
      </c>
      <c r="Y84">
        <f t="shared" si="64"/>
        <v>0</v>
      </c>
      <c r="AA84">
        <v>43095088</v>
      </c>
      <c r="AB84">
        <f t="shared" si="65"/>
        <v>0</v>
      </c>
      <c r="AC84">
        <f t="shared" si="66"/>
        <v>0</v>
      </c>
      <c r="AD84">
        <f t="shared" si="67"/>
        <v>0</v>
      </c>
      <c r="AE84">
        <f t="shared" si="68"/>
        <v>0</v>
      </c>
      <c r="AF84">
        <f t="shared" si="69"/>
        <v>0</v>
      </c>
      <c r="AG84">
        <f t="shared" si="70"/>
        <v>0</v>
      </c>
      <c r="AH84">
        <f t="shared" si="71"/>
        <v>0</v>
      </c>
      <c r="AI84">
        <f t="shared" si="72"/>
        <v>0</v>
      </c>
      <c r="AJ84">
        <f t="shared" si="73"/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70</v>
      </c>
      <c r="AU84">
        <v>10</v>
      </c>
      <c r="AV84">
        <v>1</v>
      </c>
      <c r="AW84">
        <v>1</v>
      </c>
      <c r="AZ84">
        <v>1</v>
      </c>
      <c r="BA84">
        <v>1</v>
      </c>
      <c r="BB84">
        <v>1</v>
      </c>
      <c r="BC84">
        <v>1</v>
      </c>
      <c r="BD84" t="s">
        <v>3</v>
      </c>
      <c r="BE84" t="s">
        <v>3</v>
      </c>
      <c r="BF84" t="s">
        <v>3</v>
      </c>
      <c r="BG84" t="s">
        <v>3</v>
      </c>
      <c r="BH84">
        <v>3</v>
      </c>
      <c r="BI84">
        <v>4</v>
      </c>
      <c r="BJ84" t="s">
        <v>3</v>
      </c>
      <c r="BM84">
        <v>0</v>
      </c>
      <c r="BN84">
        <v>0</v>
      </c>
      <c r="BO84" t="s">
        <v>3</v>
      </c>
      <c r="BP84">
        <v>0</v>
      </c>
      <c r="BQ84">
        <v>1</v>
      </c>
      <c r="BR84">
        <v>0</v>
      </c>
      <c r="BS84">
        <v>1</v>
      </c>
      <c r="BT84">
        <v>1</v>
      </c>
      <c r="BU84">
        <v>1</v>
      </c>
      <c r="BV84">
        <v>1</v>
      </c>
      <c r="BW84">
        <v>1</v>
      </c>
      <c r="BX84">
        <v>1</v>
      </c>
      <c r="BY84" t="s">
        <v>3</v>
      </c>
      <c r="BZ84">
        <v>70</v>
      </c>
      <c r="CA84">
        <v>10</v>
      </c>
      <c r="CB84" t="s">
        <v>3</v>
      </c>
      <c r="CE84">
        <v>0</v>
      </c>
      <c r="CF84">
        <v>0</v>
      </c>
      <c r="CG84">
        <v>0</v>
      </c>
      <c r="CM84">
        <v>0</v>
      </c>
      <c r="CN84" t="s">
        <v>3</v>
      </c>
      <c r="CO84">
        <v>0</v>
      </c>
      <c r="CP84">
        <f t="shared" si="74"/>
        <v>0</v>
      </c>
      <c r="CQ84">
        <f t="shared" si="75"/>
        <v>0</v>
      </c>
      <c r="CR84">
        <f t="shared" si="76"/>
        <v>0</v>
      </c>
      <c r="CS84">
        <f t="shared" si="77"/>
        <v>0</v>
      </c>
      <c r="CT84">
        <f t="shared" si="78"/>
        <v>0</v>
      </c>
      <c r="CU84">
        <f t="shared" si="79"/>
        <v>0</v>
      </c>
      <c r="CV84">
        <f t="shared" si="80"/>
        <v>0</v>
      </c>
      <c r="CW84">
        <f t="shared" si="81"/>
        <v>0</v>
      </c>
      <c r="CX84">
        <f t="shared" si="82"/>
        <v>0</v>
      </c>
      <c r="CY84">
        <f t="shared" si="83"/>
        <v>0</v>
      </c>
      <c r="CZ84">
        <f t="shared" si="84"/>
        <v>0</v>
      </c>
      <c r="DC84" t="s">
        <v>3</v>
      </c>
      <c r="DD84" t="s">
        <v>3</v>
      </c>
      <c r="DE84" t="s">
        <v>3</v>
      </c>
      <c r="DF84" t="s">
        <v>3</v>
      </c>
      <c r="DG84" t="s">
        <v>3</v>
      </c>
      <c r="DH84" t="s">
        <v>3</v>
      </c>
      <c r="DI84" t="s">
        <v>3</v>
      </c>
      <c r="DJ84" t="s">
        <v>3</v>
      </c>
      <c r="DK84" t="s">
        <v>3</v>
      </c>
      <c r="DL84" t="s">
        <v>3</v>
      </c>
      <c r="DM84" t="s">
        <v>3</v>
      </c>
      <c r="DN84">
        <v>0</v>
      </c>
      <c r="DO84">
        <v>0</v>
      </c>
      <c r="DP84">
        <v>1</v>
      </c>
      <c r="DQ84">
        <v>1</v>
      </c>
      <c r="DU84">
        <v>1010</v>
      </c>
      <c r="DV84" t="s">
        <v>20</v>
      </c>
      <c r="DW84" t="s">
        <v>20</v>
      </c>
      <c r="DX84">
        <v>1</v>
      </c>
      <c r="DZ84" t="s">
        <v>3</v>
      </c>
      <c r="EA84" t="s">
        <v>3</v>
      </c>
      <c r="EB84" t="s">
        <v>3</v>
      </c>
      <c r="EC84" t="s">
        <v>3</v>
      </c>
      <c r="EE84">
        <v>43033442</v>
      </c>
      <c r="EF84">
        <v>1</v>
      </c>
      <c r="EG84" t="s">
        <v>22</v>
      </c>
      <c r="EH84">
        <v>0</v>
      </c>
      <c r="EI84" t="s">
        <v>3</v>
      </c>
      <c r="EJ84">
        <v>4</v>
      </c>
      <c r="EK84">
        <v>0</v>
      </c>
      <c r="EL84" t="s">
        <v>23</v>
      </c>
      <c r="EM84" t="s">
        <v>24</v>
      </c>
      <c r="EO84" t="s">
        <v>3</v>
      </c>
      <c r="EQ84">
        <v>0</v>
      </c>
      <c r="ER84">
        <v>0</v>
      </c>
      <c r="ES84">
        <v>0</v>
      </c>
      <c r="ET84">
        <v>0</v>
      </c>
      <c r="EU84">
        <v>0</v>
      </c>
      <c r="EV84">
        <v>0</v>
      </c>
      <c r="EW84">
        <v>0</v>
      </c>
      <c r="EX84">
        <v>0</v>
      </c>
      <c r="FQ84">
        <v>0</v>
      </c>
      <c r="FR84">
        <f t="shared" si="85"/>
        <v>0</v>
      </c>
      <c r="FS84">
        <v>0</v>
      </c>
      <c r="FX84">
        <v>70</v>
      </c>
      <c r="FY84">
        <v>10</v>
      </c>
      <c r="GA84" t="s">
        <v>3</v>
      </c>
      <c r="GD84">
        <v>0</v>
      </c>
      <c r="GF84">
        <v>-1590809106</v>
      </c>
      <c r="GG84">
        <v>2</v>
      </c>
      <c r="GH84">
        <v>1</v>
      </c>
      <c r="GI84">
        <v>-2</v>
      </c>
      <c r="GJ84">
        <v>0</v>
      </c>
      <c r="GK84">
        <f>ROUND(R84*(R12)/100,2)</f>
        <v>0</v>
      </c>
      <c r="GL84">
        <f t="shared" si="86"/>
        <v>0</v>
      </c>
      <c r="GM84">
        <f t="shared" si="87"/>
        <v>0</v>
      </c>
      <c r="GN84">
        <f t="shared" si="88"/>
        <v>0</v>
      </c>
      <c r="GO84">
        <f t="shared" si="89"/>
        <v>0</v>
      </c>
      <c r="GP84">
        <f t="shared" si="90"/>
        <v>0</v>
      </c>
      <c r="GR84">
        <v>0</v>
      </c>
      <c r="GS84">
        <v>3</v>
      </c>
      <c r="GT84">
        <v>0</v>
      </c>
      <c r="GU84" t="s">
        <v>3</v>
      </c>
      <c r="GV84">
        <f t="shared" si="91"/>
        <v>0</v>
      </c>
      <c r="GW84">
        <v>1</v>
      </c>
      <c r="GX84">
        <f t="shared" si="92"/>
        <v>0</v>
      </c>
      <c r="HA84">
        <v>0</v>
      </c>
      <c r="HB84">
        <v>0</v>
      </c>
      <c r="HC84">
        <f t="shared" si="93"/>
        <v>0</v>
      </c>
      <c r="HE84" t="s">
        <v>3</v>
      </c>
      <c r="HF84" t="s">
        <v>3</v>
      </c>
      <c r="HM84" t="s">
        <v>3</v>
      </c>
      <c r="HN84" t="s">
        <v>3</v>
      </c>
      <c r="HO84" t="s">
        <v>3</v>
      </c>
      <c r="HP84" t="s">
        <v>3</v>
      </c>
      <c r="HQ84" t="s">
        <v>3</v>
      </c>
      <c r="IK84">
        <v>0</v>
      </c>
    </row>
    <row r="85" spans="1:245" x14ac:dyDescent="0.2">
      <c r="A85">
        <v>18</v>
      </c>
      <c r="B85">
        <v>1</v>
      </c>
      <c r="C85">
        <v>107</v>
      </c>
      <c r="E85" t="s">
        <v>235</v>
      </c>
      <c r="F85" t="s">
        <v>236</v>
      </c>
      <c r="G85" t="s">
        <v>237</v>
      </c>
      <c r="H85" t="s">
        <v>46</v>
      </c>
      <c r="I85">
        <f>I81*J85</f>
        <v>0</v>
      </c>
      <c r="J85">
        <v>0</v>
      </c>
      <c r="K85">
        <v>0</v>
      </c>
      <c r="O85">
        <f t="shared" si="54"/>
        <v>0</v>
      </c>
      <c r="P85">
        <f t="shared" si="55"/>
        <v>0</v>
      </c>
      <c r="Q85">
        <f t="shared" si="56"/>
        <v>0</v>
      </c>
      <c r="R85">
        <f t="shared" si="57"/>
        <v>0</v>
      </c>
      <c r="S85">
        <f t="shared" si="58"/>
        <v>0</v>
      </c>
      <c r="T85">
        <f t="shared" si="59"/>
        <v>0</v>
      </c>
      <c r="U85">
        <f t="shared" si="60"/>
        <v>0</v>
      </c>
      <c r="V85">
        <f t="shared" si="61"/>
        <v>0</v>
      </c>
      <c r="W85">
        <f t="shared" si="62"/>
        <v>0</v>
      </c>
      <c r="X85">
        <f t="shared" si="63"/>
        <v>0</v>
      </c>
      <c r="Y85">
        <f t="shared" si="64"/>
        <v>0</v>
      </c>
      <c r="AA85">
        <v>43095088</v>
      </c>
      <c r="AB85">
        <f t="shared" si="65"/>
        <v>0</v>
      </c>
      <c r="AC85">
        <f t="shared" si="66"/>
        <v>0</v>
      </c>
      <c r="AD85">
        <f t="shared" si="67"/>
        <v>0</v>
      </c>
      <c r="AE85">
        <f t="shared" si="68"/>
        <v>0</v>
      </c>
      <c r="AF85">
        <f t="shared" si="69"/>
        <v>0</v>
      </c>
      <c r="AG85">
        <f t="shared" si="70"/>
        <v>0</v>
      </c>
      <c r="AH85">
        <f t="shared" si="71"/>
        <v>0</v>
      </c>
      <c r="AI85">
        <f t="shared" si="72"/>
        <v>0</v>
      </c>
      <c r="AJ85">
        <f t="shared" si="73"/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70</v>
      </c>
      <c r="AU85">
        <v>10</v>
      </c>
      <c r="AV85">
        <v>1</v>
      </c>
      <c r="AW85">
        <v>1</v>
      </c>
      <c r="AZ85">
        <v>1</v>
      </c>
      <c r="BA85">
        <v>1</v>
      </c>
      <c r="BB85">
        <v>1</v>
      </c>
      <c r="BC85">
        <v>1</v>
      </c>
      <c r="BD85" t="s">
        <v>3</v>
      </c>
      <c r="BE85" t="s">
        <v>3</v>
      </c>
      <c r="BF85" t="s">
        <v>3</v>
      </c>
      <c r="BG85" t="s">
        <v>3</v>
      </c>
      <c r="BH85">
        <v>3</v>
      </c>
      <c r="BI85">
        <v>4</v>
      </c>
      <c r="BJ85" t="s">
        <v>3</v>
      </c>
      <c r="BM85">
        <v>0</v>
      </c>
      <c r="BN85">
        <v>0</v>
      </c>
      <c r="BO85" t="s">
        <v>3</v>
      </c>
      <c r="BP85">
        <v>0</v>
      </c>
      <c r="BQ85">
        <v>1</v>
      </c>
      <c r="BR85">
        <v>0</v>
      </c>
      <c r="BS85">
        <v>1</v>
      </c>
      <c r="BT85">
        <v>1</v>
      </c>
      <c r="BU85">
        <v>1</v>
      </c>
      <c r="BV85">
        <v>1</v>
      </c>
      <c r="BW85">
        <v>1</v>
      </c>
      <c r="BX85">
        <v>1</v>
      </c>
      <c r="BY85" t="s">
        <v>3</v>
      </c>
      <c r="BZ85">
        <v>70</v>
      </c>
      <c r="CA85">
        <v>10</v>
      </c>
      <c r="CB85" t="s">
        <v>3</v>
      </c>
      <c r="CE85">
        <v>0</v>
      </c>
      <c r="CF85">
        <v>0</v>
      </c>
      <c r="CG85">
        <v>0</v>
      </c>
      <c r="CM85">
        <v>0</v>
      </c>
      <c r="CN85" t="s">
        <v>3</v>
      </c>
      <c r="CO85">
        <v>0</v>
      </c>
      <c r="CP85">
        <f t="shared" si="74"/>
        <v>0</v>
      </c>
      <c r="CQ85">
        <f t="shared" si="75"/>
        <v>0</v>
      </c>
      <c r="CR85">
        <f t="shared" si="76"/>
        <v>0</v>
      </c>
      <c r="CS85">
        <f t="shared" si="77"/>
        <v>0</v>
      </c>
      <c r="CT85">
        <f t="shared" si="78"/>
        <v>0</v>
      </c>
      <c r="CU85">
        <f t="shared" si="79"/>
        <v>0</v>
      </c>
      <c r="CV85">
        <f t="shared" si="80"/>
        <v>0</v>
      </c>
      <c r="CW85">
        <f t="shared" si="81"/>
        <v>0</v>
      </c>
      <c r="CX85">
        <f t="shared" si="82"/>
        <v>0</v>
      </c>
      <c r="CY85">
        <f t="shared" si="83"/>
        <v>0</v>
      </c>
      <c r="CZ85">
        <f t="shared" si="84"/>
        <v>0</v>
      </c>
      <c r="DC85" t="s">
        <v>3</v>
      </c>
      <c r="DD85" t="s">
        <v>3</v>
      </c>
      <c r="DE85" t="s">
        <v>3</v>
      </c>
      <c r="DF85" t="s">
        <v>3</v>
      </c>
      <c r="DG85" t="s">
        <v>3</v>
      </c>
      <c r="DH85" t="s">
        <v>3</v>
      </c>
      <c r="DI85" t="s">
        <v>3</v>
      </c>
      <c r="DJ85" t="s">
        <v>3</v>
      </c>
      <c r="DK85" t="s">
        <v>3</v>
      </c>
      <c r="DL85" t="s">
        <v>3</v>
      </c>
      <c r="DM85" t="s">
        <v>3</v>
      </c>
      <c r="DN85">
        <v>0</v>
      </c>
      <c r="DO85">
        <v>0</v>
      </c>
      <c r="DP85">
        <v>1</v>
      </c>
      <c r="DQ85">
        <v>1</v>
      </c>
      <c r="DU85">
        <v>1009</v>
      </c>
      <c r="DV85" t="s">
        <v>46</v>
      </c>
      <c r="DW85" t="s">
        <v>46</v>
      </c>
      <c r="DX85">
        <v>1</v>
      </c>
      <c r="DZ85" t="s">
        <v>3</v>
      </c>
      <c r="EA85" t="s">
        <v>3</v>
      </c>
      <c r="EB85" t="s">
        <v>3</v>
      </c>
      <c r="EC85" t="s">
        <v>3</v>
      </c>
      <c r="EE85">
        <v>43033442</v>
      </c>
      <c r="EF85">
        <v>1</v>
      </c>
      <c r="EG85" t="s">
        <v>22</v>
      </c>
      <c r="EH85">
        <v>0</v>
      </c>
      <c r="EI85" t="s">
        <v>3</v>
      </c>
      <c r="EJ85">
        <v>4</v>
      </c>
      <c r="EK85">
        <v>0</v>
      </c>
      <c r="EL85" t="s">
        <v>23</v>
      </c>
      <c r="EM85" t="s">
        <v>24</v>
      </c>
      <c r="EO85" t="s">
        <v>3</v>
      </c>
      <c r="EQ85">
        <v>0</v>
      </c>
      <c r="ER85">
        <v>0</v>
      </c>
      <c r="ES85">
        <v>0</v>
      </c>
      <c r="ET85">
        <v>0</v>
      </c>
      <c r="EU85">
        <v>0</v>
      </c>
      <c r="EV85">
        <v>0</v>
      </c>
      <c r="EW85">
        <v>0</v>
      </c>
      <c r="EX85">
        <v>0</v>
      </c>
      <c r="FQ85">
        <v>0</v>
      </c>
      <c r="FR85">
        <f t="shared" si="85"/>
        <v>0</v>
      </c>
      <c r="FS85">
        <v>0</v>
      </c>
      <c r="FX85">
        <v>70</v>
      </c>
      <c r="FY85">
        <v>10</v>
      </c>
      <c r="GA85" t="s">
        <v>3</v>
      </c>
      <c r="GD85">
        <v>0</v>
      </c>
      <c r="GF85">
        <v>1784477730</v>
      </c>
      <c r="GG85">
        <v>2</v>
      </c>
      <c r="GH85">
        <v>1</v>
      </c>
      <c r="GI85">
        <v>-2</v>
      </c>
      <c r="GJ85">
        <v>0</v>
      </c>
      <c r="GK85">
        <f>ROUND(R85*(R12)/100,2)</f>
        <v>0</v>
      </c>
      <c r="GL85">
        <f t="shared" si="86"/>
        <v>0</v>
      </c>
      <c r="GM85">
        <f t="shared" si="87"/>
        <v>0</v>
      </c>
      <c r="GN85">
        <f t="shared" si="88"/>
        <v>0</v>
      </c>
      <c r="GO85">
        <f t="shared" si="89"/>
        <v>0</v>
      </c>
      <c r="GP85">
        <f t="shared" si="90"/>
        <v>0</v>
      </c>
      <c r="GR85">
        <v>0</v>
      </c>
      <c r="GS85">
        <v>3</v>
      </c>
      <c r="GT85">
        <v>0</v>
      </c>
      <c r="GU85" t="s">
        <v>3</v>
      </c>
      <c r="GV85">
        <f t="shared" si="91"/>
        <v>0</v>
      </c>
      <c r="GW85">
        <v>1</v>
      </c>
      <c r="GX85">
        <f t="shared" si="92"/>
        <v>0</v>
      </c>
      <c r="HA85">
        <v>0</v>
      </c>
      <c r="HB85">
        <v>0</v>
      </c>
      <c r="HC85">
        <f t="shared" si="93"/>
        <v>0</v>
      </c>
      <c r="HE85" t="s">
        <v>3</v>
      </c>
      <c r="HF85" t="s">
        <v>3</v>
      </c>
      <c r="HM85" t="s">
        <v>3</v>
      </c>
      <c r="HN85" t="s">
        <v>3</v>
      </c>
      <c r="HO85" t="s">
        <v>3</v>
      </c>
      <c r="HP85" t="s">
        <v>3</v>
      </c>
      <c r="HQ85" t="s">
        <v>3</v>
      </c>
      <c r="IK85">
        <v>0</v>
      </c>
    </row>
    <row r="86" spans="1:245" x14ac:dyDescent="0.2">
      <c r="A86">
        <v>18</v>
      </c>
      <c r="B86">
        <v>1</v>
      </c>
      <c r="C86">
        <v>103</v>
      </c>
      <c r="E86" t="s">
        <v>238</v>
      </c>
      <c r="F86" t="s">
        <v>79</v>
      </c>
      <c r="G86" t="s">
        <v>80</v>
      </c>
      <c r="H86" t="s">
        <v>81</v>
      </c>
      <c r="I86">
        <f>I81*J86</f>
        <v>-0.31717000000000001</v>
      </c>
      <c r="J86">
        <v>-0.19699999999999998</v>
      </c>
      <c r="K86">
        <v>-0.19700000000000001</v>
      </c>
      <c r="O86">
        <f t="shared" si="54"/>
        <v>-11.52</v>
      </c>
      <c r="P86">
        <f t="shared" si="55"/>
        <v>-11.52</v>
      </c>
      <c r="Q86">
        <f t="shared" si="56"/>
        <v>0</v>
      </c>
      <c r="R86">
        <f t="shared" si="57"/>
        <v>0</v>
      </c>
      <c r="S86">
        <f t="shared" si="58"/>
        <v>0</v>
      </c>
      <c r="T86">
        <f t="shared" si="59"/>
        <v>0</v>
      </c>
      <c r="U86">
        <f t="shared" si="60"/>
        <v>0</v>
      </c>
      <c r="V86">
        <f t="shared" si="61"/>
        <v>0</v>
      </c>
      <c r="W86">
        <f t="shared" si="62"/>
        <v>0</v>
      </c>
      <c r="X86">
        <f t="shared" si="63"/>
        <v>0</v>
      </c>
      <c r="Y86">
        <f t="shared" si="64"/>
        <v>0</v>
      </c>
      <c r="AA86">
        <v>43095088</v>
      </c>
      <c r="AB86">
        <f t="shared" si="65"/>
        <v>36.31</v>
      </c>
      <c r="AC86">
        <f t="shared" si="66"/>
        <v>36.31</v>
      </c>
      <c r="AD86">
        <f t="shared" si="67"/>
        <v>0</v>
      </c>
      <c r="AE86">
        <f t="shared" si="68"/>
        <v>0</v>
      </c>
      <c r="AF86">
        <f t="shared" si="69"/>
        <v>0</v>
      </c>
      <c r="AG86">
        <f t="shared" si="70"/>
        <v>0</v>
      </c>
      <c r="AH86">
        <f t="shared" si="71"/>
        <v>0</v>
      </c>
      <c r="AI86">
        <f t="shared" si="72"/>
        <v>0</v>
      </c>
      <c r="AJ86">
        <f t="shared" si="73"/>
        <v>0</v>
      </c>
      <c r="AK86">
        <v>36.31</v>
      </c>
      <c r="AL86">
        <v>36.31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70</v>
      </c>
      <c r="AU86">
        <v>10</v>
      </c>
      <c r="AV86">
        <v>1</v>
      </c>
      <c r="AW86">
        <v>1</v>
      </c>
      <c r="AZ86">
        <v>1</v>
      </c>
      <c r="BA86">
        <v>1</v>
      </c>
      <c r="BB86">
        <v>1</v>
      </c>
      <c r="BC86">
        <v>1</v>
      </c>
      <c r="BD86" t="s">
        <v>3</v>
      </c>
      <c r="BE86" t="s">
        <v>3</v>
      </c>
      <c r="BF86" t="s">
        <v>3</v>
      </c>
      <c r="BG86" t="s">
        <v>3</v>
      </c>
      <c r="BH86">
        <v>3</v>
      </c>
      <c r="BI86">
        <v>4</v>
      </c>
      <c r="BJ86" t="s">
        <v>82</v>
      </c>
      <c r="BM86">
        <v>0</v>
      </c>
      <c r="BN86">
        <v>0</v>
      </c>
      <c r="BO86" t="s">
        <v>3</v>
      </c>
      <c r="BP86">
        <v>0</v>
      </c>
      <c r="BQ86">
        <v>1</v>
      </c>
      <c r="BR86">
        <v>1</v>
      </c>
      <c r="BS86">
        <v>1</v>
      </c>
      <c r="BT86">
        <v>1</v>
      </c>
      <c r="BU86">
        <v>1</v>
      </c>
      <c r="BV86">
        <v>1</v>
      </c>
      <c r="BW86">
        <v>1</v>
      </c>
      <c r="BX86">
        <v>1</v>
      </c>
      <c r="BY86" t="s">
        <v>3</v>
      </c>
      <c r="BZ86">
        <v>70</v>
      </c>
      <c r="CA86">
        <v>10</v>
      </c>
      <c r="CB86" t="s">
        <v>3</v>
      </c>
      <c r="CE86">
        <v>0</v>
      </c>
      <c r="CF86">
        <v>0</v>
      </c>
      <c r="CG86">
        <v>0</v>
      </c>
      <c r="CM86">
        <v>0</v>
      </c>
      <c r="CN86" t="s">
        <v>3</v>
      </c>
      <c r="CO86">
        <v>0</v>
      </c>
      <c r="CP86">
        <f t="shared" si="74"/>
        <v>-11.52</v>
      </c>
      <c r="CQ86">
        <f t="shared" si="75"/>
        <v>36.31</v>
      </c>
      <c r="CR86">
        <f t="shared" si="76"/>
        <v>0</v>
      </c>
      <c r="CS86">
        <f t="shared" si="77"/>
        <v>0</v>
      </c>
      <c r="CT86">
        <f t="shared" si="78"/>
        <v>0</v>
      </c>
      <c r="CU86">
        <f t="shared" si="79"/>
        <v>0</v>
      </c>
      <c r="CV86">
        <f t="shared" si="80"/>
        <v>0</v>
      </c>
      <c r="CW86">
        <f t="shared" si="81"/>
        <v>0</v>
      </c>
      <c r="CX86">
        <f t="shared" si="82"/>
        <v>0</v>
      </c>
      <c r="CY86">
        <f t="shared" si="83"/>
        <v>0</v>
      </c>
      <c r="CZ86">
        <f t="shared" si="84"/>
        <v>0</v>
      </c>
      <c r="DC86" t="s">
        <v>3</v>
      </c>
      <c r="DD86" t="s">
        <v>3</v>
      </c>
      <c r="DE86" t="s">
        <v>3</v>
      </c>
      <c r="DF86" t="s">
        <v>3</v>
      </c>
      <c r="DG86" t="s">
        <v>3</v>
      </c>
      <c r="DH86" t="s">
        <v>3</v>
      </c>
      <c r="DI86" t="s">
        <v>3</v>
      </c>
      <c r="DJ86" t="s">
        <v>3</v>
      </c>
      <c r="DK86" t="s">
        <v>3</v>
      </c>
      <c r="DL86" t="s">
        <v>3</v>
      </c>
      <c r="DM86" t="s">
        <v>3</v>
      </c>
      <c r="DN86">
        <v>0</v>
      </c>
      <c r="DO86">
        <v>0</v>
      </c>
      <c r="DP86">
        <v>1</v>
      </c>
      <c r="DQ86">
        <v>1</v>
      </c>
      <c r="DU86">
        <v>1007</v>
      </c>
      <c r="DV86" t="s">
        <v>81</v>
      </c>
      <c r="DW86" t="s">
        <v>81</v>
      </c>
      <c r="DX86">
        <v>1</v>
      </c>
      <c r="DZ86" t="s">
        <v>3</v>
      </c>
      <c r="EA86" t="s">
        <v>3</v>
      </c>
      <c r="EB86" t="s">
        <v>3</v>
      </c>
      <c r="EC86" t="s">
        <v>3</v>
      </c>
      <c r="EE86">
        <v>43033442</v>
      </c>
      <c r="EF86">
        <v>1</v>
      </c>
      <c r="EG86" t="s">
        <v>22</v>
      </c>
      <c r="EH86">
        <v>0</v>
      </c>
      <c r="EI86" t="s">
        <v>3</v>
      </c>
      <c r="EJ86">
        <v>4</v>
      </c>
      <c r="EK86">
        <v>0</v>
      </c>
      <c r="EL86" t="s">
        <v>23</v>
      </c>
      <c r="EM86" t="s">
        <v>24</v>
      </c>
      <c r="EO86" t="s">
        <v>3</v>
      </c>
      <c r="EQ86">
        <v>0</v>
      </c>
      <c r="ER86">
        <v>36.31</v>
      </c>
      <c r="ES86">
        <v>36.31</v>
      </c>
      <c r="ET86">
        <v>0</v>
      </c>
      <c r="EU86">
        <v>0</v>
      </c>
      <c r="EV86">
        <v>0</v>
      </c>
      <c r="EW86">
        <v>0</v>
      </c>
      <c r="EX86">
        <v>0</v>
      </c>
      <c r="FQ86">
        <v>0</v>
      </c>
      <c r="FR86">
        <f t="shared" si="85"/>
        <v>0</v>
      </c>
      <c r="FS86">
        <v>0</v>
      </c>
      <c r="FX86">
        <v>70</v>
      </c>
      <c r="FY86">
        <v>10</v>
      </c>
      <c r="GA86" t="s">
        <v>3</v>
      </c>
      <c r="GD86">
        <v>0</v>
      </c>
      <c r="GF86">
        <v>-1142489294</v>
      </c>
      <c r="GG86">
        <v>2</v>
      </c>
      <c r="GH86">
        <v>1</v>
      </c>
      <c r="GI86">
        <v>-2</v>
      </c>
      <c r="GJ86">
        <v>0</v>
      </c>
      <c r="GK86">
        <f>ROUND(R86*(R12)/100,2)</f>
        <v>0</v>
      </c>
      <c r="GL86">
        <f t="shared" si="86"/>
        <v>0</v>
      </c>
      <c r="GM86">
        <f t="shared" si="87"/>
        <v>-11.52</v>
      </c>
      <c r="GN86">
        <f t="shared" si="88"/>
        <v>0</v>
      </c>
      <c r="GO86">
        <f t="shared" si="89"/>
        <v>0</v>
      </c>
      <c r="GP86">
        <f t="shared" si="90"/>
        <v>-11.52</v>
      </c>
      <c r="GR86">
        <v>0</v>
      </c>
      <c r="GS86">
        <v>3</v>
      </c>
      <c r="GT86">
        <v>0</v>
      </c>
      <c r="GU86" t="s">
        <v>3</v>
      </c>
      <c r="GV86">
        <f t="shared" si="91"/>
        <v>0</v>
      </c>
      <c r="GW86">
        <v>1</v>
      </c>
      <c r="GX86">
        <f t="shared" si="92"/>
        <v>0</v>
      </c>
      <c r="HA86">
        <v>0</v>
      </c>
      <c r="HB86">
        <v>0</v>
      </c>
      <c r="HC86">
        <f t="shared" si="93"/>
        <v>0</v>
      </c>
      <c r="HE86" t="s">
        <v>3</v>
      </c>
      <c r="HF86" t="s">
        <v>3</v>
      </c>
      <c r="HM86" t="s">
        <v>3</v>
      </c>
      <c r="HN86" t="s">
        <v>3</v>
      </c>
      <c r="HO86" t="s">
        <v>3</v>
      </c>
      <c r="HP86" t="s">
        <v>3</v>
      </c>
      <c r="HQ86" t="s">
        <v>3</v>
      </c>
      <c r="IK86">
        <v>0</v>
      </c>
    </row>
    <row r="87" spans="1:245" x14ac:dyDescent="0.2">
      <c r="A87">
        <v>18</v>
      </c>
      <c r="B87">
        <v>1</v>
      </c>
      <c r="C87">
        <v>102</v>
      </c>
      <c r="E87" t="s">
        <v>239</v>
      </c>
      <c r="F87" t="s">
        <v>240</v>
      </c>
      <c r="G87" t="s">
        <v>241</v>
      </c>
      <c r="H87" t="s">
        <v>64</v>
      </c>
      <c r="I87">
        <f>I81*J87</f>
        <v>-160.678</v>
      </c>
      <c r="J87">
        <v>-99.8</v>
      </c>
      <c r="K87">
        <v>-99.8</v>
      </c>
      <c r="O87">
        <f t="shared" si="54"/>
        <v>-35996.69</v>
      </c>
      <c r="P87">
        <f t="shared" si="55"/>
        <v>-35996.69</v>
      </c>
      <c r="Q87">
        <f t="shared" si="56"/>
        <v>0</v>
      </c>
      <c r="R87">
        <f t="shared" si="57"/>
        <v>0</v>
      </c>
      <c r="S87">
        <f t="shared" si="58"/>
        <v>0</v>
      </c>
      <c r="T87">
        <f t="shared" si="59"/>
        <v>0</v>
      </c>
      <c r="U87">
        <f t="shared" si="60"/>
        <v>0</v>
      </c>
      <c r="V87">
        <f t="shared" si="61"/>
        <v>0</v>
      </c>
      <c r="W87">
        <f t="shared" si="62"/>
        <v>0</v>
      </c>
      <c r="X87">
        <f t="shared" si="63"/>
        <v>0</v>
      </c>
      <c r="Y87">
        <f t="shared" si="64"/>
        <v>0</v>
      </c>
      <c r="AA87">
        <v>43095088</v>
      </c>
      <c r="AB87">
        <f t="shared" si="65"/>
        <v>224.03</v>
      </c>
      <c r="AC87">
        <f t="shared" si="66"/>
        <v>224.03</v>
      </c>
      <c r="AD87">
        <f t="shared" si="67"/>
        <v>0</v>
      </c>
      <c r="AE87">
        <f t="shared" si="68"/>
        <v>0</v>
      </c>
      <c r="AF87">
        <f t="shared" si="69"/>
        <v>0</v>
      </c>
      <c r="AG87">
        <f t="shared" si="70"/>
        <v>0</v>
      </c>
      <c r="AH87">
        <f t="shared" si="71"/>
        <v>0</v>
      </c>
      <c r="AI87">
        <f t="shared" si="72"/>
        <v>0</v>
      </c>
      <c r="AJ87">
        <f t="shared" si="73"/>
        <v>0</v>
      </c>
      <c r="AK87">
        <v>224.03</v>
      </c>
      <c r="AL87">
        <v>224.03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70</v>
      </c>
      <c r="AU87">
        <v>10</v>
      </c>
      <c r="AV87">
        <v>1</v>
      </c>
      <c r="AW87">
        <v>1</v>
      </c>
      <c r="AZ87">
        <v>1</v>
      </c>
      <c r="BA87">
        <v>1</v>
      </c>
      <c r="BB87">
        <v>1</v>
      </c>
      <c r="BC87">
        <v>1</v>
      </c>
      <c r="BD87" t="s">
        <v>3</v>
      </c>
      <c r="BE87" t="s">
        <v>3</v>
      </c>
      <c r="BF87" t="s">
        <v>3</v>
      </c>
      <c r="BG87" t="s">
        <v>3</v>
      </c>
      <c r="BH87">
        <v>3</v>
      </c>
      <c r="BI87">
        <v>4</v>
      </c>
      <c r="BJ87" t="s">
        <v>242</v>
      </c>
      <c r="BM87">
        <v>0</v>
      </c>
      <c r="BN87">
        <v>0</v>
      </c>
      <c r="BO87" t="s">
        <v>3</v>
      </c>
      <c r="BP87">
        <v>0</v>
      </c>
      <c r="BQ87">
        <v>1</v>
      </c>
      <c r="BR87">
        <v>1</v>
      </c>
      <c r="BS87">
        <v>1</v>
      </c>
      <c r="BT87">
        <v>1</v>
      </c>
      <c r="BU87">
        <v>1</v>
      </c>
      <c r="BV87">
        <v>1</v>
      </c>
      <c r="BW87">
        <v>1</v>
      </c>
      <c r="BX87">
        <v>1</v>
      </c>
      <c r="BY87" t="s">
        <v>3</v>
      </c>
      <c r="BZ87">
        <v>70</v>
      </c>
      <c r="CA87">
        <v>10</v>
      </c>
      <c r="CB87" t="s">
        <v>3</v>
      </c>
      <c r="CE87">
        <v>0</v>
      </c>
      <c r="CF87">
        <v>0</v>
      </c>
      <c r="CG87">
        <v>0</v>
      </c>
      <c r="CM87">
        <v>0</v>
      </c>
      <c r="CN87" t="s">
        <v>3</v>
      </c>
      <c r="CO87">
        <v>0</v>
      </c>
      <c r="CP87">
        <f t="shared" si="74"/>
        <v>-35996.69</v>
      </c>
      <c r="CQ87">
        <f t="shared" si="75"/>
        <v>224.03</v>
      </c>
      <c r="CR87">
        <f t="shared" si="76"/>
        <v>0</v>
      </c>
      <c r="CS87">
        <f t="shared" si="77"/>
        <v>0</v>
      </c>
      <c r="CT87">
        <f t="shared" si="78"/>
        <v>0</v>
      </c>
      <c r="CU87">
        <f t="shared" si="79"/>
        <v>0</v>
      </c>
      <c r="CV87">
        <f t="shared" si="80"/>
        <v>0</v>
      </c>
      <c r="CW87">
        <f t="shared" si="81"/>
        <v>0</v>
      </c>
      <c r="CX87">
        <f t="shared" si="82"/>
        <v>0</v>
      </c>
      <c r="CY87">
        <f t="shared" si="83"/>
        <v>0</v>
      </c>
      <c r="CZ87">
        <f t="shared" si="84"/>
        <v>0</v>
      </c>
      <c r="DC87" t="s">
        <v>3</v>
      </c>
      <c r="DD87" t="s">
        <v>3</v>
      </c>
      <c r="DE87" t="s">
        <v>3</v>
      </c>
      <c r="DF87" t="s">
        <v>3</v>
      </c>
      <c r="DG87" t="s">
        <v>3</v>
      </c>
      <c r="DH87" t="s">
        <v>3</v>
      </c>
      <c r="DI87" t="s">
        <v>3</v>
      </c>
      <c r="DJ87" t="s">
        <v>3</v>
      </c>
      <c r="DK87" t="s">
        <v>3</v>
      </c>
      <c r="DL87" t="s">
        <v>3</v>
      </c>
      <c r="DM87" t="s">
        <v>3</v>
      </c>
      <c r="DN87">
        <v>0</v>
      </c>
      <c r="DO87">
        <v>0</v>
      </c>
      <c r="DP87">
        <v>1</v>
      </c>
      <c r="DQ87">
        <v>1</v>
      </c>
      <c r="DU87">
        <v>1003</v>
      </c>
      <c r="DV87" t="s">
        <v>64</v>
      </c>
      <c r="DW87" t="s">
        <v>64</v>
      </c>
      <c r="DX87">
        <v>1</v>
      </c>
      <c r="DZ87" t="s">
        <v>3</v>
      </c>
      <c r="EA87" t="s">
        <v>3</v>
      </c>
      <c r="EB87" t="s">
        <v>3</v>
      </c>
      <c r="EC87" t="s">
        <v>3</v>
      </c>
      <c r="EE87">
        <v>43033442</v>
      </c>
      <c r="EF87">
        <v>1</v>
      </c>
      <c r="EG87" t="s">
        <v>22</v>
      </c>
      <c r="EH87">
        <v>0</v>
      </c>
      <c r="EI87" t="s">
        <v>3</v>
      </c>
      <c r="EJ87">
        <v>4</v>
      </c>
      <c r="EK87">
        <v>0</v>
      </c>
      <c r="EL87" t="s">
        <v>23</v>
      </c>
      <c r="EM87" t="s">
        <v>24</v>
      </c>
      <c r="EO87" t="s">
        <v>3</v>
      </c>
      <c r="EQ87">
        <v>0</v>
      </c>
      <c r="ER87">
        <v>224.03</v>
      </c>
      <c r="ES87">
        <v>224.03</v>
      </c>
      <c r="ET87">
        <v>0</v>
      </c>
      <c r="EU87">
        <v>0</v>
      </c>
      <c r="EV87">
        <v>0</v>
      </c>
      <c r="EW87">
        <v>0</v>
      </c>
      <c r="EX87">
        <v>0</v>
      </c>
      <c r="FQ87">
        <v>0</v>
      </c>
      <c r="FR87">
        <f t="shared" si="85"/>
        <v>0</v>
      </c>
      <c r="FS87">
        <v>0</v>
      </c>
      <c r="FX87">
        <v>70</v>
      </c>
      <c r="FY87">
        <v>10</v>
      </c>
      <c r="GA87" t="s">
        <v>3</v>
      </c>
      <c r="GD87">
        <v>0</v>
      </c>
      <c r="GF87">
        <v>-423230281</v>
      </c>
      <c r="GG87">
        <v>2</v>
      </c>
      <c r="GH87">
        <v>1</v>
      </c>
      <c r="GI87">
        <v>-2</v>
      </c>
      <c r="GJ87">
        <v>0</v>
      </c>
      <c r="GK87">
        <f>ROUND(R87*(R12)/100,2)</f>
        <v>0</v>
      </c>
      <c r="GL87">
        <f t="shared" si="86"/>
        <v>0</v>
      </c>
      <c r="GM87">
        <f t="shared" si="87"/>
        <v>-35996.69</v>
      </c>
      <c r="GN87">
        <f t="shared" si="88"/>
        <v>0</v>
      </c>
      <c r="GO87">
        <f t="shared" si="89"/>
        <v>0</v>
      </c>
      <c r="GP87">
        <f t="shared" si="90"/>
        <v>-35996.69</v>
      </c>
      <c r="GR87">
        <v>0</v>
      </c>
      <c r="GS87">
        <v>3</v>
      </c>
      <c r="GT87">
        <v>0</v>
      </c>
      <c r="GU87" t="s">
        <v>3</v>
      </c>
      <c r="GV87">
        <f t="shared" si="91"/>
        <v>0</v>
      </c>
      <c r="GW87">
        <v>1</v>
      </c>
      <c r="GX87">
        <f t="shared" si="92"/>
        <v>0</v>
      </c>
      <c r="HA87">
        <v>0</v>
      </c>
      <c r="HB87">
        <v>0</v>
      </c>
      <c r="HC87">
        <f t="shared" si="93"/>
        <v>0</v>
      </c>
      <c r="HE87" t="s">
        <v>3</v>
      </c>
      <c r="HF87" t="s">
        <v>3</v>
      </c>
      <c r="HM87" t="s">
        <v>3</v>
      </c>
      <c r="HN87" t="s">
        <v>3</v>
      </c>
      <c r="HO87" t="s">
        <v>3</v>
      </c>
      <c r="HP87" t="s">
        <v>3</v>
      </c>
      <c r="HQ87" t="s">
        <v>3</v>
      </c>
      <c r="IK87">
        <v>0</v>
      </c>
    </row>
    <row r="88" spans="1:245" x14ac:dyDescent="0.2">
      <c r="A88">
        <v>18</v>
      </c>
      <c r="B88">
        <v>1</v>
      </c>
      <c r="C88">
        <v>105</v>
      </c>
      <c r="E88" t="s">
        <v>243</v>
      </c>
      <c r="F88" t="s">
        <v>244</v>
      </c>
      <c r="G88" t="s">
        <v>245</v>
      </c>
      <c r="H88" t="s">
        <v>20</v>
      </c>
      <c r="I88">
        <f>I81*J88</f>
        <v>-19.32</v>
      </c>
      <c r="J88">
        <v>-12</v>
      </c>
      <c r="K88">
        <v>-12</v>
      </c>
      <c r="O88">
        <f t="shared" ref="O88:O119" si="94">ROUND(CP88,2)</f>
        <v>-140.26</v>
      </c>
      <c r="P88">
        <f t="shared" ref="P88:P119" si="95">ROUND(CQ88*I88,2)</f>
        <v>-140.26</v>
      </c>
      <c r="Q88">
        <f t="shared" ref="Q88:Q119" si="96">ROUND(CR88*I88,2)</f>
        <v>0</v>
      </c>
      <c r="R88">
        <f t="shared" ref="R88:R119" si="97">ROUND(CS88*I88,2)</f>
        <v>0</v>
      </c>
      <c r="S88">
        <f t="shared" ref="S88:S119" si="98">ROUND(CT88*I88,2)</f>
        <v>0</v>
      </c>
      <c r="T88">
        <f t="shared" ref="T88:T119" si="99">ROUND(CU88*I88,2)</f>
        <v>0</v>
      </c>
      <c r="U88">
        <f t="shared" ref="U88:U119" si="100">CV88*I88</f>
        <v>0</v>
      </c>
      <c r="V88">
        <f t="shared" ref="V88:V119" si="101">CW88*I88</f>
        <v>0</v>
      </c>
      <c r="W88">
        <f t="shared" ref="W88:W119" si="102">ROUND(CX88*I88,2)</f>
        <v>0</v>
      </c>
      <c r="X88">
        <f t="shared" ref="X88:X119" si="103">ROUND(CY88,2)</f>
        <v>0</v>
      </c>
      <c r="Y88">
        <f t="shared" ref="Y88:Y119" si="104">ROUND(CZ88,2)</f>
        <v>0</v>
      </c>
      <c r="AA88">
        <v>43095088</v>
      </c>
      <c r="AB88">
        <f t="shared" ref="AB88:AB119" si="105">ROUND((AC88+AD88+AF88),6)</f>
        <v>7.26</v>
      </c>
      <c r="AC88">
        <f t="shared" ref="AC88:AC119" si="106">ROUND((ES88),6)</f>
        <v>7.26</v>
      </c>
      <c r="AD88">
        <f t="shared" ref="AD88:AD93" si="107">ROUND((((ET88)-(EU88))+AE88),6)</f>
        <v>0</v>
      </c>
      <c r="AE88">
        <f t="shared" ref="AE88:AE93" si="108">ROUND((EU88),6)</f>
        <v>0</v>
      </c>
      <c r="AF88">
        <f t="shared" ref="AF88:AF93" si="109">ROUND((EV88),6)</f>
        <v>0</v>
      </c>
      <c r="AG88">
        <f t="shared" ref="AG88:AG119" si="110">ROUND((AP88),6)</f>
        <v>0</v>
      </c>
      <c r="AH88">
        <f t="shared" ref="AH88:AH93" si="111">(EW88)</f>
        <v>0</v>
      </c>
      <c r="AI88">
        <f t="shared" ref="AI88:AI93" si="112">(EX88)</f>
        <v>0</v>
      </c>
      <c r="AJ88">
        <f t="shared" ref="AJ88:AJ119" si="113">(AS88)</f>
        <v>0</v>
      </c>
      <c r="AK88">
        <v>7.26</v>
      </c>
      <c r="AL88">
        <v>7.26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70</v>
      </c>
      <c r="AU88">
        <v>10</v>
      </c>
      <c r="AV88">
        <v>1</v>
      </c>
      <c r="AW88">
        <v>1</v>
      </c>
      <c r="AZ88">
        <v>1</v>
      </c>
      <c r="BA88">
        <v>1</v>
      </c>
      <c r="BB88">
        <v>1</v>
      </c>
      <c r="BC88">
        <v>1</v>
      </c>
      <c r="BD88" t="s">
        <v>3</v>
      </c>
      <c r="BE88" t="s">
        <v>3</v>
      </c>
      <c r="BF88" t="s">
        <v>3</v>
      </c>
      <c r="BG88" t="s">
        <v>3</v>
      </c>
      <c r="BH88">
        <v>3</v>
      </c>
      <c r="BI88">
        <v>4</v>
      </c>
      <c r="BJ88" t="s">
        <v>246</v>
      </c>
      <c r="BM88">
        <v>0</v>
      </c>
      <c r="BN88">
        <v>0</v>
      </c>
      <c r="BO88" t="s">
        <v>3</v>
      </c>
      <c r="BP88">
        <v>0</v>
      </c>
      <c r="BQ88">
        <v>1</v>
      </c>
      <c r="BR88">
        <v>1</v>
      </c>
      <c r="BS88">
        <v>1</v>
      </c>
      <c r="BT88">
        <v>1</v>
      </c>
      <c r="BU88">
        <v>1</v>
      </c>
      <c r="BV88">
        <v>1</v>
      </c>
      <c r="BW88">
        <v>1</v>
      </c>
      <c r="BX88">
        <v>1</v>
      </c>
      <c r="BY88" t="s">
        <v>3</v>
      </c>
      <c r="BZ88">
        <v>70</v>
      </c>
      <c r="CA88">
        <v>10</v>
      </c>
      <c r="CB88" t="s">
        <v>3</v>
      </c>
      <c r="CE88">
        <v>0</v>
      </c>
      <c r="CF88">
        <v>0</v>
      </c>
      <c r="CG88">
        <v>0</v>
      </c>
      <c r="CM88">
        <v>0</v>
      </c>
      <c r="CN88" t="s">
        <v>3</v>
      </c>
      <c r="CO88">
        <v>0</v>
      </c>
      <c r="CP88">
        <f t="shared" ref="CP88:CP119" si="114">(P88+Q88+S88)</f>
        <v>-140.26</v>
      </c>
      <c r="CQ88">
        <f t="shared" ref="CQ88:CQ119" si="115">(AC88*BC88*AW88)</f>
        <v>7.26</v>
      </c>
      <c r="CR88">
        <f t="shared" ref="CR88:CR93" si="116">((((ET88)*BB88-(EU88)*BS88)+AE88*BS88)*AV88)</f>
        <v>0</v>
      </c>
      <c r="CS88">
        <f t="shared" ref="CS88:CS119" si="117">(AE88*BS88*AV88)</f>
        <v>0</v>
      </c>
      <c r="CT88">
        <f t="shared" ref="CT88:CT119" si="118">(AF88*BA88*AV88)</f>
        <v>0</v>
      </c>
      <c r="CU88">
        <f t="shared" ref="CU88:CU119" si="119">AG88</f>
        <v>0</v>
      </c>
      <c r="CV88">
        <f t="shared" ref="CV88:CV119" si="120">(AH88*AV88)</f>
        <v>0</v>
      </c>
      <c r="CW88">
        <f t="shared" ref="CW88:CW119" si="121">AI88</f>
        <v>0</v>
      </c>
      <c r="CX88">
        <f t="shared" ref="CX88:CX119" si="122">AJ88</f>
        <v>0</v>
      </c>
      <c r="CY88">
        <f t="shared" ref="CY88:CY119" si="123">((S88*BZ88)/100)</f>
        <v>0</v>
      </c>
      <c r="CZ88">
        <f t="shared" ref="CZ88:CZ119" si="124">((S88*CA88)/100)</f>
        <v>0</v>
      </c>
      <c r="DC88" t="s">
        <v>3</v>
      </c>
      <c r="DD88" t="s">
        <v>3</v>
      </c>
      <c r="DE88" t="s">
        <v>3</v>
      </c>
      <c r="DF88" t="s">
        <v>3</v>
      </c>
      <c r="DG88" t="s">
        <v>3</v>
      </c>
      <c r="DH88" t="s">
        <v>3</v>
      </c>
      <c r="DI88" t="s">
        <v>3</v>
      </c>
      <c r="DJ88" t="s">
        <v>3</v>
      </c>
      <c r="DK88" t="s">
        <v>3</v>
      </c>
      <c r="DL88" t="s">
        <v>3</v>
      </c>
      <c r="DM88" t="s">
        <v>3</v>
      </c>
      <c r="DN88">
        <v>0</v>
      </c>
      <c r="DO88">
        <v>0</v>
      </c>
      <c r="DP88">
        <v>1</v>
      </c>
      <c r="DQ88">
        <v>1</v>
      </c>
      <c r="DU88">
        <v>1010</v>
      </c>
      <c r="DV88" t="s">
        <v>20</v>
      </c>
      <c r="DW88" t="s">
        <v>20</v>
      </c>
      <c r="DX88">
        <v>1</v>
      </c>
      <c r="DZ88" t="s">
        <v>3</v>
      </c>
      <c r="EA88" t="s">
        <v>3</v>
      </c>
      <c r="EB88" t="s">
        <v>3</v>
      </c>
      <c r="EC88" t="s">
        <v>3</v>
      </c>
      <c r="EE88">
        <v>43033442</v>
      </c>
      <c r="EF88">
        <v>1</v>
      </c>
      <c r="EG88" t="s">
        <v>22</v>
      </c>
      <c r="EH88">
        <v>0</v>
      </c>
      <c r="EI88" t="s">
        <v>3</v>
      </c>
      <c r="EJ88">
        <v>4</v>
      </c>
      <c r="EK88">
        <v>0</v>
      </c>
      <c r="EL88" t="s">
        <v>23</v>
      </c>
      <c r="EM88" t="s">
        <v>24</v>
      </c>
      <c r="EO88" t="s">
        <v>3</v>
      </c>
      <c r="EQ88">
        <v>0</v>
      </c>
      <c r="ER88">
        <v>7.26</v>
      </c>
      <c r="ES88">
        <v>7.26</v>
      </c>
      <c r="ET88">
        <v>0</v>
      </c>
      <c r="EU88">
        <v>0</v>
      </c>
      <c r="EV88">
        <v>0</v>
      </c>
      <c r="EW88">
        <v>0</v>
      </c>
      <c r="EX88">
        <v>0</v>
      </c>
      <c r="FQ88">
        <v>0</v>
      </c>
      <c r="FR88">
        <f t="shared" ref="FR88:FR119" si="125">ROUND(IF(AND(BH88=3,BI88=3),P88,0),2)</f>
        <v>0</v>
      </c>
      <c r="FS88">
        <v>0</v>
      </c>
      <c r="FX88">
        <v>70</v>
      </c>
      <c r="FY88">
        <v>10</v>
      </c>
      <c r="GA88" t="s">
        <v>3</v>
      </c>
      <c r="GD88">
        <v>0</v>
      </c>
      <c r="GF88">
        <v>1420787773</v>
      </c>
      <c r="GG88">
        <v>2</v>
      </c>
      <c r="GH88">
        <v>1</v>
      </c>
      <c r="GI88">
        <v>-2</v>
      </c>
      <c r="GJ88">
        <v>0</v>
      </c>
      <c r="GK88">
        <f>ROUND(R88*(R12)/100,2)</f>
        <v>0</v>
      </c>
      <c r="GL88">
        <f t="shared" ref="GL88:GL119" si="126">ROUND(IF(AND(BH88=3,BI88=3,FS88&lt;&gt;0),P88,0),2)</f>
        <v>0</v>
      </c>
      <c r="GM88">
        <f t="shared" ref="GM88:GM119" si="127">ROUND(O88+X88+Y88+GK88,2)+GX88</f>
        <v>-140.26</v>
      </c>
      <c r="GN88">
        <f t="shared" ref="GN88:GN119" si="128">IF(OR(BI88=0,BI88=1),ROUND(O88+X88+Y88+GK88,2),0)</f>
        <v>0</v>
      </c>
      <c r="GO88">
        <f t="shared" ref="GO88:GO119" si="129">IF(BI88=2,ROUND(O88+X88+Y88+GK88,2),0)</f>
        <v>0</v>
      </c>
      <c r="GP88">
        <f t="shared" ref="GP88:GP119" si="130">IF(BI88=4,ROUND(O88+X88+Y88+GK88,2)+GX88,0)</f>
        <v>-140.26</v>
      </c>
      <c r="GR88">
        <v>0</v>
      </c>
      <c r="GS88">
        <v>3</v>
      </c>
      <c r="GT88">
        <v>0</v>
      </c>
      <c r="GU88" t="s">
        <v>3</v>
      </c>
      <c r="GV88">
        <f t="shared" ref="GV88:GV119" si="131">ROUND((GT88),6)</f>
        <v>0</v>
      </c>
      <c r="GW88">
        <v>1</v>
      </c>
      <c r="GX88">
        <f t="shared" ref="GX88:GX119" si="132">ROUND(HC88*I88,2)</f>
        <v>0</v>
      </c>
      <c r="HA88">
        <v>0</v>
      </c>
      <c r="HB88">
        <v>0</v>
      </c>
      <c r="HC88">
        <f t="shared" ref="HC88:HC119" si="133">GV88*GW88</f>
        <v>0</v>
      </c>
      <c r="HE88" t="s">
        <v>3</v>
      </c>
      <c r="HF88" t="s">
        <v>3</v>
      </c>
      <c r="HM88" t="s">
        <v>3</v>
      </c>
      <c r="HN88" t="s">
        <v>3</v>
      </c>
      <c r="HO88" t="s">
        <v>3</v>
      </c>
      <c r="HP88" t="s">
        <v>3</v>
      </c>
      <c r="HQ88" t="s">
        <v>3</v>
      </c>
      <c r="IK88">
        <v>0</v>
      </c>
    </row>
    <row r="89" spans="1:245" x14ac:dyDescent="0.2">
      <c r="A89">
        <v>17</v>
      </c>
      <c r="B89">
        <v>1</v>
      </c>
      <c r="C89">
        <f>ROW(SmtRes!A120)</f>
        <v>120</v>
      </c>
      <c r="D89">
        <f>ROW(EtalonRes!A108)</f>
        <v>108</v>
      </c>
      <c r="E89" t="s">
        <v>247</v>
      </c>
      <c r="F89" t="s">
        <v>248</v>
      </c>
      <c r="G89" t="s">
        <v>249</v>
      </c>
      <c r="H89" t="s">
        <v>118</v>
      </c>
      <c r="I89">
        <v>0</v>
      </c>
      <c r="J89">
        <v>0</v>
      </c>
      <c r="K89">
        <v>0</v>
      </c>
      <c r="O89">
        <f t="shared" si="94"/>
        <v>0</v>
      </c>
      <c r="P89">
        <f t="shared" si="95"/>
        <v>0</v>
      </c>
      <c r="Q89">
        <f t="shared" si="96"/>
        <v>0</v>
      </c>
      <c r="R89">
        <f t="shared" si="97"/>
        <v>0</v>
      </c>
      <c r="S89">
        <f t="shared" si="98"/>
        <v>0</v>
      </c>
      <c r="T89">
        <f t="shared" si="99"/>
        <v>0</v>
      </c>
      <c r="U89">
        <f t="shared" si="100"/>
        <v>0</v>
      </c>
      <c r="V89">
        <f t="shared" si="101"/>
        <v>0</v>
      </c>
      <c r="W89">
        <f t="shared" si="102"/>
        <v>0</v>
      </c>
      <c r="X89">
        <f t="shared" si="103"/>
        <v>0</v>
      </c>
      <c r="Y89">
        <f t="shared" si="104"/>
        <v>0</v>
      </c>
      <c r="AA89">
        <v>43095088</v>
      </c>
      <c r="AB89">
        <f t="shared" si="105"/>
        <v>94783.42</v>
      </c>
      <c r="AC89">
        <f t="shared" si="106"/>
        <v>83870.44</v>
      </c>
      <c r="AD89">
        <f t="shared" si="107"/>
        <v>41.99</v>
      </c>
      <c r="AE89">
        <f t="shared" si="108"/>
        <v>0.28000000000000003</v>
      </c>
      <c r="AF89">
        <f t="shared" si="109"/>
        <v>10870.99</v>
      </c>
      <c r="AG89">
        <f t="shared" si="110"/>
        <v>0</v>
      </c>
      <c r="AH89">
        <f t="shared" si="111"/>
        <v>46.78</v>
      </c>
      <c r="AI89">
        <f t="shared" si="112"/>
        <v>0</v>
      </c>
      <c r="AJ89">
        <f t="shared" si="113"/>
        <v>0</v>
      </c>
      <c r="AK89">
        <v>94783.42</v>
      </c>
      <c r="AL89">
        <v>83870.44</v>
      </c>
      <c r="AM89">
        <v>41.99</v>
      </c>
      <c r="AN89">
        <v>0.28000000000000003</v>
      </c>
      <c r="AO89">
        <v>10870.99</v>
      </c>
      <c r="AP89">
        <v>0</v>
      </c>
      <c r="AQ89">
        <v>46.78</v>
      </c>
      <c r="AR89">
        <v>0</v>
      </c>
      <c r="AS89">
        <v>0</v>
      </c>
      <c r="AT89">
        <v>70</v>
      </c>
      <c r="AU89">
        <v>10</v>
      </c>
      <c r="AV89">
        <v>1</v>
      </c>
      <c r="AW89">
        <v>1</v>
      </c>
      <c r="AZ89">
        <v>1</v>
      </c>
      <c r="BA89">
        <v>1</v>
      </c>
      <c r="BB89">
        <v>1</v>
      </c>
      <c r="BC89">
        <v>1</v>
      </c>
      <c r="BD89" t="s">
        <v>3</v>
      </c>
      <c r="BE89" t="s">
        <v>3</v>
      </c>
      <c r="BF89" t="s">
        <v>3</v>
      </c>
      <c r="BG89" t="s">
        <v>3</v>
      </c>
      <c r="BH89">
        <v>0</v>
      </c>
      <c r="BI89">
        <v>4</v>
      </c>
      <c r="BJ89" t="s">
        <v>250</v>
      </c>
      <c r="BM89">
        <v>0</v>
      </c>
      <c r="BN89">
        <v>0</v>
      </c>
      <c r="BO89" t="s">
        <v>3</v>
      </c>
      <c r="BP89">
        <v>0</v>
      </c>
      <c r="BQ89">
        <v>1</v>
      </c>
      <c r="BR89">
        <v>0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 t="s">
        <v>3</v>
      </c>
      <c r="BZ89">
        <v>70</v>
      </c>
      <c r="CA89">
        <v>10</v>
      </c>
      <c r="CB89" t="s">
        <v>3</v>
      </c>
      <c r="CE89">
        <v>0</v>
      </c>
      <c r="CF89">
        <v>0</v>
      </c>
      <c r="CG89">
        <v>0</v>
      </c>
      <c r="CM89">
        <v>0</v>
      </c>
      <c r="CN89" t="s">
        <v>3</v>
      </c>
      <c r="CO89">
        <v>0</v>
      </c>
      <c r="CP89">
        <f t="shared" si="114"/>
        <v>0</v>
      </c>
      <c r="CQ89">
        <f t="shared" si="115"/>
        <v>83870.44</v>
      </c>
      <c r="CR89">
        <f t="shared" si="116"/>
        <v>41.99</v>
      </c>
      <c r="CS89">
        <f t="shared" si="117"/>
        <v>0.28000000000000003</v>
      </c>
      <c r="CT89">
        <f t="shared" si="118"/>
        <v>10870.99</v>
      </c>
      <c r="CU89">
        <f t="shared" si="119"/>
        <v>0</v>
      </c>
      <c r="CV89">
        <f t="shared" si="120"/>
        <v>46.78</v>
      </c>
      <c r="CW89">
        <f t="shared" si="121"/>
        <v>0</v>
      </c>
      <c r="CX89">
        <f t="shared" si="122"/>
        <v>0</v>
      </c>
      <c r="CY89">
        <f t="shared" si="123"/>
        <v>0</v>
      </c>
      <c r="CZ89">
        <f t="shared" si="124"/>
        <v>0</v>
      </c>
      <c r="DC89" t="s">
        <v>3</v>
      </c>
      <c r="DD89" t="s">
        <v>3</v>
      </c>
      <c r="DE89" t="s">
        <v>3</v>
      </c>
      <c r="DF89" t="s">
        <v>3</v>
      </c>
      <c r="DG89" t="s">
        <v>3</v>
      </c>
      <c r="DH89" t="s">
        <v>3</v>
      </c>
      <c r="DI89" t="s">
        <v>3</v>
      </c>
      <c r="DJ89" t="s">
        <v>3</v>
      </c>
      <c r="DK89" t="s">
        <v>3</v>
      </c>
      <c r="DL89" t="s">
        <v>3</v>
      </c>
      <c r="DM89" t="s">
        <v>3</v>
      </c>
      <c r="DN89">
        <v>0</v>
      </c>
      <c r="DO89">
        <v>0</v>
      </c>
      <c r="DP89">
        <v>1</v>
      </c>
      <c r="DQ89">
        <v>1</v>
      </c>
      <c r="DU89">
        <v>1003</v>
      </c>
      <c r="DV89" t="s">
        <v>118</v>
      </c>
      <c r="DW89" t="s">
        <v>118</v>
      </c>
      <c r="DX89">
        <v>100</v>
      </c>
      <c r="DZ89" t="s">
        <v>3</v>
      </c>
      <c r="EA89" t="s">
        <v>3</v>
      </c>
      <c r="EB89" t="s">
        <v>3</v>
      </c>
      <c r="EC89" t="s">
        <v>3</v>
      </c>
      <c r="EE89">
        <v>43033442</v>
      </c>
      <c r="EF89">
        <v>1</v>
      </c>
      <c r="EG89" t="s">
        <v>22</v>
      </c>
      <c r="EH89">
        <v>0</v>
      </c>
      <c r="EI89" t="s">
        <v>3</v>
      </c>
      <c r="EJ89">
        <v>4</v>
      </c>
      <c r="EK89">
        <v>0</v>
      </c>
      <c r="EL89" t="s">
        <v>23</v>
      </c>
      <c r="EM89" t="s">
        <v>24</v>
      </c>
      <c r="EO89" t="s">
        <v>3</v>
      </c>
      <c r="EQ89">
        <v>0</v>
      </c>
      <c r="ER89">
        <v>94783.42</v>
      </c>
      <c r="ES89">
        <v>83870.44</v>
      </c>
      <c r="ET89">
        <v>41.99</v>
      </c>
      <c r="EU89">
        <v>0.28000000000000003</v>
      </c>
      <c r="EV89">
        <v>10870.99</v>
      </c>
      <c r="EW89">
        <v>46.78</v>
      </c>
      <c r="EX89">
        <v>0</v>
      </c>
      <c r="EY89">
        <v>0</v>
      </c>
      <c r="FQ89">
        <v>0</v>
      </c>
      <c r="FR89">
        <f t="shared" si="125"/>
        <v>0</v>
      </c>
      <c r="FS89">
        <v>0</v>
      </c>
      <c r="FX89">
        <v>70</v>
      </c>
      <c r="FY89">
        <v>10</v>
      </c>
      <c r="GA89" t="s">
        <v>3</v>
      </c>
      <c r="GD89">
        <v>0</v>
      </c>
      <c r="GF89">
        <v>2002158669</v>
      </c>
      <c r="GG89">
        <v>2</v>
      </c>
      <c r="GH89">
        <v>1</v>
      </c>
      <c r="GI89">
        <v>-2</v>
      </c>
      <c r="GJ89">
        <v>0</v>
      </c>
      <c r="GK89">
        <f>ROUND(R89*(R12)/100,2)</f>
        <v>0</v>
      </c>
      <c r="GL89">
        <f t="shared" si="126"/>
        <v>0</v>
      </c>
      <c r="GM89">
        <f t="shared" si="127"/>
        <v>0</v>
      </c>
      <c r="GN89">
        <f t="shared" si="128"/>
        <v>0</v>
      </c>
      <c r="GO89">
        <f t="shared" si="129"/>
        <v>0</v>
      </c>
      <c r="GP89">
        <f t="shared" si="130"/>
        <v>0</v>
      </c>
      <c r="GR89">
        <v>0</v>
      </c>
      <c r="GS89">
        <v>3</v>
      </c>
      <c r="GT89">
        <v>0</v>
      </c>
      <c r="GU89" t="s">
        <v>3</v>
      </c>
      <c r="GV89">
        <f t="shared" si="131"/>
        <v>0</v>
      </c>
      <c r="GW89">
        <v>1</v>
      </c>
      <c r="GX89">
        <f t="shared" si="132"/>
        <v>0</v>
      </c>
      <c r="HA89">
        <v>0</v>
      </c>
      <c r="HB89">
        <v>0</v>
      </c>
      <c r="HC89">
        <f t="shared" si="133"/>
        <v>0</v>
      </c>
      <c r="HE89" t="s">
        <v>3</v>
      </c>
      <c r="HF89" t="s">
        <v>3</v>
      </c>
      <c r="HM89" t="s">
        <v>3</v>
      </c>
      <c r="HN89" t="s">
        <v>3</v>
      </c>
      <c r="HO89" t="s">
        <v>3</v>
      </c>
      <c r="HP89" t="s">
        <v>3</v>
      </c>
      <c r="HQ89" t="s">
        <v>3</v>
      </c>
      <c r="IK89">
        <v>0</v>
      </c>
    </row>
    <row r="90" spans="1:245" x14ac:dyDescent="0.2">
      <c r="A90">
        <v>17</v>
      </c>
      <c r="B90">
        <v>1</v>
      </c>
      <c r="C90">
        <f>ROW(SmtRes!A122)</f>
        <v>122</v>
      </c>
      <c r="D90">
        <f>ROW(EtalonRes!A110)</f>
        <v>110</v>
      </c>
      <c r="E90" t="s">
        <v>251</v>
      </c>
      <c r="F90" t="s">
        <v>252</v>
      </c>
      <c r="G90" t="s">
        <v>253</v>
      </c>
      <c r="H90" t="s">
        <v>20</v>
      </c>
      <c r="I90">
        <v>27</v>
      </c>
      <c r="J90">
        <v>0</v>
      </c>
      <c r="K90">
        <v>27</v>
      </c>
      <c r="O90">
        <f t="shared" si="94"/>
        <v>24064.29</v>
      </c>
      <c r="P90">
        <f t="shared" si="95"/>
        <v>0</v>
      </c>
      <c r="Q90">
        <f t="shared" si="96"/>
        <v>46.71</v>
      </c>
      <c r="R90">
        <f t="shared" si="97"/>
        <v>0.27</v>
      </c>
      <c r="S90">
        <f t="shared" si="98"/>
        <v>24017.58</v>
      </c>
      <c r="T90">
        <f t="shared" si="99"/>
        <v>0</v>
      </c>
      <c r="U90">
        <f t="shared" si="100"/>
        <v>90.179999999999993</v>
      </c>
      <c r="V90">
        <f t="shared" si="101"/>
        <v>0</v>
      </c>
      <c r="W90">
        <f t="shared" si="102"/>
        <v>0</v>
      </c>
      <c r="X90">
        <f t="shared" si="103"/>
        <v>16812.310000000001</v>
      </c>
      <c r="Y90">
        <f t="shared" si="104"/>
        <v>2401.7600000000002</v>
      </c>
      <c r="AA90">
        <v>43095088</v>
      </c>
      <c r="AB90">
        <f t="shared" si="105"/>
        <v>891.27</v>
      </c>
      <c r="AC90">
        <f t="shared" si="106"/>
        <v>0</v>
      </c>
      <c r="AD90">
        <f t="shared" si="107"/>
        <v>1.73</v>
      </c>
      <c r="AE90">
        <f t="shared" si="108"/>
        <v>0.01</v>
      </c>
      <c r="AF90">
        <f t="shared" si="109"/>
        <v>889.54</v>
      </c>
      <c r="AG90">
        <f t="shared" si="110"/>
        <v>0</v>
      </c>
      <c r="AH90">
        <f t="shared" si="111"/>
        <v>3.34</v>
      </c>
      <c r="AI90">
        <f t="shared" si="112"/>
        <v>0</v>
      </c>
      <c r="AJ90">
        <f t="shared" si="113"/>
        <v>0</v>
      </c>
      <c r="AK90">
        <v>891.27</v>
      </c>
      <c r="AL90">
        <v>0</v>
      </c>
      <c r="AM90">
        <v>1.73</v>
      </c>
      <c r="AN90">
        <v>0.01</v>
      </c>
      <c r="AO90">
        <v>889.54</v>
      </c>
      <c r="AP90">
        <v>0</v>
      </c>
      <c r="AQ90">
        <v>3.34</v>
      </c>
      <c r="AR90">
        <v>0</v>
      </c>
      <c r="AS90">
        <v>0</v>
      </c>
      <c r="AT90">
        <v>70</v>
      </c>
      <c r="AU90">
        <v>10</v>
      </c>
      <c r="AV90">
        <v>1</v>
      </c>
      <c r="AW90">
        <v>1</v>
      </c>
      <c r="AZ90">
        <v>1</v>
      </c>
      <c r="BA90">
        <v>1</v>
      </c>
      <c r="BB90">
        <v>1</v>
      </c>
      <c r="BC90">
        <v>1</v>
      </c>
      <c r="BD90" t="s">
        <v>3</v>
      </c>
      <c r="BE90" t="s">
        <v>3</v>
      </c>
      <c r="BF90" t="s">
        <v>3</v>
      </c>
      <c r="BG90" t="s">
        <v>3</v>
      </c>
      <c r="BH90">
        <v>0</v>
      </c>
      <c r="BI90">
        <v>4</v>
      </c>
      <c r="BJ90" t="s">
        <v>254</v>
      </c>
      <c r="BM90">
        <v>0</v>
      </c>
      <c r="BN90">
        <v>0</v>
      </c>
      <c r="BO90" t="s">
        <v>3</v>
      </c>
      <c r="BP90">
        <v>0</v>
      </c>
      <c r="BQ90">
        <v>1</v>
      </c>
      <c r="BR90">
        <v>0</v>
      </c>
      <c r="BS90">
        <v>1</v>
      </c>
      <c r="BT90">
        <v>1</v>
      </c>
      <c r="BU90">
        <v>1</v>
      </c>
      <c r="BV90">
        <v>1</v>
      </c>
      <c r="BW90">
        <v>1</v>
      </c>
      <c r="BX90">
        <v>1</v>
      </c>
      <c r="BY90" t="s">
        <v>3</v>
      </c>
      <c r="BZ90">
        <v>70</v>
      </c>
      <c r="CA90">
        <v>10</v>
      </c>
      <c r="CB90" t="s">
        <v>3</v>
      </c>
      <c r="CE90">
        <v>0</v>
      </c>
      <c r="CF90">
        <v>0</v>
      </c>
      <c r="CG90">
        <v>0</v>
      </c>
      <c r="CM90">
        <v>0</v>
      </c>
      <c r="CN90" t="s">
        <v>3</v>
      </c>
      <c r="CO90">
        <v>0</v>
      </c>
      <c r="CP90">
        <f t="shared" si="114"/>
        <v>24064.29</v>
      </c>
      <c r="CQ90">
        <f t="shared" si="115"/>
        <v>0</v>
      </c>
      <c r="CR90">
        <f t="shared" si="116"/>
        <v>1.73</v>
      </c>
      <c r="CS90">
        <f t="shared" si="117"/>
        <v>0.01</v>
      </c>
      <c r="CT90">
        <f t="shared" si="118"/>
        <v>889.54</v>
      </c>
      <c r="CU90">
        <f t="shared" si="119"/>
        <v>0</v>
      </c>
      <c r="CV90">
        <f t="shared" si="120"/>
        <v>3.34</v>
      </c>
      <c r="CW90">
        <f t="shared" si="121"/>
        <v>0</v>
      </c>
      <c r="CX90">
        <f t="shared" si="122"/>
        <v>0</v>
      </c>
      <c r="CY90">
        <f t="shared" si="123"/>
        <v>16812.306</v>
      </c>
      <c r="CZ90">
        <f t="shared" si="124"/>
        <v>2401.7580000000003</v>
      </c>
      <c r="DC90" t="s">
        <v>3</v>
      </c>
      <c r="DD90" t="s">
        <v>3</v>
      </c>
      <c r="DE90" t="s">
        <v>3</v>
      </c>
      <c r="DF90" t="s">
        <v>3</v>
      </c>
      <c r="DG90" t="s">
        <v>3</v>
      </c>
      <c r="DH90" t="s">
        <v>3</v>
      </c>
      <c r="DI90" t="s">
        <v>3</v>
      </c>
      <c r="DJ90" t="s">
        <v>3</v>
      </c>
      <c r="DK90" t="s">
        <v>3</v>
      </c>
      <c r="DL90" t="s">
        <v>3</v>
      </c>
      <c r="DM90" t="s">
        <v>3</v>
      </c>
      <c r="DN90">
        <v>0</v>
      </c>
      <c r="DO90">
        <v>0</v>
      </c>
      <c r="DP90">
        <v>1</v>
      </c>
      <c r="DQ90">
        <v>1</v>
      </c>
      <c r="DU90">
        <v>1010</v>
      </c>
      <c r="DV90" t="s">
        <v>20</v>
      </c>
      <c r="DW90" t="s">
        <v>20</v>
      </c>
      <c r="DX90">
        <v>1</v>
      </c>
      <c r="DZ90" t="s">
        <v>3</v>
      </c>
      <c r="EA90" t="s">
        <v>3</v>
      </c>
      <c r="EB90" t="s">
        <v>3</v>
      </c>
      <c r="EC90" t="s">
        <v>3</v>
      </c>
      <c r="EE90">
        <v>43033442</v>
      </c>
      <c r="EF90">
        <v>1</v>
      </c>
      <c r="EG90" t="s">
        <v>22</v>
      </c>
      <c r="EH90">
        <v>0</v>
      </c>
      <c r="EI90" t="s">
        <v>3</v>
      </c>
      <c r="EJ90">
        <v>4</v>
      </c>
      <c r="EK90">
        <v>0</v>
      </c>
      <c r="EL90" t="s">
        <v>23</v>
      </c>
      <c r="EM90" t="s">
        <v>24</v>
      </c>
      <c r="EO90" t="s">
        <v>3</v>
      </c>
      <c r="EQ90">
        <v>0</v>
      </c>
      <c r="ER90">
        <v>891.27</v>
      </c>
      <c r="ES90">
        <v>0</v>
      </c>
      <c r="ET90">
        <v>1.73</v>
      </c>
      <c r="EU90">
        <v>0.01</v>
      </c>
      <c r="EV90">
        <v>889.54</v>
      </c>
      <c r="EW90">
        <v>3.34</v>
      </c>
      <c r="EX90">
        <v>0</v>
      </c>
      <c r="EY90">
        <v>0</v>
      </c>
      <c r="FQ90">
        <v>0</v>
      </c>
      <c r="FR90">
        <f t="shared" si="125"/>
        <v>0</v>
      </c>
      <c r="FS90">
        <v>0</v>
      </c>
      <c r="FX90">
        <v>70</v>
      </c>
      <c r="FY90">
        <v>10</v>
      </c>
      <c r="GA90" t="s">
        <v>3</v>
      </c>
      <c r="GD90">
        <v>0</v>
      </c>
      <c r="GF90">
        <v>1568306536</v>
      </c>
      <c r="GG90">
        <v>2</v>
      </c>
      <c r="GH90">
        <v>1</v>
      </c>
      <c r="GI90">
        <v>-2</v>
      </c>
      <c r="GJ90">
        <v>0</v>
      </c>
      <c r="GK90">
        <f>ROUND(R90*(R12)/100,2)</f>
        <v>0.28999999999999998</v>
      </c>
      <c r="GL90">
        <f t="shared" si="126"/>
        <v>0</v>
      </c>
      <c r="GM90">
        <f t="shared" si="127"/>
        <v>43278.65</v>
      </c>
      <c r="GN90">
        <f t="shared" si="128"/>
        <v>0</v>
      </c>
      <c r="GO90">
        <f t="shared" si="129"/>
        <v>0</v>
      </c>
      <c r="GP90">
        <f t="shared" si="130"/>
        <v>43278.65</v>
      </c>
      <c r="GR90">
        <v>0</v>
      </c>
      <c r="GS90">
        <v>3</v>
      </c>
      <c r="GT90">
        <v>0</v>
      </c>
      <c r="GU90" t="s">
        <v>3</v>
      </c>
      <c r="GV90">
        <f t="shared" si="131"/>
        <v>0</v>
      </c>
      <c r="GW90">
        <v>1</v>
      </c>
      <c r="GX90">
        <f t="shared" si="132"/>
        <v>0</v>
      </c>
      <c r="HA90">
        <v>0</v>
      </c>
      <c r="HB90">
        <v>0</v>
      </c>
      <c r="HC90">
        <f t="shared" si="133"/>
        <v>0</v>
      </c>
      <c r="HE90" t="s">
        <v>3</v>
      </c>
      <c r="HF90" t="s">
        <v>3</v>
      </c>
      <c r="HM90" t="s">
        <v>3</v>
      </c>
      <c r="HN90" t="s">
        <v>3</v>
      </c>
      <c r="HO90" t="s">
        <v>3</v>
      </c>
      <c r="HP90" t="s">
        <v>3</v>
      </c>
      <c r="HQ90" t="s">
        <v>3</v>
      </c>
      <c r="IK90">
        <v>0</v>
      </c>
    </row>
    <row r="91" spans="1:245" x14ac:dyDescent="0.2">
      <c r="A91">
        <v>18</v>
      </c>
      <c r="B91">
        <v>1</v>
      </c>
      <c r="E91" t="s">
        <v>255</v>
      </c>
      <c r="F91" t="s">
        <v>34</v>
      </c>
      <c r="G91" t="s">
        <v>256</v>
      </c>
      <c r="H91" t="s">
        <v>20</v>
      </c>
      <c r="I91">
        <f>I90*J91</f>
        <v>27</v>
      </c>
      <c r="J91">
        <v>1</v>
      </c>
      <c r="K91">
        <v>1</v>
      </c>
      <c r="O91">
        <f t="shared" si="94"/>
        <v>8452.08</v>
      </c>
      <c r="P91">
        <f t="shared" si="95"/>
        <v>8452.08</v>
      </c>
      <c r="Q91">
        <f t="shared" si="96"/>
        <v>0</v>
      </c>
      <c r="R91">
        <f t="shared" si="97"/>
        <v>0</v>
      </c>
      <c r="S91">
        <f t="shared" si="98"/>
        <v>0</v>
      </c>
      <c r="T91">
        <f t="shared" si="99"/>
        <v>0</v>
      </c>
      <c r="U91">
        <f t="shared" si="100"/>
        <v>0</v>
      </c>
      <c r="V91">
        <f t="shared" si="101"/>
        <v>0</v>
      </c>
      <c r="W91">
        <f t="shared" si="102"/>
        <v>0</v>
      </c>
      <c r="X91">
        <f t="shared" si="103"/>
        <v>0</v>
      </c>
      <c r="Y91">
        <f t="shared" si="104"/>
        <v>0</v>
      </c>
      <c r="AA91">
        <v>43095088</v>
      </c>
      <c r="AB91">
        <f t="shared" si="105"/>
        <v>313.04000000000002</v>
      </c>
      <c r="AC91">
        <f t="shared" si="106"/>
        <v>313.04000000000002</v>
      </c>
      <c r="AD91">
        <f t="shared" si="107"/>
        <v>0</v>
      </c>
      <c r="AE91">
        <f t="shared" si="108"/>
        <v>0</v>
      </c>
      <c r="AF91">
        <f t="shared" si="109"/>
        <v>0</v>
      </c>
      <c r="AG91">
        <f t="shared" si="110"/>
        <v>0</v>
      </c>
      <c r="AH91">
        <f t="shared" si="111"/>
        <v>0</v>
      </c>
      <c r="AI91">
        <f t="shared" si="112"/>
        <v>0</v>
      </c>
      <c r="AJ91">
        <f t="shared" si="113"/>
        <v>0</v>
      </c>
      <c r="AK91">
        <v>313.04000000000002</v>
      </c>
      <c r="AL91">
        <v>313.04000000000002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70</v>
      </c>
      <c r="AU91">
        <v>10</v>
      </c>
      <c r="AV91">
        <v>1</v>
      </c>
      <c r="AW91">
        <v>1</v>
      </c>
      <c r="AZ91">
        <v>1</v>
      </c>
      <c r="BA91">
        <v>1</v>
      </c>
      <c r="BB91">
        <v>1</v>
      </c>
      <c r="BC91">
        <v>1</v>
      </c>
      <c r="BD91" t="s">
        <v>3</v>
      </c>
      <c r="BE91" t="s">
        <v>3</v>
      </c>
      <c r="BF91" t="s">
        <v>3</v>
      </c>
      <c r="BG91" t="s">
        <v>3</v>
      </c>
      <c r="BH91">
        <v>3</v>
      </c>
      <c r="BI91">
        <v>4</v>
      </c>
      <c r="BJ91" t="s">
        <v>3</v>
      </c>
      <c r="BM91">
        <v>0</v>
      </c>
      <c r="BN91">
        <v>0</v>
      </c>
      <c r="BO91" t="s">
        <v>3</v>
      </c>
      <c r="BP91">
        <v>0</v>
      </c>
      <c r="BQ91">
        <v>1</v>
      </c>
      <c r="BR91">
        <v>0</v>
      </c>
      <c r="BS91">
        <v>1</v>
      </c>
      <c r="BT91">
        <v>1</v>
      </c>
      <c r="BU91">
        <v>1</v>
      </c>
      <c r="BV91">
        <v>1</v>
      </c>
      <c r="BW91">
        <v>1</v>
      </c>
      <c r="BX91">
        <v>1</v>
      </c>
      <c r="BY91" t="s">
        <v>3</v>
      </c>
      <c r="BZ91">
        <v>70</v>
      </c>
      <c r="CA91">
        <v>10</v>
      </c>
      <c r="CB91" t="s">
        <v>3</v>
      </c>
      <c r="CE91">
        <v>0</v>
      </c>
      <c r="CF91">
        <v>0</v>
      </c>
      <c r="CG91">
        <v>0</v>
      </c>
      <c r="CM91">
        <v>0</v>
      </c>
      <c r="CN91" t="s">
        <v>3</v>
      </c>
      <c r="CO91">
        <v>0</v>
      </c>
      <c r="CP91">
        <f t="shared" si="114"/>
        <v>8452.08</v>
      </c>
      <c r="CQ91">
        <f t="shared" si="115"/>
        <v>313.04000000000002</v>
      </c>
      <c r="CR91">
        <f t="shared" si="116"/>
        <v>0</v>
      </c>
      <c r="CS91">
        <f t="shared" si="117"/>
        <v>0</v>
      </c>
      <c r="CT91">
        <f t="shared" si="118"/>
        <v>0</v>
      </c>
      <c r="CU91">
        <f t="shared" si="119"/>
        <v>0</v>
      </c>
      <c r="CV91">
        <f t="shared" si="120"/>
        <v>0</v>
      </c>
      <c r="CW91">
        <f t="shared" si="121"/>
        <v>0</v>
      </c>
      <c r="CX91">
        <f t="shared" si="122"/>
        <v>0</v>
      </c>
      <c r="CY91">
        <f t="shared" si="123"/>
        <v>0</v>
      </c>
      <c r="CZ91">
        <f t="shared" si="124"/>
        <v>0</v>
      </c>
      <c r="DC91" t="s">
        <v>3</v>
      </c>
      <c r="DD91" t="s">
        <v>3</v>
      </c>
      <c r="DE91" t="s">
        <v>3</v>
      </c>
      <c r="DF91" t="s">
        <v>3</v>
      </c>
      <c r="DG91" t="s">
        <v>3</v>
      </c>
      <c r="DH91" t="s">
        <v>3</v>
      </c>
      <c r="DI91" t="s">
        <v>3</v>
      </c>
      <c r="DJ91" t="s">
        <v>3</v>
      </c>
      <c r="DK91" t="s">
        <v>3</v>
      </c>
      <c r="DL91" t="s">
        <v>3</v>
      </c>
      <c r="DM91" t="s">
        <v>3</v>
      </c>
      <c r="DN91">
        <v>0</v>
      </c>
      <c r="DO91">
        <v>0</v>
      </c>
      <c r="DP91">
        <v>1</v>
      </c>
      <c r="DQ91">
        <v>1</v>
      </c>
      <c r="DU91">
        <v>1010</v>
      </c>
      <c r="DV91" t="s">
        <v>20</v>
      </c>
      <c r="DW91" t="s">
        <v>20</v>
      </c>
      <c r="DX91">
        <v>1</v>
      </c>
      <c r="DZ91" t="s">
        <v>3</v>
      </c>
      <c r="EA91" t="s">
        <v>3</v>
      </c>
      <c r="EB91" t="s">
        <v>3</v>
      </c>
      <c r="EC91" t="s">
        <v>3</v>
      </c>
      <c r="EE91">
        <v>43033442</v>
      </c>
      <c r="EF91">
        <v>1</v>
      </c>
      <c r="EG91" t="s">
        <v>22</v>
      </c>
      <c r="EH91">
        <v>0</v>
      </c>
      <c r="EI91" t="s">
        <v>3</v>
      </c>
      <c r="EJ91">
        <v>4</v>
      </c>
      <c r="EK91">
        <v>0</v>
      </c>
      <c r="EL91" t="s">
        <v>23</v>
      </c>
      <c r="EM91" t="s">
        <v>24</v>
      </c>
      <c r="EO91" t="s">
        <v>3</v>
      </c>
      <c r="EQ91">
        <v>0</v>
      </c>
      <c r="ER91">
        <v>313.04000000000002</v>
      </c>
      <c r="ES91">
        <v>313.04000000000002</v>
      </c>
      <c r="ET91">
        <v>0</v>
      </c>
      <c r="EU91">
        <v>0</v>
      </c>
      <c r="EV91">
        <v>0</v>
      </c>
      <c r="EW91">
        <v>0</v>
      </c>
      <c r="EX91">
        <v>0</v>
      </c>
      <c r="EZ91">
        <v>5</v>
      </c>
      <c r="FC91">
        <v>1</v>
      </c>
      <c r="FD91">
        <v>18</v>
      </c>
      <c r="FF91">
        <v>375.65</v>
      </c>
      <c r="FQ91">
        <v>0</v>
      </c>
      <c r="FR91">
        <f t="shared" si="125"/>
        <v>0</v>
      </c>
      <c r="FS91">
        <v>0</v>
      </c>
      <c r="FX91">
        <v>70</v>
      </c>
      <c r="FY91">
        <v>10</v>
      </c>
      <c r="GA91" t="s">
        <v>257</v>
      </c>
      <c r="GD91">
        <v>0</v>
      </c>
      <c r="GF91">
        <v>1713654555</v>
      </c>
      <c r="GG91">
        <v>2</v>
      </c>
      <c r="GH91">
        <v>3</v>
      </c>
      <c r="GI91">
        <v>-2</v>
      </c>
      <c r="GJ91">
        <v>0</v>
      </c>
      <c r="GK91">
        <f>ROUND(R91*(R12)/100,2)</f>
        <v>0</v>
      </c>
      <c r="GL91">
        <f t="shared" si="126"/>
        <v>0</v>
      </c>
      <c r="GM91">
        <f t="shared" si="127"/>
        <v>8452.08</v>
      </c>
      <c r="GN91">
        <f t="shared" si="128"/>
        <v>0</v>
      </c>
      <c r="GO91">
        <f t="shared" si="129"/>
        <v>0</v>
      </c>
      <c r="GP91">
        <f t="shared" si="130"/>
        <v>8452.08</v>
      </c>
      <c r="GR91">
        <v>1</v>
      </c>
      <c r="GS91">
        <v>1</v>
      </c>
      <c r="GT91">
        <v>0</v>
      </c>
      <c r="GU91" t="s">
        <v>3</v>
      </c>
      <c r="GV91">
        <f t="shared" si="131"/>
        <v>0</v>
      </c>
      <c r="GW91">
        <v>1</v>
      </c>
      <c r="GX91">
        <f t="shared" si="132"/>
        <v>0</v>
      </c>
      <c r="HA91">
        <v>0</v>
      </c>
      <c r="HB91">
        <v>0</v>
      </c>
      <c r="HC91">
        <f t="shared" si="133"/>
        <v>0</v>
      </c>
      <c r="HE91" t="s">
        <v>37</v>
      </c>
      <c r="HF91" t="s">
        <v>37</v>
      </c>
      <c r="HM91" t="s">
        <v>3</v>
      </c>
      <c r="HN91" t="s">
        <v>3</v>
      </c>
      <c r="HO91" t="s">
        <v>3</v>
      </c>
      <c r="HP91" t="s">
        <v>3</v>
      </c>
      <c r="HQ91" t="s">
        <v>3</v>
      </c>
      <c r="IK91">
        <v>0</v>
      </c>
    </row>
    <row r="92" spans="1:245" x14ac:dyDescent="0.2">
      <c r="A92">
        <v>17</v>
      </c>
      <c r="B92">
        <v>1</v>
      </c>
      <c r="C92">
        <f>ROW(SmtRes!A127)</f>
        <v>127</v>
      </c>
      <c r="D92">
        <f>ROW(EtalonRes!A115)</f>
        <v>115</v>
      </c>
      <c r="E92" t="s">
        <v>258</v>
      </c>
      <c r="F92" t="s">
        <v>259</v>
      </c>
      <c r="G92" t="s">
        <v>260</v>
      </c>
      <c r="H92" t="s">
        <v>118</v>
      </c>
      <c r="I92">
        <f>ROUND(2.025/100,9)</f>
        <v>2.0250000000000001E-2</v>
      </c>
      <c r="J92">
        <v>0</v>
      </c>
      <c r="K92">
        <f>ROUND(2.025/100,9)</f>
        <v>2.0250000000000001E-2</v>
      </c>
      <c r="O92">
        <f t="shared" si="94"/>
        <v>163.06</v>
      </c>
      <c r="P92">
        <f t="shared" si="95"/>
        <v>4.09</v>
      </c>
      <c r="Q92">
        <f t="shared" si="96"/>
        <v>9.09</v>
      </c>
      <c r="R92">
        <f t="shared" si="97"/>
        <v>3.68</v>
      </c>
      <c r="S92">
        <f t="shared" si="98"/>
        <v>149.88</v>
      </c>
      <c r="T92">
        <f t="shared" si="99"/>
        <v>0</v>
      </c>
      <c r="U92">
        <f t="shared" si="100"/>
        <v>0.63969750000000003</v>
      </c>
      <c r="V92">
        <f t="shared" si="101"/>
        <v>0</v>
      </c>
      <c r="W92">
        <f t="shared" si="102"/>
        <v>0</v>
      </c>
      <c r="X92">
        <f t="shared" si="103"/>
        <v>104.92</v>
      </c>
      <c r="Y92">
        <f t="shared" si="104"/>
        <v>14.99</v>
      </c>
      <c r="AA92">
        <v>43095088</v>
      </c>
      <c r="AB92">
        <f t="shared" si="105"/>
        <v>8052.09</v>
      </c>
      <c r="AC92">
        <f t="shared" si="106"/>
        <v>201.8</v>
      </c>
      <c r="AD92">
        <f t="shared" si="107"/>
        <v>448.81</v>
      </c>
      <c r="AE92">
        <f t="shared" si="108"/>
        <v>181.97</v>
      </c>
      <c r="AF92">
        <f t="shared" si="109"/>
        <v>7401.48</v>
      </c>
      <c r="AG92">
        <f t="shared" si="110"/>
        <v>0</v>
      </c>
      <c r="AH92">
        <f t="shared" si="111"/>
        <v>31.59</v>
      </c>
      <c r="AI92">
        <f t="shared" si="112"/>
        <v>0</v>
      </c>
      <c r="AJ92">
        <f t="shared" si="113"/>
        <v>0</v>
      </c>
      <c r="AK92">
        <v>8052.09</v>
      </c>
      <c r="AL92">
        <v>201.8</v>
      </c>
      <c r="AM92">
        <v>448.81</v>
      </c>
      <c r="AN92">
        <v>181.97</v>
      </c>
      <c r="AO92">
        <v>7401.48</v>
      </c>
      <c r="AP92">
        <v>0</v>
      </c>
      <c r="AQ92">
        <v>31.59</v>
      </c>
      <c r="AR92">
        <v>0</v>
      </c>
      <c r="AS92">
        <v>0</v>
      </c>
      <c r="AT92">
        <v>70</v>
      </c>
      <c r="AU92">
        <v>10</v>
      </c>
      <c r="AV92">
        <v>1</v>
      </c>
      <c r="AW92">
        <v>1</v>
      </c>
      <c r="AZ92">
        <v>1</v>
      </c>
      <c r="BA92">
        <v>1</v>
      </c>
      <c r="BB92">
        <v>1</v>
      </c>
      <c r="BC92">
        <v>1</v>
      </c>
      <c r="BD92" t="s">
        <v>3</v>
      </c>
      <c r="BE92" t="s">
        <v>3</v>
      </c>
      <c r="BF92" t="s">
        <v>3</v>
      </c>
      <c r="BG92" t="s">
        <v>3</v>
      </c>
      <c r="BH92">
        <v>0</v>
      </c>
      <c r="BI92">
        <v>4</v>
      </c>
      <c r="BJ92" t="s">
        <v>261</v>
      </c>
      <c r="BM92">
        <v>0</v>
      </c>
      <c r="BN92">
        <v>0</v>
      </c>
      <c r="BO92" t="s">
        <v>3</v>
      </c>
      <c r="BP92">
        <v>0</v>
      </c>
      <c r="BQ92">
        <v>1</v>
      </c>
      <c r="BR92">
        <v>0</v>
      </c>
      <c r="BS92">
        <v>1</v>
      </c>
      <c r="BT92">
        <v>1</v>
      </c>
      <c r="BU92">
        <v>1</v>
      </c>
      <c r="BV92">
        <v>1</v>
      </c>
      <c r="BW92">
        <v>1</v>
      </c>
      <c r="BX92">
        <v>1</v>
      </c>
      <c r="BY92" t="s">
        <v>3</v>
      </c>
      <c r="BZ92">
        <v>70</v>
      </c>
      <c r="CA92">
        <v>10</v>
      </c>
      <c r="CB92" t="s">
        <v>3</v>
      </c>
      <c r="CE92">
        <v>0</v>
      </c>
      <c r="CF92">
        <v>0</v>
      </c>
      <c r="CG92">
        <v>0</v>
      </c>
      <c r="CM92">
        <v>0</v>
      </c>
      <c r="CN92" t="s">
        <v>3</v>
      </c>
      <c r="CO92">
        <v>0</v>
      </c>
      <c r="CP92">
        <f t="shared" si="114"/>
        <v>163.06</v>
      </c>
      <c r="CQ92">
        <f t="shared" si="115"/>
        <v>201.8</v>
      </c>
      <c r="CR92">
        <f t="shared" si="116"/>
        <v>448.81000000000006</v>
      </c>
      <c r="CS92">
        <f t="shared" si="117"/>
        <v>181.97</v>
      </c>
      <c r="CT92">
        <f t="shared" si="118"/>
        <v>7401.48</v>
      </c>
      <c r="CU92">
        <f t="shared" si="119"/>
        <v>0</v>
      </c>
      <c r="CV92">
        <f t="shared" si="120"/>
        <v>31.59</v>
      </c>
      <c r="CW92">
        <f t="shared" si="121"/>
        <v>0</v>
      </c>
      <c r="CX92">
        <f t="shared" si="122"/>
        <v>0</v>
      </c>
      <c r="CY92">
        <f t="shared" si="123"/>
        <v>104.916</v>
      </c>
      <c r="CZ92">
        <f t="shared" si="124"/>
        <v>14.988</v>
      </c>
      <c r="DC92" t="s">
        <v>3</v>
      </c>
      <c r="DD92" t="s">
        <v>3</v>
      </c>
      <c r="DE92" t="s">
        <v>3</v>
      </c>
      <c r="DF92" t="s">
        <v>3</v>
      </c>
      <c r="DG92" t="s">
        <v>3</v>
      </c>
      <c r="DH92" t="s">
        <v>3</v>
      </c>
      <c r="DI92" t="s">
        <v>3</v>
      </c>
      <c r="DJ92" t="s">
        <v>3</v>
      </c>
      <c r="DK92" t="s">
        <v>3</v>
      </c>
      <c r="DL92" t="s">
        <v>3</v>
      </c>
      <c r="DM92" t="s">
        <v>3</v>
      </c>
      <c r="DN92">
        <v>0</v>
      </c>
      <c r="DO92">
        <v>0</v>
      </c>
      <c r="DP92">
        <v>1</v>
      </c>
      <c r="DQ92">
        <v>1</v>
      </c>
      <c r="DU92">
        <v>1003</v>
      </c>
      <c r="DV92" t="s">
        <v>118</v>
      </c>
      <c r="DW92" t="s">
        <v>118</v>
      </c>
      <c r="DX92">
        <v>100</v>
      </c>
      <c r="DZ92" t="s">
        <v>3</v>
      </c>
      <c r="EA92" t="s">
        <v>3</v>
      </c>
      <c r="EB92" t="s">
        <v>3</v>
      </c>
      <c r="EC92" t="s">
        <v>3</v>
      </c>
      <c r="EE92">
        <v>43033442</v>
      </c>
      <c r="EF92">
        <v>1</v>
      </c>
      <c r="EG92" t="s">
        <v>22</v>
      </c>
      <c r="EH92">
        <v>0</v>
      </c>
      <c r="EI92" t="s">
        <v>3</v>
      </c>
      <c r="EJ92">
        <v>4</v>
      </c>
      <c r="EK92">
        <v>0</v>
      </c>
      <c r="EL92" t="s">
        <v>23</v>
      </c>
      <c r="EM92" t="s">
        <v>24</v>
      </c>
      <c r="EO92" t="s">
        <v>3</v>
      </c>
      <c r="EQ92">
        <v>0</v>
      </c>
      <c r="ER92">
        <v>8052.09</v>
      </c>
      <c r="ES92">
        <v>201.8</v>
      </c>
      <c r="ET92">
        <v>448.81</v>
      </c>
      <c r="EU92">
        <v>181.97</v>
      </c>
      <c r="EV92">
        <v>7401.48</v>
      </c>
      <c r="EW92">
        <v>31.59</v>
      </c>
      <c r="EX92">
        <v>0</v>
      </c>
      <c r="EY92">
        <v>0</v>
      </c>
      <c r="FQ92">
        <v>0</v>
      </c>
      <c r="FR92">
        <f t="shared" si="125"/>
        <v>0</v>
      </c>
      <c r="FS92">
        <v>0</v>
      </c>
      <c r="FX92">
        <v>70</v>
      </c>
      <c r="FY92">
        <v>10</v>
      </c>
      <c r="GA92" t="s">
        <v>3</v>
      </c>
      <c r="GD92">
        <v>0</v>
      </c>
      <c r="GF92">
        <v>1973977938</v>
      </c>
      <c r="GG92">
        <v>2</v>
      </c>
      <c r="GH92">
        <v>1</v>
      </c>
      <c r="GI92">
        <v>-2</v>
      </c>
      <c r="GJ92">
        <v>0</v>
      </c>
      <c r="GK92">
        <f>ROUND(R92*(R12)/100,2)</f>
        <v>3.97</v>
      </c>
      <c r="GL92">
        <f t="shared" si="126"/>
        <v>0</v>
      </c>
      <c r="GM92">
        <f t="shared" si="127"/>
        <v>286.94</v>
      </c>
      <c r="GN92">
        <f t="shared" si="128"/>
        <v>0</v>
      </c>
      <c r="GO92">
        <f t="shared" si="129"/>
        <v>0</v>
      </c>
      <c r="GP92">
        <f t="shared" si="130"/>
        <v>286.94</v>
      </c>
      <c r="GR92">
        <v>0</v>
      </c>
      <c r="GS92">
        <v>3</v>
      </c>
      <c r="GT92">
        <v>0</v>
      </c>
      <c r="GU92" t="s">
        <v>3</v>
      </c>
      <c r="GV92">
        <f t="shared" si="131"/>
        <v>0</v>
      </c>
      <c r="GW92">
        <v>1</v>
      </c>
      <c r="GX92">
        <f t="shared" si="132"/>
        <v>0</v>
      </c>
      <c r="HA92">
        <v>0</v>
      </c>
      <c r="HB92">
        <v>0</v>
      </c>
      <c r="HC92">
        <f t="shared" si="133"/>
        <v>0</v>
      </c>
      <c r="HE92" t="s">
        <v>3</v>
      </c>
      <c r="HF92" t="s">
        <v>3</v>
      </c>
      <c r="HM92" t="s">
        <v>3</v>
      </c>
      <c r="HN92" t="s">
        <v>3</v>
      </c>
      <c r="HO92" t="s">
        <v>3</v>
      </c>
      <c r="HP92" t="s">
        <v>3</v>
      </c>
      <c r="HQ92" t="s">
        <v>3</v>
      </c>
      <c r="IK92">
        <v>0</v>
      </c>
    </row>
    <row r="93" spans="1:245" x14ac:dyDescent="0.2">
      <c r="A93">
        <v>18</v>
      </c>
      <c r="B93">
        <v>1</v>
      </c>
      <c r="E93" t="s">
        <v>262</v>
      </c>
      <c r="F93" t="s">
        <v>34</v>
      </c>
      <c r="G93" t="s">
        <v>263</v>
      </c>
      <c r="H93" t="s">
        <v>20</v>
      </c>
      <c r="I93">
        <f>I92*J93</f>
        <v>27</v>
      </c>
      <c r="J93">
        <v>1333.3333333333333</v>
      </c>
      <c r="K93">
        <v>1333.333333</v>
      </c>
      <c r="O93">
        <f t="shared" si="94"/>
        <v>445.77</v>
      </c>
      <c r="P93">
        <f t="shared" si="95"/>
        <v>445.77</v>
      </c>
      <c r="Q93">
        <f t="shared" si="96"/>
        <v>0</v>
      </c>
      <c r="R93">
        <f t="shared" si="97"/>
        <v>0</v>
      </c>
      <c r="S93">
        <f t="shared" si="98"/>
        <v>0</v>
      </c>
      <c r="T93">
        <f t="shared" si="99"/>
        <v>0</v>
      </c>
      <c r="U93">
        <f t="shared" si="100"/>
        <v>0</v>
      </c>
      <c r="V93">
        <f t="shared" si="101"/>
        <v>0</v>
      </c>
      <c r="W93">
        <f t="shared" si="102"/>
        <v>0</v>
      </c>
      <c r="X93">
        <f t="shared" si="103"/>
        <v>0</v>
      </c>
      <c r="Y93">
        <f t="shared" si="104"/>
        <v>0</v>
      </c>
      <c r="AA93">
        <v>43095088</v>
      </c>
      <c r="AB93">
        <f t="shared" si="105"/>
        <v>16.510000000000002</v>
      </c>
      <c r="AC93">
        <f t="shared" si="106"/>
        <v>16.510000000000002</v>
      </c>
      <c r="AD93">
        <f t="shared" si="107"/>
        <v>0</v>
      </c>
      <c r="AE93">
        <f t="shared" si="108"/>
        <v>0</v>
      </c>
      <c r="AF93">
        <f t="shared" si="109"/>
        <v>0</v>
      </c>
      <c r="AG93">
        <f t="shared" si="110"/>
        <v>0</v>
      </c>
      <c r="AH93">
        <f t="shared" si="111"/>
        <v>0</v>
      </c>
      <c r="AI93">
        <f t="shared" si="112"/>
        <v>0</v>
      </c>
      <c r="AJ93">
        <f t="shared" si="113"/>
        <v>0</v>
      </c>
      <c r="AK93">
        <v>16.510000000000002</v>
      </c>
      <c r="AL93">
        <v>16.510000000000002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70</v>
      </c>
      <c r="AU93">
        <v>10</v>
      </c>
      <c r="AV93">
        <v>1</v>
      </c>
      <c r="AW93">
        <v>1</v>
      </c>
      <c r="AZ93">
        <v>1</v>
      </c>
      <c r="BA93">
        <v>1</v>
      </c>
      <c r="BB93">
        <v>1</v>
      </c>
      <c r="BC93">
        <v>1</v>
      </c>
      <c r="BD93" t="s">
        <v>3</v>
      </c>
      <c r="BE93" t="s">
        <v>3</v>
      </c>
      <c r="BF93" t="s">
        <v>3</v>
      </c>
      <c r="BG93" t="s">
        <v>3</v>
      </c>
      <c r="BH93">
        <v>3</v>
      </c>
      <c r="BI93">
        <v>4</v>
      </c>
      <c r="BJ93" t="s">
        <v>3</v>
      </c>
      <c r="BM93">
        <v>0</v>
      </c>
      <c r="BN93">
        <v>0</v>
      </c>
      <c r="BO93" t="s">
        <v>3</v>
      </c>
      <c r="BP93">
        <v>0</v>
      </c>
      <c r="BQ93">
        <v>1</v>
      </c>
      <c r="BR93">
        <v>0</v>
      </c>
      <c r="BS93">
        <v>1</v>
      </c>
      <c r="BT93">
        <v>1</v>
      </c>
      <c r="BU93">
        <v>1</v>
      </c>
      <c r="BV93">
        <v>1</v>
      </c>
      <c r="BW93">
        <v>1</v>
      </c>
      <c r="BX93">
        <v>1</v>
      </c>
      <c r="BY93" t="s">
        <v>3</v>
      </c>
      <c r="BZ93">
        <v>70</v>
      </c>
      <c r="CA93">
        <v>10</v>
      </c>
      <c r="CB93" t="s">
        <v>3</v>
      </c>
      <c r="CE93">
        <v>0</v>
      </c>
      <c r="CF93">
        <v>0</v>
      </c>
      <c r="CG93">
        <v>0</v>
      </c>
      <c r="CM93">
        <v>0</v>
      </c>
      <c r="CN93" t="s">
        <v>3</v>
      </c>
      <c r="CO93">
        <v>0</v>
      </c>
      <c r="CP93">
        <f t="shared" si="114"/>
        <v>445.77</v>
      </c>
      <c r="CQ93">
        <f t="shared" si="115"/>
        <v>16.510000000000002</v>
      </c>
      <c r="CR93">
        <f t="shared" si="116"/>
        <v>0</v>
      </c>
      <c r="CS93">
        <f t="shared" si="117"/>
        <v>0</v>
      </c>
      <c r="CT93">
        <f t="shared" si="118"/>
        <v>0</v>
      </c>
      <c r="CU93">
        <f t="shared" si="119"/>
        <v>0</v>
      </c>
      <c r="CV93">
        <f t="shared" si="120"/>
        <v>0</v>
      </c>
      <c r="CW93">
        <f t="shared" si="121"/>
        <v>0</v>
      </c>
      <c r="CX93">
        <f t="shared" si="122"/>
        <v>0</v>
      </c>
      <c r="CY93">
        <f t="shared" si="123"/>
        <v>0</v>
      </c>
      <c r="CZ93">
        <f t="shared" si="124"/>
        <v>0</v>
      </c>
      <c r="DC93" t="s">
        <v>3</v>
      </c>
      <c r="DD93" t="s">
        <v>3</v>
      </c>
      <c r="DE93" t="s">
        <v>3</v>
      </c>
      <c r="DF93" t="s">
        <v>3</v>
      </c>
      <c r="DG93" t="s">
        <v>3</v>
      </c>
      <c r="DH93" t="s">
        <v>3</v>
      </c>
      <c r="DI93" t="s">
        <v>3</v>
      </c>
      <c r="DJ93" t="s">
        <v>3</v>
      </c>
      <c r="DK93" t="s">
        <v>3</v>
      </c>
      <c r="DL93" t="s">
        <v>3</v>
      </c>
      <c r="DM93" t="s">
        <v>3</v>
      </c>
      <c r="DN93">
        <v>0</v>
      </c>
      <c r="DO93">
        <v>0</v>
      </c>
      <c r="DP93">
        <v>1</v>
      </c>
      <c r="DQ93">
        <v>1</v>
      </c>
      <c r="DU93">
        <v>1010</v>
      </c>
      <c r="DV93" t="s">
        <v>20</v>
      </c>
      <c r="DW93" t="s">
        <v>20</v>
      </c>
      <c r="DX93">
        <v>1</v>
      </c>
      <c r="DZ93" t="s">
        <v>3</v>
      </c>
      <c r="EA93" t="s">
        <v>3</v>
      </c>
      <c r="EB93" t="s">
        <v>3</v>
      </c>
      <c r="EC93" t="s">
        <v>3</v>
      </c>
      <c r="EE93">
        <v>43033442</v>
      </c>
      <c r="EF93">
        <v>1</v>
      </c>
      <c r="EG93" t="s">
        <v>22</v>
      </c>
      <c r="EH93">
        <v>0</v>
      </c>
      <c r="EI93" t="s">
        <v>3</v>
      </c>
      <c r="EJ93">
        <v>4</v>
      </c>
      <c r="EK93">
        <v>0</v>
      </c>
      <c r="EL93" t="s">
        <v>23</v>
      </c>
      <c r="EM93" t="s">
        <v>24</v>
      </c>
      <c r="EO93" t="s">
        <v>3</v>
      </c>
      <c r="EQ93">
        <v>0</v>
      </c>
      <c r="ER93">
        <v>16.510000000000002</v>
      </c>
      <c r="ES93">
        <v>16.510000000000002</v>
      </c>
      <c r="ET93">
        <v>0</v>
      </c>
      <c r="EU93">
        <v>0</v>
      </c>
      <c r="EV93">
        <v>0</v>
      </c>
      <c r="EW93">
        <v>0</v>
      </c>
      <c r="EX93">
        <v>0</v>
      </c>
      <c r="EZ93">
        <v>5</v>
      </c>
      <c r="FC93">
        <v>1</v>
      </c>
      <c r="FD93">
        <v>18</v>
      </c>
      <c r="FF93">
        <v>19.809999999999999</v>
      </c>
      <c r="FQ93">
        <v>0</v>
      </c>
      <c r="FR93">
        <f t="shared" si="125"/>
        <v>0</v>
      </c>
      <c r="FS93">
        <v>0</v>
      </c>
      <c r="FX93">
        <v>70</v>
      </c>
      <c r="FY93">
        <v>10</v>
      </c>
      <c r="GA93" t="s">
        <v>264</v>
      </c>
      <c r="GD93">
        <v>0</v>
      </c>
      <c r="GF93">
        <v>1951206550</v>
      </c>
      <c r="GG93">
        <v>2</v>
      </c>
      <c r="GH93">
        <v>3</v>
      </c>
      <c r="GI93">
        <v>-2</v>
      </c>
      <c r="GJ93">
        <v>0</v>
      </c>
      <c r="GK93">
        <f>ROUND(R93*(R12)/100,2)</f>
        <v>0</v>
      </c>
      <c r="GL93">
        <f t="shared" si="126"/>
        <v>0</v>
      </c>
      <c r="GM93">
        <f t="shared" si="127"/>
        <v>445.77</v>
      </c>
      <c r="GN93">
        <f t="shared" si="128"/>
        <v>0</v>
      </c>
      <c r="GO93">
        <f t="shared" si="129"/>
        <v>0</v>
      </c>
      <c r="GP93">
        <f t="shared" si="130"/>
        <v>445.77</v>
      </c>
      <c r="GR93">
        <v>1</v>
      </c>
      <c r="GS93">
        <v>1</v>
      </c>
      <c r="GT93">
        <v>0</v>
      </c>
      <c r="GU93" t="s">
        <v>3</v>
      </c>
      <c r="GV93">
        <f t="shared" si="131"/>
        <v>0</v>
      </c>
      <c r="GW93">
        <v>1</v>
      </c>
      <c r="GX93">
        <f t="shared" si="132"/>
        <v>0</v>
      </c>
      <c r="HA93">
        <v>0</v>
      </c>
      <c r="HB93">
        <v>0</v>
      </c>
      <c r="HC93">
        <f t="shared" si="133"/>
        <v>0</v>
      </c>
      <c r="HE93" t="s">
        <v>37</v>
      </c>
      <c r="HF93" t="s">
        <v>37</v>
      </c>
      <c r="HM93" t="s">
        <v>3</v>
      </c>
      <c r="HN93" t="s">
        <v>3</v>
      </c>
      <c r="HO93" t="s">
        <v>3</v>
      </c>
      <c r="HP93" t="s">
        <v>3</v>
      </c>
      <c r="HQ93" t="s">
        <v>3</v>
      </c>
      <c r="IK93">
        <v>0</v>
      </c>
    </row>
    <row r="94" spans="1:245" x14ac:dyDescent="0.2">
      <c r="A94">
        <v>17</v>
      </c>
      <c r="B94">
        <v>1</v>
      </c>
      <c r="C94">
        <f>ROW(SmtRes!A131)</f>
        <v>131</v>
      </c>
      <c r="D94">
        <f>ROW(EtalonRes!A119)</f>
        <v>119</v>
      </c>
      <c r="E94" t="s">
        <v>265</v>
      </c>
      <c r="F94" t="s">
        <v>266</v>
      </c>
      <c r="G94" t="s">
        <v>267</v>
      </c>
      <c r="H94" t="s">
        <v>20</v>
      </c>
      <c r="I94">
        <v>49</v>
      </c>
      <c r="J94">
        <v>0</v>
      </c>
      <c r="K94">
        <v>49</v>
      </c>
      <c r="O94">
        <f t="shared" si="94"/>
        <v>31129.119999999999</v>
      </c>
      <c r="P94">
        <f t="shared" si="95"/>
        <v>13774.88</v>
      </c>
      <c r="Q94">
        <f t="shared" si="96"/>
        <v>2021.94</v>
      </c>
      <c r="R94">
        <f t="shared" si="97"/>
        <v>41.94</v>
      </c>
      <c r="S94">
        <f t="shared" si="98"/>
        <v>15332.3</v>
      </c>
      <c r="T94">
        <f t="shared" si="99"/>
        <v>0</v>
      </c>
      <c r="U94">
        <f t="shared" si="100"/>
        <v>60.368000000000009</v>
      </c>
      <c r="V94">
        <f t="shared" si="101"/>
        <v>0</v>
      </c>
      <c r="W94">
        <f t="shared" si="102"/>
        <v>0</v>
      </c>
      <c r="X94">
        <f t="shared" si="103"/>
        <v>10732.61</v>
      </c>
      <c r="Y94">
        <f t="shared" si="104"/>
        <v>1533.23</v>
      </c>
      <c r="AA94">
        <v>43095088</v>
      </c>
      <c r="AB94">
        <f t="shared" si="105"/>
        <v>635.28800000000001</v>
      </c>
      <c r="AC94">
        <f t="shared" si="106"/>
        <v>281.12</v>
      </c>
      <c r="AD94">
        <f>ROUND(((((ET94*0.8))-((EU94*0.8)))+AE94),6)</f>
        <v>41.264000000000003</v>
      </c>
      <c r="AE94">
        <f>ROUND(((EU94*0.8)),6)</f>
        <v>0.85599999999999998</v>
      </c>
      <c r="AF94">
        <f>ROUND(((EV94*0.8)),6)</f>
        <v>312.904</v>
      </c>
      <c r="AG94">
        <f t="shared" si="110"/>
        <v>0</v>
      </c>
      <c r="AH94">
        <f>((EW94*0.8))</f>
        <v>1.2320000000000002</v>
      </c>
      <c r="AI94">
        <f>((EX94*0.8))</f>
        <v>0</v>
      </c>
      <c r="AJ94">
        <f t="shared" si="113"/>
        <v>0</v>
      </c>
      <c r="AK94">
        <v>723.83</v>
      </c>
      <c r="AL94">
        <v>281.12</v>
      </c>
      <c r="AM94">
        <v>51.58</v>
      </c>
      <c r="AN94">
        <v>1.07</v>
      </c>
      <c r="AO94">
        <v>391.13</v>
      </c>
      <c r="AP94">
        <v>0</v>
      </c>
      <c r="AQ94">
        <v>1.54</v>
      </c>
      <c r="AR94">
        <v>0</v>
      </c>
      <c r="AS94">
        <v>0</v>
      </c>
      <c r="AT94">
        <v>70</v>
      </c>
      <c r="AU94">
        <v>10</v>
      </c>
      <c r="AV94">
        <v>1</v>
      </c>
      <c r="AW94">
        <v>1</v>
      </c>
      <c r="AZ94">
        <v>1</v>
      </c>
      <c r="BA94">
        <v>1</v>
      </c>
      <c r="BB94">
        <v>1</v>
      </c>
      <c r="BC94">
        <v>1</v>
      </c>
      <c r="BD94" t="s">
        <v>3</v>
      </c>
      <c r="BE94" t="s">
        <v>3</v>
      </c>
      <c r="BF94" t="s">
        <v>3</v>
      </c>
      <c r="BG94" t="s">
        <v>3</v>
      </c>
      <c r="BH94">
        <v>0</v>
      </c>
      <c r="BI94">
        <v>4</v>
      </c>
      <c r="BJ94" t="s">
        <v>268</v>
      </c>
      <c r="BM94">
        <v>0</v>
      </c>
      <c r="BN94">
        <v>0</v>
      </c>
      <c r="BO94" t="s">
        <v>3</v>
      </c>
      <c r="BP94">
        <v>0</v>
      </c>
      <c r="BQ94">
        <v>1</v>
      </c>
      <c r="BR94">
        <v>0</v>
      </c>
      <c r="BS94">
        <v>1</v>
      </c>
      <c r="BT94">
        <v>1</v>
      </c>
      <c r="BU94">
        <v>1</v>
      </c>
      <c r="BV94">
        <v>1</v>
      </c>
      <c r="BW94">
        <v>1</v>
      </c>
      <c r="BX94">
        <v>1</v>
      </c>
      <c r="BY94" t="s">
        <v>3</v>
      </c>
      <c r="BZ94">
        <v>70</v>
      </c>
      <c r="CA94">
        <v>10</v>
      </c>
      <c r="CB94" t="s">
        <v>3</v>
      </c>
      <c r="CE94">
        <v>0</v>
      </c>
      <c r="CF94">
        <v>0</v>
      </c>
      <c r="CG94">
        <v>0</v>
      </c>
      <c r="CM94">
        <v>0</v>
      </c>
      <c r="CN94" t="s">
        <v>269</v>
      </c>
      <c r="CO94">
        <v>0</v>
      </c>
      <c r="CP94">
        <f t="shared" si="114"/>
        <v>31129.119999999999</v>
      </c>
      <c r="CQ94">
        <f t="shared" si="115"/>
        <v>281.12</v>
      </c>
      <c r="CR94">
        <f>(((((ET94*0.8))*BB94-((EU94*0.8))*BS94)+AE94*BS94)*AV94)</f>
        <v>41.264000000000003</v>
      </c>
      <c r="CS94">
        <f t="shared" si="117"/>
        <v>0.85599999999999998</v>
      </c>
      <c r="CT94">
        <f t="shared" si="118"/>
        <v>312.904</v>
      </c>
      <c r="CU94">
        <f t="shared" si="119"/>
        <v>0</v>
      </c>
      <c r="CV94">
        <f t="shared" si="120"/>
        <v>1.2320000000000002</v>
      </c>
      <c r="CW94">
        <f t="shared" si="121"/>
        <v>0</v>
      </c>
      <c r="CX94">
        <f t="shared" si="122"/>
        <v>0</v>
      </c>
      <c r="CY94">
        <f t="shared" si="123"/>
        <v>10732.61</v>
      </c>
      <c r="CZ94">
        <f t="shared" si="124"/>
        <v>1533.23</v>
      </c>
      <c r="DC94" t="s">
        <v>3</v>
      </c>
      <c r="DD94" t="s">
        <v>3</v>
      </c>
      <c r="DE94" t="s">
        <v>270</v>
      </c>
      <c r="DF94" t="s">
        <v>270</v>
      </c>
      <c r="DG94" t="s">
        <v>270</v>
      </c>
      <c r="DH94" t="s">
        <v>3</v>
      </c>
      <c r="DI94" t="s">
        <v>270</v>
      </c>
      <c r="DJ94" t="s">
        <v>270</v>
      </c>
      <c r="DK94" t="s">
        <v>3</v>
      </c>
      <c r="DL94" t="s">
        <v>3</v>
      </c>
      <c r="DM94" t="s">
        <v>3</v>
      </c>
      <c r="DN94">
        <v>0</v>
      </c>
      <c r="DO94">
        <v>0</v>
      </c>
      <c r="DP94">
        <v>1</v>
      </c>
      <c r="DQ94">
        <v>1</v>
      </c>
      <c r="DU94">
        <v>1010</v>
      </c>
      <c r="DV94" t="s">
        <v>20</v>
      </c>
      <c r="DW94" t="s">
        <v>20</v>
      </c>
      <c r="DX94">
        <v>1</v>
      </c>
      <c r="DZ94" t="s">
        <v>3</v>
      </c>
      <c r="EA94" t="s">
        <v>3</v>
      </c>
      <c r="EB94" t="s">
        <v>3</v>
      </c>
      <c r="EC94" t="s">
        <v>3</v>
      </c>
      <c r="EE94">
        <v>43033442</v>
      </c>
      <c r="EF94">
        <v>1</v>
      </c>
      <c r="EG94" t="s">
        <v>22</v>
      </c>
      <c r="EH94">
        <v>0</v>
      </c>
      <c r="EI94" t="s">
        <v>3</v>
      </c>
      <c r="EJ94">
        <v>4</v>
      </c>
      <c r="EK94">
        <v>0</v>
      </c>
      <c r="EL94" t="s">
        <v>23</v>
      </c>
      <c r="EM94" t="s">
        <v>24</v>
      </c>
      <c r="EO94" t="s">
        <v>271</v>
      </c>
      <c r="EQ94">
        <v>0</v>
      </c>
      <c r="ER94">
        <v>723.83</v>
      </c>
      <c r="ES94">
        <v>281.12</v>
      </c>
      <c r="ET94">
        <v>51.58</v>
      </c>
      <c r="EU94">
        <v>1.07</v>
      </c>
      <c r="EV94">
        <v>391.13</v>
      </c>
      <c r="EW94">
        <v>1.54</v>
      </c>
      <c r="EX94">
        <v>0</v>
      </c>
      <c r="EY94">
        <v>0</v>
      </c>
      <c r="FQ94">
        <v>0</v>
      </c>
      <c r="FR94">
        <f t="shared" si="125"/>
        <v>0</v>
      </c>
      <c r="FS94">
        <v>0</v>
      </c>
      <c r="FX94">
        <v>70</v>
      </c>
      <c r="FY94">
        <v>10</v>
      </c>
      <c r="GA94" t="s">
        <v>3</v>
      </c>
      <c r="GD94">
        <v>0</v>
      </c>
      <c r="GF94">
        <v>-1519221505</v>
      </c>
      <c r="GG94">
        <v>2</v>
      </c>
      <c r="GH94">
        <v>1</v>
      </c>
      <c r="GI94">
        <v>-2</v>
      </c>
      <c r="GJ94">
        <v>0</v>
      </c>
      <c r="GK94">
        <f>ROUND(R94*(R12)/100,2)</f>
        <v>45.3</v>
      </c>
      <c r="GL94">
        <f t="shared" si="126"/>
        <v>0</v>
      </c>
      <c r="GM94">
        <f t="shared" si="127"/>
        <v>43440.26</v>
      </c>
      <c r="GN94">
        <f t="shared" si="128"/>
        <v>0</v>
      </c>
      <c r="GO94">
        <f t="shared" si="129"/>
        <v>0</v>
      </c>
      <c r="GP94">
        <f t="shared" si="130"/>
        <v>43440.26</v>
      </c>
      <c r="GR94">
        <v>0</v>
      </c>
      <c r="GS94">
        <v>3</v>
      </c>
      <c r="GT94">
        <v>0</v>
      </c>
      <c r="GU94" t="s">
        <v>3</v>
      </c>
      <c r="GV94">
        <f t="shared" si="131"/>
        <v>0</v>
      </c>
      <c r="GW94">
        <v>1</v>
      </c>
      <c r="GX94">
        <f t="shared" si="132"/>
        <v>0</v>
      </c>
      <c r="HA94">
        <v>0</v>
      </c>
      <c r="HB94">
        <v>0</v>
      </c>
      <c r="HC94">
        <f t="shared" si="133"/>
        <v>0</v>
      </c>
      <c r="HE94" t="s">
        <v>3</v>
      </c>
      <c r="HF94" t="s">
        <v>3</v>
      </c>
      <c r="HM94" t="s">
        <v>3</v>
      </c>
      <c r="HN94" t="s">
        <v>3</v>
      </c>
      <c r="HO94" t="s">
        <v>3</v>
      </c>
      <c r="HP94" t="s">
        <v>3</v>
      </c>
      <c r="HQ94" t="s">
        <v>3</v>
      </c>
      <c r="IK94">
        <v>0</v>
      </c>
    </row>
    <row r="95" spans="1:245" x14ac:dyDescent="0.2">
      <c r="A95">
        <v>17</v>
      </c>
      <c r="B95">
        <v>1</v>
      </c>
      <c r="C95">
        <f>ROW(SmtRes!A140)</f>
        <v>140</v>
      </c>
      <c r="D95">
        <f>ROW(EtalonRes!A128)</f>
        <v>128</v>
      </c>
      <c r="E95" t="s">
        <v>272</v>
      </c>
      <c r="F95" t="s">
        <v>148</v>
      </c>
      <c r="G95" t="s">
        <v>149</v>
      </c>
      <c r="H95" t="s">
        <v>118</v>
      </c>
      <c r="I95">
        <f>ROUND(27/100,9)</f>
        <v>0.27</v>
      </c>
      <c r="J95">
        <v>0</v>
      </c>
      <c r="K95">
        <f>ROUND(27/100,9)</f>
        <v>0.27</v>
      </c>
      <c r="O95">
        <f t="shared" si="94"/>
        <v>1989.35</v>
      </c>
      <c r="P95">
        <f t="shared" si="95"/>
        <v>787.27</v>
      </c>
      <c r="Q95">
        <f t="shared" si="96"/>
        <v>11.28</v>
      </c>
      <c r="R95">
        <f t="shared" si="97"/>
        <v>1.35</v>
      </c>
      <c r="S95">
        <f t="shared" si="98"/>
        <v>1190.8</v>
      </c>
      <c r="T95">
        <f t="shared" si="99"/>
        <v>0</v>
      </c>
      <c r="U95">
        <f t="shared" si="100"/>
        <v>4.6602000000000006</v>
      </c>
      <c r="V95">
        <f t="shared" si="101"/>
        <v>0</v>
      </c>
      <c r="W95">
        <f t="shared" si="102"/>
        <v>0</v>
      </c>
      <c r="X95">
        <f t="shared" si="103"/>
        <v>833.56</v>
      </c>
      <c r="Y95">
        <f t="shared" si="104"/>
        <v>119.08</v>
      </c>
      <c r="AA95">
        <v>43095088</v>
      </c>
      <c r="AB95">
        <f t="shared" si="105"/>
        <v>7367.94</v>
      </c>
      <c r="AC95">
        <f t="shared" si="106"/>
        <v>2915.8</v>
      </c>
      <c r="AD95">
        <f t="shared" ref="AD95:AD140" si="134">ROUND((((ET95)-(EU95))+AE95),6)</f>
        <v>41.77</v>
      </c>
      <c r="AE95">
        <f t="shared" ref="AE95:AE140" si="135">ROUND((EU95),6)</f>
        <v>5</v>
      </c>
      <c r="AF95">
        <f t="shared" ref="AF95:AF140" si="136">ROUND((EV95),6)</f>
        <v>4410.37</v>
      </c>
      <c r="AG95">
        <f t="shared" si="110"/>
        <v>0</v>
      </c>
      <c r="AH95">
        <f t="shared" ref="AH95:AH140" si="137">(EW95)</f>
        <v>17.260000000000002</v>
      </c>
      <c r="AI95">
        <f t="shared" ref="AI95:AI140" si="138">(EX95)</f>
        <v>0</v>
      </c>
      <c r="AJ95">
        <f t="shared" si="113"/>
        <v>0</v>
      </c>
      <c r="AK95">
        <v>7367.94</v>
      </c>
      <c r="AL95">
        <v>2915.8</v>
      </c>
      <c r="AM95">
        <v>41.77</v>
      </c>
      <c r="AN95">
        <v>5</v>
      </c>
      <c r="AO95">
        <v>4410.37</v>
      </c>
      <c r="AP95">
        <v>0</v>
      </c>
      <c r="AQ95">
        <v>17.260000000000002</v>
      </c>
      <c r="AR95">
        <v>0</v>
      </c>
      <c r="AS95">
        <v>0</v>
      </c>
      <c r="AT95">
        <v>70</v>
      </c>
      <c r="AU95">
        <v>10</v>
      </c>
      <c r="AV95">
        <v>1</v>
      </c>
      <c r="AW95">
        <v>1</v>
      </c>
      <c r="AZ95">
        <v>1</v>
      </c>
      <c r="BA95">
        <v>1</v>
      </c>
      <c r="BB95">
        <v>1</v>
      </c>
      <c r="BC95">
        <v>1</v>
      </c>
      <c r="BD95" t="s">
        <v>3</v>
      </c>
      <c r="BE95" t="s">
        <v>3</v>
      </c>
      <c r="BF95" t="s">
        <v>3</v>
      </c>
      <c r="BG95" t="s">
        <v>3</v>
      </c>
      <c r="BH95">
        <v>0</v>
      </c>
      <c r="BI95">
        <v>4</v>
      </c>
      <c r="BJ95" t="s">
        <v>150</v>
      </c>
      <c r="BM95">
        <v>0</v>
      </c>
      <c r="BN95">
        <v>0</v>
      </c>
      <c r="BO95" t="s">
        <v>3</v>
      </c>
      <c r="BP95">
        <v>0</v>
      </c>
      <c r="BQ95">
        <v>1</v>
      </c>
      <c r="BR95">
        <v>0</v>
      </c>
      <c r="BS95">
        <v>1</v>
      </c>
      <c r="BT95">
        <v>1</v>
      </c>
      <c r="BU95">
        <v>1</v>
      </c>
      <c r="BV95">
        <v>1</v>
      </c>
      <c r="BW95">
        <v>1</v>
      </c>
      <c r="BX95">
        <v>1</v>
      </c>
      <c r="BY95" t="s">
        <v>3</v>
      </c>
      <c r="BZ95">
        <v>70</v>
      </c>
      <c r="CA95">
        <v>10</v>
      </c>
      <c r="CB95" t="s">
        <v>3</v>
      </c>
      <c r="CE95">
        <v>0</v>
      </c>
      <c r="CF95">
        <v>0</v>
      </c>
      <c r="CG95">
        <v>0</v>
      </c>
      <c r="CM95">
        <v>0</v>
      </c>
      <c r="CN95" t="s">
        <v>3</v>
      </c>
      <c r="CO95">
        <v>0</v>
      </c>
      <c r="CP95">
        <f t="shared" si="114"/>
        <v>1989.35</v>
      </c>
      <c r="CQ95">
        <f t="shared" si="115"/>
        <v>2915.8</v>
      </c>
      <c r="CR95">
        <f t="shared" ref="CR95:CR140" si="139">((((ET95)*BB95-(EU95)*BS95)+AE95*BS95)*AV95)</f>
        <v>41.77</v>
      </c>
      <c r="CS95">
        <f t="shared" si="117"/>
        <v>5</v>
      </c>
      <c r="CT95">
        <f t="shared" si="118"/>
        <v>4410.37</v>
      </c>
      <c r="CU95">
        <f t="shared" si="119"/>
        <v>0</v>
      </c>
      <c r="CV95">
        <f t="shared" si="120"/>
        <v>17.260000000000002</v>
      </c>
      <c r="CW95">
        <f t="shared" si="121"/>
        <v>0</v>
      </c>
      <c r="CX95">
        <f t="shared" si="122"/>
        <v>0</v>
      </c>
      <c r="CY95">
        <f t="shared" si="123"/>
        <v>833.56</v>
      </c>
      <c r="CZ95">
        <f t="shared" si="124"/>
        <v>119.08</v>
      </c>
      <c r="DC95" t="s">
        <v>3</v>
      </c>
      <c r="DD95" t="s">
        <v>3</v>
      </c>
      <c r="DE95" t="s">
        <v>3</v>
      </c>
      <c r="DF95" t="s">
        <v>3</v>
      </c>
      <c r="DG95" t="s">
        <v>3</v>
      </c>
      <c r="DH95" t="s">
        <v>3</v>
      </c>
      <c r="DI95" t="s">
        <v>3</v>
      </c>
      <c r="DJ95" t="s">
        <v>3</v>
      </c>
      <c r="DK95" t="s">
        <v>3</v>
      </c>
      <c r="DL95" t="s">
        <v>3</v>
      </c>
      <c r="DM95" t="s">
        <v>3</v>
      </c>
      <c r="DN95">
        <v>0</v>
      </c>
      <c r="DO95">
        <v>0</v>
      </c>
      <c r="DP95">
        <v>1</v>
      </c>
      <c r="DQ95">
        <v>1</v>
      </c>
      <c r="DU95">
        <v>1003</v>
      </c>
      <c r="DV95" t="s">
        <v>118</v>
      </c>
      <c r="DW95" t="s">
        <v>118</v>
      </c>
      <c r="DX95">
        <v>100</v>
      </c>
      <c r="DZ95" t="s">
        <v>3</v>
      </c>
      <c r="EA95" t="s">
        <v>3</v>
      </c>
      <c r="EB95" t="s">
        <v>3</v>
      </c>
      <c r="EC95" t="s">
        <v>3</v>
      </c>
      <c r="EE95">
        <v>43033442</v>
      </c>
      <c r="EF95">
        <v>1</v>
      </c>
      <c r="EG95" t="s">
        <v>22</v>
      </c>
      <c r="EH95">
        <v>0</v>
      </c>
      <c r="EI95" t="s">
        <v>3</v>
      </c>
      <c r="EJ95">
        <v>4</v>
      </c>
      <c r="EK95">
        <v>0</v>
      </c>
      <c r="EL95" t="s">
        <v>23</v>
      </c>
      <c r="EM95" t="s">
        <v>24</v>
      </c>
      <c r="EO95" t="s">
        <v>3</v>
      </c>
      <c r="EQ95">
        <v>0</v>
      </c>
      <c r="ER95">
        <v>7367.94</v>
      </c>
      <c r="ES95">
        <v>2915.8</v>
      </c>
      <c r="ET95">
        <v>41.77</v>
      </c>
      <c r="EU95">
        <v>5</v>
      </c>
      <c r="EV95">
        <v>4410.37</v>
      </c>
      <c r="EW95">
        <v>17.260000000000002</v>
      </c>
      <c r="EX95">
        <v>0</v>
      </c>
      <c r="EY95">
        <v>0</v>
      </c>
      <c r="FQ95">
        <v>0</v>
      </c>
      <c r="FR95">
        <f t="shared" si="125"/>
        <v>0</v>
      </c>
      <c r="FS95">
        <v>0</v>
      </c>
      <c r="FX95">
        <v>70</v>
      </c>
      <c r="FY95">
        <v>10</v>
      </c>
      <c r="GA95" t="s">
        <v>3</v>
      </c>
      <c r="GD95">
        <v>0</v>
      </c>
      <c r="GF95">
        <v>-1305030134</v>
      </c>
      <c r="GG95">
        <v>2</v>
      </c>
      <c r="GH95">
        <v>1</v>
      </c>
      <c r="GI95">
        <v>-2</v>
      </c>
      <c r="GJ95">
        <v>0</v>
      </c>
      <c r="GK95">
        <f>ROUND(R95*(R12)/100,2)</f>
        <v>1.46</v>
      </c>
      <c r="GL95">
        <f t="shared" si="126"/>
        <v>0</v>
      </c>
      <c r="GM95">
        <f t="shared" si="127"/>
        <v>2943.45</v>
      </c>
      <c r="GN95">
        <f t="shared" si="128"/>
        <v>0</v>
      </c>
      <c r="GO95">
        <f t="shared" si="129"/>
        <v>0</v>
      </c>
      <c r="GP95">
        <f t="shared" si="130"/>
        <v>2943.45</v>
      </c>
      <c r="GR95">
        <v>0</v>
      </c>
      <c r="GS95">
        <v>3</v>
      </c>
      <c r="GT95">
        <v>0</v>
      </c>
      <c r="GU95" t="s">
        <v>3</v>
      </c>
      <c r="GV95">
        <f t="shared" si="131"/>
        <v>0</v>
      </c>
      <c r="GW95">
        <v>1</v>
      </c>
      <c r="GX95">
        <f t="shared" si="132"/>
        <v>0</v>
      </c>
      <c r="HA95">
        <v>0</v>
      </c>
      <c r="HB95">
        <v>0</v>
      </c>
      <c r="HC95">
        <f t="shared" si="133"/>
        <v>0</v>
      </c>
      <c r="HE95" t="s">
        <v>3</v>
      </c>
      <c r="HF95" t="s">
        <v>3</v>
      </c>
      <c r="HM95" t="s">
        <v>3</v>
      </c>
      <c r="HN95" t="s">
        <v>3</v>
      </c>
      <c r="HO95" t="s">
        <v>3</v>
      </c>
      <c r="HP95" t="s">
        <v>3</v>
      </c>
      <c r="HQ95" t="s">
        <v>3</v>
      </c>
      <c r="IK95">
        <v>0</v>
      </c>
    </row>
    <row r="96" spans="1:245" x14ac:dyDescent="0.2">
      <c r="A96">
        <v>18</v>
      </c>
      <c r="B96">
        <v>1</v>
      </c>
      <c r="C96">
        <v>139</v>
      </c>
      <c r="E96" t="s">
        <v>273</v>
      </c>
      <c r="F96" t="s">
        <v>152</v>
      </c>
      <c r="G96" t="s">
        <v>153</v>
      </c>
      <c r="H96" t="s">
        <v>20</v>
      </c>
      <c r="I96">
        <f>I95*J96</f>
        <v>-1.35</v>
      </c>
      <c r="J96">
        <v>-5</v>
      </c>
      <c r="K96">
        <v>-5</v>
      </c>
      <c r="O96">
        <f t="shared" si="94"/>
        <v>-40.82</v>
      </c>
      <c r="P96">
        <f t="shared" si="95"/>
        <v>-40.82</v>
      </c>
      <c r="Q96">
        <f t="shared" si="96"/>
        <v>0</v>
      </c>
      <c r="R96">
        <f t="shared" si="97"/>
        <v>0</v>
      </c>
      <c r="S96">
        <f t="shared" si="98"/>
        <v>0</v>
      </c>
      <c r="T96">
        <f t="shared" si="99"/>
        <v>0</v>
      </c>
      <c r="U96">
        <f t="shared" si="100"/>
        <v>0</v>
      </c>
      <c r="V96">
        <f t="shared" si="101"/>
        <v>0</v>
      </c>
      <c r="W96">
        <f t="shared" si="102"/>
        <v>0</v>
      </c>
      <c r="X96">
        <f t="shared" si="103"/>
        <v>0</v>
      </c>
      <c r="Y96">
        <f t="shared" si="104"/>
        <v>0</v>
      </c>
      <c r="AA96">
        <v>43095088</v>
      </c>
      <c r="AB96">
        <f t="shared" si="105"/>
        <v>30.24</v>
      </c>
      <c r="AC96">
        <f t="shared" si="106"/>
        <v>30.24</v>
      </c>
      <c r="AD96">
        <f t="shared" si="134"/>
        <v>0</v>
      </c>
      <c r="AE96">
        <f t="shared" si="135"/>
        <v>0</v>
      </c>
      <c r="AF96">
        <f t="shared" si="136"/>
        <v>0</v>
      </c>
      <c r="AG96">
        <f t="shared" si="110"/>
        <v>0</v>
      </c>
      <c r="AH96">
        <f t="shared" si="137"/>
        <v>0</v>
      </c>
      <c r="AI96">
        <f t="shared" si="138"/>
        <v>0</v>
      </c>
      <c r="AJ96">
        <f t="shared" si="113"/>
        <v>0</v>
      </c>
      <c r="AK96">
        <v>30.24</v>
      </c>
      <c r="AL96">
        <v>30.24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70</v>
      </c>
      <c r="AU96">
        <v>10</v>
      </c>
      <c r="AV96">
        <v>1</v>
      </c>
      <c r="AW96">
        <v>1</v>
      </c>
      <c r="AZ96">
        <v>1</v>
      </c>
      <c r="BA96">
        <v>1</v>
      </c>
      <c r="BB96">
        <v>1</v>
      </c>
      <c r="BC96">
        <v>1</v>
      </c>
      <c r="BD96" t="s">
        <v>3</v>
      </c>
      <c r="BE96" t="s">
        <v>3</v>
      </c>
      <c r="BF96" t="s">
        <v>3</v>
      </c>
      <c r="BG96" t="s">
        <v>3</v>
      </c>
      <c r="BH96">
        <v>3</v>
      </c>
      <c r="BI96">
        <v>4</v>
      </c>
      <c r="BJ96" t="s">
        <v>154</v>
      </c>
      <c r="BM96">
        <v>0</v>
      </c>
      <c r="BN96">
        <v>0</v>
      </c>
      <c r="BO96" t="s">
        <v>3</v>
      </c>
      <c r="BP96">
        <v>0</v>
      </c>
      <c r="BQ96">
        <v>1</v>
      </c>
      <c r="BR96">
        <v>1</v>
      </c>
      <c r="BS96">
        <v>1</v>
      </c>
      <c r="BT96">
        <v>1</v>
      </c>
      <c r="BU96">
        <v>1</v>
      </c>
      <c r="BV96">
        <v>1</v>
      </c>
      <c r="BW96">
        <v>1</v>
      </c>
      <c r="BX96">
        <v>1</v>
      </c>
      <c r="BY96" t="s">
        <v>3</v>
      </c>
      <c r="BZ96">
        <v>70</v>
      </c>
      <c r="CA96">
        <v>10</v>
      </c>
      <c r="CB96" t="s">
        <v>3</v>
      </c>
      <c r="CE96">
        <v>0</v>
      </c>
      <c r="CF96">
        <v>0</v>
      </c>
      <c r="CG96">
        <v>0</v>
      </c>
      <c r="CM96">
        <v>0</v>
      </c>
      <c r="CN96" t="s">
        <v>3</v>
      </c>
      <c r="CO96">
        <v>0</v>
      </c>
      <c r="CP96">
        <f t="shared" si="114"/>
        <v>-40.82</v>
      </c>
      <c r="CQ96">
        <f t="shared" si="115"/>
        <v>30.24</v>
      </c>
      <c r="CR96">
        <f t="shared" si="139"/>
        <v>0</v>
      </c>
      <c r="CS96">
        <f t="shared" si="117"/>
        <v>0</v>
      </c>
      <c r="CT96">
        <f t="shared" si="118"/>
        <v>0</v>
      </c>
      <c r="CU96">
        <f t="shared" si="119"/>
        <v>0</v>
      </c>
      <c r="CV96">
        <f t="shared" si="120"/>
        <v>0</v>
      </c>
      <c r="CW96">
        <f t="shared" si="121"/>
        <v>0</v>
      </c>
      <c r="CX96">
        <f t="shared" si="122"/>
        <v>0</v>
      </c>
      <c r="CY96">
        <f t="shared" si="123"/>
        <v>0</v>
      </c>
      <c r="CZ96">
        <f t="shared" si="124"/>
        <v>0</v>
      </c>
      <c r="DC96" t="s">
        <v>3</v>
      </c>
      <c r="DD96" t="s">
        <v>3</v>
      </c>
      <c r="DE96" t="s">
        <v>3</v>
      </c>
      <c r="DF96" t="s">
        <v>3</v>
      </c>
      <c r="DG96" t="s">
        <v>3</v>
      </c>
      <c r="DH96" t="s">
        <v>3</v>
      </c>
      <c r="DI96" t="s">
        <v>3</v>
      </c>
      <c r="DJ96" t="s">
        <v>3</v>
      </c>
      <c r="DK96" t="s">
        <v>3</v>
      </c>
      <c r="DL96" t="s">
        <v>3</v>
      </c>
      <c r="DM96" t="s">
        <v>3</v>
      </c>
      <c r="DN96">
        <v>0</v>
      </c>
      <c r="DO96">
        <v>0</v>
      </c>
      <c r="DP96">
        <v>1</v>
      </c>
      <c r="DQ96">
        <v>1</v>
      </c>
      <c r="DU96">
        <v>1010</v>
      </c>
      <c r="DV96" t="s">
        <v>20</v>
      </c>
      <c r="DW96" t="s">
        <v>20</v>
      </c>
      <c r="DX96">
        <v>1</v>
      </c>
      <c r="DZ96" t="s">
        <v>3</v>
      </c>
      <c r="EA96" t="s">
        <v>3</v>
      </c>
      <c r="EB96" t="s">
        <v>3</v>
      </c>
      <c r="EC96" t="s">
        <v>3</v>
      </c>
      <c r="EE96">
        <v>43033442</v>
      </c>
      <c r="EF96">
        <v>1</v>
      </c>
      <c r="EG96" t="s">
        <v>22</v>
      </c>
      <c r="EH96">
        <v>0</v>
      </c>
      <c r="EI96" t="s">
        <v>3</v>
      </c>
      <c r="EJ96">
        <v>4</v>
      </c>
      <c r="EK96">
        <v>0</v>
      </c>
      <c r="EL96" t="s">
        <v>23</v>
      </c>
      <c r="EM96" t="s">
        <v>24</v>
      </c>
      <c r="EO96" t="s">
        <v>3</v>
      </c>
      <c r="EQ96">
        <v>0</v>
      </c>
      <c r="ER96">
        <v>30.24</v>
      </c>
      <c r="ES96">
        <v>30.24</v>
      </c>
      <c r="ET96">
        <v>0</v>
      </c>
      <c r="EU96">
        <v>0</v>
      </c>
      <c r="EV96">
        <v>0</v>
      </c>
      <c r="EW96">
        <v>0</v>
      </c>
      <c r="EX96">
        <v>0</v>
      </c>
      <c r="FQ96">
        <v>0</v>
      </c>
      <c r="FR96">
        <f t="shared" si="125"/>
        <v>0</v>
      </c>
      <c r="FS96">
        <v>0</v>
      </c>
      <c r="FX96">
        <v>70</v>
      </c>
      <c r="FY96">
        <v>10</v>
      </c>
      <c r="GA96" t="s">
        <v>3</v>
      </c>
      <c r="GD96">
        <v>0</v>
      </c>
      <c r="GF96">
        <v>1056150913</v>
      </c>
      <c r="GG96">
        <v>2</v>
      </c>
      <c r="GH96">
        <v>1</v>
      </c>
      <c r="GI96">
        <v>-2</v>
      </c>
      <c r="GJ96">
        <v>0</v>
      </c>
      <c r="GK96">
        <f>ROUND(R96*(R12)/100,2)</f>
        <v>0</v>
      </c>
      <c r="GL96">
        <f t="shared" si="126"/>
        <v>0</v>
      </c>
      <c r="GM96">
        <f t="shared" si="127"/>
        <v>-40.82</v>
      </c>
      <c r="GN96">
        <f t="shared" si="128"/>
        <v>0</v>
      </c>
      <c r="GO96">
        <f t="shared" si="129"/>
        <v>0</v>
      </c>
      <c r="GP96">
        <f t="shared" si="130"/>
        <v>-40.82</v>
      </c>
      <c r="GR96">
        <v>0</v>
      </c>
      <c r="GS96">
        <v>3</v>
      </c>
      <c r="GT96">
        <v>0</v>
      </c>
      <c r="GU96" t="s">
        <v>3</v>
      </c>
      <c r="GV96">
        <f t="shared" si="131"/>
        <v>0</v>
      </c>
      <c r="GW96">
        <v>1</v>
      </c>
      <c r="GX96">
        <f t="shared" si="132"/>
        <v>0</v>
      </c>
      <c r="HA96">
        <v>0</v>
      </c>
      <c r="HB96">
        <v>0</v>
      </c>
      <c r="HC96">
        <f t="shared" si="133"/>
        <v>0</v>
      </c>
      <c r="HE96" t="s">
        <v>3</v>
      </c>
      <c r="HF96" t="s">
        <v>3</v>
      </c>
      <c r="HM96" t="s">
        <v>3</v>
      </c>
      <c r="HN96" t="s">
        <v>3</v>
      </c>
      <c r="HO96" t="s">
        <v>3</v>
      </c>
      <c r="HP96" t="s">
        <v>3</v>
      </c>
      <c r="HQ96" t="s">
        <v>3</v>
      </c>
      <c r="IK96">
        <v>0</v>
      </c>
    </row>
    <row r="97" spans="1:245" x14ac:dyDescent="0.2">
      <c r="A97">
        <v>17</v>
      </c>
      <c r="B97">
        <v>1</v>
      </c>
      <c r="C97">
        <f>ROW(SmtRes!A153)</f>
        <v>153</v>
      </c>
      <c r="D97">
        <f>ROW(EtalonRes!A141)</f>
        <v>141</v>
      </c>
      <c r="E97" t="s">
        <v>274</v>
      </c>
      <c r="F97" t="s">
        <v>275</v>
      </c>
      <c r="G97" t="s">
        <v>276</v>
      </c>
      <c r="H97" t="s">
        <v>118</v>
      </c>
      <c r="I97">
        <v>0</v>
      </c>
      <c r="J97">
        <v>0</v>
      </c>
      <c r="K97">
        <v>0</v>
      </c>
      <c r="O97">
        <f t="shared" si="94"/>
        <v>0</v>
      </c>
      <c r="P97">
        <f t="shared" si="95"/>
        <v>0</v>
      </c>
      <c r="Q97">
        <f t="shared" si="96"/>
        <v>0</v>
      </c>
      <c r="R97">
        <f t="shared" si="97"/>
        <v>0</v>
      </c>
      <c r="S97">
        <f t="shared" si="98"/>
        <v>0</v>
      </c>
      <c r="T97">
        <f t="shared" si="99"/>
        <v>0</v>
      </c>
      <c r="U97">
        <f t="shared" si="100"/>
        <v>0</v>
      </c>
      <c r="V97">
        <f t="shared" si="101"/>
        <v>0</v>
      </c>
      <c r="W97">
        <f t="shared" si="102"/>
        <v>0</v>
      </c>
      <c r="X97">
        <f t="shared" si="103"/>
        <v>0</v>
      </c>
      <c r="Y97">
        <f t="shared" si="104"/>
        <v>0</v>
      </c>
      <c r="AA97">
        <v>43095088</v>
      </c>
      <c r="AB97">
        <f t="shared" si="105"/>
        <v>27268.83</v>
      </c>
      <c r="AC97">
        <f t="shared" si="106"/>
        <v>16355.85</v>
      </c>
      <c r="AD97">
        <f t="shared" si="134"/>
        <v>41.99</v>
      </c>
      <c r="AE97">
        <f t="shared" si="135"/>
        <v>0.28000000000000003</v>
      </c>
      <c r="AF97">
        <f t="shared" si="136"/>
        <v>10870.99</v>
      </c>
      <c r="AG97">
        <f t="shared" si="110"/>
        <v>0</v>
      </c>
      <c r="AH97">
        <f t="shared" si="137"/>
        <v>46.78</v>
      </c>
      <c r="AI97">
        <f t="shared" si="138"/>
        <v>0</v>
      </c>
      <c r="AJ97">
        <f t="shared" si="113"/>
        <v>0</v>
      </c>
      <c r="AK97">
        <v>27268.83</v>
      </c>
      <c r="AL97">
        <v>16355.85</v>
      </c>
      <c r="AM97">
        <v>41.99</v>
      </c>
      <c r="AN97">
        <v>0.28000000000000003</v>
      </c>
      <c r="AO97">
        <v>10870.99</v>
      </c>
      <c r="AP97">
        <v>0</v>
      </c>
      <c r="AQ97">
        <v>46.78</v>
      </c>
      <c r="AR97">
        <v>0</v>
      </c>
      <c r="AS97">
        <v>0</v>
      </c>
      <c r="AT97">
        <v>70</v>
      </c>
      <c r="AU97">
        <v>10</v>
      </c>
      <c r="AV97">
        <v>1</v>
      </c>
      <c r="AW97">
        <v>1</v>
      </c>
      <c r="AZ97">
        <v>1</v>
      </c>
      <c r="BA97">
        <v>1</v>
      </c>
      <c r="BB97">
        <v>1</v>
      </c>
      <c r="BC97">
        <v>1</v>
      </c>
      <c r="BD97" t="s">
        <v>3</v>
      </c>
      <c r="BE97" t="s">
        <v>3</v>
      </c>
      <c r="BF97" t="s">
        <v>3</v>
      </c>
      <c r="BG97" t="s">
        <v>3</v>
      </c>
      <c r="BH97">
        <v>0</v>
      </c>
      <c r="BI97">
        <v>4</v>
      </c>
      <c r="BJ97" t="s">
        <v>277</v>
      </c>
      <c r="BM97">
        <v>0</v>
      </c>
      <c r="BN97">
        <v>0</v>
      </c>
      <c r="BO97" t="s">
        <v>3</v>
      </c>
      <c r="BP97">
        <v>0</v>
      </c>
      <c r="BQ97">
        <v>1</v>
      </c>
      <c r="BR97">
        <v>0</v>
      </c>
      <c r="BS97">
        <v>1</v>
      </c>
      <c r="BT97">
        <v>1</v>
      </c>
      <c r="BU97">
        <v>1</v>
      </c>
      <c r="BV97">
        <v>1</v>
      </c>
      <c r="BW97">
        <v>1</v>
      </c>
      <c r="BX97">
        <v>1</v>
      </c>
      <c r="BY97" t="s">
        <v>3</v>
      </c>
      <c r="BZ97">
        <v>70</v>
      </c>
      <c r="CA97">
        <v>10</v>
      </c>
      <c r="CB97" t="s">
        <v>3</v>
      </c>
      <c r="CE97">
        <v>0</v>
      </c>
      <c r="CF97">
        <v>0</v>
      </c>
      <c r="CG97">
        <v>0</v>
      </c>
      <c r="CM97">
        <v>0</v>
      </c>
      <c r="CN97" t="s">
        <v>3</v>
      </c>
      <c r="CO97">
        <v>0</v>
      </c>
      <c r="CP97">
        <f t="shared" si="114"/>
        <v>0</v>
      </c>
      <c r="CQ97">
        <f t="shared" si="115"/>
        <v>16355.85</v>
      </c>
      <c r="CR97">
        <f t="shared" si="139"/>
        <v>41.99</v>
      </c>
      <c r="CS97">
        <f t="shared" si="117"/>
        <v>0.28000000000000003</v>
      </c>
      <c r="CT97">
        <f t="shared" si="118"/>
        <v>10870.99</v>
      </c>
      <c r="CU97">
        <f t="shared" si="119"/>
        <v>0</v>
      </c>
      <c r="CV97">
        <f t="shared" si="120"/>
        <v>46.78</v>
      </c>
      <c r="CW97">
        <f t="shared" si="121"/>
        <v>0</v>
      </c>
      <c r="CX97">
        <f t="shared" si="122"/>
        <v>0</v>
      </c>
      <c r="CY97">
        <f t="shared" si="123"/>
        <v>0</v>
      </c>
      <c r="CZ97">
        <f t="shared" si="124"/>
        <v>0</v>
      </c>
      <c r="DC97" t="s">
        <v>3</v>
      </c>
      <c r="DD97" t="s">
        <v>3</v>
      </c>
      <c r="DE97" t="s">
        <v>3</v>
      </c>
      <c r="DF97" t="s">
        <v>3</v>
      </c>
      <c r="DG97" t="s">
        <v>3</v>
      </c>
      <c r="DH97" t="s">
        <v>3</v>
      </c>
      <c r="DI97" t="s">
        <v>3</v>
      </c>
      <c r="DJ97" t="s">
        <v>3</v>
      </c>
      <c r="DK97" t="s">
        <v>3</v>
      </c>
      <c r="DL97" t="s">
        <v>3</v>
      </c>
      <c r="DM97" t="s">
        <v>3</v>
      </c>
      <c r="DN97">
        <v>0</v>
      </c>
      <c r="DO97">
        <v>0</v>
      </c>
      <c r="DP97">
        <v>1</v>
      </c>
      <c r="DQ97">
        <v>1</v>
      </c>
      <c r="DU97">
        <v>1003</v>
      </c>
      <c r="DV97" t="s">
        <v>118</v>
      </c>
      <c r="DW97" t="s">
        <v>118</v>
      </c>
      <c r="DX97">
        <v>100</v>
      </c>
      <c r="DZ97" t="s">
        <v>3</v>
      </c>
      <c r="EA97" t="s">
        <v>3</v>
      </c>
      <c r="EB97" t="s">
        <v>3</v>
      </c>
      <c r="EC97" t="s">
        <v>3</v>
      </c>
      <c r="EE97">
        <v>43033442</v>
      </c>
      <c r="EF97">
        <v>1</v>
      </c>
      <c r="EG97" t="s">
        <v>22</v>
      </c>
      <c r="EH97">
        <v>0</v>
      </c>
      <c r="EI97" t="s">
        <v>3</v>
      </c>
      <c r="EJ97">
        <v>4</v>
      </c>
      <c r="EK97">
        <v>0</v>
      </c>
      <c r="EL97" t="s">
        <v>23</v>
      </c>
      <c r="EM97" t="s">
        <v>24</v>
      </c>
      <c r="EO97" t="s">
        <v>3</v>
      </c>
      <c r="EQ97">
        <v>0</v>
      </c>
      <c r="ER97">
        <v>27268.83</v>
      </c>
      <c r="ES97">
        <v>16355.85</v>
      </c>
      <c r="ET97">
        <v>41.99</v>
      </c>
      <c r="EU97">
        <v>0.28000000000000003</v>
      </c>
      <c r="EV97">
        <v>10870.99</v>
      </c>
      <c r="EW97">
        <v>46.78</v>
      </c>
      <c r="EX97">
        <v>0</v>
      </c>
      <c r="EY97">
        <v>0</v>
      </c>
      <c r="FQ97">
        <v>0</v>
      </c>
      <c r="FR97">
        <f t="shared" si="125"/>
        <v>0</v>
      </c>
      <c r="FS97">
        <v>0</v>
      </c>
      <c r="FX97">
        <v>70</v>
      </c>
      <c r="FY97">
        <v>10</v>
      </c>
      <c r="GA97" t="s">
        <v>3</v>
      </c>
      <c r="GD97">
        <v>0</v>
      </c>
      <c r="GF97">
        <v>-829123775</v>
      </c>
      <c r="GG97">
        <v>2</v>
      </c>
      <c r="GH97">
        <v>1</v>
      </c>
      <c r="GI97">
        <v>-2</v>
      </c>
      <c r="GJ97">
        <v>0</v>
      </c>
      <c r="GK97">
        <f>ROUND(R97*(R12)/100,2)</f>
        <v>0</v>
      </c>
      <c r="GL97">
        <f t="shared" si="126"/>
        <v>0</v>
      </c>
      <c r="GM97">
        <f t="shared" si="127"/>
        <v>0</v>
      </c>
      <c r="GN97">
        <f t="shared" si="128"/>
        <v>0</v>
      </c>
      <c r="GO97">
        <f t="shared" si="129"/>
        <v>0</v>
      </c>
      <c r="GP97">
        <f t="shared" si="130"/>
        <v>0</v>
      </c>
      <c r="GR97">
        <v>0</v>
      </c>
      <c r="GS97">
        <v>3</v>
      </c>
      <c r="GT97">
        <v>0</v>
      </c>
      <c r="GU97" t="s">
        <v>3</v>
      </c>
      <c r="GV97">
        <f t="shared" si="131"/>
        <v>0</v>
      </c>
      <c r="GW97">
        <v>1</v>
      </c>
      <c r="GX97">
        <f t="shared" si="132"/>
        <v>0</v>
      </c>
      <c r="HA97">
        <v>0</v>
      </c>
      <c r="HB97">
        <v>0</v>
      </c>
      <c r="HC97">
        <f t="shared" si="133"/>
        <v>0</v>
      </c>
      <c r="HE97" t="s">
        <v>3</v>
      </c>
      <c r="HF97" t="s">
        <v>3</v>
      </c>
      <c r="HM97" t="s">
        <v>3</v>
      </c>
      <c r="HN97" t="s">
        <v>3</v>
      </c>
      <c r="HO97" t="s">
        <v>3</v>
      </c>
      <c r="HP97" t="s">
        <v>3</v>
      </c>
      <c r="HQ97" t="s">
        <v>3</v>
      </c>
      <c r="IK97">
        <v>0</v>
      </c>
    </row>
    <row r="98" spans="1:245" x14ac:dyDescent="0.2">
      <c r="A98">
        <v>18</v>
      </c>
      <c r="B98">
        <v>1</v>
      </c>
      <c r="C98">
        <v>146</v>
      </c>
      <c r="E98" t="s">
        <v>278</v>
      </c>
      <c r="F98" t="s">
        <v>279</v>
      </c>
      <c r="G98" t="s">
        <v>280</v>
      </c>
      <c r="H98" t="s">
        <v>64</v>
      </c>
      <c r="I98">
        <f>I97*J98</f>
        <v>0</v>
      </c>
      <c r="J98">
        <v>-100</v>
      </c>
      <c r="K98">
        <v>-100</v>
      </c>
      <c r="O98">
        <f t="shared" si="94"/>
        <v>0</v>
      </c>
      <c r="P98">
        <f t="shared" si="95"/>
        <v>0</v>
      </c>
      <c r="Q98">
        <f t="shared" si="96"/>
        <v>0</v>
      </c>
      <c r="R98">
        <f t="shared" si="97"/>
        <v>0</v>
      </c>
      <c r="S98">
        <f t="shared" si="98"/>
        <v>0</v>
      </c>
      <c r="T98">
        <f t="shared" si="99"/>
        <v>0</v>
      </c>
      <c r="U98">
        <f t="shared" si="100"/>
        <v>0</v>
      </c>
      <c r="V98">
        <f t="shared" si="101"/>
        <v>0</v>
      </c>
      <c r="W98">
        <f t="shared" si="102"/>
        <v>0</v>
      </c>
      <c r="X98">
        <f t="shared" si="103"/>
        <v>0</v>
      </c>
      <c r="Y98">
        <f t="shared" si="104"/>
        <v>0</v>
      </c>
      <c r="AA98">
        <v>43095088</v>
      </c>
      <c r="AB98">
        <f t="shared" si="105"/>
        <v>40.06</v>
      </c>
      <c r="AC98">
        <f t="shared" si="106"/>
        <v>40.06</v>
      </c>
      <c r="AD98">
        <f t="shared" si="134"/>
        <v>0</v>
      </c>
      <c r="AE98">
        <f t="shared" si="135"/>
        <v>0</v>
      </c>
      <c r="AF98">
        <f t="shared" si="136"/>
        <v>0</v>
      </c>
      <c r="AG98">
        <f t="shared" si="110"/>
        <v>0</v>
      </c>
      <c r="AH98">
        <f t="shared" si="137"/>
        <v>0</v>
      </c>
      <c r="AI98">
        <f t="shared" si="138"/>
        <v>0</v>
      </c>
      <c r="AJ98">
        <f t="shared" si="113"/>
        <v>0</v>
      </c>
      <c r="AK98">
        <v>40.06</v>
      </c>
      <c r="AL98">
        <v>40.06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70</v>
      </c>
      <c r="AU98">
        <v>10</v>
      </c>
      <c r="AV98">
        <v>1</v>
      </c>
      <c r="AW98">
        <v>1</v>
      </c>
      <c r="AZ98">
        <v>1</v>
      </c>
      <c r="BA98">
        <v>1</v>
      </c>
      <c r="BB98">
        <v>1</v>
      </c>
      <c r="BC98">
        <v>1</v>
      </c>
      <c r="BD98" t="s">
        <v>3</v>
      </c>
      <c r="BE98" t="s">
        <v>3</v>
      </c>
      <c r="BF98" t="s">
        <v>3</v>
      </c>
      <c r="BG98" t="s">
        <v>3</v>
      </c>
      <c r="BH98">
        <v>3</v>
      </c>
      <c r="BI98">
        <v>4</v>
      </c>
      <c r="BJ98" t="s">
        <v>281</v>
      </c>
      <c r="BM98">
        <v>0</v>
      </c>
      <c r="BN98">
        <v>0</v>
      </c>
      <c r="BO98" t="s">
        <v>3</v>
      </c>
      <c r="BP98">
        <v>0</v>
      </c>
      <c r="BQ98">
        <v>1</v>
      </c>
      <c r="BR98">
        <v>1</v>
      </c>
      <c r="BS98">
        <v>1</v>
      </c>
      <c r="BT98">
        <v>1</v>
      </c>
      <c r="BU98">
        <v>1</v>
      </c>
      <c r="BV98">
        <v>1</v>
      </c>
      <c r="BW98">
        <v>1</v>
      </c>
      <c r="BX98">
        <v>1</v>
      </c>
      <c r="BY98" t="s">
        <v>3</v>
      </c>
      <c r="BZ98">
        <v>70</v>
      </c>
      <c r="CA98">
        <v>10</v>
      </c>
      <c r="CB98" t="s">
        <v>3</v>
      </c>
      <c r="CE98">
        <v>0</v>
      </c>
      <c r="CF98">
        <v>0</v>
      </c>
      <c r="CG98">
        <v>0</v>
      </c>
      <c r="CM98">
        <v>0</v>
      </c>
      <c r="CN98" t="s">
        <v>3</v>
      </c>
      <c r="CO98">
        <v>0</v>
      </c>
      <c r="CP98">
        <f t="shared" si="114"/>
        <v>0</v>
      </c>
      <c r="CQ98">
        <f t="shared" si="115"/>
        <v>40.06</v>
      </c>
      <c r="CR98">
        <f t="shared" si="139"/>
        <v>0</v>
      </c>
      <c r="CS98">
        <f t="shared" si="117"/>
        <v>0</v>
      </c>
      <c r="CT98">
        <f t="shared" si="118"/>
        <v>0</v>
      </c>
      <c r="CU98">
        <f t="shared" si="119"/>
        <v>0</v>
      </c>
      <c r="CV98">
        <f t="shared" si="120"/>
        <v>0</v>
      </c>
      <c r="CW98">
        <f t="shared" si="121"/>
        <v>0</v>
      </c>
      <c r="CX98">
        <f t="shared" si="122"/>
        <v>0</v>
      </c>
      <c r="CY98">
        <f t="shared" si="123"/>
        <v>0</v>
      </c>
      <c r="CZ98">
        <f t="shared" si="124"/>
        <v>0</v>
      </c>
      <c r="DC98" t="s">
        <v>3</v>
      </c>
      <c r="DD98" t="s">
        <v>3</v>
      </c>
      <c r="DE98" t="s">
        <v>3</v>
      </c>
      <c r="DF98" t="s">
        <v>3</v>
      </c>
      <c r="DG98" t="s">
        <v>3</v>
      </c>
      <c r="DH98" t="s">
        <v>3</v>
      </c>
      <c r="DI98" t="s">
        <v>3</v>
      </c>
      <c r="DJ98" t="s">
        <v>3</v>
      </c>
      <c r="DK98" t="s">
        <v>3</v>
      </c>
      <c r="DL98" t="s">
        <v>3</v>
      </c>
      <c r="DM98" t="s">
        <v>3</v>
      </c>
      <c r="DN98">
        <v>0</v>
      </c>
      <c r="DO98">
        <v>0</v>
      </c>
      <c r="DP98">
        <v>1</v>
      </c>
      <c r="DQ98">
        <v>1</v>
      </c>
      <c r="DU98">
        <v>1003</v>
      </c>
      <c r="DV98" t="s">
        <v>64</v>
      </c>
      <c r="DW98" t="s">
        <v>64</v>
      </c>
      <c r="DX98">
        <v>1</v>
      </c>
      <c r="DZ98" t="s">
        <v>3</v>
      </c>
      <c r="EA98" t="s">
        <v>3</v>
      </c>
      <c r="EB98" t="s">
        <v>3</v>
      </c>
      <c r="EC98" t="s">
        <v>3</v>
      </c>
      <c r="EE98">
        <v>43033442</v>
      </c>
      <c r="EF98">
        <v>1</v>
      </c>
      <c r="EG98" t="s">
        <v>22</v>
      </c>
      <c r="EH98">
        <v>0</v>
      </c>
      <c r="EI98" t="s">
        <v>3</v>
      </c>
      <c r="EJ98">
        <v>4</v>
      </c>
      <c r="EK98">
        <v>0</v>
      </c>
      <c r="EL98" t="s">
        <v>23</v>
      </c>
      <c r="EM98" t="s">
        <v>24</v>
      </c>
      <c r="EO98" t="s">
        <v>3</v>
      </c>
      <c r="EQ98">
        <v>0</v>
      </c>
      <c r="ER98">
        <v>40.06</v>
      </c>
      <c r="ES98">
        <v>40.06</v>
      </c>
      <c r="ET98">
        <v>0</v>
      </c>
      <c r="EU98">
        <v>0</v>
      </c>
      <c r="EV98">
        <v>0</v>
      </c>
      <c r="EW98">
        <v>0</v>
      </c>
      <c r="EX98">
        <v>0</v>
      </c>
      <c r="FQ98">
        <v>0</v>
      </c>
      <c r="FR98">
        <f t="shared" si="125"/>
        <v>0</v>
      </c>
      <c r="FS98">
        <v>0</v>
      </c>
      <c r="FX98">
        <v>70</v>
      </c>
      <c r="FY98">
        <v>10</v>
      </c>
      <c r="GA98" t="s">
        <v>3</v>
      </c>
      <c r="GD98">
        <v>0</v>
      </c>
      <c r="GF98">
        <v>1425985437</v>
      </c>
      <c r="GG98">
        <v>2</v>
      </c>
      <c r="GH98">
        <v>1</v>
      </c>
      <c r="GI98">
        <v>-2</v>
      </c>
      <c r="GJ98">
        <v>0</v>
      </c>
      <c r="GK98">
        <f>ROUND(R98*(R12)/100,2)</f>
        <v>0</v>
      </c>
      <c r="GL98">
        <f t="shared" si="126"/>
        <v>0</v>
      </c>
      <c r="GM98">
        <f t="shared" si="127"/>
        <v>0</v>
      </c>
      <c r="GN98">
        <f t="shared" si="128"/>
        <v>0</v>
      </c>
      <c r="GO98">
        <f t="shared" si="129"/>
        <v>0</v>
      </c>
      <c r="GP98">
        <f t="shared" si="130"/>
        <v>0</v>
      </c>
      <c r="GR98">
        <v>0</v>
      </c>
      <c r="GS98">
        <v>3</v>
      </c>
      <c r="GT98">
        <v>0</v>
      </c>
      <c r="GU98" t="s">
        <v>3</v>
      </c>
      <c r="GV98">
        <f t="shared" si="131"/>
        <v>0</v>
      </c>
      <c r="GW98">
        <v>1</v>
      </c>
      <c r="GX98">
        <f t="shared" si="132"/>
        <v>0</v>
      </c>
      <c r="HA98">
        <v>0</v>
      </c>
      <c r="HB98">
        <v>0</v>
      </c>
      <c r="HC98">
        <f t="shared" si="133"/>
        <v>0</v>
      </c>
      <c r="HE98" t="s">
        <v>3</v>
      </c>
      <c r="HF98" t="s">
        <v>3</v>
      </c>
      <c r="HM98" t="s">
        <v>3</v>
      </c>
      <c r="HN98" t="s">
        <v>3</v>
      </c>
      <c r="HO98" t="s">
        <v>3</v>
      </c>
      <c r="HP98" t="s">
        <v>3</v>
      </c>
      <c r="HQ98" t="s">
        <v>3</v>
      </c>
      <c r="IK98">
        <v>0</v>
      </c>
    </row>
    <row r="99" spans="1:245" x14ac:dyDescent="0.2">
      <c r="A99">
        <v>18</v>
      </c>
      <c r="B99">
        <v>1</v>
      </c>
      <c r="C99">
        <v>147</v>
      </c>
      <c r="E99" t="s">
        <v>282</v>
      </c>
      <c r="F99" t="s">
        <v>283</v>
      </c>
      <c r="G99" t="s">
        <v>284</v>
      </c>
      <c r="H99" t="s">
        <v>285</v>
      </c>
      <c r="I99">
        <f>I97*J99</f>
        <v>0</v>
      </c>
      <c r="J99">
        <v>-2E-3</v>
      </c>
      <c r="K99">
        <v>-2E-3</v>
      </c>
      <c r="O99">
        <f t="shared" si="94"/>
        <v>0</v>
      </c>
      <c r="P99">
        <f t="shared" si="95"/>
        <v>0</v>
      </c>
      <c r="Q99">
        <f t="shared" si="96"/>
        <v>0</v>
      </c>
      <c r="R99">
        <f t="shared" si="97"/>
        <v>0</v>
      </c>
      <c r="S99">
        <f t="shared" si="98"/>
        <v>0</v>
      </c>
      <c r="T99">
        <f t="shared" si="99"/>
        <v>0</v>
      </c>
      <c r="U99">
        <f t="shared" si="100"/>
        <v>0</v>
      </c>
      <c r="V99">
        <f t="shared" si="101"/>
        <v>0</v>
      </c>
      <c r="W99">
        <f t="shared" si="102"/>
        <v>0</v>
      </c>
      <c r="X99">
        <f t="shared" si="103"/>
        <v>0</v>
      </c>
      <c r="Y99">
        <f t="shared" si="104"/>
        <v>0</v>
      </c>
      <c r="AA99">
        <v>43095088</v>
      </c>
      <c r="AB99">
        <f t="shared" si="105"/>
        <v>37743.160000000003</v>
      </c>
      <c r="AC99">
        <f t="shared" si="106"/>
        <v>37743.160000000003</v>
      </c>
      <c r="AD99">
        <f t="shared" si="134"/>
        <v>0</v>
      </c>
      <c r="AE99">
        <f t="shared" si="135"/>
        <v>0</v>
      </c>
      <c r="AF99">
        <f t="shared" si="136"/>
        <v>0</v>
      </c>
      <c r="AG99">
        <f t="shared" si="110"/>
        <v>0</v>
      </c>
      <c r="AH99">
        <f t="shared" si="137"/>
        <v>0</v>
      </c>
      <c r="AI99">
        <f t="shared" si="138"/>
        <v>0</v>
      </c>
      <c r="AJ99">
        <f t="shared" si="113"/>
        <v>0</v>
      </c>
      <c r="AK99">
        <v>37743.160000000003</v>
      </c>
      <c r="AL99">
        <v>37743.160000000003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70</v>
      </c>
      <c r="AU99">
        <v>10</v>
      </c>
      <c r="AV99">
        <v>1</v>
      </c>
      <c r="AW99">
        <v>1</v>
      </c>
      <c r="AZ99">
        <v>1</v>
      </c>
      <c r="BA99">
        <v>1</v>
      </c>
      <c r="BB99">
        <v>1</v>
      </c>
      <c r="BC99">
        <v>1</v>
      </c>
      <c r="BD99" t="s">
        <v>3</v>
      </c>
      <c r="BE99" t="s">
        <v>3</v>
      </c>
      <c r="BF99" t="s">
        <v>3</v>
      </c>
      <c r="BG99" t="s">
        <v>3</v>
      </c>
      <c r="BH99">
        <v>3</v>
      </c>
      <c r="BI99">
        <v>4</v>
      </c>
      <c r="BJ99" t="s">
        <v>286</v>
      </c>
      <c r="BM99">
        <v>0</v>
      </c>
      <c r="BN99">
        <v>0</v>
      </c>
      <c r="BO99" t="s">
        <v>3</v>
      </c>
      <c r="BP99">
        <v>0</v>
      </c>
      <c r="BQ99">
        <v>1</v>
      </c>
      <c r="BR99">
        <v>1</v>
      </c>
      <c r="BS99">
        <v>1</v>
      </c>
      <c r="BT99">
        <v>1</v>
      </c>
      <c r="BU99">
        <v>1</v>
      </c>
      <c r="BV99">
        <v>1</v>
      </c>
      <c r="BW99">
        <v>1</v>
      </c>
      <c r="BX99">
        <v>1</v>
      </c>
      <c r="BY99" t="s">
        <v>3</v>
      </c>
      <c r="BZ99">
        <v>70</v>
      </c>
      <c r="CA99">
        <v>10</v>
      </c>
      <c r="CB99" t="s">
        <v>3</v>
      </c>
      <c r="CE99">
        <v>0</v>
      </c>
      <c r="CF99">
        <v>0</v>
      </c>
      <c r="CG99">
        <v>0</v>
      </c>
      <c r="CM99">
        <v>0</v>
      </c>
      <c r="CN99" t="s">
        <v>3</v>
      </c>
      <c r="CO99">
        <v>0</v>
      </c>
      <c r="CP99">
        <f t="shared" si="114"/>
        <v>0</v>
      </c>
      <c r="CQ99">
        <f t="shared" si="115"/>
        <v>37743.160000000003</v>
      </c>
      <c r="CR99">
        <f t="shared" si="139"/>
        <v>0</v>
      </c>
      <c r="CS99">
        <f t="shared" si="117"/>
        <v>0</v>
      </c>
      <c r="CT99">
        <f t="shared" si="118"/>
        <v>0</v>
      </c>
      <c r="CU99">
        <f t="shared" si="119"/>
        <v>0</v>
      </c>
      <c r="CV99">
        <f t="shared" si="120"/>
        <v>0</v>
      </c>
      <c r="CW99">
        <f t="shared" si="121"/>
        <v>0</v>
      </c>
      <c r="CX99">
        <f t="shared" si="122"/>
        <v>0</v>
      </c>
      <c r="CY99">
        <f t="shared" si="123"/>
        <v>0</v>
      </c>
      <c r="CZ99">
        <f t="shared" si="124"/>
        <v>0</v>
      </c>
      <c r="DC99" t="s">
        <v>3</v>
      </c>
      <c r="DD99" t="s">
        <v>3</v>
      </c>
      <c r="DE99" t="s">
        <v>3</v>
      </c>
      <c r="DF99" t="s">
        <v>3</v>
      </c>
      <c r="DG99" t="s">
        <v>3</v>
      </c>
      <c r="DH99" t="s">
        <v>3</v>
      </c>
      <c r="DI99" t="s">
        <v>3</v>
      </c>
      <c r="DJ99" t="s">
        <v>3</v>
      </c>
      <c r="DK99" t="s">
        <v>3</v>
      </c>
      <c r="DL99" t="s">
        <v>3</v>
      </c>
      <c r="DM99" t="s">
        <v>3</v>
      </c>
      <c r="DN99">
        <v>0</v>
      </c>
      <c r="DO99">
        <v>0</v>
      </c>
      <c r="DP99">
        <v>1</v>
      </c>
      <c r="DQ99">
        <v>1</v>
      </c>
      <c r="DU99">
        <v>1010</v>
      </c>
      <c r="DV99" t="s">
        <v>285</v>
      </c>
      <c r="DW99" t="s">
        <v>285</v>
      </c>
      <c r="DX99">
        <v>1000</v>
      </c>
      <c r="DZ99" t="s">
        <v>3</v>
      </c>
      <c r="EA99" t="s">
        <v>3</v>
      </c>
      <c r="EB99" t="s">
        <v>3</v>
      </c>
      <c r="EC99" t="s">
        <v>3</v>
      </c>
      <c r="EE99">
        <v>43033442</v>
      </c>
      <c r="EF99">
        <v>1</v>
      </c>
      <c r="EG99" t="s">
        <v>22</v>
      </c>
      <c r="EH99">
        <v>0</v>
      </c>
      <c r="EI99" t="s">
        <v>3</v>
      </c>
      <c r="EJ99">
        <v>4</v>
      </c>
      <c r="EK99">
        <v>0</v>
      </c>
      <c r="EL99" t="s">
        <v>23</v>
      </c>
      <c r="EM99" t="s">
        <v>24</v>
      </c>
      <c r="EO99" t="s">
        <v>3</v>
      </c>
      <c r="EQ99">
        <v>0</v>
      </c>
      <c r="ER99">
        <v>37743.160000000003</v>
      </c>
      <c r="ES99">
        <v>37743.160000000003</v>
      </c>
      <c r="ET99">
        <v>0</v>
      </c>
      <c r="EU99">
        <v>0</v>
      </c>
      <c r="EV99">
        <v>0</v>
      </c>
      <c r="EW99">
        <v>0</v>
      </c>
      <c r="EX99">
        <v>0</v>
      </c>
      <c r="FQ99">
        <v>0</v>
      </c>
      <c r="FR99">
        <f t="shared" si="125"/>
        <v>0</v>
      </c>
      <c r="FS99">
        <v>0</v>
      </c>
      <c r="FX99">
        <v>70</v>
      </c>
      <c r="FY99">
        <v>10</v>
      </c>
      <c r="GA99" t="s">
        <v>3</v>
      </c>
      <c r="GD99">
        <v>0</v>
      </c>
      <c r="GF99">
        <v>-1758819502</v>
      </c>
      <c r="GG99">
        <v>2</v>
      </c>
      <c r="GH99">
        <v>1</v>
      </c>
      <c r="GI99">
        <v>-2</v>
      </c>
      <c r="GJ99">
        <v>0</v>
      </c>
      <c r="GK99">
        <f>ROUND(R99*(R12)/100,2)</f>
        <v>0</v>
      </c>
      <c r="GL99">
        <f t="shared" si="126"/>
        <v>0</v>
      </c>
      <c r="GM99">
        <f t="shared" si="127"/>
        <v>0</v>
      </c>
      <c r="GN99">
        <f t="shared" si="128"/>
        <v>0</v>
      </c>
      <c r="GO99">
        <f t="shared" si="129"/>
        <v>0</v>
      </c>
      <c r="GP99">
        <f t="shared" si="130"/>
        <v>0</v>
      </c>
      <c r="GR99">
        <v>0</v>
      </c>
      <c r="GS99">
        <v>3</v>
      </c>
      <c r="GT99">
        <v>0</v>
      </c>
      <c r="GU99" t="s">
        <v>3</v>
      </c>
      <c r="GV99">
        <f t="shared" si="131"/>
        <v>0</v>
      </c>
      <c r="GW99">
        <v>1</v>
      </c>
      <c r="GX99">
        <f t="shared" si="132"/>
        <v>0</v>
      </c>
      <c r="HA99">
        <v>0</v>
      </c>
      <c r="HB99">
        <v>0</v>
      </c>
      <c r="HC99">
        <f t="shared" si="133"/>
        <v>0</v>
      </c>
      <c r="HE99" t="s">
        <v>3</v>
      </c>
      <c r="HF99" t="s">
        <v>3</v>
      </c>
      <c r="HM99" t="s">
        <v>3</v>
      </c>
      <c r="HN99" t="s">
        <v>3</v>
      </c>
      <c r="HO99" t="s">
        <v>3</v>
      </c>
      <c r="HP99" t="s">
        <v>3</v>
      </c>
      <c r="HQ99" t="s">
        <v>3</v>
      </c>
      <c r="IK99">
        <v>0</v>
      </c>
    </row>
    <row r="100" spans="1:245" x14ac:dyDescent="0.2">
      <c r="A100">
        <v>18</v>
      </c>
      <c r="B100">
        <v>1</v>
      </c>
      <c r="C100">
        <v>148</v>
      </c>
      <c r="E100" t="s">
        <v>287</v>
      </c>
      <c r="F100" t="s">
        <v>288</v>
      </c>
      <c r="G100" t="s">
        <v>289</v>
      </c>
      <c r="H100" t="s">
        <v>285</v>
      </c>
      <c r="I100">
        <f>I97*J100</f>
        <v>0</v>
      </c>
      <c r="J100">
        <v>-1.4999999999999999E-2</v>
      </c>
      <c r="K100">
        <v>-1.4999999999999999E-2</v>
      </c>
      <c r="O100">
        <f t="shared" si="94"/>
        <v>0</v>
      </c>
      <c r="P100">
        <f t="shared" si="95"/>
        <v>0</v>
      </c>
      <c r="Q100">
        <f t="shared" si="96"/>
        <v>0</v>
      </c>
      <c r="R100">
        <f t="shared" si="97"/>
        <v>0</v>
      </c>
      <c r="S100">
        <f t="shared" si="98"/>
        <v>0</v>
      </c>
      <c r="T100">
        <f t="shared" si="99"/>
        <v>0</v>
      </c>
      <c r="U100">
        <f t="shared" si="100"/>
        <v>0</v>
      </c>
      <c r="V100">
        <f t="shared" si="101"/>
        <v>0</v>
      </c>
      <c r="W100">
        <f t="shared" si="102"/>
        <v>0</v>
      </c>
      <c r="X100">
        <f t="shared" si="103"/>
        <v>0</v>
      </c>
      <c r="Y100">
        <f t="shared" si="104"/>
        <v>0</v>
      </c>
      <c r="AA100">
        <v>43095088</v>
      </c>
      <c r="AB100">
        <f t="shared" si="105"/>
        <v>37743.919999999998</v>
      </c>
      <c r="AC100">
        <f t="shared" si="106"/>
        <v>37743.919999999998</v>
      </c>
      <c r="AD100">
        <f t="shared" si="134"/>
        <v>0</v>
      </c>
      <c r="AE100">
        <f t="shared" si="135"/>
        <v>0</v>
      </c>
      <c r="AF100">
        <f t="shared" si="136"/>
        <v>0</v>
      </c>
      <c r="AG100">
        <f t="shared" si="110"/>
        <v>0</v>
      </c>
      <c r="AH100">
        <f t="shared" si="137"/>
        <v>0</v>
      </c>
      <c r="AI100">
        <f t="shared" si="138"/>
        <v>0</v>
      </c>
      <c r="AJ100">
        <f t="shared" si="113"/>
        <v>0</v>
      </c>
      <c r="AK100">
        <v>37743.919999999998</v>
      </c>
      <c r="AL100">
        <v>37743.919999999998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70</v>
      </c>
      <c r="AU100">
        <v>10</v>
      </c>
      <c r="AV100">
        <v>1</v>
      </c>
      <c r="AW100">
        <v>1</v>
      </c>
      <c r="AZ100">
        <v>1</v>
      </c>
      <c r="BA100">
        <v>1</v>
      </c>
      <c r="BB100">
        <v>1</v>
      </c>
      <c r="BC100">
        <v>1</v>
      </c>
      <c r="BD100" t="s">
        <v>3</v>
      </c>
      <c r="BE100" t="s">
        <v>3</v>
      </c>
      <c r="BF100" t="s">
        <v>3</v>
      </c>
      <c r="BG100" t="s">
        <v>3</v>
      </c>
      <c r="BH100">
        <v>3</v>
      </c>
      <c r="BI100">
        <v>4</v>
      </c>
      <c r="BJ100" t="s">
        <v>290</v>
      </c>
      <c r="BM100">
        <v>0</v>
      </c>
      <c r="BN100">
        <v>0</v>
      </c>
      <c r="BO100" t="s">
        <v>3</v>
      </c>
      <c r="BP100">
        <v>0</v>
      </c>
      <c r="BQ100">
        <v>1</v>
      </c>
      <c r="BR100">
        <v>1</v>
      </c>
      <c r="BS100">
        <v>1</v>
      </c>
      <c r="BT100">
        <v>1</v>
      </c>
      <c r="BU100">
        <v>1</v>
      </c>
      <c r="BV100">
        <v>1</v>
      </c>
      <c r="BW100">
        <v>1</v>
      </c>
      <c r="BX100">
        <v>1</v>
      </c>
      <c r="BY100" t="s">
        <v>3</v>
      </c>
      <c r="BZ100">
        <v>70</v>
      </c>
      <c r="CA100">
        <v>10</v>
      </c>
      <c r="CB100" t="s">
        <v>3</v>
      </c>
      <c r="CE100">
        <v>0</v>
      </c>
      <c r="CF100">
        <v>0</v>
      </c>
      <c r="CG100">
        <v>0</v>
      </c>
      <c r="CM100">
        <v>0</v>
      </c>
      <c r="CN100" t="s">
        <v>3</v>
      </c>
      <c r="CO100">
        <v>0</v>
      </c>
      <c r="CP100">
        <f t="shared" si="114"/>
        <v>0</v>
      </c>
      <c r="CQ100">
        <f t="shared" si="115"/>
        <v>37743.919999999998</v>
      </c>
      <c r="CR100">
        <f t="shared" si="139"/>
        <v>0</v>
      </c>
      <c r="CS100">
        <f t="shared" si="117"/>
        <v>0</v>
      </c>
      <c r="CT100">
        <f t="shared" si="118"/>
        <v>0</v>
      </c>
      <c r="CU100">
        <f t="shared" si="119"/>
        <v>0</v>
      </c>
      <c r="CV100">
        <f t="shared" si="120"/>
        <v>0</v>
      </c>
      <c r="CW100">
        <f t="shared" si="121"/>
        <v>0</v>
      </c>
      <c r="CX100">
        <f t="shared" si="122"/>
        <v>0</v>
      </c>
      <c r="CY100">
        <f t="shared" si="123"/>
        <v>0</v>
      </c>
      <c r="CZ100">
        <f t="shared" si="124"/>
        <v>0</v>
      </c>
      <c r="DC100" t="s">
        <v>3</v>
      </c>
      <c r="DD100" t="s">
        <v>3</v>
      </c>
      <c r="DE100" t="s">
        <v>3</v>
      </c>
      <c r="DF100" t="s">
        <v>3</v>
      </c>
      <c r="DG100" t="s">
        <v>3</v>
      </c>
      <c r="DH100" t="s">
        <v>3</v>
      </c>
      <c r="DI100" t="s">
        <v>3</v>
      </c>
      <c r="DJ100" t="s">
        <v>3</v>
      </c>
      <c r="DK100" t="s">
        <v>3</v>
      </c>
      <c r="DL100" t="s">
        <v>3</v>
      </c>
      <c r="DM100" t="s">
        <v>3</v>
      </c>
      <c r="DN100">
        <v>0</v>
      </c>
      <c r="DO100">
        <v>0</v>
      </c>
      <c r="DP100">
        <v>1</v>
      </c>
      <c r="DQ100">
        <v>1</v>
      </c>
      <c r="DU100">
        <v>1010</v>
      </c>
      <c r="DV100" t="s">
        <v>285</v>
      </c>
      <c r="DW100" t="s">
        <v>285</v>
      </c>
      <c r="DX100">
        <v>1000</v>
      </c>
      <c r="DZ100" t="s">
        <v>3</v>
      </c>
      <c r="EA100" t="s">
        <v>3</v>
      </c>
      <c r="EB100" t="s">
        <v>3</v>
      </c>
      <c r="EC100" t="s">
        <v>3</v>
      </c>
      <c r="EE100">
        <v>43033442</v>
      </c>
      <c r="EF100">
        <v>1</v>
      </c>
      <c r="EG100" t="s">
        <v>22</v>
      </c>
      <c r="EH100">
        <v>0</v>
      </c>
      <c r="EI100" t="s">
        <v>3</v>
      </c>
      <c r="EJ100">
        <v>4</v>
      </c>
      <c r="EK100">
        <v>0</v>
      </c>
      <c r="EL100" t="s">
        <v>23</v>
      </c>
      <c r="EM100" t="s">
        <v>24</v>
      </c>
      <c r="EO100" t="s">
        <v>3</v>
      </c>
      <c r="EQ100">
        <v>0</v>
      </c>
      <c r="ER100">
        <v>37743.919999999998</v>
      </c>
      <c r="ES100">
        <v>37743.919999999998</v>
      </c>
      <c r="ET100">
        <v>0</v>
      </c>
      <c r="EU100">
        <v>0</v>
      </c>
      <c r="EV100">
        <v>0</v>
      </c>
      <c r="EW100">
        <v>0</v>
      </c>
      <c r="EX100">
        <v>0</v>
      </c>
      <c r="FQ100">
        <v>0</v>
      </c>
      <c r="FR100">
        <f t="shared" si="125"/>
        <v>0</v>
      </c>
      <c r="FS100">
        <v>0</v>
      </c>
      <c r="FX100">
        <v>70</v>
      </c>
      <c r="FY100">
        <v>10</v>
      </c>
      <c r="GA100" t="s">
        <v>3</v>
      </c>
      <c r="GD100">
        <v>0</v>
      </c>
      <c r="GF100">
        <v>164023503</v>
      </c>
      <c r="GG100">
        <v>2</v>
      </c>
      <c r="GH100">
        <v>1</v>
      </c>
      <c r="GI100">
        <v>-2</v>
      </c>
      <c r="GJ100">
        <v>0</v>
      </c>
      <c r="GK100">
        <f>ROUND(R100*(R12)/100,2)</f>
        <v>0</v>
      </c>
      <c r="GL100">
        <f t="shared" si="126"/>
        <v>0</v>
      </c>
      <c r="GM100">
        <f t="shared" si="127"/>
        <v>0</v>
      </c>
      <c r="GN100">
        <f t="shared" si="128"/>
        <v>0</v>
      </c>
      <c r="GO100">
        <f t="shared" si="129"/>
        <v>0</v>
      </c>
      <c r="GP100">
        <f t="shared" si="130"/>
        <v>0</v>
      </c>
      <c r="GR100">
        <v>0</v>
      </c>
      <c r="GS100">
        <v>3</v>
      </c>
      <c r="GT100">
        <v>0</v>
      </c>
      <c r="GU100" t="s">
        <v>3</v>
      </c>
      <c r="GV100">
        <f t="shared" si="131"/>
        <v>0</v>
      </c>
      <c r="GW100">
        <v>1</v>
      </c>
      <c r="GX100">
        <f t="shared" si="132"/>
        <v>0</v>
      </c>
      <c r="HA100">
        <v>0</v>
      </c>
      <c r="HB100">
        <v>0</v>
      </c>
      <c r="HC100">
        <f t="shared" si="133"/>
        <v>0</v>
      </c>
      <c r="HE100" t="s">
        <v>3</v>
      </c>
      <c r="HF100" t="s">
        <v>3</v>
      </c>
      <c r="HM100" t="s">
        <v>3</v>
      </c>
      <c r="HN100" t="s">
        <v>3</v>
      </c>
      <c r="HO100" t="s">
        <v>3</v>
      </c>
      <c r="HP100" t="s">
        <v>3</v>
      </c>
      <c r="HQ100" t="s">
        <v>3</v>
      </c>
      <c r="IK100">
        <v>0</v>
      </c>
    </row>
    <row r="101" spans="1:245" x14ac:dyDescent="0.2">
      <c r="A101">
        <v>18</v>
      </c>
      <c r="B101">
        <v>1</v>
      </c>
      <c r="C101">
        <v>149</v>
      </c>
      <c r="E101" t="s">
        <v>291</v>
      </c>
      <c r="F101" t="s">
        <v>292</v>
      </c>
      <c r="G101" t="s">
        <v>293</v>
      </c>
      <c r="H101" t="s">
        <v>285</v>
      </c>
      <c r="I101">
        <f>I97*J101</f>
        <v>0</v>
      </c>
      <c r="J101">
        <v>-2E-3</v>
      </c>
      <c r="K101">
        <v>-2E-3</v>
      </c>
      <c r="O101">
        <f t="shared" si="94"/>
        <v>0</v>
      </c>
      <c r="P101">
        <f t="shared" si="95"/>
        <v>0</v>
      </c>
      <c r="Q101">
        <f t="shared" si="96"/>
        <v>0</v>
      </c>
      <c r="R101">
        <f t="shared" si="97"/>
        <v>0</v>
      </c>
      <c r="S101">
        <f t="shared" si="98"/>
        <v>0</v>
      </c>
      <c r="T101">
        <f t="shared" si="99"/>
        <v>0</v>
      </c>
      <c r="U101">
        <f t="shared" si="100"/>
        <v>0</v>
      </c>
      <c r="V101">
        <f t="shared" si="101"/>
        <v>0</v>
      </c>
      <c r="W101">
        <f t="shared" si="102"/>
        <v>0</v>
      </c>
      <c r="X101">
        <f t="shared" si="103"/>
        <v>0</v>
      </c>
      <c r="Y101">
        <f t="shared" si="104"/>
        <v>0</v>
      </c>
      <c r="AA101">
        <v>43095088</v>
      </c>
      <c r="AB101">
        <f t="shared" si="105"/>
        <v>42801.53</v>
      </c>
      <c r="AC101">
        <f t="shared" si="106"/>
        <v>42801.53</v>
      </c>
      <c r="AD101">
        <f t="shared" si="134"/>
        <v>0</v>
      </c>
      <c r="AE101">
        <f t="shared" si="135"/>
        <v>0</v>
      </c>
      <c r="AF101">
        <f t="shared" si="136"/>
        <v>0</v>
      </c>
      <c r="AG101">
        <f t="shared" si="110"/>
        <v>0</v>
      </c>
      <c r="AH101">
        <f t="shared" si="137"/>
        <v>0</v>
      </c>
      <c r="AI101">
        <f t="shared" si="138"/>
        <v>0</v>
      </c>
      <c r="AJ101">
        <f t="shared" si="113"/>
        <v>0</v>
      </c>
      <c r="AK101">
        <v>42801.53</v>
      </c>
      <c r="AL101">
        <v>42801.53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70</v>
      </c>
      <c r="AU101">
        <v>10</v>
      </c>
      <c r="AV101">
        <v>1</v>
      </c>
      <c r="AW101">
        <v>1</v>
      </c>
      <c r="AZ101">
        <v>1</v>
      </c>
      <c r="BA101">
        <v>1</v>
      </c>
      <c r="BB101">
        <v>1</v>
      </c>
      <c r="BC101">
        <v>1</v>
      </c>
      <c r="BD101" t="s">
        <v>3</v>
      </c>
      <c r="BE101" t="s">
        <v>3</v>
      </c>
      <c r="BF101" t="s">
        <v>3</v>
      </c>
      <c r="BG101" t="s">
        <v>3</v>
      </c>
      <c r="BH101">
        <v>3</v>
      </c>
      <c r="BI101">
        <v>4</v>
      </c>
      <c r="BJ101" t="s">
        <v>294</v>
      </c>
      <c r="BM101">
        <v>0</v>
      </c>
      <c r="BN101">
        <v>0</v>
      </c>
      <c r="BO101" t="s">
        <v>3</v>
      </c>
      <c r="BP101">
        <v>0</v>
      </c>
      <c r="BQ101">
        <v>1</v>
      </c>
      <c r="BR101">
        <v>1</v>
      </c>
      <c r="BS101">
        <v>1</v>
      </c>
      <c r="BT101">
        <v>1</v>
      </c>
      <c r="BU101">
        <v>1</v>
      </c>
      <c r="BV101">
        <v>1</v>
      </c>
      <c r="BW101">
        <v>1</v>
      </c>
      <c r="BX101">
        <v>1</v>
      </c>
      <c r="BY101" t="s">
        <v>3</v>
      </c>
      <c r="BZ101">
        <v>70</v>
      </c>
      <c r="CA101">
        <v>10</v>
      </c>
      <c r="CB101" t="s">
        <v>3</v>
      </c>
      <c r="CE101">
        <v>0</v>
      </c>
      <c r="CF101">
        <v>0</v>
      </c>
      <c r="CG101">
        <v>0</v>
      </c>
      <c r="CM101">
        <v>0</v>
      </c>
      <c r="CN101" t="s">
        <v>3</v>
      </c>
      <c r="CO101">
        <v>0</v>
      </c>
      <c r="CP101">
        <f t="shared" si="114"/>
        <v>0</v>
      </c>
      <c r="CQ101">
        <f t="shared" si="115"/>
        <v>42801.53</v>
      </c>
      <c r="CR101">
        <f t="shared" si="139"/>
        <v>0</v>
      </c>
      <c r="CS101">
        <f t="shared" si="117"/>
        <v>0</v>
      </c>
      <c r="CT101">
        <f t="shared" si="118"/>
        <v>0</v>
      </c>
      <c r="CU101">
        <f t="shared" si="119"/>
        <v>0</v>
      </c>
      <c r="CV101">
        <f t="shared" si="120"/>
        <v>0</v>
      </c>
      <c r="CW101">
        <f t="shared" si="121"/>
        <v>0</v>
      </c>
      <c r="CX101">
        <f t="shared" si="122"/>
        <v>0</v>
      </c>
      <c r="CY101">
        <f t="shared" si="123"/>
        <v>0</v>
      </c>
      <c r="CZ101">
        <f t="shared" si="124"/>
        <v>0</v>
      </c>
      <c r="DC101" t="s">
        <v>3</v>
      </c>
      <c r="DD101" t="s">
        <v>3</v>
      </c>
      <c r="DE101" t="s">
        <v>3</v>
      </c>
      <c r="DF101" t="s">
        <v>3</v>
      </c>
      <c r="DG101" t="s">
        <v>3</v>
      </c>
      <c r="DH101" t="s">
        <v>3</v>
      </c>
      <c r="DI101" t="s">
        <v>3</v>
      </c>
      <c r="DJ101" t="s">
        <v>3</v>
      </c>
      <c r="DK101" t="s">
        <v>3</v>
      </c>
      <c r="DL101" t="s">
        <v>3</v>
      </c>
      <c r="DM101" t="s">
        <v>3</v>
      </c>
      <c r="DN101">
        <v>0</v>
      </c>
      <c r="DO101">
        <v>0</v>
      </c>
      <c r="DP101">
        <v>1</v>
      </c>
      <c r="DQ101">
        <v>1</v>
      </c>
      <c r="DU101">
        <v>1010</v>
      </c>
      <c r="DV101" t="s">
        <v>285</v>
      </c>
      <c r="DW101" t="s">
        <v>285</v>
      </c>
      <c r="DX101">
        <v>1000</v>
      </c>
      <c r="DZ101" t="s">
        <v>3</v>
      </c>
      <c r="EA101" t="s">
        <v>3</v>
      </c>
      <c r="EB101" t="s">
        <v>3</v>
      </c>
      <c r="EC101" t="s">
        <v>3</v>
      </c>
      <c r="EE101">
        <v>43033442</v>
      </c>
      <c r="EF101">
        <v>1</v>
      </c>
      <c r="EG101" t="s">
        <v>22</v>
      </c>
      <c r="EH101">
        <v>0</v>
      </c>
      <c r="EI101" t="s">
        <v>3</v>
      </c>
      <c r="EJ101">
        <v>4</v>
      </c>
      <c r="EK101">
        <v>0</v>
      </c>
      <c r="EL101" t="s">
        <v>23</v>
      </c>
      <c r="EM101" t="s">
        <v>24</v>
      </c>
      <c r="EO101" t="s">
        <v>3</v>
      </c>
      <c r="EQ101">
        <v>0</v>
      </c>
      <c r="ER101">
        <v>42801.53</v>
      </c>
      <c r="ES101">
        <v>42801.53</v>
      </c>
      <c r="ET101">
        <v>0</v>
      </c>
      <c r="EU101">
        <v>0</v>
      </c>
      <c r="EV101">
        <v>0</v>
      </c>
      <c r="EW101">
        <v>0</v>
      </c>
      <c r="EX101">
        <v>0</v>
      </c>
      <c r="FQ101">
        <v>0</v>
      </c>
      <c r="FR101">
        <f t="shared" si="125"/>
        <v>0</v>
      </c>
      <c r="FS101">
        <v>0</v>
      </c>
      <c r="FX101">
        <v>70</v>
      </c>
      <c r="FY101">
        <v>10</v>
      </c>
      <c r="GA101" t="s">
        <v>3</v>
      </c>
      <c r="GD101">
        <v>0</v>
      </c>
      <c r="GF101">
        <v>-1995335079</v>
      </c>
      <c r="GG101">
        <v>2</v>
      </c>
      <c r="GH101">
        <v>1</v>
      </c>
      <c r="GI101">
        <v>-2</v>
      </c>
      <c r="GJ101">
        <v>0</v>
      </c>
      <c r="GK101">
        <f>ROUND(R101*(R12)/100,2)</f>
        <v>0</v>
      </c>
      <c r="GL101">
        <f t="shared" si="126"/>
        <v>0</v>
      </c>
      <c r="GM101">
        <f t="shared" si="127"/>
        <v>0</v>
      </c>
      <c r="GN101">
        <f t="shared" si="128"/>
        <v>0</v>
      </c>
      <c r="GO101">
        <f t="shared" si="129"/>
        <v>0</v>
      </c>
      <c r="GP101">
        <f t="shared" si="130"/>
        <v>0</v>
      </c>
      <c r="GR101">
        <v>0</v>
      </c>
      <c r="GS101">
        <v>3</v>
      </c>
      <c r="GT101">
        <v>0</v>
      </c>
      <c r="GU101" t="s">
        <v>3</v>
      </c>
      <c r="GV101">
        <f t="shared" si="131"/>
        <v>0</v>
      </c>
      <c r="GW101">
        <v>1</v>
      </c>
      <c r="GX101">
        <f t="shared" si="132"/>
        <v>0</v>
      </c>
      <c r="HA101">
        <v>0</v>
      </c>
      <c r="HB101">
        <v>0</v>
      </c>
      <c r="HC101">
        <f t="shared" si="133"/>
        <v>0</v>
      </c>
      <c r="HE101" t="s">
        <v>3</v>
      </c>
      <c r="HF101" t="s">
        <v>3</v>
      </c>
      <c r="HM101" t="s">
        <v>3</v>
      </c>
      <c r="HN101" t="s">
        <v>3</v>
      </c>
      <c r="HO101" t="s">
        <v>3</v>
      </c>
      <c r="HP101" t="s">
        <v>3</v>
      </c>
      <c r="HQ101" t="s">
        <v>3</v>
      </c>
      <c r="IK101">
        <v>0</v>
      </c>
    </row>
    <row r="102" spans="1:245" x14ac:dyDescent="0.2">
      <c r="A102">
        <v>18</v>
      </c>
      <c r="B102">
        <v>1</v>
      </c>
      <c r="C102">
        <v>150</v>
      </c>
      <c r="E102" t="s">
        <v>295</v>
      </c>
      <c r="F102" t="s">
        <v>296</v>
      </c>
      <c r="G102" t="s">
        <v>297</v>
      </c>
      <c r="H102" t="s">
        <v>285</v>
      </c>
      <c r="I102">
        <f>I97*J102</f>
        <v>0</v>
      </c>
      <c r="J102">
        <v>-1.4999999999999999E-2</v>
      </c>
      <c r="K102">
        <v>-1.4999999999999999E-2</v>
      </c>
      <c r="O102">
        <f t="shared" si="94"/>
        <v>0</v>
      </c>
      <c r="P102">
        <f t="shared" si="95"/>
        <v>0</v>
      </c>
      <c r="Q102">
        <f t="shared" si="96"/>
        <v>0</v>
      </c>
      <c r="R102">
        <f t="shared" si="97"/>
        <v>0</v>
      </c>
      <c r="S102">
        <f t="shared" si="98"/>
        <v>0</v>
      </c>
      <c r="T102">
        <f t="shared" si="99"/>
        <v>0</v>
      </c>
      <c r="U102">
        <f t="shared" si="100"/>
        <v>0</v>
      </c>
      <c r="V102">
        <f t="shared" si="101"/>
        <v>0</v>
      </c>
      <c r="W102">
        <f t="shared" si="102"/>
        <v>0</v>
      </c>
      <c r="X102">
        <f t="shared" si="103"/>
        <v>0</v>
      </c>
      <c r="Y102">
        <f t="shared" si="104"/>
        <v>0</v>
      </c>
      <c r="AA102">
        <v>43095088</v>
      </c>
      <c r="AB102">
        <f t="shared" si="105"/>
        <v>29666.76</v>
      </c>
      <c r="AC102">
        <f t="shared" si="106"/>
        <v>29666.76</v>
      </c>
      <c r="AD102">
        <f t="shared" si="134"/>
        <v>0</v>
      </c>
      <c r="AE102">
        <f t="shared" si="135"/>
        <v>0</v>
      </c>
      <c r="AF102">
        <f t="shared" si="136"/>
        <v>0</v>
      </c>
      <c r="AG102">
        <f t="shared" si="110"/>
        <v>0</v>
      </c>
      <c r="AH102">
        <f t="shared" si="137"/>
        <v>0</v>
      </c>
      <c r="AI102">
        <f t="shared" si="138"/>
        <v>0</v>
      </c>
      <c r="AJ102">
        <f t="shared" si="113"/>
        <v>0</v>
      </c>
      <c r="AK102">
        <v>29666.76</v>
      </c>
      <c r="AL102">
        <v>29666.76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70</v>
      </c>
      <c r="AU102">
        <v>10</v>
      </c>
      <c r="AV102">
        <v>1</v>
      </c>
      <c r="AW102">
        <v>1</v>
      </c>
      <c r="AZ102">
        <v>1</v>
      </c>
      <c r="BA102">
        <v>1</v>
      </c>
      <c r="BB102">
        <v>1</v>
      </c>
      <c r="BC102">
        <v>1</v>
      </c>
      <c r="BD102" t="s">
        <v>3</v>
      </c>
      <c r="BE102" t="s">
        <v>3</v>
      </c>
      <c r="BF102" t="s">
        <v>3</v>
      </c>
      <c r="BG102" t="s">
        <v>3</v>
      </c>
      <c r="BH102">
        <v>3</v>
      </c>
      <c r="BI102">
        <v>4</v>
      </c>
      <c r="BJ102" t="s">
        <v>298</v>
      </c>
      <c r="BM102">
        <v>0</v>
      </c>
      <c r="BN102">
        <v>0</v>
      </c>
      <c r="BO102" t="s">
        <v>3</v>
      </c>
      <c r="BP102">
        <v>0</v>
      </c>
      <c r="BQ102">
        <v>1</v>
      </c>
      <c r="BR102">
        <v>1</v>
      </c>
      <c r="BS102">
        <v>1</v>
      </c>
      <c r="BT102">
        <v>1</v>
      </c>
      <c r="BU102">
        <v>1</v>
      </c>
      <c r="BV102">
        <v>1</v>
      </c>
      <c r="BW102">
        <v>1</v>
      </c>
      <c r="BX102">
        <v>1</v>
      </c>
      <c r="BY102" t="s">
        <v>3</v>
      </c>
      <c r="BZ102">
        <v>70</v>
      </c>
      <c r="CA102">
        <v>10</v>
      </c>
      <c r="CB102" t="s">
        <v>3</v>
      </c>
      <c r="CE102">
        <v>0</v>
      </c>
      <c r="CF102">
        <v>0</v>
      </c>
      <c r="CG102">
        <v>0</v>
      </c>
      <c r="CM102">
        <v>0</v>
      </c>
      <c r="CN102" t="s">
        <v>3</v>
      </c>
      <c r="CO102">
        <v>0</v>
      </c>
      <c r="CP102">
        <f t="shared" si="114"/>
        <v>0</v>
      </c>
      <c r="CQ102">
        <f t="shared" si="115"/>
        <v>29666.76</v>
      </c>
      <c r="CR102">
        <f t="shared" si="139"/>
        <v>0</v>
      </c>
      <c r="CS102">
        <f t="shared" si="117"/>
        <v>0</v>
      </c>
      <c r="CT102">
        <f t="shared" si="118"/>
        <v>0</v>
      </c>
      <c r="CU102">
        <f t="shared" si="119"/>
        <v>0</v>
      </c>
      <c r="CV102">
        <f t="shared" si="120"/>
        <v>0</v>
      </c>
      <c r="CW102">
        <f t="shared" si="121"/>
        <v>0</v>
      </c>
      <c r="CX102">
        <f t="shared" si="122"/>
        <v>0</v>
      </c>
      <c r="CY102">
        <f t="shared" si="123"/>
        <v>0</v>
      </c>
      <c r="CZ102">
        <f t="shared" si="124"/>
        <v>0</v>
      </c>
      <c r="DC102" t="s">
        <v>3</v>
      </c>
      <c r="DD102" t="s">
        <v>3</v>
      </c>
      <c r="DE102" t="s">
        <v>3</v>
      </c>
      <c r="DF102" t="s">
        <v>3</v>
      </c>
      <c r="DG102" t="s">
        <v>3</v>
      </c>
      <c r="DH102" t="s">
        <v>3</v>
      </c>
      <c r="DI102" t="s">
        <v>3</v>
      </c>
      <c r="DJ102" t="s">
        <v>3</v>
      </c>
      <c r="DK102" t="s">
        <v>3</v>
      </c>
      <c r="DL102" t="s">
        <v>3</v>
      </c>
      <c r="DM102" t="s">
        <v>3</v>
      </c>
      <c r="DN102">
        <v>0</v>
      </c>
      <c r="DO102">
        <v>0</v>
      </c>
      <c r="DP102">
        <v>1</v>
      </c>
      <c r="DQ102">
        <v>1</v>
      </c>
      <c r="DU102">
        <v>1010</v>
      </c>
      <c r="DV102" t="s">
        <v>285</v>
      </c>
      <c r="DW102" t="s">
        <v>285</v>
      </c>
      <c r="DX102">
        <v>1000</v>
      </c>
      <c r="DZ102" t="s">
        <v>3</v>
      </c>
      <c r="EA102" t="s">
        <v>3</v>
      </c>
      <c r="EB102" t="s">
        <v>3</v>
      </c>
      <c r="EC102" t="s">
        <v>3</v>
      </c>
      <c r="EE102">
        <v>43033442</v>
      </c>
      <c r="EF102">
        <v>1</v>
      </c>
      <c r="EG102" t="s">
        <v>22</v>
      </c>
      <c r="EH102">
        <v>0</v>
      </c>
      <c r="EI102" t="s">
        <v>3</v>
      </c>
      <c r="EJ102">
        <v>4</v>
      </c>
      <c r="EK102">
        <v>0</v>
      </c>
      <c r="EL102" t="s">
        <v>23</v>
      </c>
      <c r="EM102" t="s">
        <v>24</v>
      </c>
      <c r="EO102" t="s">
        <v>3</v>
      </c>
      <c r="EQ102">
        <v>0</v>
      </c>
      <c r="ER102">
        <v>29666.76</v>
      </c>
      <c r="ES102">
        <v>29666.76</v>
      </c>
      <c r="ET102">
        <v>0</v>
      </c>
      <c r="EU102">
        <v>0</v>
      </c>
      <c r="EV102">
        <v>0</v>
      </c>
      <c r="EW102">
        <v>0</v>
      </c>
      <c r="EX102">
        <v>0</v>
      </c>
      <c r="FQ102">
        <v>0</v>
      </c>
      <c r="FR102">
        <f t="shared" si="125"/>
        <v>0</v>
      </c>
      <c r="FS102">
        <v>0</v>
      </c>
      <c r="FX102">
        <v>70</v>
      </c>
      <c r="FY102">
        <v>10</v>
      </c>
      <c r="GA102" t="s">
        <v>3</v>
      </c>
      <c r="GD102">
        <v>0</v>
      </c>
      <c r="GF102">
        <v>-1448946608</v>
      </c>
      <c r="GG102">
        <v>2</v>
      </c>
      <c r="GH102">
        <v>1</v>
      </c>
      <c r="GI102">
        <v>-2</v>
      </c>
      <c r="GJ102">
        <v>0</v>
      </c>
      <c r="GK102">
        <f>ROUND(R102*(R12)/100,2)</f>
        <v>0</v>
      </c>
      <c r="GL102">
        <f t="shared" si="126"/>
        <v>0</v>
      </c>
      <c r="GM102">
        <f t="shared" si="127"/>
        <v>0</v>
      </c>
      <c r="GN102">
        <f t="shared" si="128"/>
        <v>0</v>
      </c>
      <c r="GO102">
        <f t="shared" si="129"/>
        <v>0</v>
      </c>
      <c r="GP102">
        <f t="shared" si="130"/>
        <v>0</v>
      </c>
      <c r="GR102">
        <v>0</v>
      </c>
      <c r="GS102">
        <v>3</v>
      </c>
      <c r="GT102">
        <v>0</v>
      </c>
      <c r="GU102" t="s">
        <v>3</v>
      </c>
      <c r="GV102">
        <f t="shared" si="131"/>
        <v>0</v>
      </c>
      <c r="GW102">
        <v>1</v>
      </c>
      <c r="GX102">
        <f t="shared" si="132"/>
        <v>0</v>
      </c>
      <c r="HA102">
        <v>0</v>
      </c>
      <c r="HB102">
        <v>0</v>
      </c>
      <c r="HC102">
        <f t="shared" si="133"/>
        <v>0</v>
      </c>
      <c r="HE102" t="s">
        <v>3</v>
      </c>
      <c r="HF102" t="s">
        <v>3</v>
      </c>
      <c r="HM102" t="s">
        <v>3</v>
      </c>
      <c r="HN102" t="s">
        <v>3</v>
      </c>
      <c r="HO102" t="s">
        <v>3</v>
      </c>
      <c r="HP102" t="s">
        <v>3</v>
      </c>
      <c r="HQ102" t="s">
        <v>3</v>
      </c>
      <c r="IK102">
        <v>0</v>
      </c>
    </row>
    <row r="103" spans="1:245" x14ac:dyDescent="0.2">
      <c r="A103">
        <v>18</v>
      </c>
      <c r="B103">
        <v>1</v>
      </c>
      <c r="C103">
        <v>151</v>
      </c>
      <c r="E103" t="s">
        <v>299</v>
      </c>
      <c r="F103" t="s">
        <v>300</v>
      </c>
      <c r="G103" t="s">
        <v>301</v>
      </c>
      <c r="H103" t="s">
        <v>285</v>
      </c>
      <c r="I103">
        <f>I97*J103</f>
        <v>0</v>
      </c>
      <c r="J103">
        <v>-2E-3</v>
      </c>
      <c r="K103">
        <v>-2E-3</v>
      </c>
      <c r="O103">
        <f t="shared" si="94"/>
        <v>0</v>
      </c>
      <c r="P103">
        <f t="shared" si="95"/>
        <v>0</v>
      </c>
      <c r="Q103">
        <f t="shared" si="96"/>
        <v>0</v>
      </c>
      <c r="R103">
        <f t="shared" si="97"/>
        <v>0</v>
      </c>
      <c r="S103">
        <f t="shared" si="98"/>
        <v>0</v>
      </c>
      <c r="T103">
        <f t="shared" si="99"/>
        <v>0</v>
      </c>
      <c r="U103">
        <f t="shared" si="100"/>
        <v>0</v>
      </c>
      <c r="V103">
        <f t="shared" si="101"/>
        <v>0</v>
      </c>
      <c r="W103">
        <f t="shared" si="102"/>
        <v>0</v>
      </c>
      <c r="X103">
        <f t="shared" si="103"/>
        <v>0</v>
      </c>
      <c r="Y103">
        <f t="shared" si="104"/>
        <v>0</v>
      </c>
      <c r="AA103">
        <v>43095088</v>
      </c>
      <c r="AB103">
        <f t="shared" si="105"/>
        <v>48571.7</v>
      </c>
      <c r="AC103">
        <f t="shared" si="106"/>
        <v>48571.7</v>
      </c>
      <c r="AD103">
        <f t="shared" si="134"/>
        <v>0</v>
      </c>
      <c r="AE103">
        <f t="shared" si="135"/>
        <v>0</v>
      </c>
      <c r="AF103">
        <f t="shared" si="136"/>
        <v>0</v>
      </c>
      <c r="AG103">
        <f t="shared" si="110"/>
        <v>0</v>
      </c>
      <c r="AH103">
        <f t="shared" si="137"/>
        <v>0</v>
      </c>
      <c r="AI103">
        <f t="shared" si="138"/>
        <v>0</v>
      </c>
      <c r="AJ103">
        <f t="shared" si="113"/>
        <v>0</v>
      </c>
      <c r="AK103">
        <v>48571.7</v>
      </c>
      <c r="AL103">
        <v>48571.7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70</v>
      </c>
      <c r="AU103">
        <v>10</v>
      </c>
      <c r="AV103">
        <v>1</v>
      </c>
      <c r="AW103">
        <v>1</v>
      </c>
      <c r="AZ103">
        <v>1</v>
      </c>
      <c r="BA103">
        <v>1</v>
      </c>
      <c r="BB103">
        <v>1</v>
      </c>
      <c r="BC103">
        <v>1</v>
      </c>
      <c r="BD103" t="s">
        <v>3</v>
      </c>
      <c r="BE103" t="s">
        <v>3</v>
      </c>
      <c r="BF103" t="s">
        <v>3</v>
      </c>
      <c r="BG103" t="s">
        <v>3</v>
      </c>
      <c r="BH103">
        <v>3</v>
      </c>
      <c r="BI103">
        <v>4</v>
      </c>
      <c r="BJ103" t="s">
        <v>302</v>
      </c>
      <c r="BM103">
        <v>0</v>
      </c>
      <c r="BN103">
        <v>0</v>
      </c>
      <c r="BO103" t="s">
        <v>3</v>
      </c>
      <c r="BP103">
        <v>0</v>
      </c>
      <c r="BQ103">
        <v>1</v>
      </c>
      <c r="BR103">
        <v>1</v>
      </c>
      <c r="BS103">
        <v>1</v>
      </c>
      <c r="BT103">
        <v>1</v>
      </c>
      <c r="BU103">
        <v>1</v>
      </c>
      <c r="BV103">
        <v>1</v>
      </c>
      <c r="BW103">
        <v>1</v>
      </c>
      <c r="BX103">
        <v>1</v>
      </c>
      <c r="BY103" t="s">
        <v>3</v>
      </c>
      <c r="BZ103">
        <v>70</v>
      </c>
      <c r="CA103">
        <v>10</v>
      </c>
      <c r="CB103" t="s">
        <v>3</v>
      </c>
      <c r="CE103">
        <v>0</v>
      </c>
      <c r="CF103">
        <v>0</v>
      </c>
      <c r="CG103">
        <v>0</v>
      </c>
      <c r="CM103">
        <v>0</v>
      </c>
      <c r="CN103" t="s">
        <v>3</v>
      </c>
      <c r="CO103">
        <v>0</v>
      </c>
      <c r="CP103">
        <f t="shared" si="114"/>
        <v>0</v>
      </c>
      <c r="CQ103">
        <f t="shared" si="115"/>
        <v>48571.7</v>
      </c>
      <c r="CR103">
        <f t="shared" si="139"/>
        <v>0</v>
      </c>
      <c r="CS103">
        <f t="shared" si="117"/>
        <v>0</v>
      </c>
      <c r="CT103">
        <f t="shared" si="118"/>
        <v>0</v>
      </c>
      <c r="CU103">
        <f t="shared" si="119"/>
        <v>0</v>
      </c>
      <c r="CV103">
        <f t="shared" si="120"/>
        <v>0</v>
      </c>
      <c r="CW103">
        <f t="shared" si="121"/>
        <v>0</v>
      </c>
      <c r="CX103">
        <f t="shared" si="122"/>
        <v>0</v>
      </c>
      <c r="CY103">
        <f t="shared" si="123"/>
        <v>0</v>
      </c>
      <c r="CZ103">
        <f t="shared" si="124"/>
        <v>0</v>
      </c>
      <c r="DC103" t="s">
        <v>3</v>
      </c>
      <c r="DD103" t="s">
        <v>3</v>
      </c>
      <c r="DE103" t="s">
        <v>3</v>
      </c>
      <c r="DF103" t="s">
        <v>3</v>
      </c>
      <c r="DG103" t="s">
        <v>3</v>
      </c>
      <c r="DH103" t="s">
        <v>3</v>
      </c>
      <c r="DI103" t="s">
        <v>3</v>
      </c>
      <c r="DJ103" t="s">
        <v>3</v>
      </c>
      <c r="DK103" t="s">
        <v>3</v>
      </c>
      <c r="DL103" t="s">
        <v>3</v>
      </c>
      <c r="DM103" t="s">
        <v>3</v>
      </c>
      <c r="DN103">
        <v>0</v>
      </c>
      <c r="DO103">
        <v>0</v>
      </c>
      <c r="DP103">
        <v>1</v>
      </c>
      <c r="DQ103">
        <v>1</v>
      </c>
      <c r="DU103">
        <v>1010</v>
      </c>
      <c r="DV103" t="s">
        <v>285</v>
      </c>
      <c r="DW103" t="s">
        <v>285</v>
      </c>
      <c r="DX103">
        <v>1000</v>
      </c>
      <c r="DZ103" t="s">
        <v>3</v>
      </c>
      <c r="EA103" t="s">
        <v>3</v>
      </c>
      <c r="EB103" t="s">
        <v>3</v>
      </c>
      <c r="EC103" t="s">
        <v>3</v>
      </c>
      <c r="EE103">
        <v>43033442</v>
      </c>
      <c r="EF103">
        <v>1</v>
      </c>
      <c r="EG103" t="s">
        <v>22</v>
      </c>
      <c r="EH103">
        <v>0</v>
      </c>
      <c r="EI103" t="s">
        <v>3</v>
      </c>
      <c r="EJ103">
        <v>4</v>
      </c>
      <c r="EK103">
        <v>0</v>
      </c>
      <c r="EL103" t="s">
        <v>23</v>
      </c>
      <c r="EM103" t="s">
        <v>24</v>
      </c>
      <c r="EO103" t="s">
        <v>3</v>
      </c>
      <c r="EQ103">
        <v>0</v>
      </c>
      <c r="ER103">
        <v>48571.7</v>
      </c>
      <c r="ES103">
        <v>48571.7</v>
      </c>
      <c r="ET103">
        <v>0</v>
      </c>
      <c r="EU103">
        <v>0</v>
      </c>
      <c r="EV103">
        <v>0</v>
      </c>
      <c r="EW103">
        <v>0</v>
      </c>
      <c r="EX103">
        <v>0</v>
      </c>
      <c r="FQ103">
        <v>0</v>
      </c>
      <c r="FR103">
        <f t="shared" si="125"/>
        <v>0</v>
      </c>
      <c r="FS103">
        <v>0</v>
      </c>
      <c r="FX103">
        <v>70</v>
      </c>
      <c r="FY103">
        <v>10</v>
      </c>
      <c r="GA103" t="s">
        <v>3</v>
      </c>
      <c r="GD103">
        <v>0</v>
      </c>
      <c r="GF103">
        <v>1889818599</v>
      </c>
      <c r="GG103">
        <v>2</v>
      </c>
      <c r="GH103">
        <v>1</v>
      </c>
      <c r="GI103">
        <v>-2</v>
      </c>
      <c r="GJ103">
        <v>0</v>
      </c>
      <c r="GK103">
        <f>ROUND(R103*(R12)/100,2)</f>
        <v>0</v>
      </c>
      <c r="GL103">
        <f t="shared" si="126"/>
        <v>0</v>
      </c>
      <c r="GM103">
        <f t="shared" si="127"/>
        <v>0</v>
      </c>
      <c r="GN103">
        <f t="shared" si="128"/>
        <v>0</v>
      </c>
      <c r="GO103">
        <f t="shared" si="129"/>
        <v>0</v>
      </c>
      <c r="GP103">
        <f t="shared" si="130"/>
        <v>0</v>
      </c>
      <c r="GR103">
        <v>0</v>
      </c>
      <c r="GS103">
        <v>3</v>
      </c>
      <c r="GT103">
        <v>0</v>
      </c>
      <c r="GU103" t="s">
        <v>3</v>
      </c>
      <c r="GV103">
        <f t="shared" si="131"/>
        <v>0</v>
      </c>
      <c r="GW103">
        <v>1</v>
      </c>
      <c r="GX103">
        <f t="shared" si="132"/>
        <v>0</v>
      </c>
      <c r="HA103">
        <v>0</v>
      </c>
      <c r="HB103">
        <v>0</v>
      </c>
      <c r="HC103">
        <f t="shared" si="133"/>
        <v>0</v>
      </c>
      <c r="HE103" t="s">
        <v>3</v>
      </c>
      <c r="HF103" t="s">
        <v>3</v>
      </c>
      <c r="HM103" t="s">
        <v>3</v>
      </c>
      <c r="HN103" t="s">
        <v>3</v>
      </c>
      <c r="HO103" t="s">
        <v>3</v>
      </c>
      <c r="HP103" t="s">
        <v>3</v>
      </c>
      <c r="HQ103" t="s">
        <v>3</v>
      </c>
      <c r="IK103">
        <v>0</v>
      </c>
    </row>
    <row r="104" spans="1:245" x14ac:dyDescent="0.2">
      <c r="A104">
        <v>18</v>
      </c>
      <c r="B104">
        <v>1</v>
      </c>
      <c r="C104">
        <v>152</v>
      </c>
      <c r="E104" t="s">
        <v>303</v>
      </c>
      <c r="F104" t="s">
        <v>304</v>
      </c>
      <c r="G104" t="s">
        <v>305</v>
      </c>
      <c r="H104" t="s">
        <v>285</v>
      </c>
      <c r="I104">
        <f>I97*J104</f>
        <v>0</v>
      </c>
      <c r="J104">
        <v>-4.0000000000000001E-3</v>
      </c>
      <c r="K104">
        <v>-4.0000000000000001E-3</v>
      </c>
      <c r="O104">
        <f t="shared" si="94"/>
        <v>0</v>
      </c>
      <c r="P104">
        <f t="shared" si="95"/>
        <v>0</v>
      </c>
      <c r="Q104">
        <f t="shared" si="96"/>
        <v>0</v>
      </c>
      <c r="R104">
        <f t="shared" si="97"/>
        <v>0</v>
      </c>
      <c r="S104">
        <f t="shared" si="98"/>
        <v>0</v>
      </c>
      <c r="T104">
        <f t="shared" si="99"/>
        <v>0</v>
      </c>
      <c r="U104">
        <f t="shared" si="100"/>
        <v>0</v>
      </c>
      <c r="V104">
        <f t="shared" si="101"/>
        <v>0</v>
      </c>
      <c r="W104">
        <f t="shared" si="102"/>
        <v>0</v>
      </c>
      <c r="X104">
        <f t="shared" si="103"/>
        <v>0</v>
      </c>
      <c r="Y104">
        <f t="shared" si="104"/>
        <v>0</v>
      </c>
      <c r="AA104">
        <v>43095088</v>
      </c>
      <c r="AB104">
        <f t="shared" si="105"/>
        <v>21329.599999999999</v>
      </c>
      <c r="AC104">
        <f t="shared" si="106"/>
        <v>21329.599999999999</v>
      </c>
      <c r="AD104">
        <f t="shared" si="134"/>
        <v>0</v>
      </c>
      <c r="AE104">
        <f t="shared" si="135"/>
        <v>0</v>
      </c>
      <c r="AF104">
        <f t="shared" si="136"/>
        <v>0</v>
      </c>
      <c r="AG104">
        <f t="shared" si="110"/>
        <v>0</v>
      </c>
      <c r="AH104">
        <f t="shared" si="137"/>
        <v>0</v>
      </c>
      <c r="AI104">
        <f t="shared" si="138"/>
        <v>0</v>
      </c>
      <c r="AJ104">
        <f t="shared" si="113"/>
        <v>0</v>
      </c>
      <c r="AK104">
        <v>21329.599999999999</v>
      </c>
      <c r="AL104">
        <v>21329.599999999999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70</v>
      </c>
      <c r="AU104">
        <v>10</v>
      </c>
      <c r="AV104">
        <v>1</v>
      </c>
      <c r="AW104">
        <v>1</v>
      </c>
      <c r="AZ104">
        <v>1</v>
      </c>
      <c r="BA104">
        <v>1</v>
      </c>
      <c r="BB104">
        <v>1</v>
      </c>
      <c r="BC104">
        <v>1</v>
      </c>
      <c r="BD104" t="s">
        <v>3</v>
      </c>
      <c r="BE104" t="s">
        <v>3</v>
      </c>
      <c r="BF104" t="s">
        <v>3</v>
      </c>
      <c r="BG104" t="s">
        <v>3</v>
      </c>
      <c r="BH104">
        <v>3</v>
      </c>
      <c r="BI104">
        <v>4</v>
      </c>
      <c r="BJ104" t="s">
        <v>306</v>
      </c>
      <c r="BM104">
        <v>0</v>
      </c>
      <c r="BN104">
        <v>0</v>
      </c>
      <c r="BO104" t="s">
        <v>3</v>
      </c>
      <c r="BP104">
        <v>0</v>
      </c>
      <c r="BQ104">
        <v>1</v>
      </c>
      <c r="BR104">
        <v>1</v>
      </c>
      <c r="BS104">
        <v>1</v>
      </c>
      <c r="BT104">
        <v>1</v>
      </c>
      <c r="BU104">
        <v>1</v>
      </c>
      <c r="BV104">
        <v>1</v>
      </c>
      <c r="BW104">
        <v>1</v>
      </c>
      <c r="BX104">
        <v>1</v>
      </c>
      <c r="BY104" t="s">
        <v>3</v>
      </c>
      <c r="BZ104">
        <v>70</v>
      </c>
      <c r="CA104">
        <v>10</v>
      </c>
      <c r="CB104" t="s">
        <v>3</v>
      </c>
      <c r="CE104">
        <v>0</v>
      </c>
      <c r="CF104">
        <v>0</v>
      </c>
      <c r="CG104">
        <v>0</v>
      </c>
      <c r="CM104">
        <v>0</v>
      </c>
      <c r="CN104" t="s">
        <v>3</v>
      </c>
      <c r="CO104">
        <v>0</v>
      </c>
      <c r="CP104">
        <f t="shared" si="114"/>
        <v>0</v>
      </c>
      <c r="CQ104">
        <f t="shared" si="115"/>
        <v>21329.599999999999</v>
      </c>
      <c r="CR104">
        <f t="shared" si="139"/>
        <v>0</v>
      </c>
      <c r="CS104">
        <f t="shared" si="117"/>
        <v>0</v>
      </c>
      <c r="CT104">
        <f t="shared" si="118"/>
        <v>0</v>
      </c>
      <c r="CU104">
        <f t="shared" si="119"/>
        <v>0</v>
      </c>
      <c r="CV104">
        <f t="shared" si="120"/>
        <v>0</v>
      </c>
      <c r="CW104">
        <f t="shared" si="121"/>
        <v>0</v>
      </c>
      <c r="CX104">
        <f t="shared" si="122"/>
        <v>0</v>
      </c>
      <c r="CY104">
        <f t="shared" si="123"/>
        <v>0</v>
      </c>
      <c r="CZ104">
        <f t="shared" si="124"/>
        <v>0</v>
      </c>
      <c r="DC104" t="s">
        <v>3</v>
      </c>
      <c r="DD104" t="s">
        <v>3</v>
      </c>
      <c r="DE104" t="s">
        <v>3</v>
      </c>
      <c r="DF104" t="s">
        <v>3</v>
      </c>
      <c r="DG104" t="s">
        <v>3</v>
      </c>
      <c r="DH104" t="s">
        <v>3</v>
      </c>
      <c r="DI104" t="s">
        <v>3</v>
      </c>
      <c r="DJ104" t="s">
        <v>3</v>
      </c>
      <c r="DK104" t="s">
        <v>3</v>
      </c>
      <c r="DL104" t="s">
        <v>3</v>
      </c>
      <c r="DM104" t="s">
        <v>3</v>
      </c>
      <c r="DN104">
        <v>0</v>
      </c>
      <c r="DO104">
        <v>0</v>
      </c>
      <c r="DP104">
        <v>1</v>
      </c>
      <c r="DQ104">
        <v>1</v>
      </c>
      <c r="DU104">
        <v>1010</v>
      </c>
      <c r="DV104" t="s">
        <v>285</v>
      </c>
      <c r="DW104" t="s">
        <v>285</v>
      </c>
      <c r="DX104">
        <v>1000</v>
      </c>
      <c r="DZ104" t="s">
        <v>3</v>
      </c>
      <c r="EA104" t="s">
        <v>3</v>
      </c>
      <c r="EB104" t="s">
        <v>3</v>
      </c>
      <c r="EC104" t="s">
        <v>3</v>
      </c>
      <c r="EE104">
        <v>43033442</v>
      </c>
      <c r="EF104">
        <v>1</v>
      </c>
      <c r="EG104" t="s">
        <v>22</v>
      </c>
      <c r="EH104">
        <v>0</v>
      </c>
      <c r="EI104" t="s">
        <v>3</v>
      </c>
      <c r="EJ104">
        <v>4</v>
      </c>
      <c r="EK104">
        <v>0</v>
      </c>
      <c r="EL104" t="s">
        <v>23</v>
      </c>
      <c r="EM104" t="s">
        <v>24</v>
      </c>
      <c r="EO104" t="s">
        <v>3</v>
      </c>
      <c r="EQ104">
        <v>0</v>
      </c>
      <c r="ER104">
        <v>21329.599999999999</v>
      </c>
      <c r="ES104">
        <v>21329.599999999999</v>
      </c>
      <c r="ET104">
        <v>0</v>
      </c>
      <c r="EU104">
        <v>0</v>
      </c>
      <c r="EV104">
        <v>0</v>
      </c>
      <c r="EW104">
        <v>0</v>
      </c>
      <c r="EX104">
        <v>0</v>
      </c>
      <c r="FQ104">
        <v>0</v>
      </c>
      <c r="FR104">
        <f t="shared" si="125"/>
        <v>0</v>
      </c>
      <c r="FS104">
        <v>0</v>
      </c>
      <c r="FX104">
        <v>70</v>
      </c>
      <c r="FY104">
        <v>10</v>
      </c>
      <c r="GA104" t="s">
        <v>3</v>
      </c>
      <c r="GD104">
        <v>0</v>
      </c>
      <c r="GF104">
        <v>99387418</v>
      </c>
      <c r="GG104">
        <v>2</v>
      </c>
      <c r="GH104">
        <v>1</v>
      </c>
      <c r="GI104">
        <v>-2</v>
      </c>
      <c r="GJ104">
        <v>0</v>
      </c>
      <c r="GK104">
        <f>ROUND(R104*(R12)/100,2)</f>
        <v>0</v>
      </c>
      <c r="GL104">
        <f t="shared" si="126"/>
        <v>0</v>
      </c>
      <c r="GM104">
        <f t="shared" si="127"/>
        <v>0</v>
      </c>
      <c r="GN104">
        <f t="shared" si="128"/>
        <v>0</v>
      </c>
      <c r="GO104">
        <f t="shared" si="129"/>
        <v>0</v>
      </c>
      <c r="GP104">
        <f t="shared" si="130"/>
        <v>0</v>
      </c>
      <c r="GR104">
        <v>0</v>
      </c>
      <c r="GS104">
        <v>3</v>
      </c>
      <c r="GT104">
        <v>0</v>
      </c>
      <c r="GU104" t="s">
        <v>3</v>
      </c>
      <c r="GV104">
        <f t="shared" si="131"/>
        <v>0</v>
      </c>
      <c r="GW104">
        <v>1</v>
      </c>
      <c r="GX104">
        <f t="shared" si="132"/>
        <v>0</v>
      </c>
      <c r="HA104">
        <v>0</v>
      </c>
      <c r="HB104">
        <v>0</v>
      </c>
      <c r="HC104">
        <f t="shared" si="133"/>
        <v>0</v>
      </c>
      <c r="HE104" t="s">
        <v>3</v>
      </c>
      <c r="HF104" t="s">
        <v>3</v>
      </c>
      <c r="HM104" t="s">
        <v>3</v>
      </c>
      <c r="HN104" t="s">
        <v>3</v>
      </c>
      <c r="HO104" t="s">
        <v>3</v>
      </c>
      <c r="HP104" t="s">
        <v>3</v>
      </c>
      <c r="HQ104" t="s">
        <v>3</v>
      </c>
      <c r="IK104">
        <v>0</v>
      </c>
    </row>
    <row r="105" spans="1:245" x14ac:dyDescent="0.2">
      <c r="A105">
        <v>17</v>
      </c>
      <c r="B105">
        <v>1</v>
      </c>
      <c r="C105">
        <f>ROW(SmtRes!A165)</f>
        <v>165</v>
      </c>
      <c r="D105">
        <f>ROW(EtalonRes!A153)</f>
        <v>153</v>
      </c>
      <c r="E105" t="s">
        <v>307</v>
      </c>
      <c r="F105" t="s">
        <v>308</v>
      </c>
      <c r="G105" t="s">
        <v>309</v>
      </c>
      <c r="H105" t="s">
        <v>118</v>
      </c>
      <c r="I105">
        <f>ROUND(74/100,9)</f>
        <v>0.74</v>
      </c>
      <c r="J105">
        <v>0</v>
      </c>
      <c r="K105">
        <f>ROUND(74/100,9)</f>
        <v>0.74</v>
      </c>
      <c r="O105">
        <f t="shared" si="94"/>
        <v>30671.82</v>
      </c>
      <c r="P105">
        <f t="shared" si="95"/>
        <v>22596.22</v>
      </c>
      <c r="Q105">
        <f t="shared" si="96"/>
        <v>31.07</v>
      </c>
      <c r="R105">
        <f t="shared" si="97"/>
        <v>0.21</v>
      </c>
      <c r="S105">
        <f t="shared" si="98"/>
        <v>8044.53</v>
      </c>
      <c r="T105">
        <f t="shared" si="99"/>
        <v>0</v>
      </c>
      <c r="U105">
        <f t="shared" si="100"/>
        <v>34.617200000000004</v>
      </c>
      <c r="V105">
        <f t="shared" si="101"/>
        <v>0</v>
      </c>
      <c r="W105">
        <f t="shared" si="102"/>
        <v>0</v>
      </c>
      <c r="X105">
        <f t="shared" si="103"/>
        <v>5631.17</v>
      </c>
      <c r="Y105">
        <f t="shared" si="104"/>
        <v>804.45</v>
      </c>
      <c r="AA105">
        <v>43095088</v>
      </c>
      <c r="AB105">
        <f t="shared" si="105"/>
        <v>41448.410000000003</v>
      </c>
      <c r="AC105">
        <f t="shared" si="106"/>
        <v>30535.43</v>
      </c>
      <c r="AD105">
        <f t="shared" si="134"/>
        <v>41.99</v>
      </c>
      <c r="AE105">
        <f t="shared" si="135"/>
        <v>0.28000000000000003</v>
      </c>
      <c r="AF105">
        <f t="shared" si="136"/>
        <v>10870.99</v>
      </c>
      <c r="AG105">
        <f t="shared" si="110"/>
        <v>0</v>
      </c>
      <c r="AH105">
        <f t="shared" si="137"/>
        <v>46.78</v>
      </c>
      <c r="AI105">
        <f t="shared" si="138"/>
        <v>0</v>
      </c>
      <c r="AJ105">
        <f t="shared" si="113"/>
        <v>0</v>
      </c>
      <c r="AK105">
        <v>41448.410000000003</v>
      </c>
      <c r="AL105">
        <v>30535.43</v>
      </c>
      <c r="AM105">
        <v>41.99</v>
      </c>
      <c r="AN105">
        <v>0.28000000000000003</v>
      </c>
      <c r="AO105">
        <v>10870.99</v>
      </c>
      <c r="AP105">
        <v>0</v>
      </c>
      <c r="AQ105">
        <v>46.78</v>
      </c>
      <c r="AR105">
        <v>0</v>
      </c>
      <c r="AS105">
        <v>0</v>
      </c>
      <c r="AT105">
        <v>70</v>
      </c>
      <c r="AU105">
        <v>10</v>
      </c>
      <c r="AV105">
        <v>1</v>
      </c>
      <c r="AW105">
        <v>1</v>
      </c>
      <c r="AZ105">
        <v>1</v>
      </c>
      <c r="BA105">
        <v>1</v>
      </c>
      <c r="BB105">
        <v>1</v>
      </c>
      <c r="BC105">
        <v>1</v>
      </c>
      <c r="BD105" t="s">
        <v>3</v>
      </c>
      <c r="BE105" t="s">
        <v>3</v>
      </c>
      <c r="BF105" t="s">
        <v>3</v>
      </c>
      <c r="BG105" t="s">
        <v>3</v>
      </c>
      <c r="BH105">
        <v>0</v>
      </c>
      <c r="BI105">
        <v>4</v>
      </c>
      <c r="BJ105" t="s">
        <v>310</v>
      </c>
      <c r="BM105">
        <v>0</v>
      </c>
      <c r="BN105">
        <v>0</v>
      </c>
      <c r="BO105" t="s">
        <v>3</v>
      </c>
      <c r="BP105">
        <v>0</v>
      </c>
      <c r="BQ105">
        <v>1</v>
      </c>
      <c r="BR105">
        <v>0</v>
      </c>
      <c r="BS105">
        <v>1</v>
      </c>
      <c r="BT105">
        <v>1</v>
      </c>
      <c r="BU105">
        <v>1</v>
      </c>
      <c r="BV105">
        <v>1</v>
      </c>
      <c r="BW105">
        <v>1</v>
      </c>
      <c r="BX105">
        <v>1</v>
      </c>
      <c r="BY105" t="s">
        <v>3</v>
      </c>
      <c r="BZ105">
        <v>70</v>
      </c>
      <c r="CA105">
        <v>10</v>
      </c>
      <c r="CB105" t="s">
        <v>3</v>
      </c>
      <c r="CE105">
        <v>0</v>
      </c>
      <c r="CF105">
        <v>0</v>
      </c>
      <c r="CG105">
        <v>0</v>
      </c>
      <c r="CM105">
        <v>0</v>
      </c>
      <c r="CN105" t="s">
        <v>3</v>
      </c>
      <c r="CO105">
        <v>0</v>
      </c>
      <c r="CP105">
        <f t="shared" si="114"/>
        <v>30671.82</v>
      </c>
      <c r="CQ105">
        <f t="shared" si="115"/>
        <v>30535.43</v>
      </c>
      <c r="CR105">
        <f t="shared" si="139"/>
        <v>41.99</v>
      </c>
      <c r="CS105">
        <f t="shared" si="117"/>
        <v>0.28000000000000003</v>
      </c>
      <c r="CT105">
        <f t="shared" si="118"/>
        <v>10870.99</v>
      </c>
      <c r="CU105">
        <f t="shared" si="119"/>
        <v>0</v>
      </c>
      <c r="CV105">
        <f t="shared" si="120"/>
        <v>46.78</v>
      </c>
      <c r="CW105">
        <f t="shared" si="121"/>
        <v>0</v>
      </c>
      <c r="CX105">
        <f t="shared" si="122"/>
        <v>0</v>
      </c>
      <c r="CY105">
        <f t="shared" si="123"/>
        <v>5631.1709999999994</v>
      </c>
      <c r="CZ105">
        <f t="shared" si="124"/>
        <v>804.45299999999997</v>
      </c>
      <c r="DC105" t="s">
        <v>3</v>
      </c>
      <c r="DD105" t="s">
        <v>3</v>
      </c>
      <c r="DE105" t="s">
        <v>3</v>
      </c>
      <c r="DF105" t="s">
        <v>3</v>
      </c>
      <c r="DG105" t="s">
        <v>3</v>
      </c>
      <c r="DH105" t="s">
        <v>3</v>
      </c>
      <c r="DI105" t="s">
        <v>3</v>
      </c>
      <c r="DJ105" t="s">
        <v>3</v>
      </c>
      <c r="DK105" t="s">
        <v>3</v>
      </c>
      <c r="DL105" t="s">
        <v>3</v>
      </c>
      <c r="DM105" t="s">
        <v>3</v>
      </c>
      <c r="DN105">
        <v>0</v>
      </c>
      <c r="DO105">
        <v>0</v>
      </c>
      <c r="DP105">
        <v>1</v>
      </c>
      <c r="DQ105">
        <v>1</v>
      </c>
      <c r="DU105">
        <v>1003</v>
      </c>
      <c r="DV105" t="s">
        <v>118</v>
      </c>
      <c r="DW105" t="s">
        <v>118</v>
      </c>
      <c r="DX105">
        <v>100</v>
      </c>
      <c r="DZ105" t="s">
        <v>3</v>
      </c>
      <c r="EA105" t="s">
        <v>3</v>
      </c>
      <c r="EB105" t="s">
        <v>3</v>
      </c>
      <c r="EC105" t="s">
        <v>3</v>
      </c>
      <c r="EE105">
        <v>43033442</v>
      </c>
      <c r="EF105">
        <v>1</v>
      </c>
      <c r="EG105" t="s">
        <v>22</v>
      </c>
      <c r="EH105">
        <v>0</v>
      </c>
      <c r="EI105" t="s">
        <v>3</v>
      </c>
      <c r="EJ105">
        <v>4</v>
      </c>
      <c r="EK105">
        <v>0</v>
      </c>
      <c r="EL105" t="s">
        <v>23</v>
      </c>
      <c r="EM105" t="s">
        <v>24</v>
      </c>
      <c r="EO105" t="s">
        <v>3</v>
      </c>
      <c r="EQ105">
        <v>0</v>
      </c>
      <c r="ER105">
        <v>41448.410000000003</v>
      </c>
      <c r="ES105">
        <v>30535.43</v>
      </c>
      <c r="ET105">
        <v>41.99</v>
      </c>
      <c r="EU105">
        <v>0.28000000000000003</v>
      </c>
      <c r="EV105">
        <v>10870.99</v>
      </c>
      <c r="EW105">
        <v>46.78</v>
      </c>
      <c r="EX105">
        <v>0</v>
      </c>
      <c r="EY105">
        <v>0</v>
      </c>
      <c r="FQ105">
        <v>0</v>
      </c>
      <c r="FR105">
        <f t="shared" si="125"/>
        <v>0</v>
      </c>
      <c r="FS105">
        <v>0</v>
      </c>
      <c r="FX105">
        <v>70</v>
      </c>
      <c r="FY105">
        <v>10</v>
      </c>
      <c r="GA105" t="s">
        <v>3</v>
      </c>
      <c r="GD105">
        <v>0</v>
      </c>
      <c r="GF105">
        <v>-1450853423</v>
      </c>
      <c r="GG105">
        <v>2</v>
      </c>
      <c r="GH105">
        <v>1</v>
      </c>
      <c r="GI105">
        <v>-2</v>
      </c>
      <c r="GJ105">
        <v>0</v>
      </c>
      <c r="GK105">
        <f>ROUND(R105*(R12)/100,2)</f>
        <v>0.23</v>
      </c>
      <c r="GL105">
        <f t="shared" si="126"/>
        <v>0</v>
      </c>
      <c r="GM105">
        <f t="shared" si="127"/>
        <v>37107.67</v>
      </c>
      <c r="GN105">
        <f t="shared" si="128"/>
        <v>0</v>
      </c>
      <c r="GO105">
        <f t="shared" si="129"/>
        <v>0</v>
      </c>
      <c r="GP105">
        <f t="shared" si="130"/>
        <v>37107.67</v>
      </c>
      <c r="GR105">
        <v>0</v>
      </c>
      <c r="GS105">
        <v>3</v>
      </c>
      <c r="GT105">
        <v>0</v>
      </c>
      <c r="GU105" t="s">
        <v>3</v>
      </c>
      <c r="GV105">
        <f t="shared" si="131"/>
        <v>0</v>
      </c>
      <c r="GW105">
        <v>1</v>
      </c>
      <c r="GX105">
        <f t="shared" si="132"/>
        <v>0</v>
      </c>
      <c r="HA105">
        <v>0</v>
      </c>
      <c r="HB105">
        <v>0</v>
      </c>
      <c r="HC105">
        <f t="shared" si="133"/>
        <v>0</v>
      </c>
      <c r="HE105" t="s">
        <v>3</v>
      </c>
      <c r="HF105" t="s">
        <v>3</v>
      </c>
      <c r="HM105" t="s">
        <v>3</v>
      </c>
      <c r="HN105" t="s">
        <v>3</v>
      </c>
      <c r="HO105" t="s">
        <v>3</v>
      </c>
      <c r="HP105" t="s">
        <v>3</v>
      </c>
      <c r="HQ105" t="s">
        <v>3</v>
      </c>
      <c r="IK105">
        <v>0</v>
      </c>
    </row>
    <row r="106" spans="1:245" x14ac:dyDescent="0.2">
      <c r="A106">
        <v>18</v>
      </c>
      <c r="B106">
        <v>1</v>
      </c>
      <c r="C106">
        <v>160</v>
      </c>
      <c r="E106" t="s">
        <v>311</v>
      </c>
      <c r="F106" t="s">
        <v>312</v>
      </c>
      <c r="G106" t="s">
        <v>313</v>
      </c>
      <c r="H106" t="s">
        <v>20</v>
      </c>
      <c r="I106">
        <f>I105*J106</f>
        <v>-11.1</v>
      </c>
      <c r="J106">
        <v>-15</v>
      </c>
      <c r="K106">
        <v>-15</v>
      </c>
      <c r="O106">
        <f t="shared" si="94"/>
        <v>-746.03</v>
      </c>
      <c r="P106">
        <f t="shared" si="95"/>
        <v>-746.03</v>
      </c>
      <c r="Q106">
        <f t="shared" si="96"/>
        <v>0</v>
      </c>
      <c r="R106">
        <f t="shared" si="97"/>
        <v>0</v>
      </c>
      <c r="S106">
        <f t="shared" si="98"/>
        <v>0</v>
      </c>
      <c r="T106">
        <f t="shared" si="99"/>
        <v>0</v>
      </c>
      <c r="U106">
        <f t="shared" si="100"/>
        <v>0</v>
      </c>
      <c r="V106">
        <f t="shared" si="101"/>
        <v>0</v>
      </c>
      <c r="W106">
        <f t="shared" si="102"/>
        <v>0</v>
      </c>
      <c r="X106">
        <f t="shared" si="103"/>
        <v>0</v>
      </c>
      <c r="Y106">
        <f t="shared" si="104"/>
        <v>0</v>
      </c>
      <c r="AA106">
        <v>43095088</v>
      </c>
      <c r="AB106">
        <f t="shared" si="105"/>
        <v>67.209999999999994</v>
      </c>
      <c r="AC106">
        <f t="shared" si="106"/>
        <v>67.209999999999994</v>
      </c>
      <c r="AD106">
        <f t="shared" si="134"/>
        <v>0</v>
      </c>
      <c r="AE106">
        <f t="shared" si="135"/>
        <v>0</v>
      </c>
      <c r="AF106">
        <f t="shared" si="136"/>
        <v>0</v>
      </c>
      <c r="AG106">
        <f t="shared" si="110"/>
        <v>0</v>
      </c>
      <c r="AH106">
        <f t="shared" si="137"/>
        <v>0</v>
      </c>
      <c r="AI106">
        <f t="shared" si="138"/>
        <v>0</v>
      </c>
      <c r="AJ106">
        <f t="shared" si="113"/>
        <v>0</v>
      </c>
      <c r="AK106">
        <v>67.209999999999994</v>
      </c>
      <c r="AL106">
        <v>67.209999999999994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70</v>
      </c>
      <c r="AU106">
        <v>10</v>
      </c>
      <c r="AV106">
        <v>1</v>
      </c>
      <c r="AW106">
        <v>1</v>
      </c>
      <c r="AZ106">
        <v>1</v>
      </c>
      <c r="BA106">
        <v>1</v>
      </c>
      <c r="BB106">
        <v>1</v>
      </c>
      <c r="BC106">
        <v>1</v>
      </c>
      <c r="BD106" t="s">
        <v>3</v>
      </c>
      <c r="BE106" t="s">
        <v>3</v>
      </c>
      <c r="BF106" t="s">
        <v>3</v>
      </c>
      <c r="BG106" t="s">
        <v>3</v>
      </c>
      <c r="BH106">
        <v>3</v>
      </c>
      <c r="BI106">
        <v>4</v>
      </c>
      <c r="BJ106" t="s">
        <v>314</v>
      </c>
      <c r="BM106">
        <v>0</v>
      </c>
      <c r="BN106">
        <v>0</v>
      </c>
      <c r="BO106" t="s">
        <v>3</v>
      </c>
      <c r="BP106">
        <v>0</v>
      </c>
      <c r="BQ106">
        <v>1</v>
      </c>
      <c r="BR106">
        <v>1</v>
      </c>
      <c r="BS106">
        <v>1</v>
      </c>
      <c r="BT106">
        <v>1</v>
      </c>
      <c r="BU106">
        <v>1</v>
      </c>
      <c r="BV106">
        <v>1</v>
      </c>
      <c r="BW106">
        <v>1</v>
      </c>
      <c r="BX106">
        <v>1</v>
      </c>
      <c r="BY106" t="s">
        <v>3</v>
      </c>
      <c r="BZ106">
        <v>70</v>
      </c>
      <c r="CA106">
        <v>10</v>
      </c>
      <c r="CB106" t="s">
        <v>3</v>
      </c>
      <c r="CE106">
        <v>0</v>
      </c>
      <c r="CF106">
        <v>0</v>
      </c>
      <c r="CG106">
        <v>0</v>
      </c>
      <c r="CM106">
        <v>0</v>
      </c>
      <c r="CN106" t="s">
        <v>3</v>
      </c>
      <c r="CO106">
        <v>0</v>
      </c>
      <c r="CP106">
        <f t="shared" si="114"/>
        <v>-746.03</v>
      </c>
      <c r="CQ106">
        <f t="shared" si="115"/>
        <v>67.209999999999994</v>
      </c>
      <c r="CR106">
        <f t="shared" si="139"/>
        <v>0</v>
      </c>
      <c r="CS106">
        <f t="shared" si="117"/>
        <v>0</v>
      </c>
      <c r="CT106">
        <f t="shared" si="118"/>
        <v>0</v>
      </c>
      <c r="CU106">
        <f t="shared" si="119"/>
        <v>0</v>
      </c>
      <c r="CV106">
        <f t="shared" si="120"/>
        <v>0</v>
      </c>
      <c r="CW106">
        <f t="shared" si="121"/>
        <v>0</v>
      </c>
      <c r="CX106">
        <f t="shared" si="122"/>
        <v>0</v>
      </c>
      <c r="CY106">
        <f t="shared" si="123"/>
        <v>0</v>
      </c>
      <c r="CZ106">
        <f t="shared" si="124"/>
        <v>0</v>
      </c>
      <c r="DC106" t="s">
        <v>3</v>
      </c>
      <c r="DD106" t="s">
        <v>3</v>
      </c>
      <c r="DE106" t="s">
        <v>3</v>
      </c>
      <c r="DF106" t="s">
        <v>3</v>
      </c>
      <c r="DG106" t="s">
        <v>3</v>
      </c>
      <c r="DH106" t="s">
        <v>3</v>
      </c>
      <c r="DI106" t="s">
        <v>3</v>
      </c>
      <c r="DJ106" t="s">
        <v>3</v>
      </c>
      <c r="DK106" t="s">
        <v>3</v>
      </c>
      <c r="DL106" t="s">
        <v>3</v>
      </c>
      <c r="DM106" t="s">
        <v>3</v>
      </c>
      <c r="DN106">
        <v>0</v>
      </c>
      <c r="DO106">
        <v>0</v>
      </c>
      <c r="DP106">
        <v>1</v>
      </c>
      <c r="DQ106">
        <v>1</v>
      </c>
      <c r="DU106">
        <v>1010</v>
      </c>
      <c r="DV106" t="s">
        <v>20</v>
      </c>
      <c r="DW106" t="s">
        <v>20</v>
      </c>
      <c r="DX106">
        <v>1</v>
      </c>
      <c r="DZ106" t="s">
        <v>3</v>
      </c>
      <c r="EA106" t="s">
        <v>3</v>
      </c>
      <c r="EB106" t="s">
        <v>3</v>
      </c>
      <c r="EC106" t="s">
        <v>3</v>
      </c>
      <c r="EE106">
        <v>43033442</v>
      </c>
      <c r="EF106">
        <v>1</v>
      </c>
      <c r="EG106" t="s">
        <v>22</v>
      </c>
      <c r="EH106">
        <v>0</v>
      </c>
      <c r="EI106" t="s">
        <v>3</v>
      </c>
      <c r="EJ106">
        <v>4</v>
      </c>
      <c r="EK106">
        <v>0</v>
      </c>
      <c r="EL106" t="s">
        <v>23</v>
      </c>
      <c r="EM106" t="s">
        <v>24</v>
      </c>
      <c r="EO106" t="s">
        <v>3</v>
      </c>
      <c r="EQ106">
        <v>0</v>
      </c>
      <c r="ER106">
        <v>67.209999999999994</v>
      </c>
      <c r="ES106">
        <v>67.209999999999994</v>
      </c>
      <c r="ET106">
        <v>0</v>
      </c>
      <c r="EU106">
        <v>0</v>
      </c>
      <c r="EV106">
        <v>0</v>
      </c>
      <c r="EW106">
        <v>0</v>
      </c>
      <c r="EX106">
        <v>0</v>
      </c>
      <c r="FQ106">
        <v>0</v>
      </c>
      <c r="FR106">
        <f t="shared" si="125"/>
        <v>0</v>
      </c>
      <c r="FS106">
        <v>0</v>
      </c>
      <c r="FX106">
        <v>70</v>
      </c>
      <c r="FY106">
        <v>10</v>
      </c>
      <c r="GA106" t="s">
        <v>3</v>
      </c>
      <c r="GD106">
        <v>0</v>
      </c>
      <c r="GF106">
        <v>-1613597834</v>
      </c>
      <c r="GG106">
        <v>2</v>
      </c>
      <c r="GH106">
        <v>1</v>
      </c>
      <c r="GI106">
        <v>-2</v>
      </c>
      <c r="GJ106">
        <v>0</v>
      </c>
      <c r="GK106">
        <f>ROUND(R106*(R12)/100,2)</f>
        <v>0</v>
      </c>
      <c r="GL106">
        <f t="shared" si="126"/>
        <v>0</v>
      </c>
      <c r="GM106">
        <f t="shared" si="127"/>
        <v>-746.03</v>
      </c>
      <c r="GN106">
        <f t="shared" si="128"/>
        <v>0</v>
      </c>
      <c r="GO106">
        <f t="shared" si="129"/>
        <v>0</v>
      </c>
      <c r="GP106">
        <f t="shared" si="130"/>
        <v>-746.03</v>
      </c>
      <c r="GR106">
        <v>0</v>
      </c>
      <c r="GS106">
        <v>3</v>
      </c>
      <c r="GT106">
        <v>0</v>
      </c>
      <c r="GU106" t="s">
        <v>3</v>
      </c>
      <c r="GV106">
        <f t="shared" si="131"/>
        <v>0</v>
      </c>
      <c r="GW106">
        <v>1</v>
      </c>
      <c r="GX106">
        <f t="shared" si="132"/>
        <v>0</v>
      </c>
      <c r="HA106">
        <v>0</v>
      </c>
      <c r="HB106">
        <v>0</v>
      </c>
      <c r="HC106">
        <f t="shared" si="133"/>
        <v>0</v>
      </c>
      <c r="HE106" t="s">
        <v>3</v>
      </c>
      <c r="HF106" t="s">
        <v>3</v>
      </c>
      <c r="HM106" t="s">
        <v>3</v>
      </c>
      <c r="HN106" t="s">
        <v>3</v>
      </c>
      <c r="HO106" t="s">
        <v>3</v>
      </c>
      <c r="HP106" t="s">
        <v>3</v>
      </c>
      <c r="HQ106" t="s">
        <v>3</v>
      </c>
      <c r="IK106">
        <v>0</v>
      </c>
    </row>
    <row r="107" spans="1:245" x14ac:dyDescent="0.2">
      <c r="A107">
        <v>18</v>
      </c>
      <c r="B107">
        <v>1</v>
      </c>
      <c r="C107">
        <v>161</v>
      </c>
      <c r="E107" t="s">
        <v>315</v>
      </c>
      <c r="F107" t="s">
        <v>316</v>
      </c>
      <c r="G107" t="s">
        <v>317</v>
      </c>
      <c r="H107" t="s">
        <v>20</v>
      </c>
      <c r="I107">
        <f>I105*J107</f>
        <v>-2.96</v>
      </c>
      <c r="J107">
        <v>-4</v>
      </c>
      <c r="K107">
        <v>-4</v>
      </c>
      <c r="O107">
        <f t="shared" si="94"/>
        <v>-123.31</v>
      </c>
      <c r="P107">
        <f t="shared" si="95"/>
        <v>-123.31</v>
      </c>
      <c r="Q107">
        <f t="shared" si="96"/>
        <v>0</v>
      </c>
      <c r="R107">
        <f t="shared" si="97"/>
        <v>0</v>
      </c>
      <c r="S107">
        <f t="shared" si="98"/>
        <v>0</v>
      </c>
      <c r="T107">
        <f t="shared" si="99"/>
        <v>0</v>
      </c>
      <c r="U107">
        <f t="shared" si="100"/>
        <v>0</v>
      </c>
      <c r="V107">
        <f t="shared" si="101"/>
        <v>0</v>
      </c>
      <c r="W107">
        <f t="shared" si="102"/>
        <v>0</v>
      </c>
      <c r="X107">
        <f t="shared" si="103"/>
        <v>0</v>
      </c>
      <c r="Y107">
        <f t="shared" si="104"/>
        <v>0</v>
      </c>
      <c r="AA107">
        <v>43095088</v>
      </c>
      <c r="AB107">
        <f t="shared" si="105"/>
        <v>41.66</v>
      </c>
      <c r="AC107">
        <f t="shared" si="106"/>
        <v>41.66</v>
      </c>
      <c r="AD107">
        <f t="shared" si="134"/>
        <v>0</v>
      </c>
      <c r="AE107">
        <f t="shared" si="135"/>
        <v>0</v>
      </c>
      <c r="AF107">
        <f t="shared" si="136"/>
        <v>0</v>
      </c>
      <c r="AG107">
        <f t="shared" si="110"/>
        <v>0</v>
      </c>
      <c r="AH107">
        <f t="shared" si="137"/>
        <v>0</v>
      </c>
      <c r="AI107">
        <f t="shared" si="138"/>
        <v>0</v>
      </c>
      <c r="AJ107">
        <f t="shared" si="113"/>
        <v>0</v>
      </c>
      <c r="AK107">
        <v>41.66</v>
      </c>
      <c r="AL107">
        <v>41.66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70</v>
      </c>
      <c r="AU107">
        <v>10</v>
      </c>
      <c r="AV107">
        <v>1</v>
      </c>
      <c r="AW107">
        <v>1</v>
      </c>
      <c r="AZ107">
        <v>1</v>
      </c>
      <c r="BA107">
        <v>1</v>
      </c>
      <c r="BB107">
        <v>1</v>
      </c>
      <c r="BC107">
        <v>1</v>
      </c>
      <c r="BD107" t="s">
        <v>3</v>
      </c>
      <c r="BE107" t="s">
        <v>3</v>
      </c>
      <c r="BF107" t="s">
        <v>3</v>
      </c>
      <c r="BG107" t="s">
        <v>3</v>
      </c>
      <c r="BH107">
        <v>3</v>
      </c>
      <c r="BI107">
        <v>4</v>
      </c>
      <c r="BJ107" t="s">
        <v>318</v>
      </c>
      <c r="BM107">
        <v>0</v>
      </c>
      <c r="BN107">
        <v>0</v>
      </c>
      <c r="BO107" t="s">
        <v>3</v>
      </c>
      <c r="BP107">
        <v>0</v>
      </c>
      <c r="BQ107">
        <v>1</v>
      </c>
      <c r="BR107">
        <v>1</v>
      </c>
      <c r="BS107">
        <v>1</v>
      </c>
      <c r="BT107">
        <v>1</v>
      </c>
      <c r="BU107">
        <v>1</v>
      </c>
      <c r="BV107">
        <v>1</v>
      </c>
      <c r="BW107">
        <v>1</v>
      </c>
      <c r="BX107">
        <v>1</v>
      </c>
      <c r="BY107" t="s">
        <v>3</v>
      </c>
      <c r="BZ107">
        <v>70</v>
      </c>
      <c r="CA107">
        <v>10</v>
      </c>
      <c r="CB107" t="s">
        <v>3</v>
      </c>
      <c r="CE107">
        <v>0</v>
      </c>
      <c r="CF107">
        <v>0</v>
      </c>
      <c r="CG107">
        <v>0</v>
      </c>
      <c r="CM107">
        <v>0</v>
      </c>
      <c r="CN107" t="s">
        <v>3</v>
      </c>
      <c r="CO107">
        <v>0</v>
      </c>
      <c r="CP107">
        <f t="shared" si="114"/>
        <v>-123.31</v>
      </c>
      <c r="CQ107">
        <f t="shared" si="115"/>
        <v>41.66</v>
      </c>
      <c r="CR107">
        <f t="shared" si="139"/>
        <v>0</v>
      </c>
      <c r="CS107">
        <f t="shared" si="117"/>
        <v>0</v>
      </c>
      <c r="CT107">
        <f t="shared" si="118"/>
        <v>0</v>
      </c>
      <c r="CU107">
        <f t="shared" si="119"/>
        <v>0</v>
      </c>
      <c r="CV107">
        <f t="shared" si="120"/>
        <v>0</v>
      </c>
      <c r="CW107">
        <f t="shared" si="121"/>
        <v>0</v>
      </c>
      <c r="CX107">
        <f t="shared" si="122"/>
        <v>0</v>
      </c>
      <c r="CY107">
        <f t="shared" si="123"/>
        <v>0</v>
      </c>
      <c r="CZ107">
        <f t="shared" si="124"/>
        <v>0</v>
      </c>
      <c r="DC107" t="s">
        <v>3</v>
      </c>
      <c r="DD107" t="s">
        <v>3</v>
      </c>
      <c r="DE107" t="s">
        <v>3</v>
      </c>
      <c r="DF107" t="s">
        <v>3</v>
      </c>
      <c r="DG107" t="s">
        <v>3</v>
      </c>
      <c r="DH107" t="s">
        <v>3</v>
      </c>
      <c r="DI107" t="s">
        <v>3</v>
      </c>
      <c r="DJ107" t="s">
        <v>3</v>
      </c>
      <c r="DK107" t="s">
        <v>3</v>
      </c>
      <c r="DL107" t="s">
        <v>3</v>
      </c>
      <c r="DM107" t="s">
        <v>3</v>
      </c>
      <c r="DN107">
        <v>0</v>
      </c>
      <c r="DO107">
        <v>0</v>
      </c>
      <c r="DP107">
        <v>1</v>
      </c>
      <c r="DQ107">
        <v>1</v>
      </c>
      <c r="DU107">
        <v>1010</v>
      </c>
      <c r="DV107" t="s">
        <v>20</v>
      </c>
      <c r="DW107" t="s">
        <v>20</v>
      </c>
      <c r="DX107">
        <v>1</v>
      </c>
      <c r="DZ107" t="s">
        <v>3</v>
      </c>
      <c r="EA107" t="s">
        <v>3</v>
      </c>
      <c r="EB107" t="s">
        <v>3</v>
      </c>
      <c r="EC107" t="s">
        <v>3</v>
      </c>
      <c r="EE107">
        <v>43033442</v>
      </c>
      <c r="EF107">
        <v>1</v>
      </c>
      <c r="EG107" t="s">
        <v>22</v>
      </c>
      <c r="EH107">
        <v>0</v>
      </c>
      <c r="EI107" t="s">
        <v>3</v>
      </c>
      <c r="EJ107">
        <v>4</v>
      </c>
      <c r="EK107">
        <v>0</v>
      </c>
      <c r="EL107" t="s">
        <v>23</v>
      </c>
      <c r="EM107" t="s">
        <v>24</v>
      </c>
      <c r="EO107" t="s">
        <v>3</v>
      </c>
      <c r="EQ107">
        <v>0</v>
      </c>
      <c r="ER107">
        <v>41.66</v>
      </c>
      <c r="ES107">
        <v>41.66</v>
      </c>
      <c r="ET107">
        <v>0</v>
      </c>
      <c r="EU107">
        <v>0</v>
      </c>
      <c r="EV107">
        <v>0</v>
      </c>
      <c r="EW107">
        <v>0</v>
      </c>
      <c r="EX107">
        <v>0</v>
      </c>
      <c r="FQ107">
        <v>0</v>
      </c>
      <c r="FR107">
        <f t="shared" si="125"/>
        <v>0</v>
      </c>
      <c r="FS107">
        <v>0</v>
      </c>
      <c r="FX107">
        <v>70</v>
      </c>
      <c r="FY107">
        <v>10</v>
      </c>
      <c r="GA107" t="s">
        <v>3</v>
      </c>
      <c r="GD107">
        <v>0</v>
      </c>
      <c r="GF107">
        <v>1636555119</v>
      </c>
      <c r="GG107">
        <v>2</v>
      </c>
      <c r="GH107">
        <v>1</v>
      </c>
      <c r="GI107">
        <v>-2</v>
      </c>
      <c r="GJ107">
        <v>0</v>
      </c>
      <c r="GK107">
        <f>ROUND(R107*(R12)/100,2)</f>
        <v>0</v>
      </c>
      <c r="GL107">
        <f t="shared" si="126"/>
        <v>0</v>
      </c>
      <c r="GM107">
        <f t="shared" si="127"/>
        <v>-123.31</v>
      </c>
      <c r="GN107">
        <f t="shared" si="128"/>
        <v>0</v>
      </c>
      <c r="GO107">
        <f t="shared" si="129"/>
        <v>0</v>
      </c>
      <c r="GP107">
        <f t="shared" si="130"/>
        <v>-123.31</v>
      </c>
      <c r="GR107">
        <v>0</v>
      </c>
      <c r="GS107">
        <v>3</v>
      </c>
      <c r="GT107">
        <v>0</v>
      </c>
      <c r="GU107" t="s">
        <v>3</v>
      </c>
      <c r="GV107">
        <f t="shared" si="131"/>
        <v>0</v>
      </c>
      <c r="GW107">
        <v>1</v>
      </c>
      <c r="GX107">
        <f t="shared" si="132"/>
        <v>0</v>
      </c>
      <c r="HA107">
        <v>0</v>
      </c>
      <c r="HB107">
        <v>0</v>
      </c>
      <c r="HC107">
        <f t="shared" si="133"/>
        <v>0</v>
      </c>
      <c r="HE107" t="s">
        <v>3</v>
      </c>
      <c r="HF107" t="s">
        <v>3</v>
      </c>
      <c r="HM107" t="s">
        <v>3</v>
      </c>
      <c r="HN107" t="s">
        <v>3</v>
      </c>
      <c r="HO107" t="s">
        <v>3</v>
      </c>
      <c r="HP107" t="s">
        <v>3</v>
      </c>
      <c r="HQ107" t="s">
        <v>3</v>
      </c>
      <c r="IK107">
        <v>0</v>
      </c>
    </row>
    <row r="108" spans="1:245" x14ac:dyDescent="0.2">
      <c r="A108">
        <v>18</v>
      </c>
      <c r="B108">
        <v>1</v>
      </c>
      <c r="C108">
        <v>162</v>
      </c>
      <c r="E108" t="s">
        <v>319</v>
      </c>
      <c r="F108" t="s">
        <v>320</v>
      </c>
      <c r="G108" t="s">
        <v>321</v>
      </c>
      <c r="H108" t="s">
        <v>20</v>
      </c>
      <c r="I108">
        <f>I105*J108</f>
        <v>-1.48</v>
      </c>
      <c r="J108">
        <v>-2</v>
      </c>
      <c r="K108">
        <v>-2</v>
      </c>
      <c r="O108">
        <f t="shared" si="94"/>
        <v>-132.37</v>
      </c>
      <c r="P108">
        <f t="shared" si="95"/>
        <v>-132.37</v>
      </c>
      <c r="Q108">
        <f t="shared" si="96"/>
        <v>0</v>
      </c>
      <c r="R108">
        <f t="shared" si="97"/>
        <v>0</v>
      </c>
      <c r="S108">
        <f t="shared" si="98"/>
        <v>0</v>
      </c>
      <c r="T108">
        <f t="shared" si="99"/>
        <v>0</v>
      </c>
      <c r="U108">
        <f t="shared" si="100"/>
        <v>0</v>
      </c>
      <c r="V108">
        <f t="shared" si="101"/>
        <v>0</v>
      </c>
      <c r="W108">
        <f t="shared" si="102"/>
        <v>0</v>
      </c>
      <c r="X108">
        <f t="shared" si="103"/>
        <v>0</v>
      </c>
      <c r="Y108">
        <f t="shared" si="104"/>
        <v>0</v>
      </c>
      <c r="AA108">
        <v>43095088</v>
      </c>
      <c r="AB108">
        <f t="shared" si="105"/>
        <v>89.44</v>
      </c>
      <c r="AC108">
        <f t="shared" si="106"/>
        <v>89.44</v>
      </c>
      <c r="AD108">
        <f t="shared" si="134"/>
        <v>0</v>
      </c>
      <c r="AE108">
        <f t="shared" si="135"/>
        <v>0</v>
      </c>
      <c r="AF108">
        <f t="shared" si="136"/>
        <v>0</v>
      </c>
      <c r="AG108">
        <f t="shared" si="110"/>
        <v>0</v>
      </c>
      <c r="AH108">
        <f t="shared" si="137"/>
        <v>0</v>
      </c>
      <c r="AI108">
        <f t="shared" si="138"/>
        <v>0</v>
      </c>
      <c r="AJ108">
        <f t="shared" si="113"/>
        <v>0</v>
      </c>
      <c r="AK108">
        <v>89.44</v>
      </c>
      <c r="AL108">
        <v>89.44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70</v>
      </c>
      <c r="AU108">
        <v>10</v>
      </c>
      <c r="AV108">
        <v>1</v>
      </c>
      <c r="AW108">
        <v>1</v>
      </c>
      <c r="AZ108">
        <v>1</v>
      </c>
      <c r="BA108">
        <v>1</v>
      </c>
      <c r="BB108">
        <v>1</v>
      </c>
      <c r="BC108">
        <v>1</v>
      </c>
      <c r="BD108" t="s">
        <v>3</v>
      </c>
      <c r="BE108" t="s">
        <v>3</v>
      </c>
      <c r="BF108" t="s">
        <v>3</v>
      </c>
      <c r="BG108" t="s">
        <v>3</v>
      </c>
      <c r="BH108">
        <v>3</v>
      </c>
      <c r="BI108">
        <v>4</v>
      </c>
      <c r="BJ108" t="s">
        <v>322</v>
      </c>
      <c r="BM108">
        <v>0</v>
      </c>
      <c r="BN108">
        <v>0</v>
      </c>
      <c r="BO108" t="s">
        <v>3</v>
      </c>
      <c r="BP108">
        <v>0</v>
      </c>
      <c r="BQ108">
        <v>1</v>
      </c>
      <c r="BR108">
        <v>1</v>
      </c>
      <c r="BS108">
        <v>1</v>
      </c>
      <c r="BT108">
        <v>1</v>
      </c>
      <c r="BU108">
        <v>1</v>
      </c>
      <c r="BV108">
        <v>1</v>
      </c>
      <c r="BW108">
        <v>1</v>
      </c>
      <c r="BX108">
        <v>1</v>
      </c>
      <c r="BY108" t="s">
        <v>3</v>
      </c>
      <c r="BZ108">
        <v>70</v>
      </c>
      <c r="CA108">
        <v>10</v>
      </c>
      <c r="CB108" t="s">
        <v>3</v>
      </c>
      <c r="CE108">
        <v>0</v>
      </c>
      <c r="CF108">
        <v>0</v>
      </c>
      <c r="CG108">
        <v>0</v>
      </c>
      <c r="CM108">
        <v>0</v>
      </c>
      <c r="CN108" t="s">
        <v>3</v>
      </c>
      <c r="CO108">
        <v>0</v>
      </c>
      <c r="CP108">
        <f t="shared" si="114"/>
        <v>-132.37</v>
      </c>
      <c r="CQ108">
        <f t="shared" si="115"/>
        <v>89.44</v>
      </c>
      <c r="CR108">
        <f t="shared" si="139"/>
        <v>0</v>
      </c>
      <c r="CS108">
        <f t="shared" si="117"/>
        <v>0</v>
      </c>
      <c r="CT108">
        <f t="shared" si="118"/>
        <v>0</v>
      </c>
      <c r="CU108">
        <f t="shared" si="119"/>
        <v>0</v>
      </c>
      <c r="CV108">
        <f t="shared" si="120"/>
        <v>0</v>
      </c>
      <c r="CW108">
        <f t="shared" si="121"/>
        <v>0</v>
      </c>
      <c r="CX108">
        <f t="shared" si="122"/>
        <v>0</v>
      </c>
      <c r="CY108">
        <f t="shared" si="123"/>
        <v>0</v>
      </c>
      <c r="CZ108">
        <f t="shared" si="124"/>
        <v>0</v>
      </c>
      <c r="DC108" t="s">
        <v>3</v>
      </c>
      <c r="DD108" t="s">
        <v>3</v>
      </c>
      <c r="DE108" t="s">
        <v>3</v>
      </c>
      <c r="DF108" t="s">
        <v>3</v>
      </c>
      <c r="DG108" t="s">
        <v>3</v>
      </c>
      <c r="DH108" t="s">
        <v>3</v>
      </c>
      <c r="DI108" t="s">
        <v>3</v>
      </c>
      <c r="DJ108" t="s">
        <v>3</v>
      </c>
      <c r="DK108" t="s">
        <v>3</v>
      </c>
      <c r="DL108" t="s">
        <v>3</v>
      </c>
      <c r="DM108" t="s">
        <v>3</v>
      </c>
      <c r="DN108">
        <v>0</v>
      </c>
      <c r="DO108">
        <v>0</v>
      </c>
      <c r="DP108">
        <v>1</v>
      </c>
      <c r="DQ108">
        <v>1</v>
      </c>
      <c r="DU108">
        <v>1010</v>
      </c>
      <c r="DV108" t="s">
        <v>20</v>
      </c>
      <c r="DW108" t="s">
        <v>20</v>
      </c>
      <c r="DX108">
        <v>1</v>
      </c>
      <c r="DZ108" t="s">
        <v>3</v>
      </c>
      <c r="EA108" t="s">
        <v>3</v>
      </c>
      <c r="EB108" t="s">
        <v>3</v>
      </c>
      <c r="EC108" t="s">
        <v>3</v>
      </c>
      <c r="EE108">
        <v>43033442</v>
      </c>
      <c r="EF108">
        <v>1</v>
      </c>
      <c r="EG108" t="s">
        <v>22</v>
      </c>
      <c r="EH108">
        <v>0</v>
      </c>
      <c r="EI108" t="s">
        <v>3</v>
      </c>
      <c r="EJ108">
        <v>4</v>
      </c>
      <c r="EK108">
        <v>0</v>
      </c>
      <c r="EL108" t="s">
        <v>23</v>
      </c>
      <c r="EM108" t="s">
        <v>24</v>
      </c>
      <c r="EO108" t="s">
        <v>3</v>
      </c>
      <c r="EQ108">
        <v>0</v>
      </c>
      <c r="ER108">
        <v>89.44</v>
      </c>
      <c r="ES108">
        <v>89.44</v>
      </c>
      <c r="ET108">
        <v>0</v>
      </c>
      <c r="EU108">
        <v>0</v>
      </c>
      <c r="EV108">
        <v>0</v>
      </c>
      <c r="EW108">
        <v>0</v>
      </c>
      <c r="EX108">
        <v>0</v>
      </c>
      <c r="FQ108">
        <v>0</v>
      </c>
      <c r="FR108">
        <f t="shared" si="125"/>
        <v>0</v>
      </c>
      <c r="FS108">
        <v>0</v>
      </c>
      <c r="FX108">
        <v>70</v>
      </c>
      <c r="FY108">
        <v>10</v>
      </c>
      <c r="GA108" t="s">
        <v>3</v>
      </c>
      <c r="GD108">
        <v>0</v>
      </c>
      <c r="GF108">
        <v>-1633432379</v>
      </c>
      <c r="GG108">
        <v>2</v>
      </c>
      <c r="GH108">
        <v>1</v>
      </c>
      <c r="GI108">
        <v>-2</v>
      </c>
      <c r="GJ108">
        <v>0</v>
      </c>
      <c r="GK108">
        <f>ROUND(R108*(R12)/100,2)</f>
        <v>0</v>
      </c>
      <c r="GL108">
        <f t="shared" si="126"/>
        <v>0</v>
      </c>
      <c r="GM108">
        <f t="shared" si="127"/>
        <v>-132.37</v>
      </c>
      <c r="GN108">
        <f t="shared" si="128"/>
        <v>0</v>
      </c>
      <c r="GO108">
        <f t="shared" si="129"/>
        <v>0</v>
      </c>
      <c r="GP108">
        <f t="shared" si="130"/>
        <v>-132.37</v>
      </c>
      <c r="GR108">
        <v>0</v>
      </c>
      <c r="GS108">
        <v>3</v>
      </c>
      <c r="GT108">
        <v>0</v>
      </c>
      <c r="GU108" t="s">
        <v>3</v>
      </c>
      <c r="GV108">
        <f t="shared" si="131"/>
        <v>0</v>
      </c>
      <c r="GW108">
        <v>1</v>
      </c>
      <c r="GX108">
        <f t="shared" si="132"/>
        <v>0</v>
      </c>
      <c r="HA108">
        <v>0</v>
      </c>
      <c r="HB108">
        <v>0</v>
      </c>
      <c r="HC108">
        <f t="shared" si="133"/>
        <v>0</v>
      </c>
      <c r="HE108" t="s">
        <v>3</v>
      </c>
      <c r="HF108" t="s">
        <v>3</v>
      </c>
      <c r="HM108" t="s">
        <v>3</v>
      </c>
      <c r="HN108" t="s">
        <v>3</v>
      </c>
      <c r="HO108" t="s">
        <v>3</v>
      </c>
      <c r="HP108" t="s">
        <v>3</v>
      </c>
      <c r="HQ108" t="s">
        <v>3</v>
      </c>
      <c r="IK108">
        <v>0</v>
      </c>
    </row>
    <row r="109" spans="1:245" x14ac:dyDescent="0.2">
      <c r="A109">
        <v>18</v>
      </c>
      <c r="B109">
        <v>1</v>
      </c>
      <c r="C109">
        <v>163</v>
      </c>
      <c r="E109" t="s">
        <v>323</v>
      </c>
      <c r="F109" t="s">
        <v>324</v>
      </c>
      <c r="G109" t="s">
        <v>325</v>
      </c>
      <c r="H109" t="s">
        <v>20</v>
      </c>
      <c r="I109">
        <f>I105*J109</f>
        <v>-11.1</v>
      </c>
      <c r="J109">
        <v>-15</v>
      </c>
      <c r="K109">
        <v>-15</v>
      </c>
      <c r="O109">
        <f t="shared" si="94"/>
        <v>-992.78</v>
      </c>
      <c r="P109">
        <f t="shared" si="95"/>
        <v>-992.78</v>
      </c>
      <c r="Q109">
        <f t="shared" si="96"/>
        <v>0</v>
      </c>
      <c r="R109">
        <f t="shared" si="97"/>
        <v>0</v>
      </c>
      <c r="S109">
        <f t="shared" si="98"/>
        <v>0</v>
      </c>
      <c r="T109">
        <f t="shared" si="99"/>
        <v>0</v>
      </c>
      <c r="U109">
        <f t="shared" si="100"/>
        <v>0</v>
      </c>
      <c r="V109">
        <f t="shared" si="101"/>
        <v>0</v>
      </c>
      <c r="W109">
        <f t="shared" si="102"/>
        <v>0</v>
      </c>
      <c r="X109">
        <f t="shared" si="103"/>
        <v>0</v>
      </c>
      <c r="Y109">
        <f t="shared" si="104"/>
        <v>0</v>
      </c>
      <c r="AA109">
        <v>43095088</v>
      </c>
      <c r="AB109">
        <f t="shared" si="105"/>
        <v>89.44</v>
      </c>
      <c r="AC109">
        <f t="shared" si="106"/>
        <v>89.44</v>
      </c>
      <c r="AD109">
        <f t="shared" si="134"/>
        <v>0</v>
      </c>
      <c r="AE109">
        <f t="shared" si="135"/>
        <v>0</v>
      </c>
      <c r="AF109">
        <f t="shared" si="136"/>
        <v>0</v>
      </c>
      <c r="AG109">
        <f t="shared" si="110"/>
        <v>0</v>
      </c>
      <c r="AH109">
        <f t="shared" si="137"/>
        <v>0</v>
      </c>
      <c r="AI109">
        <f t="shared" si="138"/>
        <v>0</v>
      </c>
      <c r="AJ109">
        <f t="shared" si="113"/>
        <v>0</v>
      </c>
      <c r="AK109">
        <v>89.44</v>
      </c>
      <c r="AL109">
        <v>89.44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70</v>
      </c>
      <c r="AU109">
        <v>10</v>
      </c>
      <c r="AV109">
        <v>1</v>
      </c>
      <c r="AW109">
        <v>1</v>
      </c>
      <c r="AZ109">
        <v>1</v>
      </c>
      <c r="BA109">
        <v>1</v>
      </c>
      <c r="BB109">
        <v>1</v>
      </c>
      <c r="BC109">
        <v>1</v>
      </c>
      <c r="BD109" t="s">
        <v>3</v>
      </c>
      <c r="BE109" t="s">
        <v>3</v>
      </c>
      <c r="BF109" t="s">
        <v>3</v>
      </c>
      <c r="BG109" t="s">
        <v>3</v>
      </c>
      <c r="BH109">
        <v>3</v>
      </c>
      <c r="BI109">
        <v>4</v>
      </c>
      <c r="BJ109" t="s">
        <v>326</v>
      </c>
      <c r="BM109">
        <v>0</v>
      </c>
      <c r="BN109">
        <v>0</v>
      </c>
      <c r="BO109" t="s">
        <v>3</v>
      </c>
      <c r="BP109">
        <v>0</v>
      </c>
      <c r="BQ109">
        <v>1</v>
      </c>
      <c r="BR109">
        <v>1</v>
      </c>
      <c r="BS109">
        <v>1</v>
      </c>
      <c r="BT109">
        <v>1</v>
      </c>
      <c r="BU109">
        <v>1</v>
      </c>
      <c r="BV109">
        <v>1</v>
      </c>
      <c r="BW109">
        <v>1</v>
      </c>
      <c r="BX109">
        <v>1</v>
      </c>
      <c r="BY109" t="s">
        <v>3</v>
      </c>
      <c r="BZ109">
        <v>70</v>
      </c>
      <c r="CA109">
        <v>10</v>
      </c>
      <c r="CB109" t="s">
        <v>3</v>
      </c>
      <c r="CE109">
        <v>0</v>
      </c>
      <c r="CF109">
        <v>0</v>
      </c>
      <c r="CG109">
        <v>0</v>
      </c>
      <c r="CM109">
        <v>0</v>
      </c>
      <c r="CN109" t="s">
        <v>3</v>
      </c>
      <c r="CO109">
        <v>0</v>
      </c>
      <c r="CP109">
        <f t="shared" si="114"/>
        <v>-992.78</v>
      </c>
      <c r="CQ109">
        <f t="shared" si="115"/>
        <v>89.44</v>
      </c>
      <c r="CR109">
        <f t="shared" si="139"/>
        <v>0</v>
      </c>
      <c r="CS109">
        <f t="shared" si="117"/>
        <v>0</v>
      </c>
      <c r="CT109">
        <f t="shared" si="118"/>
        <v>0</v>
      </c>
      <c r="CU109">
        <f t="shared" si="119"/>
        <v>0</v>
      </c>
      <c r="CV109">
        <f t="shared" si="120"/>
        <v>0</v>
      </c>
      <c r="CW109">
        <f t="shared" si="121"/>
        <v>0</v>
      </c>
      <c r="CX109">
        <f t="shared" si="122"/>
        <v>0</v>
      </c>
      <c r="CY109">
        <f t="shared" si="123"/>
        <v>0</v>
      </c>
      <c r="CZ109">
        <f t="shared" si="124"/>
        <v>0</v>
      </c>
      <c r="DC109" t="s">
        <v>3</v>
      </c>
      <c r="DD109" t="s">
        <v>3</v>
      </c>
      <c r="DE109" t="s">
        <v>3</v>
      </c>
      <c r="DF109" t="s">
        <v>3</v>
      </c>
      <c r="DG109" t="s">
        <v>3</v>
      </c>
      <c r="DH109" t="s">
        <v>3</v>
      </c>
      <c r="DI109" t="s">
        <v>3</v>
      </c>
      <c r="DJ109" t="s">
        <v>3</v>
      </c>
      <c r="DK109" t="s">
        <v>3</v>
      </c>
      <c r="DL109" t="s">
        <v>3</v>
      </c>
      <c r="DM109" t="s">
        <v>3</v>
      </c>
      <c r="DN109">
        <v>0</v>
      </c>
      <c r="DO109">
        <v>0</v>
      </c>
      <c r="DP109">
        <v>1</v>
      </c>
      <c r="DQ109">
        <v>1</v>
      </c>
      <c r="DU109">
        <v>1010</v>
      </c>
      <c r="DV109" t="s">
        <v>20</v>
      </c>
      <c r="DW109" t="s">
        <v>20</v>
      </c>
      <c r="DX109">
        <v>1</v>
      </c>
      <c r="DZ109" t="s">
        <v>3</v>
      </c>
      <c r="EA109" t="s">
        <v>3</v>
      </c>
      <c r="EB109" t="s">
        <v>3</v>
      </c>
      <c r="EC109" t="s">
        <v>3</v>
      </c>
      <c r="EE109">
        <v>43033442</v>
      </c>
      <c r="EF109">
        <v>1</v>
      </c>
      <c r="EG109" t="s">
        <v>22</v>
      </c>
      <c r="EH109">
        <v>0</v>
      </c>
      <c r="EI109" t="s">
        <v>3</v>
      </c>
      <c r="EJ109">
        <v>4</v>
      </c>
      <c r="EK109">
        <v>0</v>
      </c>
      <c r="EL109" t="s">
        <v>23</v>
      </c>
      <c r="EM109" t="s">
        <v>24</v>
      </c>
      <c r="EO109" t="s">
        <v>3</v>
      </c>
      <c r="EQ109">
        <v>0</v>
      </c>
      <c r="ER109">
        <v>89.44</v>
      </c>
      <c r="ES109">
        <v>89.44</v>
      </c>
      <c r="ET109">
        <v>0</v>
      </c>
      <c r="EU109">
        <v>0</v>
      </c>
      <c r="EV109">
        <v>0</v>
      </c>
      <c r="EW109">
        <v>0</v>
      </c>
      <c r="EX109">
        <v>0</v>
      </c>
      <c r="FQ109">
        <v>0</v>
      </c>
      <c r="FR109">
        <f t="shared" si="125"/>
        <v>0</v>
      </c>
      <c r="FS109">
        <v>0</v>
      </c>
      <c r="FX109">
        <v>70</v>
      </c>
      <c r="FY109">
        <v>10</v>
      </c>
      <c r="GA109" t="s">
        <v>3</v>
      </c>
      <c r="GD109">
        <v>0</v>
      </c>
      <c r="GF109">
        <v>472132693</v>
      </c>
      <c r="GG109">
        <v>2</v>
      </c>
      <c r="GH109">
        <v>1</v>
      </c>
      <c r="GI109">
        <v>-2</v>
      </c>
      <c r="GJ109">
        <v>0</v>
      </c>
      <c r="GK109">
        <f>ROUND(R109*(R12)/100,2)</f>
        <v>0</v>
      </c>
      <c r="GL109">
        <f t="shared" si="126"/>
        <v>0</v>
      </c>
      <c r="GM109">
        <f t="shared" si="127"/>
        <v>-992.78</v>
      </c>
      <c r="GN109">
        <f t="shared" si="128"/>
        <v>0</v>
      </c>
      <c r="GO109">
        <f t="shared" si="129"/>
        <v>0</v>
      </c>
      <c r="GP109">
        <f t="shared" si="130"/>
        <v>-992.78</v>
      </c>
      <c r="GR109">
        <v>0</v>
      </c>
      <c r="GS109">
        <v>3</v>
      </c>
      <c r="GT109">
        <v>0</v>
      </c>
      <c r="GU109" t="s">
        <v>3</v>
      </c>
      <c r="GV109">
        <f t="shared" si="131"/>
        <v>0</v>
      </c>
      <c r="GW109">
        <v>1</v>
      </c>
      <c r="GX109">
        <f t="shared" si="132"/>
        <v>0</v>
      </c>
      <c r="HA109">
        <v>0</v>
      </c>
      <c r="HB109">
        <v>0</v>
      </c>
      <c r="HC109">
        <f t="shared" si="133"/>
        <v>0</v>
      </c>
      <c r="HE109" t="s">
        <v>3</v>
      </c>
      <c r="HF109" t="s">
        <v>3</v>
      </c>
      <c r="HM109" t="s">
        <v>3</v>
      </c>
      <c r="HN109" t="s">
        <v>3</v>
      </c>
      <c r="HO109" t="s">
        <v>3</v>
      </c>
      <c r="HP109" t="s">
        <v>3</v>
      </c>
      <c r="HQ109" t="s">
        <v>3</v>
      </c>
      <c r="IK109">
        <v>0</v>
      </c>
    </row>
    <row r="110" spans="1:245" x14ac:dyDescent="0.2">
      <c r="A110">
        <v>18</v>
      </c>
      <c r="B110">
        <v>1</v>
      </c>
      <c r="C110">
        <v>164</v>
      </c>
      <c r="E110" t="s">
        <v>327</v>
      </c>
      <c r="F110" t="s">
        <v>328</v>
      </c>
      <c r="G110" t="s">
        <v>329</v>
      </c>
      <c r="H110" t="s">
        <v>20</v>
      </c>
      <c r="I110">
        <f>I105*J110</f>
        <v>-1.48</v>
      </c>
      <c r="J110">
        <v>-2</v>
      </c>
      <c r="K110">
        <v>-2</v>
      </c>
      <c r="O110">
        <f t="shared" si="94"/>
        <v>-150.22999999999999</v>
      </c>
      <c r="P110">
        <f t="shared" si="95"/>
        <v>-150.22999999999999</v>
      </c>
      <c r="Q110">
        <f t="shared" si="96"/>
        <v>0</v>
      </c>
      <c r="R110">
        <f t="shared" si="97"/>
        <v>0</v>
      </c>
      <c r="S110">
        <f t="shared" si="98"/>
        <v>0</v>
      </c>
      <c r="T110">
        <f t="shared" si="99"/>
        <v>0</v>
      </c>
      <c r="U110">
        <f t="shared" si="100"/>
        <v>0</v>
      </c>
      <c r="V110">
        <f t="shared" si="101"/>
        <v>0</v>
      </c>
      <c r="W110">
        <f t="shared" si="102"/>
        <v>0</v>
      </c>
      <c r="X110">
        <f t="shared" si="103"/>
        <v>0</v>
      </c>
      <c r="Y110">
        <f t="shared" si="104"/>
        <v>0</v>
      </c>
      <c r="AA110">
        <v>43095088</v>
      </c>
      <c r="AB110">
        <f t="shared" si="105"/>
        <v>101.51</v>
      </c>
      <c r="AC110">
        <f t="shared" si="106"/>
        <v>101.51</v>
      </c>
      <c r="AD110">
        <f t="shared" si="134"/>
        <v>0</v>
      </c>
      <c r="AE110">
        <f t="shared" si="135"/>
        <v>0</v>
      </c>
      <c r="AF110">
        <f t="shared" si="136"/>
        <v>0</v>
      </c>
      <c r="AG110">
        <f t="shared" si="110"/>
        <v>0</v>
      </c>
      <c r="AH110">
        <f t="shared" si="137"/>
        <v>0</v>
      </c>
      <c r="AI110">
        <f t="shared" si="138"/>
        <v>0</v>
      </c>
      <c r="AJ110">
        <f t="shared" si="113"/>
        <v>0</v>
      </c>
      <c r="AK110">
        <v>101.51</v>
      </c>
      <c r="AL110">
        <v>101.51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70</v>
      </c>
      <c r="AU110">
        <v>10</v>
      </c>
      <c r="AV110">
        <v>1</v>
      </c>
      <c r="AW110">
        <v>1</v>
      </c>
      <c r="AZ110">
        <v>1</v>
      </c>
      <c r="BA110">
        <v>1</v>
      </c>
      <c r="BB110">
        <v>1</v>
      </c>
      <c r="BC110">
        <v>1</v>
      </c>
      <c r="BD110" t="s">
        <v>3</v>
      </c>
      <c r="BE110" t="s">
        <v>3</v>
      </c>
      <c r="BF110" t="s">
        <v>3</v>
      </c>
      <c r="BG110" t="s">
        <v>3</v>
      </c>
      <c r="BH110">
        <v>3</v>
      </c>
      <c r="BI110">
        <v>4</v>
      </c>
      <c r="BJ110" t="s">
        <v>330</v>
      </c>
      <c r="BM110">
        <v>0</v>
      </c>
      <c r="BN110">
        <v>0</v>
      </c>
      <c r="BO110" t="s">
        <v>3</v>
      </c>
      <c r="BP110">
        <v>0</v>
      </c>
      <c r="BQ110">
        <v>1</v>
      </c>
      <c r="BR110">
        <v>1</v>
      </c>
      <c r="BS110">
        <v>1</v>
      </c>
      <c r="BT110">
        <v>1</v>
      </c>
      <c r="BU110">
        <v>1</v>
      </c>
      <c r="BV110">
        <v>1</v>
      </c>
      <c r="BW110">
        <v>1</v>
      </c>
      <c r="BX110">
        <v>1</v>
      </c>
      <c r="BY110" t="s">
        <v>3</v>
      </c>
      <c r="BZ110">
        <v>70</v>
      </c>
      <c r="CA110">
        <v>10</v>
      </c>
      <c r="CB110" t="s">
        <v>3</v>
      </c>
      <c r="CE110">
        <v>0</v>
      </c>
      <c r="CF110">
        <v>0</v>
      </c>
      <c r="CG110">
        <v>0</v>
      </c>
      <c r="CM110">
        <v>0</v>
      </c>
      <c r="CN110" t="s">
        <v>3</v>
      </c>
      <c r="CO110">
        <v>0</v>
      </c>
      <c r="CP110">
        <f t="shared" si="114"/>
        <v>-150.22999999999999</v>
      </c>
      <c r="CQ110">
        <f t="shared" si="115"/>
        <v>101.51</v>
      </c>
      <c r="CR110">
        <f t="shared" si="139"/>
        <v>0</v>
      </c>
      <c r="CS110">
        <f t="shared" si="117"/>
        <v>0</v>
      </c>
      <c r="CT110">
        <f t="shared" si="118"/>
        <v>0</v>
      </c>
      <c r="CU110">
        <f t="shared" si="119"/>
        <v>0</v>
      </c>
      <c r="CV110">
        <f t="shared" si="120"/>
        <v>0</v>
      </c>
      <c r="CW110">
        <f t="shared" si="121"/>
        <v>0</v>
      </c>
      <c r="CX110">
        <f t="shared" si="122"/>
        <v>0</v>
      </c>
      <c r="CY110">
        <f t="shared" si="123"/>
        <v>0</v>
      </c>
      <c r="CZ110">
        <f t="shared" si="124"/>
        <v>0</v>
      </c>
      <c r="DC110" t="s">
        <v>3</v>
      </c>
      <c r="DD110" t="s">
        <v>3</v>
      </c>
      <c r="DE110" t="s">
        <v>3</v>
      </c>
      <c r="DF110" t="s">
        <v>3</v>
      </c>
      <c r="DG110" t="s">
        <v>3</v>
      </c>
      <c r="DH110" t="s">
        <v>3</v>
      </c>
      <c r="DI110" t="s">
        <v>3</v>
      </c>
      <c r="DJ110" t="s">
        <v>3</v>
      </c>
      <c r="DK110" t="s">
        <v>3</v>
      </c>
      <c r="DL110" t="s">
        <v>3</v>
      </c>
      <c r="DM110" t="s">
        <v>3</v>
      </c>
      <c r="DN110">
        <v>0</v>
      </c>
      <c r="DO110">
        <v>0</v>
      </c>
      <c r="DP110">
        <v>1</v>
      </c>
      <c r="DQ110">
        <v>1</v>
      </c>
      <c r="DU110">
        <v>1010</v>
      </c>
      <c r="DV110" t="s">
        <v>20</v>
      </c>
      <c r="DW110" t="s">
        <v>20</v>
      </c>
      <c r="DX110">
        <v>1</v>
      </c>
      <c r="DZ110" t="s">
        <v>3</v>
      </c>
      <c r="EA110" t="s">
        <v>3</v>
      </c>
      <c r="EB110" t="s">
        <v>3</v>
      </c>
      <c r="EC110" t="s">
        <v>3</v>
      </c>
      <c r="EE110">
        <v>43033442</v>
      </c>
      <c r="EF110">
        <v>1</v>
      </c>
      <c r="EG110" t="s">
        <v>22</v>
      </c>
      <c r="EH110">
        <v>0</v>
      </c>
      <c r="EI110" t="s">
        <v>3</v>
      </c>
      <c r="EJ110">
        <v>4</v>
      </c>
      <c r="EK110">
        <v>0</v>
      </c>
      <c r="EL110" t="s">
        <v>23</v>
      </c>
      <c r="EM110" t="s">
        <v>24</v>
      </c>
      <c r="EO110" t="s">
        <v>3</v>
      </c>
      <c r="EQ110">
        <v>0</v>
      </c>
      <c r="ER110">
        <v>101.51</v>
      </c>
      <c r="ES110">
        <v>101.51</v>
      </c>
      <c r="ET110">
        <v>0</v>
      </c>
      <c r="EU110">
        <v>0</v>
      </c>
      <c r="EV110">
        <v>0</v>
      </c>
      <c r="EW110">
        <v>0</v>
      </c>
      <c r="EX110">
        <v>0</v>
      </c>
      <c r="FQ110">
        <v>0</v>
      </c>
      <c r="FR110">
        <f t="shared" si="125"/>
        <v>0</v>
      </c>
      <c r="FS110">
        <v>0</v>
      </c>
      <c r="FX110">
        <v>70</v>
      </c>
      <c r="FY110">
        <v>10</v>
      </c>
      <c r="GA110" t="s">
        <v>3</v>
      </c>
      <c r="GD110">
        <v>0</v>
      </c>
      <c r="GF110">
        <v>-1403765118</v>
      </c>
      <c r="GG110">
        <v>2</v>
      </c>
      <c r="GH110">
        <v>1</v>
      </c>
      <c r="GI110">
        <v>-2</v>
      </c>
      <c r="GJ110">
        <v>0</v>
      </c>
      <c r="GK110">
        <f>ROUND(R110*(R12)/100,2)</f>
        <v>0</v>
      </c>
      <c r="GL110">
        <f t="shared" si="126"/>
        <v>0</v>
      </c>
      <c r="GM110">
        <f t="shared" si="127"/>
        <v>-150.22999999999999</v>
      </c>
      <c r="GN110">
        <f t="shared" si="128"/>
        <v>0</v>
      </c>
      <c r="GO110">
        <f t="shared" si="129"/>
        <v>0</v>
      </c>
      <c r="GP110">
        <f t="shared" si="130"/>
        <v>-150.22999999999999</v>
      </c>
      <c r="GR110">
        <v>0</v>
      </c>
      <c r="GS110">
        <v>3</v>
      </c>
      <c r="GT110">
        <v>0</v>
      </c>
      <c r="GU110" t="s">
        <v>3</v>
      </c>
      <c r="GV110">
        <f t="shared" si="131"/>
        <v>0</v>
      </c>
      <c r="GW110">
        <v>1</v>
      </c>
      <c r="GX110">
        <f t="shared" si="132"/>
        <v>0</v>
      </c>
      <c r="HA110">
        <v>0</v>
      </c>
      <c r="HB110">
        <v>0</v>
      </c>
      <c r="HC110">
        <f t="shared" si="133"/>
        <v>0</v>
      </c>
      <c r="HE110" t="s">
        <v>3</v>
      </c>
      <c r="HF110" t="s">
        <v>3</v>
      </c>
      <c r="HM110" t="s">
        <v>3</v>
      </c>
      <c r="HN110" t="s">
        <v>3</v>
      </c>
      <c r="HO110" t="s">
        <v>3</v>
      </c>
      <c r="HP110" t="s">
        <v>3</v>
      </c>
      <c r="HQ110" t="s">
        <v>3</v>
      </c>
      <c r="IK110">
        <v>0</v>
      </c>
    </row>
    <row r="111" spans="1:245" x14ac:dyDescent="0.2">
      <c r="A111">
        <v>17</v>
      </c>
      <c r="B111">
        <v>1</v>
      </c>
      <c r="C111">
        <f>ROW(SmtRes!A167)</f>
        <v>167</v>
      </c>
      <c r="D111">
        <f>ROW(EtalonRes!A154)</f>
        <v>154</v>
      </c>
      <c r="E111" t="s">
        <v>331</v>
      </c>
      <c r="F111" t="s">
        <v>156</v>
      </c>
      <c r="G111" t="s">
        <v>157</v>
      </c>
      <c r="H111" t="s">
        <v>118</v>
      </c>
      <c r="I111">
        <f>ROUND(33/100,9)</f>
        <v>0.33</v>
      </c>
      <c r="J111">
        <v>0</v>
      </c>
      <c r="K111">
        <f>ROUND(33/100,9)</f>
        <v>0.33</v>
      </c>
      <c r="O111">
        <f t="shared" si="94"/>
        <v>682.12</v>
      </c>
      <c r="P111">
        <f t="shared" si="95"/>
        <v>0</v>
      </c>
      <c r="Q111">
        <f t="shared" si="96"/>
        <v>0</v>
      </c>
      <c r="R111">
        <f t="shared" si="97"/>
        <v>0</v>
      </c>
      <c r="S111">
        <f t="shared" si="98"/>
        <v>682.12</v>
      </c>
      <c r="T111">
        <f t="shared" si="99"/>
        <v>0</v>
      </c>
      <c r="U111">
        <f t="shared" si="100"/>
        <v>2.7357</v>
      </c>
      <c r="V111">
        <f t="shared" si="101"/>
        <v>0</v>
      </c>
      <c r="W111">
        <f t="shared" si="102"/>
        <v>0</v>
      </c>
      <c r="X111">
        <f t="shared" si="103"/>
        <v>477.48</v>
      </c>
      <c r="Y111">
        <f t="shared" si="104"/>
        <v>68.209999999999994</v>
      </c>
      <c r="AA111">
        <v>43095088</v>
      </c>
      <c r="AB111">
        <f t="shared" si="105"/>
        <v>2067.0300000000002</v>
      </c>
      <c r="AC111">
        <f t="shared" si="106"/>
        <v>0</v>
      </c>
      <c r="AD111">
        <f t="shared" si="134"/>
        <v>0</v>
      </c>
      <c r="AE111">
        <f t="shared" si="135"/>
        <v>0</v>
      </c>
      <c r="AF111">
        <f t="shared" si="136"/>
        <v>2067.0300000000002</v>
      </c>
      <c r="AG111">
        <f t="shared" si="110"/>
        <v>0</v>
      </c>
      <c r="AH111">
        <f t="shared" si="137"/>
        <v>8.2899999999999991</v>
      </c>
      <c r="AI111">
        <f t="shared" si="138"/>
        <v>0</v>
      </c>
      <c r="AJ111">
        <f t="shared" si="113"/>
        <v>0</v>
      </c>
      <c r="AK111">
        <v>2067.0300000000002</v>
      </c>
      <c r="AL111">
        <v>0</v>
      </c>
      <c r="AM111">
        <v>0</v>
      </c>
      <c r="AN111">
        <v>0</v>
      </c>
      <c r="AO111">
        <v>2067.0300000000002</v>
      </c>
      <c r="AP111">
        <v>0</v>
      </c>
      <c r="AQ111">
        <v>8.2899999999999991</v>
      </c>
      <c r="AR111">
        <v>0</v>
      </c>
      <c r="AS111">
        <v>0</v>
      </c>
      <c r="AT111">
        <v>70</v>
      </c>
      <c r="AU111">
        <v>10</v>
      </c>
      <c r="AV111">
        <v>1</v>
      </c>
      <c r="AW111">
        <v>1</v>
      </c>
      <c r="AZ111">
        <v>1</v>
      </c>
      <c r="BA111">
        <v>1</v>
      </c>
      <c r="BB111">
        <v>1</v>
      </c>
      <c r="BC111">
        <v>1</v>
      </c>
      <c r="BD111" t="s">
        <v>3</v>
      </c>
      <c r="BE111" t="s">
        <v>3</v>
      </c>
      <c r="BF111" t="s">
        <v>3</v>
      </c>
      <c r="BG111" t="s">
        <v>3</v>
      </c>
      <c r="BH111">
        <v>0</v>
      </c>
      <c r="BI111">
        <v>4</v>
      </c>
      <c r="BJ111" t="s">
        <v>158</v>
      </c>
      <c r="BM111">
        <v>0</v>
      </c>
      <c r="BN111">
        <v>0</v>
      </c>
      <c r="BO111" t="s">
        <v>3</v>
      </c>
      <c r="BP111">
        <v>0</v>
      </c>
      <c r="BQ111">
        <v>1</v>
      </c>
      <c r="BR111">
        <v>0</v>
      </c>
      <c r="BS111">
        <v>1</v>
      </c>
      <c r="BT111">
        <v>1</v>
      </c>
      <c r="BU111">
        <v>1</v>
      </c>
      <c r="BV111">
        <v>1</v>
      </c>
      <c r="BW111">
        <v>1</v>
      </c>
      <c r="BX111">
        <v>1</v>
      </c>
      <c r="BY111" t="s">
        <v>3</v>
      </c>
      <c r="BZ111">
        <v>70</v>
      </c>
      <c r="CA111">
        <v>10</v>
      </c>
      <c r="CB111" t="s">
        <v>3</v>
      </c>
      <c r="CE111">
        <v>0</v>
      </c>
      <c r="CF111">
        <v>0</v>
      </c>
      <c r="CG111">
        <v>0</v>
      </c>
      <c r="CM111">
        <v>0</v>
      </c>
      <c r="CN111" t="s">
        <v>3</v>
      </c>
      <c r="CO111">
        <v>0</v>
      </c>
      <c r="CP111">
        <f t="shared" si="114"/>
        <v>682.12</v>
      </c>
      <c r="CQ111">
        <f t="shared" si="115"/>
        <v>0</v>
      </c>
      <c r="CR111">
        <f t="shared" si="139"/>
        <v>0</v>
      </c>
      <c r="CS111">
        <f t="shared" si="117"/>
        <v>0</v>
      </c>
      <c r="CT111">
        <f t="shared" si="118"/>
        <v>2067.0300000000002</v>
      </c>
      <c r="CU111">
        <f t="shared" si="119"/>
        <v>0</v>
      </c>
      <c r="CV111">
        <f t="shared" si="120"/>
        <v>8.2899999999999991</v>
      </c>
      <c r="CW111">
        <f t="shared" si="121"/>
        <v>0</v>
      </c>
      <c r="CX111">
        <f t="shared" si="122"/>
        <v>0</v>
      </c>
      <c r="CY111">
        <f t="shared" si="123"/>
        <v>477.48400000000004</v>
      </c>
      <c r="CZ111">
        <f t="shared" si="124"/>
        <v>68.212000000000003</v>
      </c>
      <c r="DC111" t="s">
        <v>3</v>
      </c>
      <c r="DD111" t="s">
        <v>3</v>
      </c>
      <c r="DE111" t="s">
        <v>3</v>
      </c>
      <c r="DF111" t="s">
        <v>3</v>
      </c>
      <c r="DG111" t="s">
        <v>3</v>
      </c>
      <c r="DH111" t="s">
        <v>3</v>
      </c>
      <c r="DI111" t="s">
        <v>3</v>
      </c>
      <c r="DJ111" t="s">
        <v>3</v>
      </c>
      <c r="DK111" t="s">
        <v>3</v>
      </c>
      <c r="DL111" t="s">
        <v>3</v>
      </c>
      <c r="DM111" t="s">
        <v>3</v>
      </c>
      <c r="DN111">
        <v>0</v>
      </c>
      <c r="DO111">
        <v>0</v>
      </c>
      <c r="DP111">
        <v>1</v>
      </c>
      <c r="DQ111">
        <v>1</v>
      </c>
      <c r="DU111">
        <v>1003</v>
      </c>
      <c r="DV111" t="s">
        <v>118</v>
      </c>
      <c r="DW111" t="s">
        <v>118</v>
      </c>
      <c r="DX111">
        <v>100</v>
      </c>
      <c r="DZ111" t="s">
        <v>3</v>
      </c>
      <c r="EA111" t="s">
        <v>3</v>
      </c>
      <c r="EB111" t="s">
        <v>3</v>
      </c>
      <c r="EC111" t="s">
        <v>3</v>
      </c>
      <c r="EE111">
        <v>43033442</v>
      </c>
      <c r="EF111">
        <v>1</v>
      </c>
      <c r="EG111" t="s">
        <v>22</v>
      </c>
      <c r="EH111">
        <v>0</v>
      </c>
      <c r="EI111" t="s">
        <v>3</v>
      </c>
      <c r="EJ111">
        <v>4</v>
      </c>
      <c r="EK111">
        <v>0</v>
      </c>
      <c r="EL111" t="s">
        <v>23</v>
      </c>
      <c r="EM111" t="s">
        <v>24</v>
      </c>
      <c r="EO111" t="s">
        <v>3</v>
      </c>
      <c r="EQ111">
        <v>0</v>
      </c>
      <c r="ER111">
        <v>2067.0300000000002</v>
      </c>
      <c r="ES111">
        <v>0</v>
      </c>
      <c r="ET111">
        <v>0</v>
      </c>
      <c r="EU111">
        <v>0</v>
      </c>
      <c r="EV111">
        <v>2067.0300000000002</v>
      </c>
      <c r="EW111">
        <v>8.2899999999999991</v>
      </c>
      <c r="EX111">
        <v>0</v>
      </c>
      <c r="EY111">
        <v>0</v>
      </c>
      <c r="FQ111">
        <v>0</v>
      </c>
      <c r="FR111">
        <f t="shared" si="125"/>
        <v>0</v>
      </c>
      <c r="FS111">
        <v>0</v>
      </c>
      <c r="FX111">
        <v>70</v>
      </c>
      <c r="FY111">
        <v>10</v>
      </c>
      <c r="GA111" t="s">
        <v>3</v>
      </c>
      <c r="GD111">
        <v>0</v>
      </c>
      <c r="GF111">
        <v>-1023371187</v>
      </c>
      <c r="GG111">
        <v>2</v>
      </c>
      <c r="GH111">
        <v>1</v>
      </c>
      <c r="GI111">
        <v>-2</v>
      </c>
      <c r="GJ111">
        <v>0</v>
      </c>
      <c r="GK111">
        <f>ROUND(R111*(R12)/100,2)</f>
        <v>0</v>
      </c>
      <c r="GL111">
        <f t="shared" si="126"/>
        <v>0</v>
      </c>
      <c r="GM111">
        <f t="shared" si="127"/>
        <v>1227.81</v>
      </c>
      <c r="GN111">
        <f t="shared" si="128"/>
        <v>0</v>
      </c>
      <c r="GO111">
        <f t="shared" si="129"/>
        <v>0</v>
      </c>
      <c r="GP111">
        <f t="shared" si="130"/>
        <v>1227.81</v>
      </c>
      <c r="GR111">
        <v>0</v>
      </c>
      <c r="GS111">
        <v>3</v>
      </c>
      <c r="GT111">
        <v>0</v>
      </c>
      <c r="GU111" t="s">
        <v>3</v>
      </c>
      <c r="GV111">
        <f t="shared" si="131"/>
        <v>0</v>
      </c>
      <c r="GW111">
        <v>1</v>
      </c>
      <c r="GX111">
        <f t="shared" si="132"/>
        <v>0</v>
      </c>
      <c r="HA111">
        <v>0</v>
      </c>
      <c r="HB111">
        <v>0</v>
      </c>
      <c r="HC111">
        <f t="shared" si="133"/>
        <v>0</v>
      </c>
      <c r="HE111" t="s">
        <v>3</v>
      </c>
      <c r="HF111" t="s">
        <v>3</v>
      </c>
      <c r="HM111" t="s">
        <v>3</v>
      </c>
      <c r="HN111" t="s">
        <v>3</v>
      </c>
      <c r="HO111" t="s">
        <v>3</v>
      </c>
      <c r="HP111" t="s">
        <v>3</v>
      </c>
      <c r="HQ111" t="s">
        <v>3</v>
      </c>
      <c r="IK111">
        <v>0</v>
      </c>
    </row>
    <row r="112" spans="1:245" x14ac:dyDescent="0.2">
      <c r="A112">
        <v>18</v>
      </c>
      <c r="B112">
        <v>1</v>
      </c>
      <c r="C112">
        <v>167</v>
      </c>
      <c r="E112" t="s">
        <v>332</v>
      </c>
      <c r="F112" t="s">
        <v>333</v>
      </c>
      <c r="G112" t="s">
        <v>334</v>
      </c>
      <c r="H112" t="s">
        <v>219</v>
      </c>
      <c r="I112">
        <f>I111*J112</f>
        <v>3.3660000000000002E-2</v>
      </c>
      <c r="J112">
        <v>0.10200000000000001</v>
      </c>
      <c r="K112">
        <v>0.10199999999999999</v>
      </c>
      <c r="O112">
        <f t="shared" si="94"/>
        <v>6089.05</v>
      </c>
      <c r="P112">
        <f t="shared" si="95"/>
        <v>6089.05</v>
      </c>
      <c r="Q112">
        <f t="shared" si="96"/>
        <v>0</v>
      </c>
      <c r="R112">
        <f t="shared" si="97"/>
        <v>0</v>
      </c>
      <c r="S112">
        <f t="shared" si="98"/>
        <v>0</v>
      </c>
      <c r="T112">
        <f t="shared" si="99"/>
        <v>0</v>
      </c>
      <c r="U112">
        <f t="shared" si="100"/>
        <v>0</v>
      </c>
      <c r="V112">
        <f t="shared" si="101"/>
        <v>0</v>
      </c>
      <c r="W112">
        <f t="shared" si="102"/>
        <v>0</v>
      </c>
      <c r="X112">
        <f t="shared" si="103"/>
        <v>0</v>
      </c>
      <c r="Y112">
        <f t="shared" si="104"/>
        <v>0</v>
      </c>
      <c r="AA112">
        <v>43095088</v>
      </c>
      <c r="AB112">
        <f t="shared" si="105"/>
        <v>180898.67</v>
      </c>
      <c r="AC112">
        <f t="shared" si="106"/>
        <v>180898.67</v>
      </c>
      <c r="AD112">
        <f t="shared" si="134"/>
        <v>0</v>
      </c>
      <c r="AE112">
        <f t="shared" si="135"/>
        <v>0</v>
      </c>
      <c r="AF112">
        <f t="shared" si="136"/>
        <v>0</v>
      </c>
      <c r="AG112">
        <f t="shared" si="110"/>
        <v>0</v>
      </c>
      <c r="AH112">
        <f t="shared" si="137"/>
        <v>0</v>
      </c>
      <c r="AI112">
        <f t="shared" si="138"/>
        <v>0</v>
      </c>
      <c r="AJ112">
        <f t="shared" si="113"/>
        <v>0</v>
      </c>
      <c r="AK112">
        <v>180898.67</v>
      </c>
      <c r="AL112">
        <v>180898.67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70</v>
      </c>
      <c r="AU112">
        <v>10</v>
      </c>
      <c r="AV112">
        <v>1</v>
      </c>
      <c r="AW112">
        <v>1</v>
      </c>
      <c r="AZ112">
        <v>1</v>
      </c>
      <c r="BA112">
        <v>1</v>
      </c>
      <c r="BB112">
        <v>1</v>
      </c>
      <c r="BC112">
        <v>1</v>
      </c>
      <c r="BD112" t="s">
        <v>3</v>
      </c>
      <c r="BE112" t="s">
        <v>3</v>
      </c>
      <c r="BF112" t="s">
        <v>3</v>
      </c>
      <c r="BG112" t="s">
        <v>3</v>
      </c>
      <c r="BH112">
        <v>3</v>
      </c>
      <c r="BI112">
        <v>4</v>
      </c>
      <c r="BJ112" t="s">
        <v>335</v>
      </c>
      <c r="BM112">
        <v>0</v>
      </c>
      <c r="BN112">
        <v>0</v>
      </c>
      <c r="BO112" t="s">
        <v>3</v>
      </c>
      <c r="BP112">
        <v>0</v>
      </c>
      <c r="BQ112">
        <v>1</v>
      </c>
      <c r="BR112">
        <v>0</v>
      </c>
      <c r="BS112">
        <v>1</v>
      </c>
      <c r="BT112">
        <v>1</v>
      </c>
      <c r="BU112">
        <v>1</v>
      </c>
      <c r="BV112">
        <v>1</v>
      </c>
      <c r="BW112">
        <v>1</v>
      </c>
      <c r="BX112">
        <v>1</v>
      </c>
      <c r="BY112" t="s">
        <v>3</v>
      </c>
      <c r="BZ112">
        <v>70</v>
      </c>
      <c r="CA112">
        <v>10</v>
      </c>
      <c r="CB112" t="s">
        <v>3</v>
      </c>
      <c r="CE112">
        <v>0</v>
      </c>
      <c r="CF112">
        <v>0</v>
      </c>
      <c r="CG112">
        <v>0</v>
      </c>
      <c r="CM112">
        <v>0</v>
      </c>
      <c r="CN112" t="s">
        <v>3</v>
      </c>
      <c r="CO112">
        <v>0</v>
      </c>
      <c r="CP112">
        <f t="shared" si="114"/>
        <v>6089.05</v>
      </c>
      <c r="CQ112">
        <f t="shared" si="115"/>
        <v>180898.67</v>
      </c>
      <c r="CR112">
        <f t="shared" si="139"/>
        <v>0</v>
      </c>
      <c r="CS112">
        <f t="shared" si="117"/>
        <v>0</v>
      </c>
      <c r="CT112">
        <f t="shared" si="118"/>
        <v>0</v>
      </c>
      <c r="CU112">
        <f t="shared" si="119"/>
        <v>0</v>
      </c>
      <c r="CV112">
        <f t="shared" si="120"/>
        <v>0</v>
      </c>
      <c r="CW112">
        <f t="shared" si="121"/>
        <v>0</v>
      </c>
      <c r="CX112">
        <f t="shared" si="122"/>
        <v>0</v>
      </c>
      <c r="CY112">
        <f t="shared" si="123"/>
        <v>0</v>
      </c>
      <c r="CZ112">
        <f t="shared" si="124"/>
        <v>0</v>
      </c>
      <c r="DC112" t="s">
        <v>3</v>
      </c>
      <c r="DD112" t="s">
        <v>3</v>
      </c>
      <c r="DE112" t="s">
        <v>3</v>
      </c>
      <c r="DF112" t="s">
        <v>3</v>
      </c>
      <c r="DG112" t="s">
        <v>3</v>
      </c>
      <c r="DH112" t="s">
        <v>3</v>
      </c>
      <c r="DI112" t="s">
        <v>3</v>
      </c>
      <c r="DJ112" t="s">
        <v>3</v>
      </c>
      <c r="DK112" t="s">
        <v>3</v>
      </c>
      <c r="DL112" t="s">
        <v>3</v>
      </c>
      <c r="DM112" t="s">
        <v>3</v>
      </c>
      <c r="DN112">
        <v>0</v>
      </c>
      <c r="DO112">
        <v>0</v>
      </c>
      <c r="DP112">
        <v>1</v>
      </c>
      <c r="DQ112">
        <v>1</v>
      </c>
      <c r="DU112">
        <v>1003</v>
      </c>
      <c r="DV112" t="s">
        <v>219</v>
      </c>
      <c r="DW112" t="s">
        <v>219</v>
      </c>
      <c r="DX112">
        <v>1000</v>
      </c>
      <c r="DZ112" t="s">
        <v>3</v>
      </c>
      <c r="EA112" t="s">
        <v>3</v>
      </c>
      <c r="EB112" t="s">
        <v>3</v>
      </c>
      <c r="EC112" t="s">
        <v>3</v>
      </c>
      <c r="EE112">
        <v>43033442</v>
      </c>
      <c r="EF112">
        <v>1</v>
      </c>
      <c r="EG112" t="s">
        <v>22</v>
      </c>
      <c r="EH112">
        <v>0</v>
      </c>
      <c r="EI112" t="s">
        <v>3</v>
      </c>
      <c r="EJ112">
        <v>4</v>
      </c>
      <c r="EK112">
        <v>0</v>
      </c>
      <c r="EL112" t="s">
        <v>23</v>
      </c>
      <c r="EM112" t="s">
        <v>24</v>
      </c>
      <c r="EO112" t="s">
        <v>3</v>
      </c>
      <c r="EQ112">
        <v>0</v>
      </c>
      <c r="ER112">
        <v>180898.67</v>
      </c>
      <c r="ES112">
        <v>180898.67</v>
      </c>
      <c r="ET112">
        <v>0</v>
      </c>
      <c r="EU112">
        <v>0</v>
      </c>
      <c r="EV112">
        <v>0</v>
      </c>
      <c r="EW112">
        <v>0</v>
      </c>
      <c r="EX112">
        <v>0</v>
      </c>
      <c r="FQ112">
        <v>0</v>
      </c>
      <c r="FR112">
        <f t="shared" si="125"/>
        <v>0</v>
      </c>
      <c r="FS112">
        <v>0</v>
      </c>
      <c r="FX112">
        <v>70</v>
      </c>
      <c r="FY112">
        <v>10</v>
      </c>
      <c r="GA112" t="s">
        <v>3</v>
      </c>
      <c r="GD112">
        <v>0</v>
      </c>
      <c r="GF112">
        <v>-1043724858</v>
      </c>
      <c r="GG112">
        <v>2</v>
      </c>
      <c r="GH112">
        <v>1</v>
      </c>
      <c r="GI112">
        <v>-2</v>
      </c>
      <c r="GJ112">
        <v>0</v>
      </c>
      <c r="GK112">
        <f>ROUND(R112*(R12)/100,2)</f>
        <v>0</v>
      </c>
      <c r="GL112">
        <f t="shared" si="126"/>
        <v>0</v>
      </c>
      <c r="GM112">
        <f t="shared" si="127"/>
        <v>6089.05</v>
      </c>
      <c r="GN112">
        <f t="shared" si="128"/>
        <v>0</v>
      </c>
      <c r="GO112">
        <f t="shared" si="129"/>
        <v>0</v>
      </c>
      <c r="GP112">
        <f t="shared" si="130"/>
        <v>6089.05</v>
      </c>
      <c r="GR112">
        <v>0</v>
      </c>
      <c r="GS112">
        <v>3</v>
      </c>
      <c r="GT112">
        <v>0</v>
      </c>
      <c r="GU112" t="s">
        <v>3</v>
      </c>
      <c r="GV112">
        <f t="shared" si="131"/>
        <v>0</v>
      </c>
      <c r="GW112">
        <v>1</v>
      </c>
      <c r="GX112">
        <f t="shared" si="132"/>
        <v>0</v>
      </c>
      <c r="HA112">
        <v>0</v>
      </c>
      <c r="HB112">
        <v>0</v>
      </c>
      <c r="HC112">
        <f t="shared" si="133"/>
        <v>0</v>
      </c>
      <c r="HE112" t="s">
        <v>3</v>
      </c>
      <c r="HF112" t="s">
        <v>3</v>
      </c>
      <c r="HM112" t="s">
        <v>3</v>
      </c>
      <c r="HN112" t="s">
        <v>3</v>
      </c>
      <c r="HO112" t="s">
        <v>3</v>
      </c>
      <c r="HP112" t="s">
        <v>3</v>
      </c>
      <c r="HQ112" t="s">
        <v>3</v>
      </c>
      <c r="IK112">
        <v>0</v>
      </c>
    </row>
    <row r="113" spans="1:245" x14ac:dyDescent="0.2">
      <c r="A113">
        <v>17</v>
      </c>
      <c r="B113">
        <v>1</v>
      </c>
      <c r="C113">
        <f>ROW(SmtRes!A176)</f>
        <v>176</v>
      </c>
      <c r="D113">
        <f>ROW(EtalonRes!A162)</f>
        <v>162</v>
      </c>
      <c r="E113" t="s">
        <v>336</v>
      </c>
      <c r="F113" t="s">
        <v>212</v>
      </c>
      <c r="G113" t="s">
        <v>213</v>
      </c>
      <c r="H113" t="s">
        <v>118</v>
      </c>
      <c r="I113">
        <f>ROUND(480/100,9)</f>
        <v>4.8</v>
      </c>
      <c r="J113">
        <v>0</v>
      </c>
      <c r="K113">
        <f>ROUND(480/100,9)</f>
        <v>4.8</v>
      </c>
      <c r="O113">
        <f t="shared" si="94"/>
        <v>86680.9</v>
      </c>
      <c r="P113">
        <f t="shared" si="95"/>
        <v>81007.92</v>
      </c>
      <c r="Q113">
        <f t="shared" si="96"/>
        <v>0</v>
      </c>
      <c r="R113">
        <f t="shared" si="97"/>
        <v>0</v>
      </c>
      <c r="S113">
        <f t="shared" si="98"/>
        <v>5672.98</v>
      </c>
      <c r="T113">
        <f t="shared" si="99"/>
        <v>0</v>
      </c>
      <c r="U113">
        <f t="shared" si="100"/>
        <v>22.751999999999999</v>
      </c>
      <c r="V113">
        <f t="shared" si="101"/>
        <v>0</v>
      </c>
      <c r="W113">
        <f t="shared" si="102"/>
        <v>0</v>
      </c>
      <c r="X113">
        <f t="shared" si="103"/>
        <v>3971.09</v>
      </c>
      <c r="Y113">
        <f t="shared" si="104"/>
        <v>567.29999999999995</v>
      </c>
      <c r="AA113">
        <v>43095088</v>
      </c>
      <c r="AB113">
        <f t="shared" si="105"/>
        <v>18058.52</v>
      </c>
      <c r="AC113">
        <f t="shared" si="106"/>
        <v>16876.650000000001</v>
      </c>
      <c r="AD113">
        <f t="shared" si="134"/>
        <v>0</v>
      </c>
      <c r="AE113">
        <f t="shared" si="135"/>
        <v>0</v>
      </c>
      <c r="AF113">
        <f t="shared" si="136"/>
        <v>1181.8699999999999</v>
      </c>
      <c r="AG113">
        <f t="shared" si="110"/>
        <v>0</v>
      </c>
      <c r="AH113">
        <f t="shared" si="137"/>
        <v>4.74</v>
      </c>
      <c r="AI113">
        <f t="shared" si="138"/>
        <v>0</v>
      </c>
      <c r="AJ113">
        <f t="shared" si="113"/>
        <v>0</v>
      </c>
      <c r="AK113">
        <v>18058.52</v>
      </c>
      <c r="AL113">
        <v>16876.650000000001</v>
      </c>
      <c r="AM113">
        <v>0</v>
      </c>
      <c r="AN113">
        <v>0</v>
      </c>
      <c r="AO113">
        <v>1181.8699999999999</v>
      </c>
      <c r="AP113">
        <v>0</v>
      </c>
      <c r="AQ113">
        <v>4.74</v>
      </c>
      <c r="AR113">
        <v>0</v>
      </c>
      <c r="AS113">
        <v>0</v>
      </c>
      <c r="AT113">
        <v>70</v>
      </c>
      <c r="AU113">
        <v>10</v>
      </c>
      <c r="AV113">
        <v>1</v>
      </c>
      <c r="AW113">
        <v>1</v>
      </c>
      <c r="AZ113">
        <v>1</v>
      </c>
      <c r="BA113">
        <v>1</v>
      </c>
      <c r="BB113">
        <v>1</v>
      </c>
      <c r="BC113">
        <v>1</v>
      </c>
      <c r="BD113" t="s">
        <v>3</v>
      </c>
      <c r="BE113" t="s">
        <v>3</v>
      </c>
      <c r="BF113" t="s">
        <v>3</v>
      </c>
      <c r="BG113" t="s">
        <v>3</v>
      </c>
      <c r="BH113">
        <v>0</v>
      </c>
      <c r="BI113">
        <v>4</v>
      </c>
      <c r="BJ113" t="s">
        <v>214</v>
      </c>
      <c r="BM113">
        <v>0</v>
      </c>
      <c r="BN113">
        <v>0</v>
      </c>
      <c r="BO113" t="s">
        <v>3</v>
      </c>
      <c r="BP113">
        <v>0</v>
      </c>
      <c r="BQ113">
        <v>1</v>
      </c>
      <c r="BR113">
        <v>0</v>
      </c>
      <c r="BS113">
        <v>1</v>
      </c>
      <c r="BT113">
        <v>1</v>
      </c>
      <c r="BU113">
        <v>1</v>
      </c>
      <c r="BV113">
        <v>1</v>
      </c>
      <c r="BW113">
        <v>1</v>
      </c>
      <c r="BX113">
        <v>1</v>
      </c>
      <c r="BY113" t="s">
        <v>3</v>
      </c>
      <c r="BZ113">
        <v>70</v>
      </c>
      <c r="CA113">
        <v>10</v>
      </c>
      <c r="CB113" t="s">
        <v>3</v>
      </c>
      <c r="CE113">
        <v>0</v>
      </c>
      <c r="CF113">
        <v>0</v>
      </c>
      <c r="CG113">
        <v>0</v>
      </c>
      <c r="CM113">
        <v>0</v>
      </c>
      <c r="CN113" t="s">
        <v>3</v>
      </c>
      <c r="CO113">
        <v>0</v>
      </c>
      <c r="CP113">
        <f t="shared" si="114"/>
        <v>86680.9</v>
      </c>
      <c r="CQ113">
        <f t="shared" si="115"/>
        <v>16876.650000000001</v>
      </c>
      <c r="CR113">
        <f t="shared" si="139"/>
        <v>0</v>
      </c>
      <c r="CS113">
        <f t="shared" si="117"/>
        <v>0</v>
      </c>
      <c r="CT113">
        <f t="shared" si="118"/>
        <v>1181.8699999999999</v>
      </c>
      <c r="CU113">
        <f t="shared" si="119"/>
        <v>0</v>
      </c>
      <c r="CV113">
        <f t="shared" si="120"/>
        <v>4.74</v>
      </c>
      <c r="CW113">
        <f t="shared" si="121"/>
        <v>0</v>
      </c>
      <c r="CX113">
        <f t="shared" si="122"/>
        <v>0</v>
      </c>
      <c r="CY113">
        <f t="shared" si="123"/>
        <v>3971.0859999999998</v>
      </c>
      <c r="CZ113">
        <f t="shared" si="124"/>
        <v>567.298</v>
      </c>
      <c r="DC113" t="s">
        <v>3</v>
      </c>
      <c r="DD113" t="s">
        <v>3</v>
      </c>
      <c r="DE113" t="s">
        <v>3</v>
      </c>
      <c r="DF113" t="s">
        <v>3</v>
      </c>
      <c r="DG113" t="s">
        <v>3</v>
      </c>
      <c r="DH113" t="s">
        <v>3</v>
      </c>
      <c r="DI113" t="s">
        <v>3</v>
      </c>
      <c r="DJ113" t="s">
        <v>3</v>
      </c>
      <c r="DK113" t="s">
        <v>3</v>
      </c>
      <c r="DL113" t="s">
        <v>3</v>
      </c>
      <c r="DM113" t="s">
        <v>3</v>
      </c>
      <c r="DN113">
        <v>0</v>
      </c>
      <c r="DO113">
        <v>0</v>
      </c>
      <c r="DP113">
        <v>1</v>
      </c>
      <c r="DQ113">
        <v>1</v>
      </c>
      <c r="DU113">
        <v>1003</v>
      </c>
      <c r="DV113" t="s">
        <v>118</v>
      </c>
      <c r="DW113" t="s">
        <v>118</v>
      </c>
      <c r="DX113">
        <v>100</v>
      </c>
      <c r="DZ113" t="s">
        <v>3</v>
      </c>
      <c r="EA113" t="s">
        <v>3</v>
      </c>
      <c r="EB113" t="s">
        <v>3</v>
      </c>
      <c r="EC113" t="s">
        <v>3</v>
      </c>
      <c r="EE113">
        <v>43033442</v>
      </c>
      <c r="EF113">
        <v>1</v>
      </c>
      <c r="EG113" t="s">
        <v>22</v>
      </c>
      <c r="EH113">
        <v>0</v>
      </c>
      <c r="EI113" t="s">
        <v>3</v>
      </c>
      <c r="EJ113">
        <v>4</v>
      </c>
      <c r="EK113">
        <v>0</v>
      </c>
      <c r="EL113" t="s">
        <v>23</v>
      </c>
      <c r="EM113" t="s">
        <v>24</v>
      </c>
      <c r="EO113" t="s">
        <v>3</v>
      </c>
      <c r="EQ113">
        <v>0</v>
      </c>
      <c r="ER113">
        <v>18058.52</v>
      </c>
      <c r="ES113">
        <v>16876.650000000001</v>
      </c>
      <c r="ET113">
        <v>0</v>
      </c>
      <c r="EU113">
        <v>0</v>
      </c>
      <c r="EV113">
        <v>1181.8699999999999</v>
      </c>
      <c r="EW113">
        <v>4.74</v>
      </c>
      <c r="EX113">
        <v>0</v>
      </c>
      <c r="EY113">
        <v>0</v>
      </c>
      <c r="FQ113">
        <v>0</v>
      </c>
      <c r="FR113">
        <f t="shared" si="125"/>
        <v>0</v>
      </c>
      <c r="FS113">
        <v>0</v>
      </c>
      <c r="FX113">
        <v>70</v>
      </c>
      <c r="FY113">
        <v>10</v>
      </c>
      <c r="GA113" t="s">
        <v>3</v>
      </c>
      <c r="GD113">
        <v>0</v>
      </c>
      <c r="GF113">
        <v>161514742</v>
      </c>
      <c r="GG113">
        <v>2</v>
      </c>
      <c r="GH113">
        <v>1</v>
      </c>
      <c r="GI113">
        <v>-2</v>
      </c>
      <c r="GJ113">
        <v>0</v>
      </c>
      <c r="GK113">
        <f>ROUND(R113*(R12)/100,2)</f>
        <v>0</v>
      </c>
      <c r="GL113">
        <f t="shared" si="126"/>
        <v>0</v>
      </c>
      <c r="GM113">
        <f t="shared" si="127"/>
        <v>91219.29</v>
      </c>
      <c r="GN113">
        <f t="shared" si="128"/>
        <v>0</v>
      </c>
      <c r="GO113">
        <f t="shared" si="129"/>
        <v>0</v>
      </c>
      <c r="GP113">
        <f t="shared" si="130"/>
        <v>91219.29</v>
      </c>
      <c r="GR113">
        <v>0</v>
      </c>
      <c r="GS113">
        <v>3</v>
      </c>
      <c r="GT113">
        <v>0</v>
      </c>
      <c r="GU113" t="s">
        <v>3</v>
      </c>
      <c r="GV113">
        <f t="shared" si="131"/>
        <v>0</v>
      </c>
      <c r="GW113">
        <v>1</v>
      </c>
      <c r="GX113">
        <f t="shared" si="132"/>
        <v>0</v>
      </c>
      <c r="HA113">
        <v>0</v>
      </c>
      <c r="HB113">
        <v>0</v>
      </c>
      <c r="HC113">
        <f t="shared" si="133"/>
        <v>0</v>
      </c>
      <c r="HE113" t="s">
        <v>3</v>
      </c>
      <c r="HF113" t="s">
        <v>3</v>
      </c>
      <c r="HM113" t="s">
        <v>3</v>
      </c>
      <c r="HN113" t="s">
        <v>3</v>
      </c>
      <c r="HO113" t="s">
        <v>3</v>
      </c>
      <c r="HP113" t="s">
        <v>3</v>
      </c>
      <c r="HQ113" t="s">
        <v>3</v>
      </c>
      <c r="IK113">
        <v>0</v>
      </c>
    </row>
    <row r="114" spans="1:245" x14ac:dyDescent="0.2">
      <c r="A114">
        <v>18</v>
      </c>
      <c r="B114">
        <v>1</v>
      </c>
      <c r="C114">
        <v>176</v>
      </c>
      <c r="E114" t="s">
        <v>337</v>
      </c>
      <c r="F114" t="s">
        <v>333</v>
      </c>
      <c r="G114" t="s">
        <v>334</v>
      </c>
      <c r="H114" t="s">
        <v>219</v>
      </c>
      <c r="I114">
        <f>I113*J114</f>
        <v>0.48959999999999992</v>
      </c>
      <c r="J114">
        <v>0.10199999999999999</v>
      </c>
      <c r="K114">
        <v>0.10199999999999999</v>
      </c>
      <c r="O114">
        <f t="shared" si="94"/>
        <v>88567.99</v>
      </c>
      <c r="P114">
        <f t="shared" si="95"/>
        <v>88567.99</v>
      </c>
      <c r="Q114">
        <f t="shared" si="96"/>
        <v>0</v>
      </c>
      <c r="R114">
        <f t="shared" si="97"/>
        <v>0</v>
      </c>
      <c r="S114">
        <f t="shared" si="98"/>
        <v>0</v>
      </c>
      <c r="T114">
        <f t="shared" si="99"/>
        <v>0</v>
      </c>
      <c r="U114">
        <f t="shared" si="100"/>
        <v>0</v>
      </c>
      <c r="V114">
        <f t="shared" si="101"/>
        <v>0</v>
      </c>
      <c r="W114">
        <f t="shared" si="102"/>
        <v>0</v>
      </c>
      <c r="X114">
        <f t="shared" si="103"/>
        <v>0</v>
      </c>
      <c r="Y114">
        <f t="shared" si="104"/>
        <v>0</v>
      </c>
      <c r="AA114">
        <v>43095088</v>
      </c>
      <c r="AB114">
        <f t="shared" si="105"/>
        <v>180898.67</v>
      </c>
      <c r="AC114">
        <f t="shared" si="106"/>
        <v>180898.67</v>
      </c>
      <c r="AD114">
        <f t="shared" si="134"/>
        <v>0</v>
      </c>
      <c r="AE114">
        <f t="shared" si="135"/>
        <v>0</v>
      </c>
      <c r="AF114">
        <f t="shared" si="136"/>
        <v>0</v>
      </c>
      <c r="AG114">
        <f t="shared" si="110"/>
        <v>0</v>
      </c>
      <c r="AH114">
        <f t="shared" si="137"/>
        <v>0</v>
      </c>
      <c r="AI114">
        <f t="shared" si="138"/>
        <v>0</v>
      </c>
      <c r="AJ114">
        <f t="shared" si="113"/>
        <v>0</v>
      </c>
      <c r="AK114">
        <v>180898.67</v>
      </c>
      <c r="AL114">
        <v>180898.67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70</v>
      </c>
      <c r="AU114">
        <v>10</v>
      </c>
      <c r="AV114">
        <v>1</v>
      </c>
      <c r="AW114">
        <v>1</v>
      </c>
      <c r="AZ114">
        <v>1</v>
      </c>
      <c r="BA114">
        <v>1</v>
      </c>
      <c r="BB114">
        <v>1</v>
      </c>
      <c r="BC114">
        <v>1</v>
      </c>
      <c r="BD114" t="s">
        <v>3</v>
      </c>
      <c r="BE114" t="s">
        <v>3</v>
      </c>
      <c r="BF114" t="s">
        <v>3</v>
      </c>
      <c r="BG114" t="s">
        <v>3</v>
      </c>
      <c r="BH114">
        <v>3</v>
      </c>
      <c r="BI114">
        <v>4</v>
      </c>
      <c r="BJ114" t="s">
        <v>335</v>
      </c>
      <c r="BM114">
        <v>0</v>
      </c>
      <c r="BN114">
        <v>0</v>
      </c>
      <c r="BO114" t="s">
        <v>3</v>
      </c>
      <c r="BP114">
        <v>0</v>
      </c>
      <c r="BQ114">
        <v>1</v>
      </c>
      <c r="BR114">
        <v>0</v>
      </c>
      <c r="BS114">
        <v>1</v>
      </c>
      <c r="BT114">
        <v>1</v>
      </c>
      <c r="BU114">
        <v>1</v>
      </c>
      <c r="BV114">
        <v>1</v>
      </c>
      <c r="BW114">
        <v>1</v>
      </c>
      <c r="BX114">
        <v>1</v>
      </c>
      <c r="BY114" t="s">
        <v>3</v>
      </c>
      <c r="BZ114">
        <v>70</v>
      </c>
      <c r="CA114">
        <v>10</v>
      </c>
      <c r="CB114" t="s">
        <v>3</v>
      </c>
      <c r="CE114">
        <v>0</v>
      </c>
      <c r="CF114">
        <v>0</v>
      </c>
      <c r="CG114">
        <v>0</v>
      </c>
      <c r="CM114">
        <v>0</v>
      </c>
      <c r="CN114" t="s">
        <v>3</v>
      </c>
      <c r="CO114">
        <v>0</v>
      </c>
      <c r="CP114">
        <f t="shared" si="114"/>
        <v>88567.99</v>
      </c>
      <c r="CQ114">
        <f t="shared" si="115"/>
        <v>180898.67</v>
      </c>
      <c r="CR114">
        <f t="shared" si="139"/>
        <v>0</v>
      </c>
      <c r="CS114">
        <f t="shared" si="117"/>
        <v>0</v>
      </c>
      <c r="CT114">
        <f t="shared" si="118"/>
        <v>0</v>
      </c>
      <c r="CU114">
        <f t="shared" si="119"/>
        <v>0</v>
      </c>
      <c r="CV114">
        <f t="shared" si="120"/>
        <v>0</v>
      </c>
      <c r="CW114">
        <f t="shared" si="121"/>
        <v>0</v>
      </c>
      <c r="CX114">
        <f t="shared" si="122"/>
        <v>0</v>
      </c>
      <c r="CY114">
        <f t="shared" si="123"/>
        <v>0</v>
      </c>
      <c r="CZ114">
        <f t="shared" si="124"/>
        <v>0</v>
      </c>
      <c r="DC114" t="s">
        <v>3</v>
      </c>
      <c r="DD114" t="s">
        <v>3</v>
      </c>
      <c r="DE114" t="s">
        <v>3</v>
      </c>
      <c r="DF114" t="s">
        <v>3</v>
      </c>
      <c r="DG114" t="s">
        <v>3</v>
      </c>
      <c r="DH114" t="s">
        <v>3</v>
      </c>
      <c r="DI114" t="s">
        <v>3</v>
      </c>
      <c r="DJ114" t="s">
        <v>3</v>
      </c>
      <c r="DK114" t="s">
        <v>3</v>
      </c>
      <c r="DL114" t="s">
        <v>3</v>
      </c>
      <c r="DM114" t="s">
        <v>3</v>
      </c>
      <c r="DN114">
        <v>0</v>
      </c>
      <c r="DO114">
        <v>0</v>
      </c>
      <c r="DP114">
        <v>1</v>
      </c>
      <c r="DQ114">
        <v>1</v>
      </c>
      <c r="DU114">
        <v>1003</v>
      </c>
      <c r="DV114" t="s">
        <v>219</v>
      </c>
      <c r="DW114" t="s">
        <v>219</v>
      </c>
      <c r="DX114">
        <v>1000</v>
      </c>
      <c r="DZ114" t="s">
        <v>3</v>
      </c>
      <c r="EA114" t="s">
        <v>3</v>
      </c>
      <c r="EB114" t="s">
        <v>3</v>
      </c>
      <c r="EC114" t="s">
        <v>3</v>
      </c>
      <c r="EE114">
        <v>43033442</v>
      </c>
      <c r="EF114">
        <v>1</v>
      </c>
      <c r="EG114" t="s">
        <v>22</v>
      </c>
      <c r="EH114">
        <v>0</v>
      </c>
      <c r="EI114" t="s">
        <v>3</v>
      </c>
      <c r="EJ114">
        <v>4</v>
      </c>
      <c r="EK114">
        <v>0</v>
      </c>
      <c r="EL114" t="s">
        <v>23</v>
      </c>
      <c r="EM114" t="s">
        <v>24</v>
      </c>
      <c r="EO114" t="s">
        <v>3</v>
      </c>
      <c r="EQ114">
        <v>0</v>
      </c>
      <c r="ER114">
        <v>180898.67</v>
      </c>
      <c r="ES114">
        <v>180898.67</v>
      </c>
      <c r="ET114">
        <v>0</v>
      </c>
      <c r="EU114">
        <v>0</v>
      </c>
      <c r="EV114">
        <v>0</v>
      </c>
      <c r="EW114">
        <v>0</v>
      </c>
      <c r="EX114">
        <v>0</v>
      </c>
      <c r="FQ114">
        <v>0</v>
      </c>
      <c r="FR114">
        <f t="shared" si="125"/>
        <v>0</v>
      </c>
      <c r="FS114">
        <v>0</v>
      </c>
      <c r="FX114">
        <v>70</v>
      </c>
      <c r="FY114">
        <v>10</v>
      </c>
      <c r="GA114" t="s">
        <v>3</v>
      </c>
      <c r="GD114">
        <v>0</v>
      </c>
      <c r="GF114">
        <v>-1043724858</v>
      </c>
      <c r="GG114">
        <v>2</v>
      </c>
      <c r="GH114">
        <v>1</v>
      </c>
      <c r="GI114">
        <v>-2</v>
      </c>
      <c r="GJ114">
        <v>0</v>
      </c>
      <c r="GK114">
        <f>ROUND(R114*(R12)/100,2)</f>
        <v>0</v>
      </c>
      <c r="GL114">
        <f t="shared" si="126"/>
        <v>0</v>
      </c>
      <c r="GM114">
        <f t="shared" si="127"/>
        <v>88567.99</v>
      </c>
      <c r="GN114">
        <f t="shared" si="128"/>
        <v>0</v>
      </c>
      <c r="GO114">
        <f t="shared" si="129"/>
        <v>0</v>
      </c>
      <c r="GP114">
        <f t="shared" si="130"/>
        <v>88567.99</v>
      </c>
      <c r="GR114">
        <v>0</v>
      </c>
      <c r="GS114">
        <v>3</v>
      </c>
      <c r="GT114">
        <v>0</v>
      </c>
      <c r="GU114" t="s">
        <v>3</v>
      </c>
      <c r="GV114">
        <f t="shared" si="131"/>
        <v>0</v>
      </c>
      <c r="GW114">
        <v>1</v>
      </c>
      <c r="GX114">
        <f t="shared" si="132"/>
        <v>0</v>
      </c>
      <c r="HA114">
        <v>0</v>
      </c>
      <c r="HB114">
        <v>0</v>
      </c>
      <c r="HC114">
        <f t="shared" si="133"/>
        <v>0</v>
      </c>
      <c r="HE114" t="s">
        <v>3</v>
      </c>
      <c r="HF114" t="s">
        <v>3</v>
      </c>
      <c r="HM114" t="s">
        <v>3</v>
      </c>
      <c r="HN114" t="s">
        <v>3</v>
      </c>
      <c r="HO114" t="s">
        <v>3</v>
      </c>
      <c r="HP114" t="s">
        <v>3</v>
      </c>
      <c r="HQ114" t="s">
        <v>3</v>
      </c>
      <c r="IK114">
        <v>0</v>
      </c>
    </row>
    <row r="115" spans="1:245" x14ac:dyDescent="0.2">
      <c r="A115">
        <v>18</v>
      </c>
      <c r="B115">
        <v>1</v>
      </c>
      <c r="C115">
        <v>175</v>
      </c>
      <c r="E115" t="s">
        <v>338</v>
      </c>
      <c r="F115" t="s">
        <v>217</v>
      </c>
      <c r="G115" t="s">
        <v>218</v>
      </c>
      <c r="H115" t="s">
        <v>219</v>
      </c>
      <c r="I115">
        <f>I113*J115</f>
        <v>-0.49440000000000001</v>
      </c>
      <c r="J115">
        <v>-0.10300000000000001</v>
      </c>
      <c r="K115">
        <v>-0.10299999999999999</v>
      </c>
      <c r="O115">
        <f t="shared" si="94"/>
        <v>-79579.710000000006</v>
      </c>
      <c r="P115">
        <f t="shared" si="95"/>
        <v>-79579.710000000006</v>
      </c>
      <c r="Q115">
        <f t="shared" si="96"/>
        <v>0</v>
      </c>
      <c r="R115">
        <f t="shared" si="97"/>
        <v>0</v>
      </c>
      <c r="S115">
        <f t="shared" si="98"/>
        <v>0</v>
      </c>
      <c r="T115">
        <f t="shared" si="99"/>
        <v>0</v>
      </c>
      <c r="U115">
        <f t="shared" si="100"/>
        <v>0</v>
      </c>
      <c r="V115">
        <f t="shared" si="101"/>
        <v>0</v>
      </c>
      <c r="W115">
        <f t="shared" si="102"/>
        <v>0</v>
      </c>
      <c r="X115">
        <f t="shared" si="103"/>
        <v>0</v>
      </c>
      <c r="Y115">
        <f t="shared" si="104"/>
        <v>0</v>
      </c>
      <c r="AA115">
        <v>43095088</v>
      </c>
      <c r="AB115">
        <f t="shared" si="105"/>
        <v>160962.20000000001</v>
      </c>
      <c r="AC115">
        <f t="shared" si="106"/>
        <v>160962.20000000001</v>
      </c>
      <c r="AD115">
        <f t="shared" si="134"/>
        <v>0</v>
      </c>
      <c r="AE115">
        <f t="shared" si="135"/>
        <v>0</v>
      </c>
      <c r="AF115">
        <f t="shared" si="136"/>
        <v>0</v>
      </c>
      <c r="AG115">
        <f t="shared" si="110"/>
        <v>0</v>
      </c>
      <c r="AH115">
        <f t="shared" si="137"/>
        <v>0</v>
      </c>
      <c r="AI115">
        <f t="shared" si="138"/>
        <v>0</v>
      </c>
      <c r="AJ115">
        <f t="shared" si="113"/>
        <v>0</v>
      </c>
      <c r="AK115">
        <v>160962.20000000001</v>
      </c>
      <c r="AL115">
        <v>160962.20000000001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70</v>
      </c>
      <c r="AU115">
        <v>10</v>
      </c>
      <c r="AV115">
        <v>1</v>
      </c>
      <c r="AW115">
        <v>1</v>
      </c>
      <c r="AZ115">
        <v>1</v>
      </c>
      <c r="BA115">
        <v>1</v>
      </c>
      <c r="BB115">
        <v>1</v>
      </c>
      <c r="BC115">
        <v>1</v>
      </c>
      <c r="BD115" t="s">
        <v>3</v>
      </c>
      <c r="BE115" t="s">
        <v>3</v>
      </c>
      <c r="BF115" t="s">
        <v>3</v>
      </c>
      <c r="BG115" t="s">
        <v>3</v>
      </c>
      <c r="BH115">
        <v>3</v>
      </c>
      <c r="BI115">
        <v>4</v>
      </c>
      <c r="BJ115" t="s">
        <v>220</v>
      </c>
      <c r="BM115">
        <v>0</v>
      </c>
      <c r="BN115">
        <v>0</v>
      </c>
      <c r="BO115" t="s">
        <v>3</v>
      </c>
      <c r="BP115">
        <v>0</v>
      </c>
      <c r="BQ115">
        <v>1</v>
      </c>
      <c r="BR115">
        <v>1</v>
      </c>
      <c r="BS115">
        <v>1</v>
      </c>
      <c r="BT115">
        <v>1</v>
      </c>
      <c r="BU115">
        <v>1</v>
      </c>
      <c r="BV115">
        <v>1</v>
      </c>
      <c r="BW115">
        <v>1</v>
      </c>
      <c r="BX115">
        <v>1</v>
      </c>
      <c r="BY115" t="s">
        <v>3</v>
      </c>
      <c r="BZ115">
        <v>70</v>
      </c>
      <c r="CA115">
        <v>10</v>
      </c>
      <c r="CB115" t="s">
        <v>3</v>
      </c>
      <c r="CE115">
        <v>0</v>
      </c>
      <c r="CF115">
        <v>0</v>
      </c>
      <c r="CG115">
        <v>0</v>
      </c>
      <c r="CM115">
        <v>0</v>
      </c>
      <c r="CN115" t="s">
        <v>3</v>
      </c>
      <c r="CO115">
        <v>0</v>
      </c>
      <c r="CP115">
        <f t="shared" si="114"/>
        <v>-79579.710000000006</v>
      </c>
      <c r="CQ115">
        <f t="shared" si="115"/>
        <v>160962.20000000001</v>
      </c>
      <c r="CR115">
        <f t="shared" si="139"/>
        <v>0</v>
      </c>
      <c r="CS115">
        <f t="shared" si="117"/>
        <v>0</v>
      </c>
      <c r="CT115">
        <f t="shared" si="118"/>
        <v>0</v>
      </c>
      <c r="CU115">
        <f t="shared" si="119"/>
        <v>0</v>
      </c>
      <c r="CV115">
        <f t="shared" si="120"/>
        <v>0</v>
      </c>
      <c r="CW115">
        <f t="shared" si="121"/>
        <v>0</v>
      </c>
      <c r="CX115">
        <f t="shared" si="122"/>
        <v>0</v>
      </c>
      <c r="CY115">
        <f t="shared" si="123"/>
        <v>0</v>
      </c>
      <c r="CZ115">
        <f t="shared" si="124"/>
        <v>0</v>
      </c>
      <c r="DC115" t="s">
        <v>3</v>
      </c>
      <c r="DD115" t="s">
        <v>3</v>
      </c>
      <c r="DE115" t="s">
        <v>3</v>
      </c>
      <c r="DF115" t="s">
        <v>3</v>
      </c>
      <c r="DG115" t="s">
        <v>3</v>
      </c>
      <c r="DH115" t="s">
        <v>3</v>
      </c>
      <c r="DI115" t="s">
        <v>3</v>
      </c>
      <c r="DJ115" t="s">
        <v>3</v>
      </c>
      <c r="DK115" t="s">
        <v>3</v>
      </c>
      <c r="DL115" t="s">
        <v>3</v>
      </c>
      <c r="DM115" t="s">
        <v>3</v>
      </c>
      <c r="DN115">
        <v>0</v>
      </c>
      <c r="DO115">
        <v>0</v>
      </c>
      <c r="DP115">
        <v>1</v>
      </c>
      <c r="DQ115">
        <v>1</v>
      </c>
      <c r="DU115">
        <v>1003</v>
      </c>
      <c r="DV115" t="s">
        <v>219</v>
      </c>
      <c r="DW115" t="s">
        <v>219</v>
      </c>
      <c r="DX115">
        <v>1000</v>
      </c>
      <c r="DZ115" t="s">
        <v>3</v>
      </c>
      <c r="EA115" t="s">
        <v>3</v>
      </c>
      <c r="EB115" t="s">
        <v>3</v>
      </c>
      <c r="EC115" t="s">
        <v>3</v>
      </c>
      <c r="EE115">
        <v>43033442</v>
      </c>
      <c r="EF115">
        <v>1</v>
      </c>
      <c r="EG115" t="s">
        <v>22</v>
      </c>
      <c r="EH115">
        <v>0</v>
      </c>
      <c r="EI115" t="s">
        <v>3</v>
      </c>
      <c r="EJ115">
        <v>4</v>
      </c>
      <c r="EK115">
        <v>0</v>
      </c>
      <c r="EL115" t="s">
        <v>23</v>
      </c>
      <c r="EM115" t="s">
        <v>24</v>
      </c>
      <c r="EO115" t="s">
        <v>3</v>
      </c>
      <c r="EQ115">
        <v>0</v>
      </c>
      <c r="ER115">
        <v>160962.20000000001</v>
      </c>
      <c r="ES115">
        <v>160962.20000000001</v>
      </c>
      <c r="ET115">
        <v>0</v>
      </c>
      <c r="EU115">
        <v>0</v>
      </c>
      <c r="EV115">
        <v>0</v>
      </c>
      <c r="EW115">
        <v>0</v>
      </c>
      <c r="EX115">
        <v>0</v>
      </c>
      <c r="FQ115">
        <v>0</v>
      </c>
      <c r="FR115">
        <f t="shared" si="125"/>
        <v>0</v>
      </c>
      <c r="FS115">
        <v>0</v>
      </c>
      <c r="FX115">
        <v>70</v>
      </c>
      <c r="FY115">
        <v>10</v>
      </c>
      <c r="GA115" t="s">
        <v>3</v>
      </c>
      <c r="GD115">
        <v>0</v>
      </c>
      <c r="GF115">
        <v>550560347</v>
      </c>
      <c r="GG115">
        <v>2</v>
      </c>
      <c r="GH115">
        <v>1</v>
      </c>
      <c r="GI115">
        <v>-2</v>
      </c>
      <c r="GJ115">
        <v>0</v>
      </c>
      <c r="GK115">
        <f>ROUND(R115*(R12)/100,2)</f>
        <v>0</v>
      </c>
      <c r="GL115">
        <f t="shared" si="126"/>
        <v>0</v>
      </c>
      <c r="GM115">
        <f t="shared" si="127"/>
        <v>-79579.710000000006</v>
      </c>
      <c r="GN115">
        <f t="shared" si="128"/>
        <v>0</v>
      </c>
      <c r="GO115">
        <f t="shared" si="129"/>
        <v>0</v>
      </c>
      <c r="GP115">
        <f t="shared" si="130"/>
        <v>-79579.710000000006</v>
      </c>
      <c r="GR115">
        <v>0</v>
      </c>
      <c r="GS115">
        <v>3</v>
      </c>
      <c r="GT115">
        <v>0</v>
      </c>
      <c r="GU115" t="s">
        <v>3</v>
      </c>
      <c r="GV115">
        <f t="shared" si="131"/>
        <v>0</v>
      </c>
      <c r="GW115">
        <v>1</v>
      </c>
      <c r="GX115">
        <f t="shared" si="132"/>
        <v>0</v>
      </c>
      <c r="HA115">
        <v>0</v>
      </c>
      <c r="HB115">
        <v>0</v>
      </c>
      <c r="HC115">
        <f t="shared" si="133"/>
        <v>0</v>
      </c>
      <c r="HE115" t="s">
        <v>3</v>
      </c>
      <c r="HF115" t="s">
        <v>3</v>
      </c>
      <c r="HM115" t="s">
        <v>3</v>
      </c>
      <c r="HN115" t="s">
        <v>3</v>
      </c>
      <c r="HO115" t="s">
        <v>3</v>
      </c>
      <c r="HP115" t="s">
        <v>3</v>
      </c>
      <c r="HQ115" t="s">
        <v>3</v>
      </c>
      <c r="IK115">
        <v>0</v>
      </c>
    </row>
    <row r="116" spans="1:245" x14ac:dyDescent="0.2">
      <c r="A116">
        <v>17</v>
      </c>
      <c r="B116">
        <v>1</v>
      </c>
      <c r="C116">
        <f>ROW(SmtRes!A178)</f>
        <v>178</v>
      </c>
      <c r="D116">
        <f>ROW(EtalonRes!A164)</f>
        <v>164</v>
      </c>
      <c r="E116" t="s">
        <v>339</v>
      </c>
      <c r="F116" t="s">
        <v>340</v>
      </c>
      <c r="G116" t="s">
        <v>341</v>
      </c>
      <c r="H116" t="s">
        <v>342</v>
      </c>
      <c r="I116">
        <v>0</v>
      </c>
      <c r="J116">
        <v>0</v>
      </c>
      <c r="K116">
        <v>0</v>
      </c>
      <c r="O116">
        <f t="shared" si="94"/>
        <v>0</v>
      </c>
      <c r="P116">
        <f t="shared" si="95"/>
        <v>0</v>
      </c>
      <c r="Q116">
        <f t="shared" si="96"/>
        <v>0</v>
      </c>
      <c r="R116">
        <f t="shared" si="97"/>
        <v>0</v>
      </c>
      <c r="S116">
        <f t="shared" si="98"/>
        <v>0</v>
      </c>
      <c r="T116">
        <f t="shared" si="99"/>
        <v>0</v>
      </c>
      <c r="U116">
        <f t="shared" si="100"/>
        <v>0</v>
      </c>
      <c r="V116">
        <f t="shared" si="101"/>
        <v>0</v>
      </c>
      <c r="W116">
        <f t="shared" si="102"/>
        <v>0</v>
      </c>
      <c r="X116">
        <f t="shared" si="103"/>
        <v>0</v>
      </c>
      <c r="Y116">
        <f t="shared" si="104"/>
        <v>0</v>
      </c>
      <c r="AA116">
        <v>43095088</v>
      </c>
      <c r="AB116">
        <f t="shared" si="105"/>
        <v>1909.46</v>
      </c>
      <c r="AC116">
        <f t="shared" si="106"/>
        <v>0</v>
      </c>
      <c r="AD116">
        <f t="shared" si="134"/>
        <v>24.18</v>
      </c>
      <c r="AE116">
        <f t="shared" si="135"/>
        <v>0.08</v>
      </c>
      <c r="AF116">
        <f t="shared" si="136"/>
        <v>1885.28</v>
      </c>
      <c r="AG116">
        <f t="shared" si="110"/>
        <v>0</v>
      </c>
      <c r="AH116">
        <f t="shared" si="137"/>
        <v>7.93</v>
      </c>
      <c r="AI116">
        <f t="shared" si="138"/>
        <v>0</v>
      </c>
      <c r="AJ116">
        <f t="shared" si="113"/>
        <v>0</v>
      </c>
      <c r="AK116">
        <v>1909.46</v>
      </c>
      <c r="AL116">
        <v>0</v>
      </c>
      <c r="AM116">
        <v>24.18</v>
      </c>
      <c r="AN116">
        <v>0.08</v>
      </c>
      <c r="AO116">
        <v>1885.28</v>
      </c>
      <c r="AP116">
        <v>0</v>
      </c>
      <c r="AQ116">
        <v>7.93</v>
      </c>
      <c r="AR116">
        <v>0</v>
      </c>
      <c r="AS116">
        <v>0</v>
      </c>
      <c r="AT116">
        <v>70</v>
      </c>
      <c r="AU116">
        <v>10</v>
      </c>
      <c r="AV116">
        <v>1</v>
      </c>
      <c r="AW116">
        <v>1</v>
      </c>
      <c r="AZ116">
        <v>1</v>
      </c>
      <c r="BA116">
        <v>1</v>
      </c>
      <c r="BB116">
        <v>1</v>
      </c>
      <c r="BC116">
        <v>1</v>
      </c>
      <c r="BD116" t="s">
        <v>3</v>
      </c>
      <c r="BE116" t="s">
        <v>3</v>
      </c>
      <c r="BF116" t="s">
        <v>3</v>
      </c>
      <c r="BG116" t="s">
        <v>3</v>
      </c>
      <c r="BH116">
        <v>0</v>
      </c>
      <c r="BI116">
        <v>4</v>
      </c>
      <c r="BJ116" t="s">
        <v>343</v>
      </c>
      <c r="BM116">
        <v>0</v>
      </c>
      <c r="BN116">
        <v>0</v>
      </c>
      <c r="BO116" t="s">
        <v>3</v>
      </c>
      <c r="BP116">
        <v>0</v>
      </c>
      <c r="BQ116">
        <v>1</v>
      </c>
      <c r="BR116">
        <v>0</v>
      </c>
      <c r="BS116">
        <v>1</v>
      </c>
      <c r="BT116">
        <v>1</v>
      </c>
      <c r="BU116">
        <v>1</v>
      </c>
      <c r="BV116">
        <v>1</v>
      </c>
      <c r="BW116">
        <v>1</v>
      </c>
      <c r="BX116">
        <v>1</v>
      </c>
      <c r="BY116" t="s">
        <v>3</v>
      </c>
      <c r="BZ116">
        <v>70</v>
      </c>
      <c r="CA116">
        <v>10</v>
      </c>
      <c r="CB116" t="s">
        <v>3</v>
      </c>
      <c r="CE116">
        <v>0</v>
      </c>
      <c r="CF116">
        <v>0</v>
      </c>
      <c r="CG116">
        <v>0</v>
      </c>
      <c r="CM116">
        <v>0</v>
      </c>
      <c r="CN116" t="s">
        <v>3</v>
      </c>
      <c r="CO116">
        <v>0</v>
      </c>
      <c r="CP116">
        <f t="shared" si="114"/>
        <v>0</v>
      </c>
      <c r="CQ116">
        <f t="shared" si="115"/>
        <v>0</v>
      </c>
      <c r="CR116">
        <f t="shared" si="139"/>
        <v>24.18</v>
      </c>
      <c r="CS116">
        <f t="shared" si="117"/>
        <v>0.08</v>
      </c>
      <c r="CT116">
        <f t="shared" si="118"/>
        <v>1885.28</v>
      </c>
      <c r="CU116">
        <f t="shared" si="119"/>
        <v>0</v>
      </c>
      <c r="CV116">
        <f t="shared" si="120"/>
        <v>7.93</v>
      </c>
      <c r="CW116">
        <f t="shared" si="121"/>
        <v>0</v>
      </c>
      <c r="CX116">
        <f t="shared" si="122"/>
        <v>0</v>
      </c>
      <c r="CY116">
        <f t="shared" si="123"/>
        <v>0</v>
      </c>
      <c r="CZ116">
        <f t="shared" si="124"/>
        <v>0</v>
      </c>
      <c r="DC116" t="s">
        <v>3</v>
      </c>
      <c r="DD116" t="s">
        <v>3</v>
      </c>
      <c r="DE116" t="s">
        <v>3</v>
      </c>
      <c r="DF116" t="s">
        <v>3</v>
      </c>
      <c r="DG116" t="s">
        <v>3</v>
      </c>
      <c r="DH116" t="s">
        <v>3</v>
      </c>
      <c r="DI116" t="s">
        <v>3</v>
      </c>
      <c r="DJ116" t="s">
        <v>3</v>
      </c>
      <c r="DK116" t="s">
        <v>3</v>
      </c>
      <c r="DL116" t="s">
        <v>3</v>
      </c>
      <c r="DM116" t="s">
        <v>3</v>
      </c>
      <c r="DN116">
        <v>0</v>
      </c>
      <c r="DO116">
        <v>0</v>
      </c>
      <c r="DP116">
        <v>1</v>
      </c>
      <c r="DQ116">
        <v>1</v>
      </c>
      <c r="DU116">
        <v>1010</v>
      </c>
      <c r="DV116" t="s">
        <v>342</v>
      </c>
      <c r="DW116" t="s">
        <v>342</v>
      </c>
      <c r="DX116">
        <v>100</v>
      </c>
      <c r="DZ116" t="s">
        <v>3</v>
      </c>
      <c r="EA116" t="s">
        <v>3</v>
      </c>
      <c r="EB116" t="s">
        <v>3</v>
      </c>
      <c r="EC116" t="s">
        <v>3</v>
      </c>
      <c r="EE116">
        <v>43033442</v>
      </c>
      <c r="EF116">
        <v>1</v>
      </c>
      <c r="EG116" t="s">
        <v>22</v>
      </c>
      <c r="EH116">
        <v>0</v>
      </c>
      <c r="EI116" t="s">
        <v>3</v>
      </c>
      <c r="EJ116">
        <v>4</v>
      </c>
      <c r="EK116">
        <v>0</v>
      </c>
      <c r="EL116" t="s">
        <v>23</v>
      </c>
      <c r="EM116" t="s">
        <v>24</v>
      </c>
      <c r="EO116" t="s">
        <v>3</v>
      </c>
      <c r="EQ116">
        <v>0</v>
      </c>
      <c r="ER116">
        <v>1909.46</v>
      </c>
      <c r="ES116">
        <v>0</v>
      </c>
      <c r="ET116">
        <v>24.18</v>
      </c>
      <c r="EU116">
        <v>0.08</v>
      </c>
      <c r="EV116">
        <v>1885.28</v>
      </c>
      <c r="EW116">
        <v>7.93</v>
      </c>
      <c r="EX116">
        <v>0</v>
      </c>
      <c r="EY116">
        <v>0</v>
      </c>
      <c r="FQ116">
        <v>0</v>
      </c>
      <c r="FR116">
        <f t="shared" si="125"/>
        <v>0</v>
      </c>
      <c r="FS116">
        <v>0</v>
      </c>
      <c r="FX116">
        <v>70</v>
      </c>
      <c r="FY116">
        <v>10</v>
      </c>
      <c r="GA116" t="s">
        <v>3</v>
      </c>
      <c r="GD116">
        <v>0</v>
      </c>
      <c r="GF116">
        <v>1765065492</v>
      </c>
      <c r="GG116">
        <v>2</v>
      </c>
      <c r="GH116">
        <v>1</v>
      </c>
      <c r="GI116">
        <v>-2</v>
      </c>
      <c r="GJ116">
        <v>0</v>
      </c>
      <c r="GK116">
        <f>ROUND(R116*(R12)/100,2)</f>
        <v>0</v>
      </c>
      <c r="GL116">
        <f t="shared" si="126"/>
        <v>0</v>
      </c>
      <c r="GM116">
        <f t="shared" si="127"/>
        <v>0</v>
      </c>
      <c r="GN116">
        <f t="shared" si="128"/>
        <v>0</v>
      </c>
      <c r="GO116">
        <f t="shared" si="129"/>
        <v>0</v>
      </c>
      <c r="GP116">
        <f t="shared" si="130"/>
        <v>0</v>
      </c>
      <c r="GR116">
        <v>0</v>
      </c>
      <c r="GS116">
        <v>3</v>
      </c>
      <c r="GT116">
        <v>0</v>
      </c>
      <c r="GU116" t="s">
        <v>3</v>
      </c>
      <c r="GV116">
        <f t="shared" si="131"/>
        <v>0</v>
      </c>
      <c r="GW116">
        <v>1</v>
      </c>
      <c r="GX116">
        <f t="shared" si="132"/>
        <v>0</v>
      </c>
      <c r="HA116">
        <v>0</v>
      </c>
      <c r="HB116">
        <v>0</v>
      </c>
      <c r="HC116">
        <f t="shared" si="133"/>
        <v>0</v>
      </c>
      <c r="HE116" t="s">
        <v>3</v>
      </c>
      <c r="HF116" t="s">
        <v>3</v>
      </c>
      <c r="HM116" t="s">
        <v>3</v>
      </c>
      <c r="HN116" t="s">
        <v>3</v>
      </c>
      <c r="HO116" t="s">
        <v>3</v>
      </c>
      <c r="HP116" t="s">
        <v>3</v>
      </c>
      <c r="HQ116" t="s">
        <v>3</v>
      </c>
      <c r="IK116">
        <v>0</v>
      </c>
    </row>
    <row r="117" spans="1:245" x14ac:dyDescent="0.2">
      <c r="A117">
        <v>17</v>
      </c>
      <c r="B117">
        <v>1</v>
      </c>
      <c r="C117">
        <f>ROW(SmtRes!A180)</f>
        <v>180</v>
      </c>
      <c r="D117">
        <f>ROW(EtalonRes!A166)</f>
        <v>166</v>
      </c>
      <c r="E117" t="s">
        <v>344</v>
      </c>
      <c r="F117" t="s">
        <v>345</v>
      </c>
      <c r="G117" t="s">
        <v>346</v>
      </c>
      <c r="H117" t="s">
        <v>342</v>
      </c>
      <c r="I117">
        <v>0</v>
      </c>
      <c r="J117">
        <v>0</v>
      </c>
      <c r="K117">
        <v>0</v>
      </c>
      <c r="O117">
        <f t="shared" si="94"/>
        <v>0</v>
      </c>
      <c r="P117">
        <f t="shared" si="95"/>
        <v>0</v>
      </c>
      <c r="Q117">
        <f t="shared" si="96"/>
        <v>0</v>
      </c>
      <c r="R117">
        <f t="shared" si="97"/>
        <v>0</v>
      </c>
      <c r="S117">
        <f t="shared" si="98"/>
        <v>0</v>
      </c>
      <c r="T117">
        <f t="shared" si="99"/>
        <v>0</v>
      </c>
      <c r="U117">
        <f t="shared" si="100"/>
        <v>0</v>
      </c>
      <c r="V117">
        <f t="shared" si="101"/>
        <v>0</v>
      </c>
      <c r="W117">
        <f t="shared" si="102"/>
        <v>0</v>
      </c>
      <c r="X117">
        <f t="shared" si="103"/>
        <v>0</v>
      </c>
      <c r="Y117">
        <f t="shared" si="104"/>
        <v>0</v>
      </c>
      <c r="AA117">
        <v>43095088</v>
      </c>
      <c r="AB117">
        <f t="shared" si="105"/>
        <v>1637.35</v>
      </c>
      <c r="AC117">
        <f t="shared" si="106"/>
        <v>0</v>
      </c>
      <c r="AD117">
        <f t="shared" si="134"/>
        <v>20.72</v>
      </c>
      <c r="AE117">
        <f t="shared" si="135"/>
        <v>7.0000000000000007E-2</v>
      </c>
      <c r="AF117">
        <f t="shared" si="136"/>
        <v>1616.63</v>
      </c>
      <c r="AG117">
        <f t="shared" si="110"/>
        <v>0</v>
      </c>
      <c r="AH117">
        <f t="shared" si="137"/>
        <v>6.8</v>
      </c>
      <c r="AI117">
        <f t="shared" si="138"/>
        <v>0</v>
      </c>
      <c r="AJ117">
        <f t="shared" si="113"/>
        <v>0</v>
      </c>
      <c r="AK117">
        <v>1637.35</v>
      </c>
      <c r="AL117">
        <v>0</v>
      </c>
      <c r="AM117">
        <v>20.72</v>
      </c>
      <c r="AN117">
        <v>7.0000000000000007E-2</v>
      </c>
      <c r="AO117">
        <v>1616.63</v>
      </c>
      <c r="AP117">
        <v>0</v>
      </c>
      <c r="AQ117">
        <v>6.8</v>
      </c>
      <c r="AR117">
        <v>0</v>
      </c>
      <c r="AS117">
        <v>0</v>
      </c>
      <c r="AT117">
        <v>70</v>
      </c>
      <c r="AU117">
        <v>10</v>
      </c>
      <c r="AV117">
        <v>1</v>
      </c>
      <c r="AW117">
        <v>1</v>
      </c>
      <c r="AZ117">
        <v>1</v>
      </c>
      <c r="BA117">
        <v>1</v>
      </c>
      <c r="BB117">
        <v>1</v>
      </c>
      <c r="BC117">
        <v>1</v>
      </c>
      <c r="BD117" t="s">
        <v>3</v>
      </c>
      <c r="BE117" t="s">
        <v>3</v>
      </c>
      <c r="BF117" t="s">
        <v>3</v>
      </c>
      <c r="BG117" t="s">
        <v>3</v>
      </c>
      <c r="BH117">
        <v>0</v>
      </c>
      <c r="BI117">
        <v>4</v>
      </c>
      <c r="BJ117" t="s">
        <v>347</v>
      </c>
      <c r="BM117">
        <v>0</v>
      </c>
      <c r="BN117">
        <v>0</v>
      </c>
      <c r="BO117" t="s">
        <v>3</v>
      </c>
      <c r="BP117">
        <v>0</v>
      </c>
      <c r="BQ117">
        <v>1</v>
      </c>
      <c r="BR117">
        <v>0</v>
      </c>
      <c r="BS117">
        <v>1</v>
      </c>
      <c r="BT117">
        <v>1</v>
      </c>
      <c r="BU117">
        <v>1</v>
      </c>
      <c r="BV117">
        <v>1</v>
      </c>
      <c r="BW117">
        <v>1</v>
      </c>
      <c r="BX117">
        <v>1</v>
      </c>
      <c r="BY117" t="s">
        <v>3</v>
      </c>
      <c r="BZ117">
        <v>70</v>
      </c>
      <c r="CA117">
        <v>10</v>
      </c>
      <c r="CB117" t="s">
        <v>3</v>
      </c>
      <c r="CE117">
        <v>0</v>
      </c>
      <c r="CF117">
        <v>0</v>
      </c>
      <c r="CG117">
        <v>0</v>
      </c>
      <c r="CM117">
        <v>0</v>
      </c>
      <c r="CN117" t="s">
        <v>3</v>
      </c>
      <c r="CO117">
        <v>0</v>
      </c>
      <c r="CP117">
        <f t="shared" si="114"/>
        <v>0</v>
      </c>
      <c r="CQ117">
        <f t="shared" si="115"/>
        <v>0</v>
      </c>
      <c r="CR117">
        <f t="shared" si="139"/>
        <v>20.72</v>
      </c>
      <c r="CS117">
        <f t="shared" si="117"/>
        <v>7.0000000000000007E-2</v>
      </c>
      <c r="CT117">
        <f t="shared" si="118"/>
        <v>1616.63</v>
      </c>
      <c r="CU117">
        <f t="shared" si="119"/>
        <v>0</v>
      </c>
      <c r="CV117">
        <f t="shared" si="120"/>
        <v>6.8</v>
      </c>
      <c r="CW117">
        <f t="shared" si="121"/>
        <v>0</v>
      </c>
      <c r="CX117">
        <f t="shared" si="122"/>
        <v>0</v>
      </c>
      <c r="CY117">
        <f t="shared" si="123"/>
        <v>0</v>
      </c>
      <c r="CZ117">
        <f t="shared" si="124"/>
        <v>0</v>
      </c>
      <c r="DC117" t="s">
        <v>3</v>
      </c>
      <c r="DD117" t="s">
        <v>3</v>
      </c>
      <c r="DE117" t="s">
        <v>3</v>
      </c>
      <c r="DF117" t="s">
        <v>3</v>
      </c>
      <c r="DG117" t="s">
        <v>3</v>
      </c>
      <c r="DH117" t="s">
        <v>3</v>
      </c>
      <c r="DI117" t="s">
        <v>3</v>
      </c>
      <c r="DJ117" t="s">
        <v>3</v>
      </c>
      <c r="DK117" t="s">
        <v>3</v>
      </c>
      <c r="DL117" t="s">
        <v>3</v>
      </c>
      <c r="DM117" t="s">
        <v>3</v>
      </c>
      <c r="DN117">
        <v>0</v>
      </c>
      <c r="DO117">
        <v>0</v>
      </c>
      <c r="DP117">
        <v>1</v>
      </c>
      <c r="DQ117">
        <v>1</v>
      </c>
      <c r="DU117">
        <v>1010</v>
      </c>
      <c r="DV117" t="s">
        <v>342</v>
      </c>
      <c r="DW117" t="s">
        <v>342</v>
      </c>
      <c r="DX117">
        <v>100</v>
      </c>
      <c r="DZ117" t="s">
        <v>3</v>
      </c>
      <c r="EA117" t="s">
        <v>3</v>
      </c>
      <c r="EB117" t="s">
        <v>3</v>
      </c>
      <c r="EC117" t="s">
        <v>3</v>
      </c>
      <c r="EE117">
        <v>43033442</v>
      </c>
      <c r="EF117">
        <v>1</v>
      </c>
      <c r="EG117" t="s">
        <v>22</v>
      </c>
      <c r="EH117">
        <v>0</v>
      </c>
      <c r="EI117" t="s">
        <v>3</v>
      </c>
      <c r="EJ117">
        <v>4</v>
      </c>
      <c r="EK117">
        <v>0</v>
      </c>
      <c r="EL117" t="s">
        <v>23</v>
      </c>
      <c r="EM117" t="s">
        <v>24</v>
      </c>
      <c r="EO117" t="s">
        <v>3</v>
      </c>
      <c r="EQ117">
        <v>0</v>
      </c>
      <c r="ER117">
        <v>1637.35</v>
      </c>
      <c r="ES117">
        <v>0</v>
      </c>
      <c r="ET117">
        <v>20.72</v>
      </c>
      <c r="EU117">
        <v>7.0000000000000007E-2</v>
      </c>
      <c r="EV117">
        <v>1616.63</v>
      </c>
      <c r="EW117">
        <v>6.8</v>
      </c>
      <c r="EX117">
        <v>0</v>
      </c>
      <c r="EY117">
        <v>0</v>
      </c>
      <c r="FQ117">
        <v>0</v>
      </c>
      <c r="FR117">
        <f t="shared" si="125"/>
        <v>0</v>
      </c>
      <c r="FS117">
        <v>0</v>
      </c>
      <c r="FX117">
        <v>70</v>
      </c>
      <c r="FY117">
        <v>10</v>
      </c>
      <c r="GA117" t="s">
        <v>3</v>
      </c>
      <c r="GD117">
        <v>0</v>
      </c>
      <c r="GF117">
        <v>-531694724</v>
      </c>
      <c r="GG117">
        <v>2</v>
      </c>
      <c r="GH117">
        <v>1</v>
      </c>
      <c r="GI117">
        <v>-2</v>
      </c>
      <c r="GJ117">
        <v>0</v>
      </c>
      <c r="GK117">
        <f>ROUND(R117*(R12)/100,2)</f>
        <v>0</v>
      </c>
      <c r="GL117">
        <f t="shared" si="126"/>
        <v>0</v>
      </c>
      <c r="GM117">
        <f t="shared" si="127"/>
        <v>0</v>
      </c>
      <c r="GN117">
        <f t="shared" si="128"/>
        <v>0</v>
      </c>
      <c r="GO117">
        <f t="shared" si="129"/>
        <v>0</v>
      </c>
      <c r="GP117">
        <f t="shared" si="130"/>
        <v>0</v>
      </c>
      <c r="GR117">
        <v>0</v>
      </c>
      <c r="GS117">
        <v>3</v>
      </c>
      <c r="GT117">
        <v>0</v>
      </c>
      <c r="GU117" t="s">
        <v>3</v>
      </c>
      <c r="GV117">
        <f t="shared" si="131"/>
        <v>0</v>
      </c>
      <c r="GW117">
        <v>1</v>
      </c>
      <c r="GX117">
        <f t="shared" si="132"/>
        <v>0</v>
      </c>
      <c r="HA117">
        <v>0</v>
      </c>
      <c r="HB117">
        <v>0</v>
      </c>
      <c r="HC117">
        <f t="shared" si="133"/>
        <v>0</v>
      </c>
      <c r="HE117" t="s">
        <v>3</v>
      </c>
      <c r="HF117" t="s">
        <v>3</v>
      </c>
      <c r="HM117" t="s">
        <v>3</v>
      </c>
      <c r="HN117" t="s">
        <v>3</v>
      </c>
      <c r="HO117" t="s">
        <v>3</v>
      </c>
      <c r="HP117" t="s">
        <v>3</v>
      </c>
      <c r="HQ117" t="s">
        <v>3</v>
      </c>
      <c r="IK117">
        <v>0</v>
      </c>
    </row>
    <row r="118" spans="1:245" x14ac:dyDescent="0.2">
      <c r="A118">
        <v>17</v>
      </c>
      <c r="B118">
        <v>1</v>
      </c>
      <c r="C118">
        <f>ROW(SmtRes!A182)</f>
        <v>182</v>
      </c>
      <c r="D118">
        <f>ROW(EtalonRes!A168)</f>
        <v>168</v>
      </c>
      <c r="E118" t="s">
        <v>348</v>
      </c>
      <c r="F118" t="s">
        <v>349</v>
      </c>
      <c r="G118" t="s">
        <v>350</v>
      </c>
      <c r="H118" t="s">
        <v>342</v>
      </c>
      <c r="I118">
        <v>0</v>
      </c>
      <c r="J118">
        <v>0</v>
      </c>
      <c r="K118">
        <v>0</v>
      </c>
      <c r="O118">
        <f t="shared" si="94"/>
        <v>0</v>
      </c>
      <c r="P118">
        <f t="shared" si="95"/>
        <v>0</v>
      </c>
      <c r="Q118">
        <f t="shared" si="96"/>
        <v>0</v>
      </c>
      <c r="R118">
        <f t="shared" si="97"/>
        <v>0</v>
      </c>
      <c r="S118">
        <f t="shared" si="98"/>
        <v>0</v>
      </c>
      <c r="T118">
        <f t="shared" si="99"/>
        <v>0</v>
      </c>
      <c r="U118">
        <f t="shared" si="100"/>
        <v>0</v>
      </c>
      <c r="V118">
        <f t="shared" si="101"/>
        <v>0</v>
      </c>
      <c r="W118">
        <f t="shared" si="102"/>
        <v>0</v>
      </c>
      <c r="X118">
        <f t="shared" si="103"/>
        <v>0</v>
      </c>
      <c r="Y118">
        <f t="shared" si="104"/>
        <v>0</v>
      </c>
      <c r="AA118">
        <v>43095088</v>
      </c>
      <c r="AB118">
        <f t="shared" si="105"/>
        <v>4960.24</v>
      </c>
      <c r="AC118">
        <f t="shared" si="106"/>
        <v>0</v>
      </c>
      <c r="AD118">
        <f t="shared" si="134"/>
        <v>62.8</v>
      </c>
      <c r="AE118">
        <f t="shared" si="135"/>
        <v>0.2</v>
      </c>
      <c r="AF118">
        <f t="shared" si="136"/>
        <v>4897.4399999999996</v>
      </c>
      <c r="AG118">
        <f t="shared" si="110"/>
        <v>0</v>
      </c>
      <c r="AH118">
        <f t="shared" si="137"/>
        <v>20.6</v>
      </c>
      <c r="AI118">
        <f t="shared" si="138"/>
        <v>0</v>
      </c>
      <c r="AJ118">
        <f t="shared" si="113"/>
        <v>0</v>
      </c>
      <c r="AK118">
        <v>4960.24</v>
      </c>
      <c r="AL118">
        <v>0</v>
      </c>
      <c r="AM118">
        <v>62.8</v>
      </c>
      <c r="AN118">
        <v>0.2</v>
      </c>
      <c r="AO118">
        <v>4897.4399999999996</v>
      </c>
      <c r="AP118">
        <v>0</v>
      </c>
      <c r="AQ118">
        <v>20.6</v>
      </c>
      <c r="AR118">
        <v>0</v>
      </c>
      <c r="AS118">
        <v>0</v>
      </c>
      <c r="AT118">
        <v>70</v>
      </c>
      <c r="AU118">
        <v>10</v>
      </c>
      <c r="AV118">
        <v>1</v>
      </c>
      <c r="AW118">
        <v>1</v>
      </c>
      <c r="AZ118">
        <v>1</v>
      </c>
      <c r="BA118">
        <v>1</v>
      </c>
      <c r="BB118">
        <v>1</v>
      </c>
      <c r="BC118">
        <v>1</v>
      </c>
      <c r="BD118" t="s">
        <v>3</v>
      </c>
      <c r="BE118" t="s">
        <v>3</v>
      </c>
      <c r="BF118" t="s">
        <v>3</v>
      </c>
      <c r="BG118" t="s">
        <v>3</v>
      </c>
      <c r="BH118">
        <v>0</v>
      </c>
      <c r="BI118">
        <v>4</v>
      </c>
      <c r="BJ118" t="s">
        <v>351</v>
      </c>
      <c r="BM118">
        <v>0</v>
      </c>
      <c r="BN118">
        <v>0</v>
      </c>
      <c r="BO118" t="s">
        <v>3</v>
      </c>
      <c r="BP118">
        <v>0</v>
      </c>
      <c r="BQ118">
        <v>1</v>
      </c>
      <c r="BR118">
        <v>0</v>
      </c>
      <c r="BS118">
        <v>1</v>
      </c>
      <c r="BT118">
        <v>1</v>
      </c>
      <c r="BU118">
        <v>1</v>
      </c>
      <c r="BV118">
        <v>1</v>
      </c>
      <c r="BW118">
        <v>1</v>
      </c>
      <c r="BX118">
        <v>1</v>
      </c>
      <c r="BY118" t="s">
        <v>3</v>
      </c>
      <c r="BZ118">
        <v>70</v>
      </c>
      <c r="CA118">
        <v>10</v>
      </c>
      <c r="CB118" t="s">
        <v>3</v>
      </c>
      <c r="CE118">
        <v>0</v>
      </c>
      <c r="CF118">
        <v>0</v>
      </c>
      <c r="CG118">
        <v>0</v>
      </c>
      <c r="CM118">
        <v>0</v>
      </c>
      <c r="CN118" t="s">
        <v>3</v>
      </c>
      <c r="CO118">
        <v>0</v>
      </c>
      <c r="CP118">
        <f t="shared" si="114"/>
        <v>0</v>
      </c>
      <c r="CQ118">
        <f t="shared" si="115"/>
        <v>0</v>
      </c>
      <c r="CR118">
        <f t="shared" si="139"/>
        <v>62.8</v>
      </c>
      <c r="CS118">
        <f t="shared" si="117"/>
        <v>0.2</v>
      </c>
      <c r="CT118">
        <f t="shared" si="118"/>
        <v>4897.4399999999996</v>
      </c>
      <c r="CU118">
        <f t="shared" si="119"/>
        <v>0</v>
      </c>
      <c r="CV118">
        <f t="shared" si="120"/>
        <v>20.6</v>
      </c>
      <c r="CW118">
        <f t="shared" si="121"/>
        <v>0</v>
      </c>
      <c r="CX118">
        <f t="shared" si="122"/>
        <v>0</v>
      </c>
      <c r="CY118">
        <f t="shared" si="123"/>
        <v>0</v>
      </c>
      <c r="CZ118">
        <f t="shared" si="124"/>
        <v>0</v>
      </c>
      <c r="DC118" t="s">
        <v>3</v>
      </c>
      <c r="DD118" t="s">
        <v>3</v>
      </c>
      <c r="DE118" t="s">
        <v>3</v>
      </c>
      <c r="DF118" t="s">
        <v>3</v>
      </c>
      <c r="DG118" t="s">
        <v>3</v>
      </c>
      <c r="DH118" t="s">
        <v>3</v>
      </c>
      <c r="DI118" t="s">
        <v>3</v>
      </c>
      <c r="DJ118" t="s">
        <v>3</v>
      </c>
      <c r="DK118" t="s">
        <v>3</v>
      </c>
      <c r="DL118" t="s">
        <v>3</v>
      </c>
      <c r="DM118" t="s">
        <v>3</v>
      </c>
      <c r="DN118">
        <v>0</v>
      </c>
      <c r="DO118">
        <v>0</v>
      </c>
      <c r="DP118">
        <v>1</v>
      </c>
      <c r="DQ118">
        <v>1</v>
      </c>
      <c r="DU118">
        <v>1010</v>
      </c>
      <c r="DV118" t="s">
        <v>342</v>
      </c>
      <c r="DW118" t="s">
        <v>342</v>
      </c>
      <c r="DX118">
        <v>100</v>
      </c>
      <c r="DZ118" t="s">
        <v>3</v>
      </c>
      <c r="EA118" t="s">
        <v>3</v>
      </c>
      <c r="EB118" t="s">
        <v>3</v>
      </c>
      <c r="EC118" t="s">
        <v>3</v>
      </c>
      <c r="EE118">
        <v>43033442</v>
      </c>
      <c r="EF118">
        <v>1</v>
      </c>
      <c r="EG118" t="s">
        <v>22</v>
      </c>
      <c r="EH118">
        <v>0</v>
      </c>
      <c r="EI118" t="s">
        <v>3</v>
      </c>
      <c r="EJ118">
        <v>4</v>
      </c>
      <c r="EK118">
        <v>0</v>
      </c>
      <c r="EL118" t="s">
        <v>23</v>
      </c>
      <c r="EM118" t="s">
        <v>24</v>
      </c>
      <c r="EO118" t="s">
        <v>3</v>
      </c>
      <c r="EQ118">
        <v>0</v>
      </c>
      <c r="ER118">
        <v>4960.24</v>
      </c>
      <c r="ES118">
        <v>0</v>
      </c>
      <c r="ET118">
        <v>62.8</v>
      </c>
      <c r="EU118">
        <v>0.2</v>
      </c>
      <c r="EV118">
        <v>4897.4399999999996</v>
      </c>
      <c r="EW118">
        <v>20.6</v>
      </c>
      <c r="EX118">
        <v>0</v>
      </c>
      <c r="EY118">
        <v>0</v>
      </c>
      <c r="FQ118">
        <v>0</v>
      </c>
      <c r="FR118">
        <f t="shared" si="125"/>
        <v>0</v>
      </c>
      <c r="FS118">
        <v>0</v>
      </c>
      <c r="FX118">
        <v>70</v>
      </c>
      <c r="FY118">
        <v>10</v>
      </c>
      <c r="GA118" t="s">
        <v>3</v>
      </c>
      <c r="GD118">
        <v>0</v>
      </c>
      <c r="GF118">
        <v>-948565031</v>
      </c>
      <c r="GG118">
        <v>2</v>
      </c>
      <c r="GH118">
        <v>1</v>
      </c>
      <c r="GI118">
        <v>-2</v>
      </c>
      <c r="GJ118">
        <v>0</v>
      </c>
      <c r="GK118">
        <f>ROUND(R118*(R12)/100,2)</f>
        <v>0</v>
      </c>
      <c r="GL118">
        <f t="shared" si="126"/>
        <v>0</v>
      </c>
      <c r="GM118">
        <f t="shared" si="127"/>
        <v>0</v>
      </c>
      <c r="GN118">
        <f t="shared" si="128"/>
        <v>0</v>
      </c>
      <c r="GO118">
        <f t="shared" si="129"/>
        <v>0</v>
      </c>
      <c r="GP118">
        <f t="shared" si="130"/>
        <v>0</v>
      </c>
      <c r="GR118">
        <v>0</v>
      </c>
      <c r="GS118">
        <v>3</v>
      </c>
      <c r="GT118">
        <v>0</v>
      </c>
      <c r="GU118" t="s">
        <v>3</v>
      </c>
      <c r="GV118">
        <f t="shared" si="131"/>
        <v>0</v>
      </c>
      <c r="GW118">
        <v>1</v>
      </c>
      <c r="GX118">
        <f t="shared" si="132"/>
        <v>0</v>
      </c>
      <c r="HA118">
        <v>0</v>
      </c>
      <c r="HB118">
        <v>0</v>
      </c>
      <c r="HC118">
        <f t="shared" si="133"/>
        <v>0</v>
      </c>
      <c r="HE118" t="s">
        <v>3</v>
      </c>
      <c r="HF118" t="s">
        <v>3</v>
      </c>
      <c r="HM118" t="s">
        <v>3</v>
      </c>
      <c r="HN118" t="s">
        <v>3</v>
      </c>
      <c r="HO118" t="s">
        <v>3</v>
      </c>
      <c r="HP118" t="s">
        <v>3</v>
      </c>
      <c r="HQ118" t="s">
        <v>3</v>
      </c>
      <c r="IK118">
        <v>0</v>
      </c>
    </row>
    <row r="119" spans="1:245" x14ac:dyDescent="0.2">
      <c r="A119">
        <v>17</v>
      </c>
      <c r="B119">
        <v>1</v>
      </c>
      <c r="C119">
        <f>ROW(SmtRes!A185)</f>
        <v>185</v>
      </c>
      <c r="D119">
        <f>ROW(EtalonRes!A171)</f>
        <v>171</v>
      </c>
      <c r="E119" t="s">
        <v>352</v>
      </c>
      <c r="F119" t="s">
        <v>353</v>
      </c>
      <c r="G119" t="s">
        <v>354</v>
      </c>
      <c r="H119" t="s">
        <v>355</v>
      </c>
      <c r="I119">
        <v>0</v>
      </c>
      <c r="J119">
        <v>0</v>
      </c>
      <c r="K119">
        <v>0</v>
      </c>
      <c r="O119">
        <f t="shared" si="94"/>
        <v>0</v>
      </c>
      <c r="P119">
        <f t="shared" si="95"/>
        <v>0</v>
      </c>
      <c r="Q119">
        <f t="shared" si="96"/>
        <v>0</v>
      </c>
      <c r="R119">
        <f t="shared" si="97"/>
        <v>0</v>
      </c>
      <c r="S119">
        <f t="shared" si="98"/>
        <v>0</v>
      </c>
      <c r="T119">
        <f t="shared" si="99"/>
        <v>0</v>
      </c>
      <c r="U119">
        <f t="shared" si="100"/>
        <v>0</v>
      </c>
      <c r="V119">
        <f t="shared" si="101"/>
        <v>0</v>
      </c>
      <c r="W119">
        <f t="shared" si="102"/>
        <v>0</v>
      </c>
      <c r="X119">
        <f t="shared" si="103"/>
        <v>0</v>
      </c>
      <c r="Y119">
        <f t="shared" si="104"/>
        <v>0</v>
      </c>
      <c r="AA119">
        <v>43095088</v>
      </c>
      <c r="AB119">
        <f t="shared" si="105"/>
        <v>12424.49</v>
      </c>
      <c r="AC119">
        <f t="shared" si="106"/>
        <v>10593.5</v>
      </c>
      <c r="AD119">
        <f t="shared" si="134"/>
        <v>26.69</v>
      </c>
      <c r="AE119">
        <f t="shared" si="135"/>
        <v>0.09</v>
      </c>
      <c r="AF119">
        <f t="shared" si="136"/>
        <v>1804.3</v>
      </c>
      <c r="AG119">
        <f t="shared" si="110"/>
        <v>0</v>
      </c>
      <c r="AH119">
        <f t="shared" si="137"/>
        <v>8.5</v>
      </c>
      <c r="AI119">
        <f t="shared" si="138"/>
        <v>0</v>
      </c>
      <c r="AJ119">
        <f t="shared" si="113"/>
        <v>0</v>
      </c>
      <c r="AK119">
        <v>12424.49</v>
      </c>
      <c r="AL119">
        <v>10593.5</v>
      </c>
      <c r="AM119">
        <v>26.69</v>
      </c>
      <c r="AN119">
        <v>0.09</v>
      </c>
      <c r="AO119">
        <v>1804.3</v>
      </c>
      <c r="AP119">
        <v>0</v>
      </c>
      <c r="AQ119">
        <v>8.5</v>
      </c>
      <c r="AR119">
        <v>0</v>
      </c>
      <c r="AS119">
        <v>0</v>
      </c>
      <c r="AT119">
        <v>70</v>
      </c>
      <c r="AU119">
        <v>10</v>
      </c>
      <c r="AV119">
        <v>1</v>
      </c>
      <c r="AW119">
        <v>1</v>
      </c>
      <c r="AZ119">
        <v>1</v>
      </c>
      <c r="BA119">
        <v>1</v>
      </c>
      <c r="BB119">
        <v>1</v>
      </c>
      <c r="BC119">
        <v>1</v>
      </c>
      <c r="BD119" t="s">
        <v>3</v>
      </c>
      <c r="BE119" t="s">
        <v>3</v>
      </c>
      <c r="BF119" t="s">
        <v>3</v>
      </c>
      <c r="BG119" t="s">
        <v>3</v>
      </c>
      <c r="BH119">
        <v>0</v>
      </c>
      <c r="BI119">
        <v>4</v>
      </c>
      <c r="BJ119" t="s">
        <v>356</v>
      </c>
      <c r="BM119">
        <v>0</v>
      </c>
      <c r="BN119">
        <v>0</v>
      </c>
      <c r="BO119" t="s">
        <v>3</v>
      </c>
      <c r="BP119">
        <v>0</v>
      </c>
      <c r="BQ119">
        <v>1</v>
      </c>
      <c r="BR119">
        <v>0</v>
      </c>
      <c r="BS119">
        <v>1</v>
      </c>
      <c r="BT119">
        <v>1</v>
      </c>
      <c r="BU119">
        <v>1</v>
      </c>
      <c r="BV119">
        <v>1</v>
      </c>
      <c r="BW119">
        <v>1</v>
      </c>
      <c r="BX119">
        <v>1</v>
      </c>
      <c r="BY119" t="s">
        <v>3</v>
      </c>
      <c r="BZ119">
        <v>70</v>
      </c>
      <c r="CA119">
        <v>10</v>
      </c>
      <c r="CB119" t="s">
        <v>3</v>
      </c>
      <c r="CE119">
        <v>0</v>
      </c>
      <c r="CF119">
        <v>0</v>
      </c>
      <c r="CG119">
        <v>0</v>
      </c>
      <c r="CM119">
        <v>0</v>
      </c>
      <c r="CN119" t="s">
        <v>3</v>
      </c>
      <c r="CO119">
        <v>0</v>
      </c>
      <c r="CP119">
        <f t="shared" si="114"/>
        <v>0</v>
      </c>
      <c r="CQ119">
        <f t="shared" si="115"/>
        <v>10593.5</v>
      </c>
      <c r="CR119">
        <f t="shared" si="139"/>
        <v>26.69</v>
      </c>
      <c r="CS119">
        <f t="shared" si="117"/>
        <v>0.09</v>
      </c>
      <c r="CT119">
        <f t="shared" si="118"/>
        <v>1804.3</v>
      </c>
      <c r="CU119">
        <f t="shared" si="119"/>
        <v>0</v>
      </c>
      <c r="CV119">
        <f t="shared" si="120"/>
        <v>8.5</v>
      </c>
      <c r="CW119">
        <f t="shared" si="121"/>
        <v>0</v>
      </c>
      <c r="CX119">
        <f t="shared" si="122"/>
        <v>0</v>
      </c>
      <c r="CY119">
        <f t="shared" si="123"/>
        <v>0</v>
      </c>
      <c r="CZ119">
        <f t="shared" si="124"/>
        <v>0</v>
      </c>
      <c r="DC119" t="s">
        <v>3</v>
      </c>
      <c r="DD119" t="s">
        <v>3</v>
      </c>
      <c r="DE119" t="s">
        <v>3</v>
      </c>
      <c r="DF119" t="s">
        <v>3</v>
      </c>
      <c r="DG119" t="s">
        <v>3</v>
      </c>
      <c r="DH119" t="s">
        <v>3</v>
      </c>
      <c r="DI119" t="s">
        <v>3</v>
      </c>
      <c r="DJ119" t="s">
        <v>3</v>
      </c>
      <c r="DK119" t="s">
        <v>3</v>
      </c>
      <c r="DL119" t="s">
        <v>3</v>
      </c>
      <c r="DM119" t="s">
        <v>3</v>
      </c>
      <c r="DN119">
        <v>0</v>
      </c>
      <c r="DO119">
        <v>0</v>
      </c>
      <c r="DP119">
        <v>1</v>
      </c>
      <c r="DQ119">
        <v>1</v>
      </c>
      <c r="DU119">
        <v>1013</v>
      </c>
      <c r="DV119" t="s">
        <v>355</v>
      </c>
      <c r="DW119" t="s">
        <v>355</v>
      </c>
      <c r="DX119">
        <v>1</v>
      </c>
      <c r="DZ119" t="s">
        <v>3</v>
      </c>
      <c r="EA119" t="s">
        <v>3</v>
      </c>
      <c r="EB119" t="s">
        <v>3</v>
      </c>
      <c r="EC119" t="s">
        <v>3</v>
      </c>
      <c r="EE119">
        <v>43033442</v>
      </c>
      <c r="EF119">
        <v>1</v>
      </c>
      <c r="EG119" t="s">
        <v>22</v>
      </c>
      <c r="EH119">
        <v>0</v>
      </c>
      <c r="EI119" t="s">
        <v>3</v>
      </c>
      <c r="EJ119">
        <v>4</v>
      </c>
      <c r="EK119">
        <v>0</v>
      </c>
      <c r="EL119" t="s">
        <v>23</v>
      </c>
      <c r="EM119" t="s">
        <v>24</v>
      </c>
      <c r="EO119" t="s">
        <v>3</v>
      </c>
      <c r="EQ119">
        <v>0</v>
      </c>
      <c r="ER119">
        <v>12424.49</v>
      </c>
      <c r="ES119">
        <v>10593.5</v>
      </c>
      <c r="ET119">
        <v>26.69</v>
      </c>
      <c r="EU119">
        <v>0.09</v>
      </c>
      <c r="EV119">
        <v>1804.3</v>
      </c>
      <c r="EW119">
        <v>8.5</v>
      </c>
      <c r="EX119">
        <v>0</v>
      </c>
      <c r="EY119">
        <v>0</v>
      </c>
      <c r="FQ119">
        <v>0</v>
      </c>
      <c r="FR119">
        <f t="shared" si="125"/>
        <v>0</v>
      </c>
      <c r="FS119">
        <v>0</v>
      </c>
      <c r="FX119">
        <v>70</v>
      </c>
      <c r="FY119">
        <v>10</v>
      </c>
      <c r="GA119" t="s">
        <v>3</v>
      </c>
      <c r="GD119">
        <v>0</v>
      </c>
      <c r="GF119">
        <v>2140856324</v>
      </c>
      <c r="GG119">
        <v>2</v>
      </c>
      <c r="GH119">
        <v>1</v>
      </c>
      <c r="GI119">
        <v>-2</v>
      </c>
      <c r="GJ119">
        <v>0</v>
      </c>
      <c r="GK119">
        <f>ROUND(R119*(R12)/100,2)</f>
        <v>0</v>
      </c>
      <c r="GL119">
        <f t="shared" si="126"/>
        <v>0</v>
      </c>
      <c r="GM119">
        <f t="shared" si="127"/>
        <v>0</v>
      </c>
      <c r="GN119">
        <f t="shared" si="128"/>
        <v>0</v>
      </c>
      <c r="GO119">
        <f t="shared" si="129"/>
        <v>0</v>
      </c>
      <c r="GP119">
        <f t="shared" si="130"/>
        <v>0</v>
      </c>
      <c r="GR119">
        <v>0</v>
      </c>
      <c r="GS119">
        <v>3</v>
      </c>
      <c r="GT119">
        <v>0</v>
      </c>
      <c r="GU119" t="s">
        <v>3</v>
      </c>
      <c r="GV119">
        <f t="shared" si="131"/>
        <v>0</v>
      </c>
      <c r="GW119">
        <v>1</v>
      </c>
      <c r="GX119">
        <f t="shared" si="132"/>
        <v>0</v>
      </c>
      <c r="HA119">
        <v>0</v>
      </c>
      <c r="HB119">
        <v>0</v>
      </c>
      <c r="HC119">
        <f t="shared" si="133"/>
        <v>0</v>
      </c>
      <c r="HE119" t="s">
        <v>3</v>
      </c>
      <c r="HF119" t="s">
        <v>3</v>
      </c>
      <c r="HM119" t="s">
        <v>3</v>
      </c>
      <c r="HN119" t="s">
        <v>3</v>
      </c>
      <c r="HO119" t="s">
        <v>3</v>
      </c>
      <c r="HP119" t="s">
        <v>3</v>
      </c>
      <c r="HQ119" t="s">
        <v>3</v>
      </c>
      <c r="IK119">
        <v>0</v>
      </c>
    </row>
    <row r="120" spans="1:245" x14ac:dyDescent="0.2">
      <c r="A120">
        <v>17</v>
      </c>
      <c r="B120">
        <v>1</v>
      </c>
      <c r="C120">
        <f>ROW(SmtRes!A188)</f>
        <v>188</v>
      </c>
      <c r="D120">
        <f>ROW(EtalonRes!A174)</f>
        <v>174</v>
      </c>
      <c r="E120" t="s">
        <v>357</v>
      </c>
      <c r="F120" t="s">
        <v>358</v>
      </c>
      <c r="G120" t="s">
        <v>359</v>
      </c>
      <c r="H120" t="s">
        <v>355</v>
      </c>
      <c r="I120">
        <f>ROUND(5/100,9)</f>
        <v>0.05</v>
      </c>
      <c r="J120">
        <v>0</v>
      </c>
      <c r="K120">
        <f>ROUND(5/100,9)</f>
        <v>0.05</v>
      </c>
      <c r="O120">
        <f t="shared" ref="O120:O154" si="140">ROUND(CP120,2)</f>
        <v>1303.75</v>
      </c>
      <c r="P120">
        <f t="shared" ref="P120:P154" si="141">ROUND(CQ120*I120,2)</f>
        <v>1185.27</v>
      </c>
      <c r="Q120">
        <f t="shared" ref="Q120:Q154" si="142">ROUND(CR120*I120,2)</f>
        <v>1.73</v>
      </c>
      <c r="R120">
        <f t="shared" ref="R120:R154" si="143">ROUND(CS120*I120,2)</f>
        <v>0.01</v>
      </c>
      <c r="S120">
        <f t="shared" ref="S120:S154" si="144">ROUND(CT120*I120,2)</f>
        <v>116.75</v>
      </c>
      <c r="T120">
        <f t="shared" ref="T120:T154" si="145">ROUND(CU120*I120,2)</f>
        <v>0</v>
      </c>
      <c r="U120">
        <f t="shared" ref="U120:U154" si="146">CV120*I120</f>
        <v>0.55000000000000004</v>
      </c>
      <c r="V120">
        <f t="shared" ref="V120:V154" si="147">CW120*I120</f>
        <v>0</v>
      </c>
      <c r="W120">
        <f t="shared" ref="W120:W154" si="148">ROUND(CX120*I120,2)</f>
        <v>0</v>
      </c>
      <c r="X120">
        <f t="shared" ref="X120:X154" si="149">ROUND(CY120,2)</f>
        <v>81.73</v>
      </c>
      <c r="Y120">
        <f t="shared" ref="Y120:Y154" si="150">ROUND(CZ120,2)</f>
        <v>11.68</v>
      </c>
      <c r="AA120">
        <v>43095088</v>
      </c>
      <c r="AB120">
        <f t="shared" ref="AB120:AB151" si="151">ROUND((AC120+AD120+AF120),6)</f>
        <v>26074.91</v>
      </c>
      <c r="AC120">
        <f t="shared" ref="AC120:AC140" si="152">ROUND((ES120),6)</f>
        <v>23705.4</v>
      </c>
      <c r="AD120">
        <f t="shared" si="134"/>
        <v>34.54</v>
      </c>
      <c r="AE120">
        <f t="shared" si="135"/>
        <v>0.11</v>
      </c>
      <c r="AF120">
        <f t="shared" si="136"/>
        <v>2334.9699999999998</v>
      </c>
      <c r="AG120">
        <f t="shared" ref="AG120:AG154" si="153">ROUND((AP120),6)</f>
        <v>0</v>
      </c>
      <c r="AH120">
        <f t="shared" si="137"/>
        <v>11</v>
      </c>
      <c r="AI120">
        <f t="shared" si="138"/>
        <v>0</v>
      </c>
      <c r="AJ120">
        <f t="shared" ref="AJ120:AJ154" si="154">(AS120)</f>
        <v>0</v>
      </c>
      <c r="AK120">
        <v>26074.91</v>
      </c>
      <c r="AL120">
        <v>23705.4</v>
      </c>
      <c r="AM120">
        <v>34.54</v>
      </c>
      <c r="AN120">
        <v>0.11</v>
      </c>
      <c r="AO120">
        <v>2334.9699999999998</v>
      </c>
      <c r="AP120">
        <v>0</v>
      </c>
      <c r="AQ120">
        <v>11</v>
      </c>
      <c r="AR120">
        <v>0</v>
      </c>
      <c r="AS120">
        <v>0</v>
      </c>
      <c r="AT120">
        <v>70</v>
      </c>
      <c r="AU120">
        <v>10</v>
      </c>
      <c r="AV120">
        <v>1</v>
      </c>
      <c r="AW120">
        <v>1</v>
      </c>
      <c r="AZ120">
        <v>1</v>
      </c>
      <c r="BA120">
        <v>1</v>
      </c>
      <c r="BB120">
        <v>1</v>
      </c>
      <c r="BC120">
        <v>1</v>
      </c>
      <c r="BD120" t="s">
        <v>3</v>
      </c>
      <c r="BE120" t="s">
        <v>3</v>
      </c>
      <c r="BF120" t="s">
        <v>3</v>
      </c>
      <c r="BG120" t="s">
        <v>3</v>
      </c>
      <c r="BH120">
        <v>0</v>
      </c>
      <c r="BI120">
        <v>4</v>
      </c>
      <c r="BJ120" t="s">
        <v>360</v>
      </c>
      <c r="BM120">
        <v>0</v>
      </c>
      <c r="BN120">
        <v>0</v>
      </c>
      <c r="BO120" t="s">
        <v>3</v>
      </c>
      <c r="BP120">
        <v>0</v>
      </c>
      <c r="BQ120">
        <v>1</v>
      </c>
      <c r="BR120">
        <v>0</v>
      </c>
      <c r="BS120">
        <v>1</v>
      </c>
      <c r="BT120">
        <v>1</v>
      </c>
      <c r="BU120">
        <v>1</v>
      </c>
      <c r="BV120">
        <v>1</v>
      </c>
      <c r="BW120">
        <v>1</v>
      </c>
      <c r="BX120">
        <v>1</v>
      </c>
      <c r="BY120" t="s">
        <v>3</v>
      </c>
      <c r="BZ120">
        <v>70</v>
      </c>
      <c r="CA120">
        <v>10</v>
      </c>
      <c r="CB120" t="s">
        <v>3</v>
      </c>
      <c r="CE120">
        <v>0</v>
      </c>
      <c r="CF120">
        <v>0</v>
      </c>
      <c r="CG120">
        <v>0</v>
      </c>
      <c r="CM120">
        <v>0</v>
      </c>
      <c r="CN120" t="s">
        <v>3</v>
      </c>
      <c r="CO120">
        <v>0</v>
      </c>
      <c r="CP120">
        <f t="shared" ref="CP120:CP154" si="155">(P120+Q120+S120)</f>
        <v>1303.75</v>
      </c>
      <c r="CQ120">
        <f t="shared" ref="CQ120:CQ154" si="156">(AC120*BC120*AW120)</f>
        <v>23705.4</v>
      </c>
      <c r="CR120">
        <f t="shared" si="139"/>
        <v>34.54</v>
      </c>
      <c r="CS120">
        <f t="shared" ref="CS120:CS154" si="157">(AE120*BS120*AV120)</f>
        <v>0.11</v>
      </c>
      <c r="CT120">
        <f t="shared" ref="CT120:CT154" si="158">(AF120*BA120*AV120)</f>
        <v>2334.9699999999998</v>
      </c>
      <c r="CU120">
        <f t="shared" ref="CU120:CU154" si="159">AG120</f>
        <v>0</v>
      </c>
      <c r="CV120">
        <f t="shared" ref="CV120:CV154" si="160">(AH120*AV120)</f>
        <v>11</v>
      </c>
      <c r="CW120">
        <f t="shared" ref="CW120:CW154" si="161">AI120</f>
        <v>0</v>
      </c>
      <c r="CX120">
        <f t="shared" ref="CX120:CX154" si="162">AJ120</f>
        <v>0</v>
      </c>
      <c r="CY120">
        <f t="shared" ref="CY120:CY154" si="163">((S120*BZ120)/100)</f>
        <v>81.724999999999994</v>
      </c>
      <c r="CZ120">
        <f t="shared" ref="CZ120:CZ154" si="164">((S120*CA120)/100)</f>
        <v>11.675000000000001</v>
      </c>
      <c r="DC120" t="s">
        <v>3</v>
      </c>
      <c r="DD120" t="s">
        <v>3</v>
      </c>
      <c r="DE120" t="s">
        <v>3</v>
      </c>
      <c r="DF120" t="s">
        <v>3</v>
      </c>
      <c r="DG120" t="s">
        <v>3</v>
      </c>
      <c r="DH120" t="s">
        <v>3</v>
      </c>
      <c r="DI120" t="s">
        <v>3</v>
      </c>
      <c r="DJ120" t="s">
        <v>3</v>
      </c>
      <c r="DK120" t="s">
        <v>3</v>
      </c>
      <c r="DL120" t="s">
        <v>3</v>
      </c>
      <c r="DM120" t="s">
        <v>3</v>
      </c>
      <c r="DN120">
        <v>0</v>
      </c>
      <c r="DO120">
        <v>0</v>
      </c>
      <c r="DP120">
        <v>1</v>
      </c>
      <c r="DQ120">
        <v>1</v>
      </c>
      <c r="DU120">
        <v>1013</v>
      </c>
      <c r="DV120" t="s">
        <v>355</v>
      </c>
      <c r="DW120" t="s">
        <v>355</v>
      </c>
      <c r="DX120">
        <v>1</v>
      </c>
      <c r="DZ120" t="s">
        <v>3</v>
      </c>
      <c r="EA120" t="s">
        <v>3</v>
      </c>
      <c r="EB120" t="s">
        <v>3</v>
      </c>
      <c r="EC120" t="s">
        <v>3</v>
      </c>
      <c r="EE120">
        <v>43033442</v>
      </c>
      <c r="EF120">
        <v>1</v>
      </c>
      <c r="EG120" t="s">
        <v>22</v>
      </c>
      <c r="EH120">
        <v>0</v>
      </c>
      <c r="EI120" t="s">
        <v>3</v>
      </c>
      <c r="EJ120">
        <v>4</v>
      </c>
      <c r="EK120">
        <v>0</v>
      </c>
      <c r="EL120" t="s">
        <v>23</v>
      </c>
      <c r="EM120" t="s">
        <v>24</v>
      </c>
      <c r="EO120" t="s">
        <v>3</v>
      </c>
      <c r="EQ120">
        <v>0</v>
      </c>
      <c r="ER120">
        <v>26074.91</v>
      </c>
      <c r="ES120">
        <v>23705.4</v>
      </c>
      <c r="ET120">
        <v>34.54</v>
      </c>
      <c r="EU120">
        <v>0.11</v>
      </c>
      <c r="EV120">
        <v>2334.9699999999998</v>
      </c>
      <c r="EW120">
        <v>11</v>
      </c>
      <c r="EX120">
        <v>0</v>
      </c>
      <c r="EY120">
        <v>0</v>
      </c>
      <c r="FQ120">
        <v>0</v>
      </c>
      <c r="FR120">
        <f t="shared" ref="FR120:FR154" si="165">ROUND(IF(AND(BH120=3,BI120=3),P120,0),2)</f>
        <v>0</v>
      </c>
      <c r="FS120">
        <v>0</v>
      </c>
      <c r="FX120">
        <v>70</v>
      </c>
      <c r="FY120">
        <v>10</v>
      </c>
      <c r="GA120" t="s">
        <v>3</v>
      </c>
      <c r="GD120">
        <v>0</v>
      </c>
      <c r="GF120">
        <v>-1767528072</v>
      </c>
      <c r="GG120">
        <v>2</v>
      </c>
      <c r="GH120">
        <v>1</v>
      </c>
      <c r="GI120">
        <v>-2</v>
      </c>
      <c r="GJ120">
        <v>0</v>
      </c>
      <c r="GK120">
        <f>ROUND(R120*(R12)/100,2)</f>
        <v>0.01</v>
      </c>
      <c r="GL120">
        <f t="shared" ref="GL120:GL154" si="166">ROUND(IF(AND(BH120=3,BI120=3,FS120&lt;&gt;0),P120,0),2)</f>
        <v>0</v>
      </c>
      <c r="GM120">
        <f t="shared" ref="GM120:GM152" si="167">ROUND(O120+X120+Y120+GK120,2)+GX120</f>
        <v>1397.17</v>
      </c>
      <c r="GN120">
        <f t="shared" ref="GN120:GN152" si="168">IF(OR(BI120=0,BI120=1),ROUND(O120+X120+Y120+GK120,2),0)</f>
        <v>0</v>
      </c>
      <c r="GO120">
        <f t="shared" ref="GO120:GO152" si="169">IF(BI120=2,ROUND(O120+X120+Y120+GK120,2),0)</f>
        <v>0</v>
      </c>
      <c r="GP120">
        <f t="shared" ref="GP120:GP152" si="170">IF(BI120=4,ROUND(O120+X120+Y120+GK120,2)+GX120,0)</f>
        <v>1397.17</v>
      </c>
      <c r="GR120">
        <v>0</v>
      </c>
      <c r="GS120">
        <v>3</v>
      </c>
      <c r="GT120">
        <v>0</v>
      </c>
      <c r="GU120" t="s">
        <v>3</v>
      </c>
      <c r="GV120">
        <f t="shared" ref="GV120:GV154" si="171">ROUND((GT120),6)</f>
        <v>0</v>
      </c>
      <c r="GW120">
        <v>1</v>
      </c>
      <c r="GX120">
        <f t="shared" ref="GX120:GX154" si="172">ROUND(HC120*I120,2)</f>
        <v>0</v>
      </c>
      <c r="HA120">
        <v>0</v>
      </c>
      <c r="HB120">
        <v>0</v>
      </c>
      <c r="HC120">
        <f t="shared" ref="HC120:HC154" si="173">GV120*GW120</f>
        <v>0</v>
      </c>
      <c r="HE120" t="s">
        <v>3</v>
      </c>
      <c r="HF120" t="s">
        <v>3</v>
      </c>
      <c r="HM120" t="s">
        <v>3</v>
      </c>
      <c r="HN120" t="s">
        <v>3</v>
      </c>
      <c r="HO120" t="s">
        <v>3</v>
      </c>
      <c r="HP120" t="s">
        <v>3</v>
      </c>
      <c r="HQ120" t="s">
        <v>3</v>
      </c>
      <c r="IK120">
        <v>0</v>
      </c>
    </row>
    <row r="121" spans="1:245" x14ac:dyDescent="0.2">
      <c r="A121">
        <v>17</v>
      </c>
      <c r="B121">
        <v>1</v>
      </c>
      <c r="C121">
        <f>ROW(SmtRes!A190)</f>
        <v>190</v>
      </c>
      <c r="D121">
        <f>ROW(EtalonRes!A176)</f>
        <v>176</v>
      </c>
      <c r="E121" t="s">
        <v>361</v>
      </c>
      <c r="F121" t="s">
        <v>362</v>
      </c>
      <c r="G121" t="s">
        <v>363</v>
      </c>
      <c r="H121" t="s">
        <v>355</v>
      </c>
      <c r="I121">
        <f>ROUND(5/100,9)</f>
        <v>0.05</v>
      </c>
      <c r="J121">
        <v>0</v>
      </c>
      <c r="K121">
        <f>ROUND(5/100,9)</f>
        <v>0.05</v>
      </c>
      <c r="O121">
        <f t="shared" si="140"/>
        <v>39.85</v>
      </c>
      <c r="P121">
        <f t="shared" si="141"/>
        <v>0</v>
      </c>
      <c r="Q121">
        <f t="shared" si="142"/>
        <v>0.57999999999999996</v>
      </c>
      <c r="R121">
        <f t="shared" si="143"/>
        <v>0</v>
      </c>
      <c r="S121">
        <f t="shared" si="144"/>
        <v>39.270000000000003</v>
      </c>
      <c r="T121">
        <f t="shared" si="145"/>
        <v>0</v>
      </c>
      <c r="U121">
        <f t="shared" si="146"/>
        <v>0.18500000000000003</v>
      </c>
      <c r="V121">
        <f t="shared" si="147"/>
        <v>0</v>
      </c>
      <c r="W121">
        <f t="shared" si="148"/>
        <v>0</v>
      </c>
      <c r="X121">
        <f t="shared" si="149"/>
        <v>27.49</v>
      </c>
      <c r="Y121">
        <f t="shared" si="150"/>
        <v>3.93</v>
      </c>
      <c r="AA121">
        <v>43095088</v>
      </c>
      <c r="AB121">
        <f t="shared" si="151"/>
        <v>797.02</v>
      </c>
      <c r="AC121">
        <f t="shared" si="152"/>
        <v>0</v>
      </c>
      <c r="AD121">
        <f t="shared" si="134"/>
        <v>11.62</v>
      </c>
      <c r="AE121">
        <f t="shared" si="135"/>
        <v>0.04</v>
      </c>
      <c r="AF121">
        <f t="shared" si="136"/>
        <v>785.4</v>
      </c>
      <c r="AG121">
        <f t="shared" si="153"/>
        <v>0</v>
      </c>
      <c r="AH121">
        <f t="shared" si="137"/>
        <v>3.7</v>
      </c>
      <c r="AI121">
        <f t="shared" si="138"/>
        <v>0</v>
      </c>
      <c r="AJ121">
        <f t="shared" si="154"/>
        <v>0</v>
      </c>
      <c r="AK121">
        <v>797.02</v>
      </c>
      <c r="AL121">
        <v>0</v>
      </c>
      <c r="AM121">
        <v>11.62</v>
      </c>
      <c r="AN121">
        <v>0.04</v>
      </c>
      <c r="AO121">
        <v>785.4</v>
      </c>
      <c r="AP121">
        <v>0</v>
      </c>
      <c r="AQ121">
        <v>3.7</v>
      </c>
      <c r="AR121">
        <v>0</v>
      </c>
      <c r="AS121">
        <v>0</v>
      </c>
      <c r="AT121">
        <v>70</v>
      </c>
      <c r="AU121">
        <v>10</v>
      </c>
      <c r="AV121">
        <v>1</v>
      </c>
      <c r="AW121">
        <v>1</v>
      </c>
      <c r="AZ121">
        <v>1</v>
      </c>
      <c r="BA121">
        <v>1</v>
      </c>
      <c r="BB121">
        <v>1</v>
      </c>
      <c r="BC121">
        <v>1</v>
      </c>
      <c r="BD121" t="s">
        <v>3</v>
      </c>
      <c r="BE121" t="s">
        <v>3</v>
      </c>
      <c r="BF121" t="s">
        <v>3</v>
      </c>
      <c r="BG121" t="s">
        <v>3</v>
      </c>
      <c r="BH121">
        <v>0</v>
      </c>
      <c r="BI121">
        <v>4</v>
      </c>
      <c r="BJ121" t="s">
        <v>364</v>
      </c>
      <c r="BM121">
        <v>0</v>
      </c>
      <c r="BN121">
        <v>0</v>
      </c>
      <c r="BO121" t="s">
        <v>3</v>
      </c>
      <c r="BP121">
        <v>0</v>
      </c>
      <c r="BQ121">
        <v>1</v>
      </c>
      <c r="BR121">
        <v>0</v>
      </c>
      <c r="BS121">
        <v>1</v>
      </c>
      <c r="BT121">
        <v>1</v>
      </c>
      <c r="BU121">
        <v>1</v>
      </c>
      <c r="BV121">
        <v>1</v>
      </c>
      <c r="BW121">
        <v>1</v>
      </c>
      <c r="BX121">
        <v>1</v>
      </c>
      <c r="BY121" t="s">
        <v>3</v>
      </c>
      <c r="BZ121">
        <v>70</v>
      </c>
      <c r="CA121">
        <v>10</v>
      </c>
      <c r="CB121" t="s">
        <v>3</v>
      </c>
      <c r="CE121">
        <v>0</v>
      </c>
      <c r="CF121">
        <v>0</v>
      </c>
      <c r="CG121">
        <v>0</v>
      </c>
      <c r="CM121">
        <v>0</v>
      </c>
      <c r="CN121" t="s">
        <v>3</v>
      </c>
      <c r="CO121">
        <v>0</v>
      </c>
      <c r="CP121">
        <f t="shared" si="155"/>
        <v>39.85</v>
      </c>
      <c r="CQ121">
        <f t="shared" si="156"/>
        <v>0</v>
      </c>
      <c r="CR121">
        <f t="shared" si="139"/>
        <v>11.62</v>
      </c>
      <c r="CS121">
        <f t="shared" si="157"/>
        <v>0.04</v>
      </c>
      <c r="CT121">
        <f t="shared" si="158"/>
        <v>785.4</v>
      </c>
      <c r="CU121">
        <f t="shared" si="159"/>
        <v>0</v>
      </c>
      <c r="CV121">
        <f t="shared" si="160"/>
        <v>3.7</v>
      </c>
      <c r="CW121">
        <f t="shared" si="161"/>
        <v>0</v>
      </c>
      <c r="CX121">
        <f t="shared" si="162"/>
        <v>0</v>
      </c>
      <c r="CY121">
        <f t="shared" si="163"/>
        <v>27.489000000000001</v>
      </c>
      <c r="CZ121">
        <f t="shared" si="164"/>
        <v>3.9270000000000005</v>
      </c>
      <c r="DC121" t="s">
        <v>3</v>
      </c>
      <c r="DD121" t="s">
        <v>3</v>
      </c>
      <c r="DE121" t="s">
        <v>3</v>
      </c>
      <c r="DF121" t="s">
        <v>3</v>
      </c>
      <c r="DG121" t="s">
        <v>3</v>
      </c>
      <c r="DH121" t="s">
        <v>3</v>
      </c>
      <c r="DI121" t="s">
        <v>3</v>
      </c>
      <c r="DJ121" t="s">
        <v>3</v>
      </c>
      <c r="DK121" t="s">
        <v>3</v>
      </c>
      <c r="DL121" t="s">
        <v>3</v>
      </c>
      <c r="DM121" t="s">
        <v>3</v>
      </c>
      <c r="DN121">
        <v>0</v>
      </c>
      <c r="DO121">
        <v>0</v>
      </c>
      <c r="DP121">
        <v>1</v>
      </c>
      <c r="DQ121">
        <v>1</v>
      </c>
      <c r="DU121">
        <v>1013</v>
      </c>
      <c r="DV121" t="s">
        <v>355</v>
      </c>
      <c r="DW121" t="s">
        <v>355</v>
      </c>
      <c r="DX121">
        <v>1</v>
      </c>
      <c r="DZ121" t="s">
        <v>3</v>
      </c>
      <c r="EA121" t="s">
        <v>3</v>
      </c>
      <c r="EB121" t="s">
        <v>3</v>
      </c>
      <c r="EC121" t="s">
        <v>3</v>
      </c>
      <c r="EE121">
        <v>43033442</v>
      </c>
      <c r="EF121">
        <v>1</v>
      </c>
      <c r="EG121" t="s">
        <v>22</v>
      </c>
      <c r="EH121">
        <v>0</v>
      </c>
      <c r="EI121" t="s">
        <v>3</v>
      </c>
      <c r="EJ121">
        <v>4</v>
      </c>
      <c r="EK121">
        <v>0</v>
      </c>
      <c r="EL121" t="s">
        <v>23</v>
      </c>
      <c r="EM121" t="s">
        <v>24</v>
      </c>
      <c r="EO121" t="s">
        <v>3</v>
      </c>
      <c r="EQ121">
        <v>0</v>
      </c>
      <c r="ER121">
        <v>797.02</v>
      </c>
      <c r="ES121">
        <v>0</v>
      </c>
      <c r="ET121">
        <v>11.62</v>
      </c>
      <c r="EU121">
        <v>0.04</v>
      </c>
      <c r="EV121">
        <v>785.4</v>
      </c>
      <c r="EW121">
        <v>3.7</v>
      </c>
      <c r="EX121">
        <v>0</v>
      </c>
      <c r="EY121">
        <v>0</v>
      </c>
      <c r="FQ121">
        <v>0</v>
      </c>
      <c r="FR121">
        <f t="shared" si="165"/>
        <v>0</v>
      </c>
      <c r="FS121">
        <v>0</v>
      </c>
      <c r="FX121">
        <v>70</v>
      </c>
      <c r="FY121">
        <v>10</v>
      </c>
      <c r="GA121" t="s">
        <v>3</v>
      </c>
      <c r="GD121">
        <v>0</v>
      </c>
      <c r="GF121">
        <v>-1499601143</v>
      </c>
      <c r="GG121">
        <v>2</v>
      </c>
      <c r="GH121">
        <v>1</v>
      </c>
      <c r="GI121">
        <v>-2</v>
      </c>
      <c r="GJ121">
        <v>0</v>
      </c>
      <c r="GK121">
        <f>ROUND(R121*(R12)/100,2)</f>
        <v>0</v>
      </c>
      <c r="GL121">
        <f t="shared" si="166"/>
        <v>0</v>
      </c>
      <c r="GM121">
        <f t="shared" si="167"/>
        <v>71.27</v>
      </c>
      <c r="GN121">
        <f t="shared" si="168"/>
        <v>0</v>
      </c>
      <c r="GO121">
        <f t="shared" si="169"/>
        <v>0</v>
      </c>
      <c r="GP121">
        <f t="shared" si="170"/>
        <v>71.27</v>
      </c>
      <c r="GR121">
        <v>0</v>
      </c>
      <c r="GS121">
        <v>3</v>
      </c>
      <c r="GT121">
        <v>0</v>
      </c>
      <c r="GU121" t="s">
        <v>3</v>
      </c>
      <c r="GV121">
        <f t="shared" si="171"/>
        <v>0</v>
      </c>
      <c r="GW121">
        <v>1</v>
      </c>
      <c r="GX121">
        <f t="shared" si="172"/>
        <v>0</v>
      </c>
      <c r="HA121">
        <v>0</v>
      </c>
      <c r="HB121">
        <v>0</v>
      </c>
      <c r="HC121">
        <f t="shared" si="173"/>
        <v>0</v>
      </c>
      <c r="HE121" t="s">
        <v>3</v>
      </c>
      <c r="HF121" t="s">
        <v>3</v>
      </c>
      <c r="HM121" t="s">
        <v>3</v>
      </c>
      <c r="HN121" t="s">
        <v>3</v>
      </c>
      <c r="HO121" t="s">
        <v>3</v>
      </c>
      <c r="HP121" t="s">
        <v>3</v>
      </c>
      <c r="HQ121" t="s">
        <v>3</v>
      </c>
      <c r="IK121">
        <v>0</v>
      </c>
    </row>
    <row r="122" spans="1:245" x14ac:dyDescent="0.2">
      <c r="A122">
        <v>17</v>
      </c>
      <c r="B122">
        <v>1</v>
      </c>
      <c r="C122">
        <f>ROW(SmtRes!A192)</f>
        <v>192</v>
      </c>
      <c r="D122">
        <f>ROW(EtalonRes!A178)</f>
        <v>178</v>
      </c>
      <c r="E122" t="s">
        <v>365</v>
      </c>
      <c r="F122" t="s">
        <v>366</v>
      </c>
      <c r="G122" t="s">
        <v>367</v>
      </c>
      <c r="H122" t="s">
        <v>355</v>
      </c>
      <c r="I122">
        <v>0</v>
      </c>
      <c r="J122">
        <v>0</v>
      </c>
      <c r="K122">
        <v>0</v>
      </c>
      <c r="O122">
        <f t="shared" si="140"/>
        <v>0</v>
      </c>
      <c r="P122">
        <f t="shared" si="141"/>
        <v>0</v>
      </c>
      <c r="Q122">
        <f t="shared" si="142"/>
        <v>0</v>
      </c>
      <c r="R122">
        <f t="shared" si="143"/>
        <v>0</v>
      </c>
      <c r="S122">
        <f t="shared" si="144"/>
        <v>0</v>
      </c>
      <c r="T122">
        <f t="shared" si="145"/>
        <v>0</v>
      </c>
      <c r="U122">
        <f t="shared" si="146"/>
        <v>0</v>
      </c>
      <c r="V122">
        <f t="shared" si="147"/>
        <v>0</v>
      </c>
      <c r="W122">
        <f t="shared" si="148"/>
        <v>0</v>
      </c>
      <c r="X122">
        <f t="shared" si="149"/>
        <v>0</v>
      </c>
      <c r="Y122">
        <f t="shared" si="150"/>
        <v>0</v>
      </c>
      <c r="AA122">
        <v>43095088</v>
      </c>
      <c r="AB122">
        <f t="shared" si="151"/>
        <v>560.05999999999995</v>
      </c>
      <c r="AC122">
        <f t="shared" si="152"/>
        <v>0</v>
      </c>
      <c r="AD122">
        <f t="shared" si="134"/>
        <v>8.16</v>
      </c>
      <c r="AE122">
        <f t="shared" si="135"/>
        <v>0.03</v>
      </c>
      <c r="AF122">
        <f t="shared" si="136"/>
        <v>551.9</v>
      </c>
      <c r="AG122">
        <f t="shared" si="153"/>
        <v>0</v>
      </c>
      <c r="AH122">
        <f t="shared" si="137"/>
        <v>2.6</v>
      </c>
      <c r="AI122">
        <f t="shared" si="138"/>
        <v>0</v>
      </c>
      <c r="AJ122">
        <f t="shared" si="154"/>
        <v>0</v>
      </c>
      <c r="AK122">
        <v>560.05999999999995</v>
      </c>
      <c r="AL122">
        <v>0</v>
      </c>
      <c r="AM122">
        <v>8.16</v>
      </c>
      <c r="AN122">
        <v>0.03</v>
      </c>
      <c r="AO122">
        <v>551.9</v>
      </c>
      <c r="AP122">
        <v>0</v>
      </c>
      <c r="AQ122">
        <v>2.6</v>
      </c>
      <c r="AR122">
        <v>0</v>
      </c>
      <c r="AS122">
        <v>0</v>
      </c>
      <c r="AT122">
        <v>70</v>
      </c>
      <c r="AU122">
        <v>10</v>
      </c>
      <c r="AV122">
        <v>1</v>
      </c>
      <c r="AW122">
        <v>1</v>
      </c>
      <c r="AZ122">
        <v>1</v>
      </c>
      <c r="BA122">
        <v>1</v>
      </c>
      <c r="BB122">
        <v>1</v>
      </c>
      <c r="BC122">
        <v>1</v>
      </c>
      <c r="BD122" t="s">
        <v>3</v>
      </c>
      <c r="BE122" t="s">
        <v>3</v>
      </c>
      <c r="BF122" t="s">
        <v>3</v>
      </c>
      <c r="BG122" t="s">
        <v>3</v>
      </c>
      <c r="BH122">
        <v>0</v>
      </c>
      <c r="BI122">
        <v>4</v>
      </c>
      <c r="BJ122" t="s">
        <v>368</v>
      </c>
      <c r="BM122">
        <v>0</v>
      </c>
      <c r="BN122">
        <v>0</v>
      </c>
      <c r="BO122" t="s">
        <v>3</v>
      </c>
      <c r="BP122">
        <v>0</v>
      </c>
      <c r="BQ122">
        <v>1</v>
      </c>
      <c r="BR122">
        <v>0</v>
      </c>
      <c r="BS122">
        <v>1</v>
      </c>
      <c r="BT122">
        <v>1</v>
      </c>
      <c r="BU122">
        <v>1</v>
      </c>
      <c r="BV122">
        <v>1</v>
      </c>
      <c r="BW122">
        <v>1</v>
      </c>
      <c r="BX122">
        <v>1</v>
      </c>
      <c r="BY122" t="s">
        <v>3</v>
      </c>
      <c r="BZ122">
        <v>70</v>
      </c>
      <c r="CA122">
        <v>10</v>
      </c>
      <c r="CB122" t="s">
        <v>3</v>
      </c>
      <c r="CE122">
        <v>0</v>
      </c>
      <c r="CF122">
        <v>0</v>
      </c>
      <c r="CG122">
        <v>0</v>
      </c>
      <c r="CM122">
        <v>0</v>
      </c>
      <c r="CN122" t="s">
        <v>3</v>
      </c>
      <c r="CO122">
        <v>0</v>
      </c>
      <c r="CP122">
        <f t="shared" si="155"/>
        <v>0</v>
      </c>
      <c r="CQ122">
        <f t="shared" si="156"/>
        <v>0</v>
      </c>
      <c r="CR122">
        <f t="shared" si="139"/>
        <v>8.16</v>
      </c>
      <c r="CS122">
        <f t="shared" si="157"/>
        <v>0.03</v>
      </c>
      <c r="CT122">
        <f t="shared" si="158"/>
        <v>551.9</v>
      </c>
      <c r="CU122">
        <f t="shared" si="159"/>
        <v>0</v>
      </c>
      <c r="CV122">
        <f t="shared" si="160"/>
        <v>2.6</v>
      </c>
      <c r="CW122">
        <f t="shared" si="161"/>
        <v>0</v>
      </c>
      <c r="CX122">
        <f t="shared" si="162"/>
        <v>0</v>
      </c>
      <c r="CY122">
        <f t="shared" si="163"/>
        <v>0</v>
      </c>
      <c r="CZ122">
        <f t="shared" si="164"/>
        <v>0</v>
      </c>
      <c r="DC122" t="s">
        <v>3</v>
      </c>
      <c r="DD122" t="s">
        <v>3</v>
      </c>
      <c r="DE122" t="s">
        <v>3</v>
      </c>
      <c r="DF122" t="s">
        <v>3</v>
      </c>
      <c r="DG122" t="s">
        <v>3</v>
      </c>
      <c r="DH122" t="s">
        <v>3</v>
      </c>
      <c r="DI122" t="s">
        <v>3</v>
      </c>
      <c r="DJ122" t="s">
        <v>3</v>
      </c>
      <c r="DK122" t="s">
        <v>3</v>
      </c>
      <c r="DL122" t="s">
        <v>3</v>
      </c>
      <c r="DM122" t="s">
        <v>3</v>
      </c>
      <c r="DN122">
        <v>0</v>
      </c>
      <c r="DO122">
        <v>0</v>
      </c>
      <c r="DP122">
        <v>1</v>
      </c>
      <c r="DQ122">
        <v>1</v>
      </c>
      <c r="DU122">
        <v>1013</v>
      </c>
      <c r="DV122" t="s">
        <v>355</v>
      </c>
      <c r="DW122" t="s">
        <v>355</v>
      </c>
      <c r="DX122">
        <v>1</v>
      </c>
      <c r="DZ122" t="s">
        <v>3</v>
      </c>
      <c r="EA122" t="s">
        <v>3</v>
      </c>
      <c r="EB122" t="s">
        <v>3</v>
      </c>
      <c r="EC122" t="s">
        <v>3</v>
      </c>
      <c r="EE122">
        <v>43033442</v>
      </c>
      <c r="EF122">
        <v>1</v>
      </c>
      <c r="EG122" t="s">
        <v>22</v>
      </c>
      <c r="EH122">
        <v>0</v>
      </c>
      <c r="EI122" t="s">
        <v>3</v>
      </c>
      <c r="EJ122">
        <v>4</v>
      </c>
      <c r="EK122">
        <v>0</v>
      </c>
      <c r="EL122" t="s">
        <v>23</v>
      </c>
      <c r="EM122" t="s">
        <v>24</v>
      </c>
      <c r="EO122" t="s">
        <v>3</v>
      </c>
      <c r="EQ122">
        <v>0</v>
      </c>
      <c r="ER122">
        <v>560.05999999999995</v>
      </c>
      <c r="ES122">
        <v>0</v>
      </c>
      <c r="ET122">
        <v>8.16</v>
      </c>
      <c r="EU122">
        <v>0.03</v>
      </c>
      <c r="EV122">
        <v>551.9</v>
      </c>
      <c r="EW122">
        <v>2.6</v>
      </c>
      <c r="EX122">
        <v>0</v>
      </c>
      <c r="EY122">
        <v>0</v>
      </c>
      <c r="FQ122">
        <v>0</v>
      </c>
      <c r="FR122">
        <f t="shared" si="165"/>
        <v>0</v>
      </c>
      <c r="FS122">
        <v>0</v>
      </c>
      <c r="FX122">
        <v>70</v>
      </c>
      <c r="FY122">
        <v>10</v>
      </c>
      <c r="GA122" t="s">
        <v>3</v>
      </c>
      <c r="GD122">
        <v>0</v>
      </c>
      <c r="GF122">
        <v>2009695428</v>
      </c>
      <c r="GG122">
        <v>2</v>
      </c>
      <c r="GH122">
        <v>1</v>
      </c>
      <c r="GI122">
        <v>-2</v>
      </c>
      <c r="GJ122">
        <v>0</v>
      </c>
      <c r="GK122">
        <f>ROUND(R122*(R12)/100,2)</f>
        <v>0</v>
      </c>
      <c r="GL122">
        <f t="shared" si="166"/>
        <v>0</v>
      </c>
      <c r="GM122">
        <f t="shared" si="167"/>
        <v>0</v>
      </c>
      <c r="GN122">
        <f t="shared" si="168"/>
        <v>0</v>
      </c>
      <c r="GO122">
        <f t="shared" si="169"/>
        <v>0</v>
      </c>
      <c r="GP122">
        <f t="shared" si="170"/>
        <v>0</v>
      </c>
      <c r="GR122">
        <v>0</v>
      </c>
      <c r="GS122">
        <v>3</v>
      </c>
      <c r="GT122">
        <v>0</v>
      </c>
      <c r="GU122" t="s">
        <v>3</v>
      </c>
      <c r="GV122">
        <f t="shared" si="171"/>
        <v>0</v>
      </c>
      <c r="GW122">
        <v>1</v>
      </c>
      <c r="GX122">
        <f t="shared" si="172"/>
        <v>0</v>
      </c>
      <c r="HA122">
        <v>0</v>
      </c>
      <c r="HB122">
        <v>0</v>
      </c>
      <c r="HC122">
        <f t="shared" si="173"/>
        <v>0</v>
      </c>
      <c r="HE122" t="s">
        <v>3</v>
      </c>
      <c r="HF122" t="s">
        <v>3</v>
      </c>
      <c r="HM122" t="s">
        <v>3</v>
      </c>
      <c r="HN122" t="s">
        <v>3</v>
      </c>
      <c r="HO122" t="s">
        <v>3</v>
      </c>
      <c r="HP122" t="s">
        <v>3</v>
      </c>
      <c r="HQ122" t="s">
        <v>3</v>
      </c>
      <c r="IK122">
        <v>0</v>
      </c>
    </row>
    <row r="123" spans="1:245" x14ac:dyDescent="0.2">
      <c r="A123">
        <v>17</v>
      </c>
      <c r="B123">
        <v>1</v>
      </c>
      <c r="C123">
        <f>ROW(SmtRes!A195)</f>
        <v>195</v>
      </c>
      <c r="D123">
        <f>ROW(EtalonRes!A181)</f>
        <v>181</v>
      </c>
      <c r="E123" t="s">
        <v>369</v>
      </c>
      <c r="F123" t="s">
        <v>370</v>
      </c>
      <c r="G123" t="s">
        <v>371</v>
      </c>
      <c r="H123" t="s">
        <v>342</v>
      </c>
      <c r="I123">
        <v>0</v>
      </c>
      <c r="J123">
        <v>0</v>
      </c>
      <c r="K123">
        <v>0</v>
      </c>
      <c r="O123">
        <f t="shared" si="140"/>
        <v>0</v>
      </c>
      <c r="P123">
        <f t="shared" si="141"/>
        <v>0</v>
      </c>
      <c r="Q123">
        <f t="shared" si="142"/>
        <v>0</v>
      </c>
      <c r="R123">
        <f t="shared" si="143"/>
        <v>0</v>
      </c>
      <c r="S123">
        <f t="shared" si="144"/>
        <v>0</v>
      </c>
      <c r="T123">
        <f t="shared" si="145"/>
        <v>0</v>
      </c>
      <c r="U123">
        <f t="shared" si="146"/>
        <v>0</v>
      </c>
      <c r="V123">
        <f t="shared" si="147"/>
        <v>0</v>
      </c>
      <c r="W123">
        <f t="shared" si="148"/>
        <v>0</v>
      </c>
      <c r="X123">
        <f t="shared" si="149"/>
        <v>0</v>
      </c>
      <c r="Y123">
        <f t="shared" si="150"/>
        <v>0</v>
      </c>
      <c r="AA123">
        <v>43095088</v>
      </c>
      <c r="AB123">
        <f t="shared" si="151"/>
        <v>53692.92</v>
      </c>
      <c r="AC123">
        <f t="shared" si="152"/>
        <v>0</v>
      </c>
      <c r="AD123">
        <f t="shared" si="134"/>
        <v>29468.31</v>
      </c>
      <c r="AE123">
        <f t="shared" si="135"/>
        <v>11762.1</v>
      </c>
      <c r="AF123">
        <f t="shared" si="136"/>
        <v>24224.61</v>
      </c>
      <c r="AG123">
        <f t="shared" si="153"/>
        <v>0</v>
      </c>
      <c r="AH123">
        <f t="shared" si="137"/>
        <v>95.38</v>
      </c>
      <c r="AI123">
        <f t="shared" si="138"/>
        <v>0</v>
      </c>
      <c r="AJ123">
        <f t="shared" si="154"/>
        <v>0</v>
      </c>
      <c r="AK123">
        <v>53692.92</v>
      </c>
      <c r="AL123">
        <v>0</v>
      </c>
      <c r="AM123">
        <v>29468.31</v>
      </c>
      <c r="AN123">
        <v>11762.1</v>
      </c>
      <c r="AO123">
        <v>24224.61</v>
      </c>
      <c r="AP123">
        <v>0</v>
      </c>
      <c r="AQ123">
        <v>95.38</v>
      </c>
      <c r="AR123">
        <v>0</v>
      </c>
      <c r="AS123">
        <v>0</v>
      </c>
      <c r="AT123">
        <v>70</v>
      </c>
      <c r="AU123">
        <v>10</v>
      </c>
      <c r="AV123">
        <v>1</v>
      </c>
      <c r="AW123">
        <v>1</v>
      </c>
      <c r="AZ123">
        <v>1</v>
      </c>
      <c r="BA123">
        <v>1</v>
      </c>
      <c r="BB123">
        <v>1</v>
      </c>
      <c r="BC123">
        <v>1</v>
      </c>
      <c r="BD123" t="s">
        <v>3</v>
      </c>
      <c r="BE123" t="s">
        <v>3</v>
      </c>
      <c r="BF123" t="s">
        <v>3</v>
      </c>
      <c r="BG123" t="s">
        <v>3</v>
      </c>
      <c r="BH123">
        <v>0</v>
      </c>
      <c r="BI123">
        <v>4</v>
      </c>
      <c r="BJ123" t="s">
        <v>372</v>
      </c>
      <c r="BM123">
        <v>0</v>
      </c>
      <c r="BN123">
        <v>0</v>
      </c>
      <c r="BO123" t="s">
        <v>3</v>
      </c>
      <c r="BP123">
        <v>0</v>
      </c>
      <c r="BQ123">
        <v>1</v>
      </c>
      <c r="BR123">
        <v>0</v>
      </c>
      <c r="BS123">
        <v>1</v>
      </c>
      <c r="BT123">
        <v>1</v>
      </c>
      <c r="BU123">
        <v>1</v>
      </c>
      <c r="BV123">
        <v>1</v>
      </c>
      <c r="BW123">
        <v>1</v>
      </c>
      <c r="BX123">
        <v>1</v>
      </c>
      <c r="BY123" t="s">
        <v>3</v>
      </c>
      <c r="BZ123">
        <v>70</v>
      </c>
      <c r="CA123">
        <v>10</v>
      </c>
      <c r="CB123" t="s">
        <v>3</v>
      </c>
      <c r="CE123">
        <v>0</v>
      </c>
      <c r="CF123">
        <v>0</v>
      </c>
      <c r="CG123">
        <v>0</v>
      </c>
      <c r="CM123">
        <v>0</v>
      </c>
      <c r="CN123" t="s">
        <v>3</v>
      </c>
      <c r="CO123">
        <v>0</v>
      </c>
      <c r="CP123">
        <f t="shared" si="155"/>
        <v>0</v>
      </c>
      <c r="CQ123">
        <f t="shared" si="156"/>
        <v>0</v>
      </c>
      <c r="CR123">
        <f t="shared" si="139"/>
        <v>29468.309999999998</v>
      </c>
      <c r="CS123">
        <f t="shared" si="157"/>
        <v>11762.1</v>
      </c>
      <c r="CT123">
        <f t="shared" si="158"/>
        <v>24224.61</v>
      </c>
      <c r="CU123">
        <f t="shared" si="159"/>
        <v>0</v>
      </c>
      <c r="CV123">
        <f t="shared" si="160"/>
        <v>95.38</v>
      </c>
      <c r="CW123">
        <f t="shared" si="161"/>
        <v>0</v>
      </c>
      <c r="CX123">
        <f t="shared" si="162"/>
        <v>0</v>
      </c>
      <c r="CY123">
        <f t="shared" si="163"/>
        <v>0</v>
      </c>
      <c r="CZ123">
        <f t="shared" si="164"/>
        <v>0</v>
      </c>
      <c r="DC123" t="s">
        <v>3</v>
      </c>
      <c r="DD123" t="s">
        <v>3</v>
      </c>
      <c r="DE123" t="s">
        <v>3</v>
      </c>
      <c r="DF123" t="s">
        <v>3</v>
      </c>
      <c r="DG123" t="s">
        <v>3</v>
      </c>
      <c r="DH123" t="s">
        <v>3</v>
      </c>
      <c r="DI123" t="s">
        <v>3</v>
      </c>
      <c r="DJ123" t="s">
        <v>3</v>
      </c>
      <c r="DK123" t="s">
        <v>3</v>
      </c>
      <c r="DL123" t="s">
        <v>3</v>
      </c>
      <c r="DM123" t="s">
        <v>3</v>
      </c>
      <c r="DN123">
        <v>0</v>
      </c>
      <c r="DO123">
        <v>0</v>
      </c>
      <c r="DP123">
        <v>1</v>
      </c>
      <c r="DQ123">
        <v>1</v>
      </c>
      <c r="DU123">
        <v>1010</v>
      </c>
      <c r="DV123" t="s">
        <v>342</v>
      </c>
      <c r="DW123" t="s">
        <v>342</v>
      </c>
      <c r="DX123">
        <v>100</v>
      </c>
      <c r="DZ123" t="s">
        <v>3</v>
      </c>
      <c r="EA123" t="s">
        <v>3</v>
      </c>
      <c r="EB123" t="s">
        <v>3</v>
      </c>
      <c r="EC123" t="s">
        <v>3</v>
      </c>
      <c r="EE123">
        <v>43033442</v>
      </c>
      <c r="EF123">
        <v>1</v>
      </c>
      <c r="EG123" t="s">
        <v>22</v>
      </c>
      <c r="EH123">
        <v>0</v>
      </c>
      <c r="EI123" t="s">
        <v>3</v>
      </c>
      <c r="EJ123">
        <v>4</v>
      </c>
      <c r="EK123">
        <v>0</v>
      </c>
      <c r="EL123" t="s">
        <v>23</v>
      </c>
      <c r="EM123" t="s">
        <v>24</v>
      </c>
      <c r="EO123" t="s">
        <v>3</v>
      </c>
      <c r="EQ123">
        <v>0</v>
      </c>
      <c r="ER123">
        <v>53692.92</v>
      </c>
      <c r="ES123">
        <v>0</v>
      </c>
      <c r="ET123">
        <v>29468.31</v>
      </c>
      <c r="EU123">
        <v>11762.1</v>
      </c>
      <c r="EV123">
        <v>24224.61</v>
      </c>
      <c r="EW123">
        <v>95.38</v>
      </c>
      <c r="EX123">
        <v>0</v>
      </c>
      <c r="EY123">
        <v>0</v>
      </c>
      <c r="FQ123">
        <v>0</v>
      </c>
      <c r="FR123">
        <f t="shared" si="165"/>
        <v>0</v>
      </c>
      <c r="FS123">
        <v>0</v>
      </c>
      <c r="FX123">
        <v>70</v>
      </c>
      <c r="FY123">
        <v>10</v>
      </c>
      <c r="GA123" t="s">
        <v>3</v>
      </c>
      <c r="GD123">
        <v>0</v>
      </c>
      <c r="GF123">
        <v>1279933450</v>
      </c>
      <c r="GG123">
        <v>2</v>
      </c>
      <c r="GH123">
        <v>1</v>
      </c>
      <c r="GI123">
        <v>-2</v>
      </c>
      <c r="GJ123">
        <v>0</v>
      </c>
      <c r="GK123">
        <f>ROUND(R123*(R12)/100,2)</f>
        <v>0</v>
      </c>
      <c r="GL123">
        <f t="shared" si="166"/>
        <v>0</v>
      </c>
      <c r="GM123">
        <f t="shared" si="167"/>
        <v>0</v>
      </c>
      <c r="GN123">
        <f t="shared" si="168"/>
        <v>0</v>
      </c>
      <c r="GO123">
        <f t="shared" si="169"/>
        <v>0</v>
      </c>
      <c r="GP123">
        <f t="shared" si="170"/>
        <v>0</v>
      </c>
      <c r="GR123">
        <v>0</v>
      </c>
      <c r="GS123">
        <v>3</v>
      </c>
      <c r="GT123">
        <v>0</v>
      </c>
      <c r="GU123" t="s">
        <v>3</v>
      </c>
      <c r="GV123">
        <f t="shared" si="171"/>
        <v>0</v>
      </c>
      <c r="GW123">
        <v>1</v>
      </c>
      <c r="GX123">
        <f t="shared" si="172"/>
        <v>0</v>
      </c>
      <c r="HA123">
        <v>0</v>
      </c>
      <c r="HB123">
        <v>0</v>
      </c>
      <c r="HC123">
        <f t="shared" si="173"/>
        <v>0</v>
      </c>
      <c r="HE123" t="s">
        <v>3</v>
      </c>
      <c r="HF123" t="s">
        <v>3</v>
      </c>
      <c r="HM123" t="s">
        <v>3</v>
      </c>
      <c r="HN123" t="s">
        <v>3</v>
      </c>
      <c r="HO123" t="s">
        <v>3</v>
      </c>
      <c r="HP123" t="s">
        <v>3</v>
      </c>
      <c r="HQ123" t="s">
        <v>3</v>
      </c>
      <c r="IK123">
        <v>0</v>
      </c>
    </row>
    <row r="124" spans="1:245" x14ac:dyDescent="0.2">
      <c r="A124">
        <v>17</v>
      </c>
      <c r="B124">
        <v>1</v>
      </c>
      <c r="C124">
        <f>ROW(SmtRes!A198)</f>
        <v>198</v>
      </c>
      <c r="D124">
        <f>ROW(EtalonRes!A184)</f>
        <v>184</v>
      </c>
      <c r="E124" t="s">
        <v>373</v>
      </c>
      <c r="F124" t="s">
        <v>374</v>
      </c>
      <c r="G124" t="s">
        <v>375</v>
      </c>
      <c r="H124" t="s">
        <v>342</v>
      </c>
      <c r="I124">
        <v>0</v>
      </c>
      <c r="J124">
        <v>0</v>
      </c>
      <c r="K124">
        <v>0</v>
      </c>
      <c r="O124">
        <f t="shared" si="140"/>
        <v>0</v>
      </c>
      <c r="P124">
        <f t="shared" si="141"/>
        <v>0</v>
      </c>
      <c r="Q124">
        <f t="shared" si="142"/>
        <v>0</v>
      </c>
      <c r="R124">
        <f t="shared" si="143"/>
        <v>0</v>
      </c>
      <c r="S124">
        <f t="shared" si="144"/>
        <v>0</v>
      </c>
      <c r="T124">
        <f t="shared" si="145"/>
        <v>0</v>
      </c>
      <c r="U124">
        <f t="shared" si="146"/>
        <v>0</v>
      </c>
      <c r="V124">
        <f t="shared" si="147"/>
        <v>0</v>
      </c>
      <c r="W124">
        <f t="shared" si="148"/>
        <v>0</v>
      </c>
      <c r="X124">
        <f t="shared" si="149"/>
        <v>0</v>
      </c>
      <c r="Y124">
        <f t="shared" si="150"/>
        <v>0</v>
      </c>
      <c r="AA124">
        <v>43095088</v>
      </c>
      <c r="AB124">
        <f t="shared" si="151"/>
        <v>15511.18</v>
      </c>
      <c r="AC124">
        <f t="shared" si="152"/>
        <v>0</v>
      </c>
      <c r="AD124">
        <f t="shared" si="134"/>
        <v>8663.8799999999992</v>
      </c>
      <c r="AE124">
        <f t="shared" si="135"/>
        <v>3458.13</v>
      </c>
      <c r="AF124">
        <f t="shared" si="136"/>
        <v>6847.3</v>
      </c>
      <c r="AG124">
        <f t="shared" si="153"/>
        <v>0</v>
      </c>
      <c r="AH124">
        <f t="shared" si="137"/>
        <v>26.96</v>
      </c>
      <c r="AI124">
        <f t="shared" si="138"/>
        <v>0</v>
      </c>
      <c r="AJ124">
        <f t="shared" si="154"/>
        <v>0</v>
      </c>
      <c r="AK124">
        <v>15511.18</v>
      </c>
      <c r="AL124">
        <v>0</v>
      </c>
      <c r="AM124">
        <v>8663.8799999999992</v>
      </c>
      <c r="AN124">
        <v>3458.13</v>
      </c>
      <c r="AO124">
        <v>6847.3</v>
      </c>
      <c r="AP124">
        <v>0</v>
      </c>
      <c r="AQ124">
        <v>26.96</v>
      </c>
      <c r="AR124">
        <v>0</v>
      </c>
      <c r="AS124">
        <v>0</v>
      </c>
      <c r="AT124">
        <v>70</v>
      </c>
      <c r="AU124">
        <v>10</v>
      </c>
      <c r="AV124">
        <v>1</v>
      </c>
      <c r="AW124">
        <v>1</v>
      </c>
      <c r="AZ124">
        <v>1</v>
      </c>
      <c r="BA124">
        <v>1</v>
      </c>
      <c r="BB124">
        <v>1</v>
      </c>
      <c r="BC124">
        <v>1</v>
      </c>
      <c r="BD124" t="s">
        <v>3</v>
      </c>
      <c r="BE124" t="s">
        <v>3</v>
      </c>
      <c r="BF124" t="s">
        <v>3</v>
      </c>
      <c r="BG124" t="s">
        <v>3</v>
      </c>
      <c r="BH124">
        <v>0</v>
      </c>
      <c r="BI124">
        <v>4</v>
      </c>
      <c r="BJ124" t="s">
        <v>376</v>
      </c>
      <c r="BM124">
        <v>0</v>
      </c>
      <c r="BN124">
        <v>0</v>
      </c>
      <c r="BO124" t="s">
        <v>3</v>
      </c>
      <c r="BP124">
        <v>0</v>
      </c>
      <c r="BQ124">
        <v>1</v>
      </c>
      <c r="BR124">
        <v>0</v>
      </c>
      <c r="BS124">
        <v>1</v>
      </c>
      <c r="BT124">
        <v>1</v>
      </c>
      <c r="BU124">
        <v>1</v>
      </c>
      <c r="BV124">
        <v>1</v>
      </c>
      <c r="BW124">
        <v>1</v>
      </c>
      <c r="BX124">
        <v>1</v>
      </c>
      <c r="BY124" t="s">
        <v>3</v>
      </c>
      <c r="BZ124">
        <v>70</v>
      </c>
      <c r="CA124">
        <v>10</v>
      </c>
      <c r="CB124" t="s">
        <v>3</v>
      </c>
      <c r="CE124">
        <v>0</v>
      </c>
      <c r="CF124">
        <v>0</v>
      </c>
      <c r="CG124">
        <v>0</v>
      </c>
      <c r="CM124">
        <v>0</v>
      </c>
      <c r="CN124" t="s">
        <v>3</v>
      </c>
      <c r="CO124">
        <v>0</v>
      </c>
      <c r="CP124">
        <f t="shared" si="155"/>
        <v>0</v>
      </c>
      <c r="CQ124">
        <f t="shared" si="156"/>
        <v>0</v>
      </c>
      <c r="CR124">
        <f t="shared" si="139"/>
        <v>8663.8799999999992</v>
      </c>
      <c r="CS124">
        <f t="shared" si="157"/>
        <v>3458.13</v>
      </c>
      <c r="CT124">
        <f t="shared" si="158"/>
        <v>6847.3</v>
      </c>
      <c r="CU124">
        <f t="shared" si="159"/>
        <v>0</v>
      </c>
      <c r="CV124">
        <f t="shared" si="160"/>
        <v>26.96</v>
      </c>
      <c r="CW124">
        <f t="shared" si="161"/>
        <v>0</v>
      </c>
      <c r="CX124">
        <f t="shared" si="162"/>
        <v>0</v>
      </c>
      <c r="CY124">
        <f t="shared" si="163"/>
        <v>0</v>
      </c>
      <c r="CZ124">
        <f t="shared" si="164"/>
        <v>0</v>
      </c>
      <c r="DC124" t="s">
        <v>3</v>
      </c>
      <c r="DD124" t="s">
        <v>3</v>
      </c>
      <c r="DE124" t="s">
        <v>3</v>
      </c>
      <c r="DF124" t="s">
        <v>3</v>
      </c>
      <c r="DG124" t="s">
        <v>3</v>
      </c>
      <c r="DH124" t="s">
        <v>3</v>
      </c>
      <c r="DI124" t="s">
        <v>3</v>
      </c>
      <c r="DJ124" t="s">
        <v>3</v>
      </c>
      <c r="DK124" t="s">
        <v>3</v>
      </c>
      <c r="DL124" t="s">
        <v>3</v>
      </c>
      <c r="DM124" t="s">
        <v>3</v>
      </c>
      <c r="DN124">
        <v>0</v>
      </c>
      <c r="DO124">
        <v>0</v>
      </c>
      <c r="DP124">
        <v>1</v>
      </c>
      <c r="DQ124">
        <v>1</v>
      </c>
      <c r="DU124">
        <v>1010</v>
      </c>
      <c r="DV124" t="s">
        <v>342</v>
      </c>
      <c r="DW124" t="s">
        <v>342</v>
      </c>
      <c r="DX124">
        <v>100</v>
      </c>
      <c r="DZ124" t="s">
        <v>3</v>
      </c>
      <c r="EA124" t="s">
        <v>3</v>
      </c>
      <c r="EB124" t="s">
        <v>3</v>
      </c>
      <c r="EC124" t="s">
        <v>3</v>
      </c>
      <c r="EE124">
        <v>43033442</v>
      </c>
      <c r="EF124">
        <v>1</v>
      </c>
      <c r="EG124" t="s">
        <v>22</v>
      </c>
      <c r="EH124">
        <v>0</v>
      </c>
      <c r="EI124" t="s">
        <v>3</v>
      </c>
      <c r="EJ124">
        <v>4</v>
      </c>
      <c r="EK124">
        <v>0</v>
      </c>
      <c r="EL124" t="s">
        <v>23</v>
      </c>
      <c r="EM124" t="s">
        <v>24</v>
      </c>
      <c r="EO124" t="s">
        <v>3</v>
      </c>
      <c r="EQ124">
        <v>0</v>
      </c>
      <c r="ER124">
        <v>15511.18</v>
      </c>
      <c r="ES124">
        <v>0</v>
      </c>
      <c r="ET124">
        <v>8663.8799999999992</v>
      </c>
      <c r="EU124">
        <v>3458.13</v>
      </c>
      <c r="EV124">
        <v>6847.3</v>
      </c>
      <c r="EW124">
        <v>26.96</v>
      </c>
      <c r="EX124">
        <v>0</v>
      </c>
      <c r="EY124">
        <v>0</v>
      </c>
      <c r="FQ124">
        <v>0</v>
      </c>
      <c r="FR124">
        <f t="shared" si="165"/>
        <v>0</v>
      </c>
      <c r="FS124">
        <v>0</v>
      </c>
      <c r="FX124">
        <v>70</v>
      </c>
      <c r="FY124">
        <v>10</v>
      </c>
      <c r="GA124" t="s">
        <v>3</v>
      </c>
      <c r="GD124">
        <v>0</v>
      </c>
      <c r="GF124">
        <v>1609054867</v>
      </c>
      <c r="GG124">
        <v>2</v>
      </c>
      <c r="GH124">
        <v>1</v>
      </c>
      <c r="GI124">
        <v>-2</v>
      </c>
      <c r="GJ124">
        <v>0</v>
      </c>
      <c r="GK124">
        <f>ROUND(R124*(R12)/100,2)</f>
        <v>0</v>
      </c>
      <c r="GL124">
        <f t="shared" si="166"/>
        <v>0</v>
      </c>
      <c r="GM124">
        <f t="shared" si="167"/>
        <v>0</v>
      </c>
      <c r="GN124">
        <f t="shared" si="168"/>
        <v>0</v>
      </c>
      <c r="GO124">
        <f t="shared" si="169"/>
        <v>0</v>
      </c>
      <c r="GP124">
        <f t="shared" si="170"/>
        <v>0</v>
      </c>
      <c r="GR124">
        <v>0</v>
      </c>
      <c r="GS124">
        <v>3</v>
      </c>
      <c r="GT124">
        <v>0</v>
      </c>
      <c r="GU124" t="s">
        <v>3</v>
      </c>
      <c r="GV124">
        <f t="shared" si="171"/>
        <v>0</v>
      </c>
      <c r="GW124">
        <v>1</v>
      </c>
      <c r="GX124">
        <f t="shared" si="172"/>
        <v>0</v>
      </c>
      <c r="HA124">
        <v>0</v>
      </c>
      <c r="HB124">
        <v>0</v>
      </c>
      <c r="HC124">
        <f t="shared" si="173"/>
        <v>0</v>
      </c>
      <c r="HE124" t="s">
        <v>3</v>
      </c>
      <c r="HF124" t="s">
        <v>3</v>
      </c>
      <c r="HM124" t="s">
        <v>3</v>
      </c>
      <c r="HN124" t="s">
        <v>3</v>
      </c>
      <c r="HO124" t="s">
        <v>3</v>
      </c>
      <c r="HP124" t="s">
        <v>3</v>
      </c>
      <c r="HQ124" t="s">
        <v>3</v>
      </c>
      <c r="IK124">
        <v>0</v>
      </c>
    </row>
    <row r="125" spans="1:245" x14ac:dyDescent="0.2">
      <c r="A125">
        <v>17</v>
      </c>
      <c r="B125">
        <v>1</v>
      </c>
      <c r="C125">
        <f>ROW(SmtRes!A203)</f>
        <v>203</v>
      </c>
      <c r="D125">
        <f>ROW(EtalonRes!A189)</f>
        <v>189</v>
      </c>
      <c r="E125" t="s">
        <v>377</v>
      </c>
      <c r="F125" t="s">
        <v>378</v>
      </c>
      <c r="G125" t="s">
        <v>379</v>
      </c>
      <c r="H125" t="s">
        <v>342</v>
      </c>
      <c r="I125">
        <v>0</v>
      </c>
      <c r="J125">
        <v>0</v>
      </c>
      <c r="K125">
        <v>0</v>
      </c>
      <c r="O125">
        <f t="shared" si="140"/>
        <v>0</v>
      </c>
      <c r="P125">
        <f t="shared" si="141"/>
        <v>0</v>
      </c>
      <c r="Q125">
        <f t="shared" si="142"/>
        <v>0</v>
      </c>
      <c r="R125">
        <f t="shared" si="143"/>
        <v>0</v>
      </c>
      <c r="S125">
        <f t="shared" si="144"/>
        <v>0</v>
      </c>
      <c r="T125">
        <f t="shared" si="145"/>
        <v>0</v>
      </c>
      <c r="U125">
        <f t="shared" si="146"/>
        <v>0</v>
      </c>
      <c r="V125">
        <f t="shared" si="147"/>
        <v>0</v>
      </c>
      <c r="W125">
        <f t="shared" si="148"/>
        <v>0</v>
      </c>
      <c r="X125">
        <f t="shared" si="149"/>
        <v>0</v>
      </c>
      <c r="Y125">
        <f t="shared" si="150"/>
        <v>0</v>
      </c>
      <c r="AA125">
        <v>43095088</v>
      </c>
      <c r="AB125">
        <f t="shared" si="151"/>
        <v>24472.06</v>
      </c>
      <c r="AC125">
        <f t="shared" si="152"/>
        <v>2559.79</v>
      </c>
      <c r="AD125">
        <f t="shared" si="134"/>
        <v>0</v>
      </c>
      <c r="AE125">
        <f t="shared" si="135"/>
        <v>0</v>
      </c>
      <c r="AF125">
        <f t="shared" si="136"/>
        <v>21912.27</v>
      </c>
      <c r="AG125">
        <f t="shared" si="153"/>
        <v>0</v>
      </c>
      <c r="AH125">
        <f t="shared" si="137"/>
        <v>109</v>
      </c>
      <c r="AI125">
        <f t="shared" si="138"/>
        <v>0</v>
      </c>
      <c r="AJ125">
        <f t="shared" si="154"/>
        <v>0</v>
      </c>
      <c r="AK125">
        <v>24472.06</v>
      </c>
      <c r="AL125">
        <v>2559.79</v>
      </c>
      <c r="AM125">
        <v>0</v>
      </c>
      <c r="AN125">
        <v>0</v>
      </c>
      <c r="AO125">
        <v>21912.27</v>
      </c>
      <c r="AP125">
        <v>0</v>
      </c>
      <c r="AQ125">
        <v>109</v>
      </c>
      <c r="AR125">
        <v>0</v>
      </c>
      <c r="AS125">
        <v>0</v>
      </c>
      <c r="AT125">
        <v>70</v>
      </c>
      <c r="AU125">
        <v>10</v>
      </c>
      <c r="AV125">
        <v>1</v>
      </c>
      <c r="AW125">
        <v>1</v>
      </c>
      <c r="AZ125">
        <v>1</v>
      </c>
      <c r="BA125">
        <v>1</v>
      </c>
      <c r="BB125">
        <v>1</v>
      </c>
      <c r="BC125">
        <v>1</v>
      </c>
      <c r="BD125" t="s">
        <v>3</v>
      </c>
      <c r="BE125" t="s">
        <v>3</v>
      </c>
      <c r="BF125" t="s">
        <v>3</v>
      </c>
      <c r="BG125" t="s">
        <v>3</v>
      </c>
      <c r="BH125">
        <v>0</v>
      </c>
      <c r="BI125">
        <v>4</v>
      </c>
      <c r="BJ125" t="s">
        <v>380</v>
      </c>
      <c r="BM125">
        <v>0</v>
      </c>
      <c r="BN125">
        <v>0</v>
      </c>
      <c r="BO125" t="s">
        <v>3</v>
      </c>
      <c r="BP125">
        <v>0</v>
      </c>
      <c r="BQ125">
        <v>1</v>
      </c>
      <c r="BR125">
        <v>0</v>
      </c>
      <c r="BS125">
        <v>1</v>
      </c>
      <c r="BT125">
        <v>1</v>
      </c>
      <c r="BU125">
        <v>1</v>
      </c>
      <c r="BV125">
        <v>1</v>
      </c>
      <c r="BW125">
        <v>1</v>
      </c>
      <c r="BX125">
        <v>1</v>
      </c>
      <c r="BY125" t="s">
        <v>3</v>
      </c>
      <c r="BZ125">
        <v>70</v>
      </c>
      <c r="CA125">
        <v>10</v>
      </c>
      <c r="CB125" t="s">
        <v>3</v>
      </c>
      <c r="CE125">
        <v>0</v>
      </c>
      <c r="CF125">
        <v>0</v>
      </c>
      <c r="CG125">
        <v>0</v>
      </c>
      <c r="CM125">
        <v>0</v>
      </c>
      <c r="CN125" t="s">
        <v>3</v>
      </c>
      <c r="CO125">
        <v>0</v>
      </c>
      <c r="CP125">
        <f t="shared" si="155"/>
        <v>0</v>
      </c>
      <c r="CQ125">
        <f t="shared" si="156"/>
        <v>2559.79</v>
      </c>
      <c r="CR125">
        <f t="shared" si="139"/>
        <v>0</v>
      </c>
      <c r="CS125">
        <f t="shared" si="157"/>
        <v>0</v>
      </c>
      <c r="CT125">
        <f t="shared" si="158"/>
        <v>21912.27</v>
      </c>
      <c r="CU125">
        <f t="shared" si="159"/>
        <v>0</v>
      </c>
      <c r="CV125">
        <f t="shared" si="160"/>
        <v>109</v>
      </c>
      <c r="CW125">
        <f t="shared" si="161"/>
        <v>0</v>
      </c>
      <c r="CX125">
        <f t="shared" si="162"/>
        <v>0</v>
      </c>
      <c r="CY125">
        <f t="shared" si="163"/>
        <v>0</v>
      </c>
      <c r="CZ125">
        <f t="shared" si="164"/>
        <v>0</v>
      </c>
      <c r="DC125" t="s">
        <v>3</v>
      </c>
      <c r="DD125" t="s">
        <v>3</v>
      </c>
      <c r="DE125" t="s">
        <v>3</v>
      </c>
      <c r="DF125" t="s">
        <v>3</v>
      </c>
      <c r="DG125" t="s">
        <v>3</v>
      </c>
      <c r="DH125" t="s">
        <v>3</v>
      </c>
      <c r="DI125" t="s">
        <v>3</v>
      </c>
      <c r="DJ125" t="s">
        <v>3</v>
      </c>
      <c r="DK125" t="s">
        <v>3</v>
      </c>
      <c r="DL125" t="s">
        <v>3</v>
      </c>
      <c r="DM125" t="s">
        <v>3</v>
      </c>
      <c r="DN125">
        <v>0</v>
      </c>
      <c r="DO125">
        <v>0</v>
      </c>
      <c r="DP125">
        <v>1</v>
      </c>
      <c r="DQ125">
        <v>1</v>
      </c>
      <c r="DU125">
        <v>1010</v>
      </c>
      <c r="DV125" t="s">
        <v>342</v>
      </c>
      <c r="DW125" t="s">
        <v>342</v>
      </c>
      <c r="DX125">
        <v>100</v>
      </c>
      <c r="DZ125" t="s">
        <v>3</v>
      </c>
      <c r="EA125" t="s">
        <v>3</v>
      </c>
      <c r="EB125" t="s">
        <v>3</v>
      </c>
      <c r="EC125" t="s">
        <v>3</v>
      </c>
      <c r="EE125">
        <v>43033442</v>
      </c>
      <c r="EF125">
        <v>1</v>
      </c>
      <c r="EG125" t="s">
        <v>22</v>
      </c>
      <c r="EH125">
        <v>0</v>
      </c>
      <c r="EI125" t="s">
        <v>3</v>
      </c>
      <c r="EJ125">
        <v>4</v>
      </c>
      <c r="EK125">
        <v>0</v>
      </c>
      <c r="EL125" t="s">
        <v>23</v>
      </c>
      <c r="EM125" t="s">
        <v>24</v>
      </c>
      <c r="EO125" t="s">
        <v>3</v>
      </c>
      <c r="EQ125">
        <v>0</v>
      </c>
      <c r="ER125">
        <v>24472.06</v>
      </c>
      <c r="ES125">
        <v>2559.79</v>
      </c>
      <c r="ET125">
        <v>0</v>
      </c>
      <c r="EU125">
        <v>0</v>
      </c>
      <c r="EV125">
        <v>21912.27</v>
      </c>
      <c r="EW125">
        <v>109</v>
      </c>
      <c r="EX125">
        <v>0</v>
      </c>
      <c r="EY125">
        <v>0</v>
      </c>
      <c r="FQ125">
        <v>0</v>
      </c>
      <c r="FR125">
        <f t="shared" si="165"/>
        <v>0</v>
      </c>
      <c r="FS125">
        <v>0</v>
      </c>
      <c r="FX125">
        <v>70</v>
      </c>
      <c r="FY125">
        <v>10</v>
      </c>
      <c r="GA125" t="s">
        <v>3</v>
      </c>
      <c r="GD125">
        <v>0</v>
      </c>
      <c r="GF125">
        <v>-878065340</v>
      </c>
      <c r="GG125">
        <v>2</v>
      </c>
      <c r="GH125">
        <v>1</v>
      </c>
      <c r="GI125">
        <v>-2</v>
      </c>
      <c r="GJ125">
        <v>0</v>
      </c>
      <c r="GK125">
        <f>ROUND(R125*(R12)/100,2)</f>
        <v>0</v>
      </c>
      <c r="GL125">
        <f t="shared" si="166"/>
        <v>0</v>
      </c>
      <c r="GM125">
        <f t="shared" si="167"/>
        <v>0</v>
      </c>
      <c r="GN125">
        <f t="shared" si="168"/>
        <v>0</v>
      </c>
      <c r="GO125">
        <f t="shared" si="169"/>
        <v>0</v>
      </c>
      <c r="GP125">
        <f t="shared" si="170"/>
        <v>0</v>
      </c>
      <c r="GR125">
        <v>0</v>
      </c>
      <c r="GS125">
        <v>3</v>
      </c>
      <c r="GT125">
        <v>0</v>
      </c>
      <c r="GU125" t="s">
        <v>3</v>
      </c>
      <c r="GV125">
        <f t="shared" si="171"/>
        <v>0</v>
      </c>
      <c r="GW125">
        <v>1</v>
      </c>
      <c r="GX125">
        <f t="shared" si="172"/>
        <v>0</v>
      </c>
      <c r="HA125">
        <v>0</v>
      </c>
      <c r="HB125">
        <v>0</v>
      </c>
      <c r="HC125">
        <f t="shared" si="173"/>
        <v>0</v>
      </c>
      <c r="HE125" t="s">
        <v>3</v>
      </c>
      <c r="HF125" t="s">
        <v>3</v>
      </c>
      <c r="HM125" t="s">
        <v>3</v>
      </c>
      <c r="HN125" t="s">
        <v>3</v>
      </c>
      <c r="HO125" t="s">
        <v>3</v>
      </c>
      <c r="HP125" t="s">
        <v>3</v>
      </c>
      <c r="HQ125" t="s">
        <v>3</v>
      </c>
      <c r="IK125">
        <v>0</v>
      </c>
    </row>
    <row r="126" spans="1:245" x14ac:dyDescent="0.2">
      <c r="A126">
        <v>17</v>
      </c>
      <c r="B126">
        <v>1</v>
      </c>
      <c r="C126">
        <f>ROW(SmtRes!A208)</f>
        <v>208</v>
      </c>
      <c r="D126">
        <f>ROW(EtalonRes!A194)</f>
        <v>194</v>
      </c>
      <c r="E126" t="s">
        <v>381</v>
      </c>
      <c r="F126" t="s">
        <v>382</v>
      </c>
      <c r="G126" t="s">
        <v>383</v>
      </c>
      <c r="H126" t="s">
        <v>81</v>
      </c>
      <c r="I126">
        <v>2.9500000000000001E-4</v>
      </c>
      <c r="J126">
        <v>0</v>
      </c>
      <c r="K126">
        <v>2.9500000000000001E-4</v>
      </c>
      <c r="O126">
        <f t="shared" si="140"/>
        <v>8.81</v>
      </c>
      <c r="P126">
        <f t="shared" si="141"/>
        <v>2.42</v>
      </c>
      <c r="Q126">
        <f t="shared" si="142"/>
        <v>0</v>
      </c>
      <c r="R126">
        <f t="shared" si="143"/>
        <v>0</v>
      </c>
      <c r="S126">
        <f t="shared" si="144"/>
        <v>6.39</v>
      </c>
      <c r="T126">
        <f t="shared" si="145"/>
        <v>0</v>
      </c>
      <c r="U126">
        <f t="shared" si="146"/>
        <v>2.8272800000000001E-2</v>
      </c>
      <c r="V126">
        <f t="shared" si="147"/>
        <v>0</v>
      </c>
      <c r="W126">
        <f t="shared" si="148"/>
        <v>0</v>
      </c>
      <c r="X126">
        <f t="shared" si="149"/>
        <v>4.47</v>
      </c>
      <c r="Y126">
        <f t="shared" si="150"/>
        <v>0.64</v>
      </c>
      <c r="AA126">
        <v>43095088</v>
      </c>
      <c r="AB126">
        <f t="shared" si="151"/>
        <v>29874.62</v>
      </c>
      <c r="AC126">
        <f t="shared" si="152"/>
        <v>8198.49</v>
      </c>
      <c r="AD126">
        <f t="shared" si="134"/>
        <v>0</v>
      </c>
      <c r="AE126">
        <f t="shared" si="135"/>
        <v>0</v>
      </c>
      <c r="AF126">
        <f t="shared" si="136"/>
        <v>21676.13</v>
      </c>
      <c r="AG126">
        <f t="shared" si="153"/>
        <v>0</v>
      </c>
      <c r="AH126">
        <f t="shared" si="137"/>
        <v>95.84</v>
      </c>
      <c r="AI126">
        <f t="shared" si="138"/>
        <v>0</v>
      </c>
      <c r="AJ126">
        <f t="shared" si="154"/>
        <v>0</v>
      </c>
      <c r="AK126">
        <v>29874.62</v>
      </c>
      <c r="AL126">
        <v>8198.49</v>
      </c>
      <c r="AM126">
        <v>0</v>
      </c>
      <c r="AN126">
        <v>0</v>
      </c>
      <c r="AO126">
        <v>21676.13</v>
      </c>
      <c r="AP126">
        <v>0</v>
      </c>
      <c r="AQ126">
        <v>95.84</v>
      </c>
      <c r="AR126">
        <v>0</v>
      </c>
      <c r="AS126">
        <v>0</v>
      </c>
      <c r="AT126">
        <v>70</v>
      </c>
      <c r="AU126">
        <v>10</v>
      </c>
      <c r="AV126">
        <v>1</v>
      </c>
      <c r="AW126">
        <v>1</v>
      </c>
      <c r="AZ126">
        <v>1</v>
      </c>
      <c r="BA126">
        <v>1</v>
      </c>
      <c r="BB126">
        <v>1</v>
      </c>
      <c r="BC126">
        <v>1</v>
      </c>
      <c r="BD126" t="s">
        <v>3</v>
      </c>
      <c r="BE126" t="s">
        <v>3</v>
      </c>
      <c r="BF126" t="s">
        <v>3</v>
      </c>
      <c r="BG126" t="s">
        <v>3</v>
      </c>
      <c r="BH126">
        <v>0</v>
      </c>
      <c r="BI126">
        <v>4</v>
      </c>
      <c r="BJ126" t="s">
        <v>384</v>
      </c>
      <c r="BM126">
        <v>0</v>
      </c>
      <c r="BN126">
        <v>0</v>
      </c>
      <c r="BO126" t="s">
        <v>3</v>
      </c>
      <c r="BP126">
        <v>0</v>
      </c>
      <c r="BQ126">
        <v>1</v>
      </c>
      <c r="BR126">
        <v>0</v>
      </c>
      <c r="BS126">
        <v>1</v>
      </c>
      <c r="BT126">
        <v>1</v>
      </c>
      <c r="BU126">
        <v>1</v>
      </c>
      <c r="BV126">
        <v>1</v>
      </c>
      <c r="BW126">
        <v>1</v>
      </c>
      <c r="BX126">
        <v>1</v>
      </c>
      <c r="BY126" t="s">
        <v>3</v>
      </c>
      <c r="BZ126">
        <v>70</v>
      </c>
      <c r="CA126">
        <v>10</v>
      </c>
      <c r="CB126" t="s">
        <v>3</v>
      </c>
      <c r="CE126">
        <v>0</v>
      </c>
      <c r="CF126">
        <v>0</v>
      </c>
      <c r="CG126">
        <v>0</v>
      </c>
      <c r="CM126">
        <v>0</v>
      </c>
      <c r="CN126" t="s">
        <v>3</v>
      </c>
      <c r="CO126">
        <v>0</v>
      </c>
      <c r="CP126">
        <f t="shared" si="155"/>
        <v>8.8099999999999987</v>
      </c>
      <c r="CQ126">
        <f t="shared" si="156"/>
        <v>8198.49</v>
      </c>
      <c r="CR126">
        <f t="shared" si="139"/>
        <v>0</v>
      </c>
      <c r="CS126">
        <f t="shared" si="157"/>
        <v>0</v>
      </c>
      <c r="CT126">
        <f t="shared" si="158"/>
        <v>21676.13</v>
      </c>
      <c r="CU126">
        <f t="shared" si="159"/>
        <v>0</v>
      </c>
      <c r="CV126">
        <f t="shared" si="160"/>
        <v>95.84</v>
      </c>
      <c r="CW126">
        <f t="shared" si="161"/>
        <v>0</v>
      </c>
      <c r="CX126">
        <f t="shared" si="162"/>
        <v>0</v>
      </c>
      <c r="CY126">
        <f t="shared" si="163"/>
        <v>4.4729999999999999</v>
      </c>
      <c r="CZ126">
        <f t="shared" si="164"/>
        <v>0.63900000000000001</v>
      </c>
      <c r="DC126" t="s">
        <v>3</v>
      </c>
      <c r="DD126" t="s">
        <v>3</v>
      </c>
      <c r="DE126" t="s">
        <v>3</v>
      </c>
      <c r="DF126" t="s">
        <v>3</v>
      </c>
      <c r="DG126" t="s">
        <v>3</v>
      </c>
      <c r="DH126" t="s">
        <v>3</v>
      </c>
      <c r="DI126" t="s">
        <v>3</v>
      </c>
      <c r="DJ126" t="s">
        <v>3</v>
      </c>
      <c r="DK126" t="s">
        <v>3</v>
      </c>
      <c r="DL126" t="s">
        <v>3</v>
      </c>
      <c r="DM126" t="s">
        <v>3</v>
      </c>
      <c r="DN126">
        <v>0</v>
      </c>
      <c r="DO126">
        <v>0</v>
      </c>
      <c r="DP126">
        <v>1</v>
      </c>
      <c r="DQ126">
        <v>1</v>
      </c>
      <c r="DU126">
        <v>1007</v>
      </c>
      <c r="DV126" t="s">
        <v>81</v>
      </c>
      <c r="DW126" t="s">
        <v>81</v>
      </c>
      <c r="DX126">
        <v>1</v>
      </c>
      <c r="DZ126" t="s">
        <v>3</v>
      </c>
      <c r="EA126" t="s">
        <v>3</v>
      </c>
      <c r="EB126" t="s">
        <v>3</v>
      </c>
      <c r="EC126" t="s">
        <v>3</v>
      </c>
      <c r="EE126">
        <v>43033442</v>
      </c>
      <c r="EF126">
        <v>1</v>
      </c>
      <c r="EG126" t="s">
        <v>22</v>
      </c>
      <c r="EH126">
        <v>0</v>
      </c>
      <c r="EI126" t="s">
        <v>3</v>
      </c>
      <c r="EJ126">
        <v>4</v>
      </c>
      <c r="EK126">
        <v>0</v>
      </c>
      <c r="EL126" t="s">
        <v>23</v>
      </c>
      <c r="EM126" t="s">
        <v>24</v>
      </c>
      <c r="EO126" t="s">
        <v>3</v>
      </c>
      <c r="EQ126">
        <v>0</v>
      </c>
      <c r="ER126">
        <v>29874.62</v>
      </c>
      <c r="ES126">
        <v>8198.49</v>
      </c>
      <c r="ET126">
        <v>0</v>
      </c>
      <c r="EU126">
        <v>0</v>
      </c>
      <c r="EV126">
        <v>21676.13</v>
      </c>
      <c r="EW126">
        <v>95.84</v>
      </c>
      <c r="EX126">
        <v>0</v>
      </c>
      <c r="EY126">
        <v>0</v>
      </c>
      <c r="FQ126">
        <v>0</v>
      </c>
      <c r="FR126">
        <f t="shared" si="165"/>
        <v>0</v>
      </c>
      <c r="FS126">
        <v>0</v>
      </c>
      <c r="FX126">
        <v>70</v>
      </c>
      <c r="FY126">
        <v>10</v>
      </c>
      <c r="GA126" t="s">
        <v>3</v>
      </c>
      <c r="GD126">
        <v>0</v>
      </c>
      <c r="GF126">
        <v>1687261152</v>
      </c>
      <c r="GG126">
        <v>2</v>
      </c>
      <c r="GH126">
        <v>1</v>
      </c>
      <c r="GI126">
        <v>-2</v>
      </c>
      <c r="GJ126">
        <v>0</v>
      </c>
      <c r="GK126">
        <f>ROUND(R126*(R12)/100,2)</f>
        <v>0</v>
      </c>
      <c r="GL126">
        <f t="shared" si="166"/>
        <v>0</v>
      </c>
      <c r="GM126">
        <f t="shared" si="167"/>
        <v>13.92</v>
      </c>
      <c r="GN126">
        <f t="shared" si="168"/>
        <v>0</v>
      </c>
      <c r="GO126">
        <f t="shared" si="169"/>
        <v>0</v>
      </c>
      <c r="GP126">
        <f t="shared" si="170"/>
        <v>13.92</v>
      </c>
      <c r="GR126">
        <v>0</v>
      </c>
      <c r="GS126">
        <v>3</v>
      </c>
      <c r="GT126">
        <v>0</v>
      </c>
      <c r="GU126" t="s">
        <v>3</v>
      </c>
      <c r="GV126">
        <f t="shared" si="171"/>
        <v>0</v>
      </c>
      <c r="GW126">
        <v>1</v>
      </c>
      <c r="GX126">
        <f t="shared" si="172"/>
        <v>0</v>
      </c>
      <c r="HA126">
        <v>0</v>
      </c>
      <c r="HB126">
        <v>0</v>
      </c>
      <c r="HC126">
        <f t="shared" si="173"/>
        <v>0</v>
      </c>
      <c r="HE126" t="s">
        <v>3</v>
      </c>
      <c r="HF126" t="s">
        <v>3</v>
      </c>
      <c r="HM126" t="s">
        <v>3</v>
      </c>
      <c r="HN126" t="s">
        <v>3</v>
      </c>
      <c r="HO126" t="s">
        <v>3</v>
      </c>
      <c r="HP126" t="s">
        <v>3</v>
      </c>
      <c r="HQ126" t="s">
        <v>3</v>
      </c>
      <c r="IK126">
        <v>0</v>
      </c>
    </row>
    <row r="127" spans="1:245" x14ac:dyDescent="0.2">
      <c r="A127">
        <v>17</v>
      </c>
      <c r="B127">
        <v>1</v>
      </c>
      <c r="C127">
        <f>ROW(SmtRes!A211)</f>
        <v>211</v>
      </c>
      <c r="D127">
        <f>ROW(EtalonRes!A197)</f>
        <v>197</v>
      </c>
      <c r="E127" t="s">
        <v>385</v>
      </c>
      <c r="F127" t="s">
        <v>386</v>
      </c>
      <c r="G127" t="s">
        <v>387</v>
      </c>
      <c r="H127" t="s">
        <v>388</v>
      </c>
      <c r="I127">
        <v>0</v>
      </c>
      <c r="J127">
        <v>0</v>
      </c>
      <c r="K127">
        <v>0</v>
      </c>
      <c r="O127">
        <f t="shared" si="140"/>
        <v>0</v>
      </c>
      <c r="P127">
        <f t="shared" si="141"/>
        <v>0</v>
      </c>
      <c r="Q127">
        <f t="shared" si="142"/>
        <v>0</v>
      </c>
      <c r="R127">
        <f t="shared" si="143"/>
        <v>0</v>
      </c>
      <c r="S127">
        <f t="shared" si="144"/>
        <v>0</v>
      </c>
      <c r="T127">
        <f t="shared" si="145"/>
        <v>0</v>
      </c>
      <c r="U127">
        <f t="shared" si="146"/>
        <v>0</v>
      </c>
      <c r="V127">
        <f t="shared" si="147"/>
        <v>0</v>
      </c>
      <c r="W127">
        <f t="shared" si="148"/>
        <v>0</v>
      </c>
      <c r="X127">
        <f t="shared" si="149"/>
        <v>0</v>
      </c>
      <c r="Y127">
        <f t="shared" si="150"/>
        <v>0</v>
      </c>
      <c r="AA127">
        <v>43095088</v>
      </c>
      <c r="AB127">
        <f t="shared" si="151"/>
        <v>56886.31</v>
      </c>
      <c r="AC127">
        <f t="shared" si="152"/>
        <v>7527.92</v>
      </c>
      <c r="AD127">
        <f t="shared" si="134"/>
        <v>0</v>
      </c>
      <c r="AE127">
        <f t="shared" si="135"/>
        <v>0</v>
      </c>
      <c r="AF127">
        <f t="shared" si="136"/>
        <v>49358.39</v>
      </c>
      <c r="AG127">
        <f t="shared" si="153"/>
        <v>0</v>
      </c>
      <c r="AH127">
        <f t="shared" si="137"/>
        <v>205.6</v>
      </c>
      <c r="AI127">
        <f t="shared" si="138"/>
        <v>0</v>
      </c>
      <c r="AJ127">
        <f t="shared" si="154"/>
        <v>0</v>
      </c>
      <c r="AK127">
        <v>56886.31</v>
      </c>
      <c r="AL127">
        <v>7527.92</v>
      </c>
      <c r="AM127">
        <v>0</v>
      </c>
      <c r="AN127">
        <v>0</v>
      </c>
      <c r="AO127">
        <v>49358.39</v>
      </c>
      <c r="AP127">
        <v>0</v>
      </c>
      <c r="AQ127">
        <v>205.6</v>
      </c>
      <c r="AR127">
        <v>0</v>
      </c>
      <c r="AS127">
        <v>0</v>
      </c>
      <c r="AT127">
        <v>70</v>
      </c>
      <c r="AU127">
        <v>10</v>
      </c>
      <c r="AV127">
        <v>1</v>
      </c>
      <c r="AW127">
        <v>1</v>
      </c>
      <c r="AZ127">
        <v>1</v>
      </c>
      <c r="BA127">
        <v>1</v>
      </c>
      <c r="BB127">
        <v>1</v>
      </c>
      <c r="BC127">
        <v>1</v>
      </c>
      <c r="BD127" t="s">
        <v>3</v>
      </c>
      <c r="BE127" t="s">
        <v>3</v>
      </c>
      <c r="BF127" t="s">
        <v>3</v>
      </c>
      <c r="BG127" t="s">
        <v>3</v>
      </c>
      <c r="BH127">
        <v>0</v>
      </c>
      <c r="BI127">
        <v>4</v>
      </c>
      <c r="BJ127" t="s">
        <v>389</v>
      </c>
      <c r="BM127">
        <v>0</v>
      </c>
      <c r="BN127">
        <v>0</v>
      </c>
      <c r="BO127" t="s">
        <v>3</v>
      </c>
      <c r="BP127">
        <v>0</v>
      </c>
      <c r="BQ127">
        <v>1</v>
      </c>
      <c r="BR127">
        <v>0</v>
      </c>
      <c r="BS127">
        <v>1</v>
      </c>
      <c r="BT127">
        <v>1</v>
      </c>
      <c r="BU127">
        <v>1</v>
      </c>
      <c r="BV127">
        <v>1</v>
      </c>
      <c r="BW127">
        <v>1</v>
      </c>
      <c r="BX127">
        <v>1</v>
      </c>
      <c r="BY127" t="s">
        <v>3</v>
      </c>
      <c r="BZ127">
        <v>70</v>
      </c>
      <c r="CA127">
        <v>10</v>
      </c>
      <c r="CB127" t="s">
        <v>3</v>
      </c>
      <c r="CE127">
        <v>0</v>
      </c>
      <c r="CF127">
        <v>0</v>
      </c>
      <c r="CG127">
        <v>0</v>
      </c>
      <c r="CM127">
        <v>0</v>
      </c>
      <c r="CN127" t="s">
        <v>3</v>
      </c>
      <c r="CO127">
        <v>0</v>
      </c>
      <c r="CP127">
        <f t="shared" si="155"/>
        <v>0</v>
      </c>
      <c r="CQ127">
        <f t="shared" si="156"/>
        <v>7527.92</v>
      </c>
      <c r="CR127">
        <f t="shared" si="139"/>
        <v>0</v>
      </c>
      <c r="CS127">
        <f t="shared" si="157"/>
        <v>0</v>
      </c>
      <c r="CT127">
        <f t="shared" si="158"/>
        <v>49358.39</v>
      </c>
      <c r="CU127">
        <f t="shared" si="159"/>
        <v>0</v>
      </c>
      <c r="CV127">
        <f t="shared" si="160"/>
        <v>205.6</v>
      </c>
      <c r="CW127">
        <f t="shared" si="161"/>
        <v>0</v>
      </c>
      <c r="CX127">
        <f t="shared" si="162"/>
        <v>0</v>
      </c>
      <c r="CY127">
        <f t="shared" si="163"/>
        <v>0</v>
      </c>
      <c r="CZ127">
        <f t="shared" si="164"/>
        <v>0</v>
      </c>
      <c r="DC127" t="s">
        <v>3</v>
      </c>
      <c r="DD127" t="s">
        <v>3</v>
      </c>
      <c r="DE127" t="s">
        <v>3</v>
      </c>
      <c r="DF127" t="s">
        <v>3</v>
      </c>
      <c r="DG127" t="s">
        <v>3</v>
      </c>
      <c r="DH127" t="s">
        <v>3</v>
      </c>
      <c r="DI127" t="s">
        <v>3</v>
      </c>
      <c r="DJ127" t="s">
        <v>3</v>
      </c>
      <c r="DK127" t="s">
        <v>3</v>
      </c>
      <c r="DL127" t="s">
        <v>3</v>
      </c>
      <c r="DM127" t="s">
        <v>3</v>
      </c>
      <c r="DN127">
        <v>0</v>
      </c>
      <c r="DO127">
        <v>0</v>
      </c>
      <c r="DP127">
        <v>1</v>
      </c>
      <c r="DQ127">
        <v>1</v>
      </c>
      <c r="DU127">
        <v>1005</v>
      </c>
      <c r="DV127" t="s">
        <v>388</v>
      </c>
      <c r="DW127" t="s">
        <v>388</v>
      </c>
      <c r="DX127">
        <v>100</v>
      </c>
      <c r="DZ127" t="s">
        <v>3</v>
      </c>
      <c r="EA127" t="s">
        <v>3</v>
      </c>
      <c r="EB127" t="s">
        <v>3</v>
      </c>
      <c r="EC127" t="s">
        <v>3</v>
      </c>
      <c r="EE127">
        <v>43033442</v>
      </c>
      <c r="EF127">
        <v>1</v>
      </c>
      <c r="EG127" t="s">
        <v>22</v>
      </c>
      <c r="EH127">
        <v>0</v>
      </c>
      <c r="EI127" t="s">
        <v>3</v>
      </c>
      <c r="EJ127">
        <v>4</v>
      </c>
      <c r="EK127">
        <v>0</v>
      </c>
      <c r="EL127" t="s">
        <v>23</v>
      </c>
      <c r="EM127" t="s">
        <v>24</v>
      </c>
      <c r="EO127" t="s">
        <v>3</v>
      </c>
      <c r="EQ127">
        <v>0</v>
      </c>
      <c r="ER127">
        <v>56886.31</v>
      </c>
      <c r="ES127">
        <v>7527.92</v>
      </c>
      <c r="ET127">
        <v>0</v>
      </c>
      <c r="EU127">
        <v>0</v>
      </c>
      <c r="EV127">
        <v>49358.39</v>
      </c>
      <c r="EW127">
        <v>205.6</v>
      </c>
      <c r="EX127">
        <v>0</v>
      </c>
      <c r="EY127">
        <v>0</v>
      </c>
      <c r="FQ127">
        <v>0</v>
      </c>
      <c r="FR127">
        <f t="shared" si="165"/>
        <v>0</v>
      </c>
      <c r="FS127">
        <v>0</v>
      </c>
      <c r="FX127">
        <v>70</v>
      </c>
      <c r="FY127">
        <v>10</v>
      </c>
      <c r="GA127" t="s">
        <v>3</v>
      </c>
      <c r="GD127">
        <v>0</v>
      </c>
      <c r="GF127">
        <v>-87882616</v>
      </c>
      <c r="GG127">
        <v>2</v>
      </c>
      <c r="GH127">
        <v>1</v>
      </c>
      <c r="GI127">
        <v>-2</v>
      </c>
      <c r="GJ127">
        <v>0</v>
      </c>
      <c r="GK127">
        <f>ROUND(R127*(R12)/100,2)</f>
        <v>0</v>
      </c>
      <c r="GL127">
        <f t="shared" si="166"/>
        <v>0</v>
      </c>
      <c r="GM127">
        <f t="shared" si="167"/>
        <v>0</v>
      </c>
      <c r="GN127">
        <f t="shared" si="168"/>
        <v>0</v>
      </c>
      <c r="GO127">
        <f t="shared" si="169"/>
        <v>0</v>
      </c>
      <c r="GP127">
        <f t="shared" si="170"/>
        <v>0</v>
      </c>
      <c r="GR127">
        <v>0</v>
      </c>
      <c r="GS127">
        <v>3</v>
      </c>
      <c r="GT127">
        <v>0</v>
      </c>
      <c r="GU127" t="s">
        <v>3</v>
      </c>
      <c r="GV127">
        <f t="shared" si="171"/>
        <v>0</v>
      </c>
      <c r="GW127">
        <v>1</v>
      </c>
      <c r="GX127">
        <f t="shared" si="172"/>
        <v>0</v>
      </c>
      <c r="HA127">
        <v>0</v>
      </c>
      <c r="HB127">
        <v>0</v>
      </c>
      <c r="HC127">
        <f t="shared" si="173"/>
        <v>0</v>
      </c>
      <c r="HE127" t="s">
        <v>3</v>
      </c>
      <c r="HF127" t="s">
        <v>3</v>
      </c>
      <c r="HM127" t="s">
        <v>3</v>
      </c>
      <c r="HN127" t="s">
        <v>3</v>
      </c>
      <c r="HO127" t="s">
        <v>3</v>
      </c>
      <c r="HP127" t="s">
        <v>3</v>
      </c>
      <c r="HQ127" t="s">
        <v>3</v>
      </c>
      <c r="IK127">
        <v>0</v>
      </c>
    </row>
    <row r="128" spans="1:245" x14ac:dyDescent="0.2">
      <c r="A128">
        <v>17</v>
      </c>
      <c r="B128">
        <v>1</v>
      </c>
      <c r="C128">
        <f>ROW(SmtRes!A219)</f>
        <v>219</v>
      </c>
      <c r="D128">
        <f>ROW(EtalonRes!A205)</f>
        <v>205</v>
      </c>
      <c r="E128" t="s">
        <v>390</v>
      </c>
      <c r="F128" t="s">
        <v>391</v>
      </c>
      <c r="G128" t="s">
        <v>392</v>
      </c>
      <c r="H128" t="s">
        <v>388</v>
      </c>
      <c r="I128">
        <v>0</v>
      </c>
      <c r="J128">
        <v>0</v>
      </c>
      <c r="K128">
        <v>0</v>
      </c>
      <c r="O128">
        <f t="shared" si="140"/>
        <v>0</v>
      </c>
      <c r="P128">
        <f t="shared" si="141"/>
        <v>0</v>
      </c>
      <c r="Q128">
        <f t="shared" si="142"/>
        <v>0</v>
      </c>
      <c r="R128">
        <f t="shared" si="143"/>
        <v>0</v>
      </c>
      <c r="S128">
        <f t="shared" si="144"/>
        <v>0</v>
      </c>
      <c r="T128">
        <f t="shared" si="145"/>
        <v>0</v>
      </c>
      <c r="U128">
        <f t="shared" si="146"/>
        <v>0</v>
      </c>
      <c r="V128">
        <f t="shared" si="147"/>
        <v>0</v>
      </c>
      <c r="W128">
        <f t="shared" si="148"/>
        <v>0</v>
      </c>
      <c r="X128">
        <f t="shared" si="149"/>
        <v>0</v>
      </c>
      <c r="Y128">
        <f t="shared" si="150"/>
        <v>0</v>
      </c>
      <c r="AA128">
        <v>43095088</v>
      </c>
      <c r="AB128">
        <f t="shared" si="151"/>
        <v>13247.23</v>
      </c>
      <c r="AC128">
        <f t="shared" si="152"/>
        <v>7542.76</v>
      </c>
      <c r="AD128">
        <f t="shared" si="134"/>
        <v>0</v>
      </c>
      <c r="AE128">
        <f t="shared" si="135"/>
        <v>0</v>
      </c>
      <c r="AF128">
        <f t="shared" si="136"/>
        <v>5704.47</v>
      </c>
      <c r="AG128">
        <f t="shared" si="153"/>
        <v>0</v>
      </c>
      <c r="AH128">
        <f t="shared" si="137"/>
        <v>26.3</v>
      </c>
      <c r="AI128">
        <f t="shared" si="138"/>
        <v>0</v>
      </c>
      <c r="AJ128">
        <f t="shared" si="154"/>
        <v>0</v>
      </c>
      <c r="AK128">
        <v>13247.23</v>
      </c>
      <c r="AL128">
        <v>7542.76</v>
      </c>
      <c r="AM128">
        <v>0</v>
      </c>
      <c r="AN128">
        <v>0</v>
      </c>
      <c r="AO128">
        <v>5704.47</v>
      </c>
      <c r="AP128">
        <v>0</v>
      </c>
      <c r="AQ128">
        <v>26.3</v>
      </c>
      <c r="AR128">
        <v>0</v>
      </c>
      <c r="AS128">
        <v>0</v>
      </c>
      <c r="AT128">
        <v>70</v>
      </c>
      <c r="AU128">
        <v>10</v>
      </c>
      <c r="AV128">
        <v>1</v>
      </c>
      <c r="AW128">
        <v>1</v>
      </c>
      <c r="AZ128">
        <v>1</v>
      </c>
      <c r="BA128">
        <v>1</v>
      </c>
      <c r="BB128">
        <v>1</v>
      </c>
      <c r="BC128">
        <v>1</v>
      </c>
      <c r="BD128" t="s">
        <v>3</v>
      </c>
      <c r="BE128" t="s">
        <v>3</v>
      </c>
      <c r="BF128" t="s">
        <v>3</v>
      </c>
      <c r="BG128" t="s">
        <v>3</v>
      </c>
      <c r="BH128">
        <v>0</v>
      </c>
      <c r="BI128">
        <v>4</v>
      </c>
      <c r="BJ128" t="s">
        <v>393</v>
      </c>
      <c r="BM128">
        <v>0</v>
      </c>
      <c r="BN128">
        <v>0</v>
      </c>
      <c r="BO128" t="s">
        <v>3</v>
      </c>
      <c r="BP128">
        <v>0</v>
      </c>
      <c r="BQ128">
        <v>1</v>
      </c>
      <c r="BR128">
        <v>0</v>
      </c>
      <c r="BS128">
        <v>1</v>
      </c>
      <c r="BT128">
        <v>1</v>
      </c>
      <c r="BU128">
        <v>1</v>
      </c>
      <c r="BV128">
        <v>1</v>
      </c>
      <c r="BW128">
        <v>1</v>
      </c>
      <c r="BX128">
        <v>1</v>
      </c>
      <c r="BY128" t="s">
        <v>3</v>
      </c>
      <c r="BZ128">
        <v>70</v>
      </c>
      <c r="CA128">
        <v>10</v>
      </c>
      <c r="CB128" t="s">
        <v>3</v>
      </c>
      <c r="CE128">
        <v>0</v>
      </c>
      <c r="CF128">
        <v>0</v>
      </c>
      <c r="CG128">
        <v>0</v>
      </c>
      <c r="CM128">
        <v>0</v>
      </c>
      <c r="CN128" t="s">
        <v>3</v>
      </c>
      <c r="CO128">
        <v>0</v>
      </c>
      <c r="CP128">
        <f t="shared" si="155"/>
        <v>0</v>
      </c>
      <c r="CQ128">
        <f t="shared" si="156"/>
        <v>7542.76</v>
      </c>
      <c r="CR128">
        <f t="shared" si="139"/>
        <v>0</v>
      </c>
      <c r="CS128">
        <f t="shared" si="157"/>
        <v>0</v>
      </c>
      <c r="CT128">
        <f t="shared" si="158"/>
        <v>5704.47</v>
      </c>
      <c r="CU128">
        <f t="shared" si="159"/>
        <v>0</v>
      </c>
      <c r="CV128">
        <f t="shared" si="160"/>
        <v>26.3</v>
      </c>
      <c r="CW128">
        <f t="shared" si="161"/>
        <v>0</v>
      </c>
      <c r="CX128">
        <f t="shared" si="162"/>
        <v>0</v>
      </c>
      <c r="CY128">
        <f t="shared" si="163"/>
        <v>0</v>
      </c>
      <c r="CZ128">
        <f t="shared" si="164"/>
        <v>0</v>
      </c>
      <c r="DC128" t="s">
        <v>3</v>
      </c>
      <c r="DD128" t="s">
        <v>3</v>
      </c>
      <c r="DE128" t="s">
        <v>3</v>
      </c>
      <c r="DF128" t="s">
        <v>3</v>
      </c>
      <c r="DG128" t="s">
        <v>3</v>
      </c>
      <c r="DH128" t="s">
        <v>3</v>
      </c>
      <c r="DI128" t="s">
        <v>3</v>
      </c>
      <c r="DJ128" t="s">
        <v>3</v>
      </c>
      <c r="DK128" t="s">
        <v>3</v>
      </c>
      <c r="DL128" t="s">
        <v>3</v>
      </c>
      <c r="DM128" t="s">
        <v>3</v>
      </c>
      <c r="DN128">
        <v>0</v>
      </c>
      <c r="DO128">
        <v>0</v>
      </c>
      <c r="DP128">
        <v>1</v>
      </c>
      <c r="DQ128">
        <v>1</v>
      </c>
      <c r="DU128">
        <v>1005</v>
      </c>
      <c r="DV128" t="s">
        <v>388</v>
      </c>
      <c r="DW128" t="s">
        <v>388</v>
      </c>
      <c r="DX128">
        <v>100</v>
      </c>
      <c r="DZ128" t="s">
        <v>3</v>
      </c>
      <c r="EA128" t="s">
        <v>3</v>
      </c>
      <c r="EB128" t="s">
        <v>3</v>
      </c>
      <c r="EC128" t="s">
        <v>3</v>
      </c>
      <c r="EE128">
        <v>43033442</v>
      </c>
      <c r="EF128">
        <v>1</v>
      </c>
      <c r="EG128" t="s">
        <v>22</v>
      </c>
      <c r="EH128">
        <v>0</v>
      </c>
      <c r="EI128" t="s">
        <v>3</v>
      </c>
      <c r="EJ128">
        <v>4</v>
      </c>
      <c r="EK128">
        <v>0</v>
      </c>
      <c r="EL128" t="s">
        <v>23</v>
      </c>
      <c r="EM128" t="s">
        <v>24</v>
      </c>
      <c r="EO128" t="s">
        <v>3</v>
      </c>
      <c r="EQ128">
        <v>0</v>
      </c>
      <c r="ER128">
        <v>13247.23</v>
      </c>
      <c r="ES128">
        <v>7542.76</v>
      </c>
      <c r="ET128">
        <v>0</v>
      </c>
      <c r="EU128">
        <v>0</v>
      </c>
      <c r="EV128">
        <v>5704.47</v>
      </c>
      <c r="EW128">
        <v>26.3</v>
      </c>
      <c r="EX128">
        <v>0</v>
      </c>
      <c r="EY128">
        <v>0</v>
      </c>
      <c r="FQ128">
        <v>0</v>
      </c>
      <c r="FR128">
        <f t="shared" si="165"/>
        <v>0</v>
      </c>
      <c r="FS128">
        <v>0</v>
      </c>
      <c r="FX128">
        <v>70</v>
      </c>
      <c r="FY128">
        <v>10</v>
      </c>
      <c r="GA128" t="s">
        <v>3</v>
      </c>
      <c r="GD128">
        <v>0</v>
      </c>
      <c r="GF128">
        <v>581609277</v>
      </c>
      <c r="GG128">
        <v>2</v>
      </c>
      <c r="GH128">
        <v>1</v>
      </c>
      <c r="GI128">
        <v>-2</v>
      </c>
      <c r="GJ128">
        <v>0</v>
      </c>
      <c r="GK128">
        <f>ROUND(R128*(R12)/100,2)</f>
        <v>0</v>
      </c>
      <c r="GL128">
        <f t="shared" si="166"/>
        <v>0</v>
      </c>
      <c r="GM128">
        <f t="shared" si="167"/>
        <v>0</v>
      </c>
      <c r="GN128">
        <f t="shared" si="168"/>
        <v>0</v>
      </c>
      <c r="GO128">
        <f t="shared" si="169"/>
        <v>0</v>
      </c>
      <c r="GP128">
        <f t="shared" si="170"/>
        <v>0</v>
      </c>
      <c r="GR128">
        <v>0</v>
      </c>
      <c r="GS128">
        <v>3</v>
      </c>
      <c r="GT128">
        <v>0</v>
      </c>
      <c r="GU128" t="s">
        <v>3</v>
      </c>
      <c r="GV128">
        <f t="shared" si="171"/>
        <v>0</v>
      </c>
      <c r="GW128">
        <v>1</v>
      </c>
      <c r="GX128">
        <f t="shared" si="172"/>
        <v>0</v>
      </c>
      <c r="HA128">
        <v>0</v>
      </c>
      <c r="HB128">
        <v>0</v>
      </c>
      <c r="HC128">
        <f t="shared" si="173"/>
        <v>0</v>
      </c>
      <c r="HE128" t="s">
        <v>3</v>
      </c>
      <c r="HF128" t="s">
        <v>3</v>
      </c>
      <c r="HM128" t="s">
        <v>3</v>
      </c>
      <c r="HN128" t="s">
        <v>3</v>
      </c>
      <c r="HO128" t="s">
        <v>3</v>
      </c>
      <c r="HP128" t="s">
        <v>3</v>
      </c>
      <c r="HQ128" t="s">
        <v>3</v>
      </c>
      <c r="IK128">
        <v>0</v>
      </c>
    </row>
    <row r="129" spans="1:245" x14ac:dyDescent="0.2">
      <c r="A129">
        <v>17</v>
      </c>
      <c r="B129">
        <v>1</v>
      </c>
      <c r="C129">
        <f>ROW(SmtRes!A221)</f>
        <v>221</v>
      </c>
      <c r="D129">
        <f>ROW(EtalonRes!A207)</f>
        <v>207</v>
      </c>
      <c r="E129" t="s">
        <v>394</v>
      </c>
      <c r="F129" t="s">
        <v>395</v>
      </c>
      <c r="G129" t="s">
        <v>396</v>
      </c>
      <c r="H129" t="s">
        <v>397</v>
      </c>
      <c r="I129">
        <f>ROUND(2/100,9)</f>
        <v>0.02</v>
      </c>
      <c r="J129">
        <v>0</v>
      </c>
      <c r="K129">
        <f>ROUND(2/100,9)</f>
        <v>0.02</v>
      </c>
      <c r="O129">
        <f t="shared" si="140"/>
        <v>456.4</v>
      </c>
      <c r="P129">
        <f t="shared" si="141"/>
        <v>343.38</v>
      </c>
      <c r="Q129">
        <f t="shared" si="142"/>
        <v>0</v>
      </c>
      <c r="R129">
        <f t="shared" si="143"/>
        <v>0</v>
      </c>
      <c r="S129">
        <f t="shared" si="144"/>
        <v>113.02</v>
      </c>
      <c r="T129">
        <f t="shared" si="145"/>
        <v>0</v>
      </c>
      <c r="U129">
        <f t="shared" si="146"/>
        <v>0.38100000000000001</v>
      </c>
      <c r="V129">
        <f t="shared" si="147"/>
        <v>0</v>
      </c>
      <c r="W129">
        <f t="shared" si="148"/>
        <v>0</v>
      </c>
      <c r="X129">
        <f t="shared" si="149"/>
        <v>79.11</v>
      </c>
      <c r="Y129">
        <f t="shared" si="150"/>
        <v>11.3</v>
      </c>
      <c r="AA129">
        <v>43095088</v>
      </c>
      <c r="AB129">
        <f t="shared" si="151"/>
        <v>22820.11</v>
      </c>
      <c r="AC129">
        <f t="shared" si="152"/>
        <v>17169</v>
      </c>
      <c r="AD129">
        <f t="shared" si="134"/>
        <v>0</v>
      </c>
      <c r="AE129">
        <f t="shared" si="135"/>
        <v>0</v>
      </c>
      <c r="AF129">
        <f t="shared" si="136"/>
        <v>5651.11</v>
      </c>
      <c r="AG129">
        <f t="shared" si="153"/>
        <v>0</v>
      </c>
      <c r="AH129">
        <f t="shared" si="137"/>
        <v>19.05</v>
      </c>
      <c r="AI129">
        <f t="shared" si="138"/>
        <v>0</v>
      </c>
      <c r="AJ129">
        <f t="shared" si="154"/>
        <v>0</v>
      </c>
      <c r="AK129">
        <v>22820.11</v>
      </c>
      <c r="AL129">
        <v>17169</v>
      </c>
      <c r="AM129">
        <v>0</v>
      </c>
      <c r="AN129">
        <v>0</v>
      </c>
      <c r="AO129">
        <v>5651.11</v>
      </c>
      <c r="AP129">
        <v>0</v>
      </c>
      <c r="AQ129">
        <v>19.05</v>
      </c>
      <c r="AR129">
        <v>0</v>
      </c>
      <c r="AS129">
        <v>0</v>
      </c>
      <c r="AT129">
        <v>70</v>
      </c>
      <c r="AU129">
        <v>10</v>
      </c>
      <c r="AV129">
        <v>1</v>
      </c>
      <c r="AW129">
        <v>1</v>
      </c>
      <c r="AZ129">
        <v>1</v>
      </c>
      <c r="BA129">
        <v>1</v>
      </c>
      <c r="BB129">
        <v>1</v>
      </c>
      <c r="BC129">
        <v>1</v>
      </c>
      <c r="BD129" t="s">
        <v>3</v>
      </c>
      <c r="BE129" t="s">
        <v>3</v>
      </c>
      <c r="BF129" t="s">
        <v>3</v>
      </c>
      <c r="BG129" t="s">
        <v>3</v>
      </c>
      <c r="BH129">
        <v>0</v>
      </c>
      <c r="BI129">
        <v>4</v>
      </c>
      <c r="BJ129" t="s">
        <v>398</v>
      </c>
      <c r="BM129">
        <v>0</v>
      </c>
      <c r="BN129">
        <v>0</v>
      </c>
      <c r="BO129" t="s">
        <v>3</v>
      </c>
      <c r="BP129">
        <v>0</v>
      </c>
      <c r="BQ129">
        <v>1</v>
      </c>
      <c r="BR129">
        <v>0</v>
      </c>
      <c r="BS129">
        <v>1</v>
      </c>
      <c r="BT129">
        <v>1</v>
      </c>
      <c r="BU129">
        <v>1</v>
      </c>
      <c r="BV129">
        <v>1</v>
      </c>
      <c r="BW129">
        <v>1</v>
      </c>
      <c r="BX129">
        <v>1</v>
      </c>
      <c r="BY129" t="s">
        <v>3</v>
      </c>
      <c r="BZ129">
        <v>70</v>
      </c>
      <c r="CA129">
        <v>10</v>
      </c>
      <c r="CB129" t="s">
        <v>3</v>
      </c>
      <c r="CE129">
        <v>0</v>
      </c>
      <c r="CF129">
        <v>0</v>
      </c>
      <c r="CG129">
        <v>0</v>
      </c>
      <c r="CM129">
        <v>0</v>
      </c>
      <c r="CN129" t="s">
        <v>3</v>
      </c>
      <c r="CO129">
        <v>0</v>
      </c>
      <c r="CP129">
        <f t="shared" si="155"/>
        <v>456.4</v>
      </c>
      <c r="CQ129">
        <f t="shared" si="156"/>
        <v>17169</v>
      </c>
      <c r="CR129">
        <f t="shared" si="139"/>
        <v>0</v>
      </c>
      <c r="CS129">
        <f t="shared" si="157"/>
        <v>0</v>
      </c>
      <c r="CT129">
        <f t="shared" si="158"/>
        <v>5651.11</v>
      </c>
      <c r="CU129">
        <f t="shared" si="159"/>
        <v>0</v>
      </c>
      <c r="CV129">
        <f t="shared" si="160"/>
        <v>19.05</v>
      </c>
      <c r="CW129">
        <f t="shared" si="161"/>
        <v>0</v>
      </c>
      <c r="CX129">
        <f t="shared" si="162"/>
        <v>0</v>
      </c>
      <c r="CY129">
        <f t="shared" si="163"/>
        <v>79.11399999999999</v>
      </c>
      <c r="CZ129">
        <f t="shared" si="164"/>
        <v>11.302</v>
      </c>
      <c r="DC129" t="s">
        <v>3</v>
      </c>
      <c r="DD129" t="s">
        <v>3</v>
      </c>
      <c r="DE129" t="s">
        <v>3</v>
      </c>
      <c r="DF129" t="s">
        <v>3</v>
      </c>
      <c r="DG129" t="s">
        <v>3</v>
      </c>
      <c r="DH129" t="s">
        <v>3</v>
      </c>
      <c r="DI129" t="s">
        <v>3</v>
      </c>
      <c r="DJ129" t="s">
        <v>3</v>
      </c>
      <c r="DK129" t="s">
        <v>3</v>
      </c>
      <c r="DL129" t="s">
        <v>3</v>
      </c>
      <c r="DM129" t="s">
        <v>3</v>
      </c>
      <c r="DN129">
        <v>0</v>
      </c>
      <c r="DO129">
        <v>0</v>
      </c>
      <c r="DP129">
        <v>1</v>
      </c>
      <c r="DQ129">
        <v>1</v>
      </c>
      <c r="DU129">
        <v>1013</v>
      </c>
      <c r="DV129" t="s">
        <v>397</v>
      </c>
      <c r="DW129" t="s">
        <v>397</v>
      </c>
      <c r="DX129">
        <v>1</v>
      </c>
      <c r="DZ129" t="s">
        <v>3</v>
      </c>
      <c r="EA129" t="s">
        <v>3</v>
      </c>
      <c r="EB129" t="s">
        <v>3</v>
      </c>
      <c r="EC129" t="s">
        <v>3</v>
      </c>
      <c r="EE129">
        <v>43033442</v>
      </c>
      <c r="EF129">
        <v>1</v>
      </c>
      <c r="EG129" t="s">
        <v>22</v>
      </c>
      <c r="EH129">
        <v>0</v>
      </c>
      <c r="EI129" t="s">
        <v>3</v>
      </c>
      <c r="EJ129">
        <v>4</v>
      </c>
      <c r="EK129">
        <v>0</v>
      </c>
      <c r="EL129" t="s">
        <v>23</v>
      </c>
      <c r="EM129" t="s">
        <v>24</v>
      </c>
      <c r="EO129" t="s">
        <v>3</v>
      </c>
      <c r="EQ129">
        <v>0</v>
      </c>
      <c r="ER129">
        <v>22820.11</v>
      </c>
      <c r="ES129">
        <v>17169</v>
      </c>
      <c r="ET129">
        <v>0</v>
      </c>
      <c r="EU129">
        <v>0</v>
      </c>
      <c r="EV129">
        <v>5651.11</v>
      </c>
      <c r="EW129">
        <v>19.05</v>
      </c>
      <c r="EX129">
        <v>0</v>
      </c>
      <c r="EY129">
        <v>0</v>
      </c>
      <c r="FQ129">
        <v>0</v>
      </c>
      <c r="FR129">
        <f t="shared" si="165"/>
        <v>0</v>
      </c>
      <c r="FS129">
        <v>0</v>
      </c>
      <c r="FX129">
        <v>70</v>
      </c>
      <c r="FY129">
        <v>10</v>
      </c>
      <c r="GA129" t="s">
        <v>3</v>
      </c>
      <c r="GD129">
        <v>0</v>
      </c>
      <c r="GF129">
        <v>563654658</v>
      </c>
      <c r="GG129">
        <v>2</v>
      </c>
      <c r="GH129">
        <v>1</v>
      </c>
      <c r="GI129">
        <v>-2</v>
      </c>
      <c r="GJ129">
        <v>0</v>
      </c>
      <c r="GK129">
        <f>ROUND(R129*(R12)/100,2)</f>
        <v>0</v>
      </c>
      <c r="GL129">
        <f t="shared" si="166"/>
        <v>0</v>
      </c>
      <c r="GM129">
        <f t="shared" si="167"/>
        <v>546.80999999999995</v>
      </c>
      <c r="GN129">
        <f t="shared" si="168"/>
        <v>0</v>
      </c>
      <c r="GO129">
        <f t="shared" si="169"/>
        <v>0</v>
      </c>
      <c r="GP129">
        <f t="shared" si="170"/>
        <v>546.80999999999995</v>
      </c>
      <c r="GR129">
        <v>0</v>
      </c>
      <c r="GS129">
        <v>3</v>
      </c>
      <c r="GT129">
        <v>0</v>
      </c>
      <c r="GU129" t="s">
        <v>3</v>
      </c>
      <c r="GV129">
        <f t="shared" si="171"/>
        <v>0</v>
      </c>
      <c r="GW129">
        <v>1</v>
      </c>
      <c r="GX129">
        <f t="shared" si="172"/>
        <v>0</v>
      </c>
      <c r="HA129">
        <v>0</v>
      </c>
      <c r="HB129">
        <v>0</v>
      </c>
      <c r="HC129">
        <f t="shared" si="173"/>
        <v>0</v>
      </c>
      <c r="HE129" t="s">
        <v>3</v>
      </c>
      <c r="HF129" t="s">
        <v>3</v>
      </c>
      <c r="HM129" t="s">
        <v>3</v>
      </c>
      <c r="HN129" t="s">
        <v>3</v>
      </c>
      <c r="HO129" t="s">
        <v>3</v>
      </c>
      <c r="HP129" t="s">
        <v>3</v>
      </c>
      <c r="HQ129" t="s">
        <v>3</v>
      </c>
      <c r="IK129">
        <v>0</v>
      </c>
    </row>
    <row r="130" spans="1:245" x14ac:dyDescent="0.2">
      <c r="A130">
        <v>17</v>
      </c>
      <c r="B130">
        <v>1</v>
      </c>
      <c r="C130">
        <f>ROW(SmtRes!A225)</f>
        <v>225</v>
      </c>
      <c r="D130">
        <f>ROW(EtalonRes!A211)</f>
        <v>211</v>
      </c>
      <c r="E130" t="s">
        <v>399</v>
      </c>
      <c r="F130" t="s">
        <v>400</v>
      </c>
      <c r="G130" t="s">
        <v>401</v>
      </c>
      <c r="H130" t="s">
        <v>402</v>
      </c>
      <c r="I130">
        <v>6.4799999999999996E-3</v>
      </c>
      <c r="J130">
        <v>0</v>
      </c>
      <c r="K130">
        <v>6.4799999999999996E-3</v>
      </c>
      <c r="O130">
        <f t="shared" si="140"/>
        <v>147.38999999999999</v>
      </c>
      <c r="P130">
        <f t="shared" si="141"/>
        <v>4.82</v>
      </c>
      <c r="Q130">
        <f t="shared" si="142"/>
        <v>33.51</v>
      </c>
      <c r="R130">
        <f t="shared" si="143"/>
        <v>0.67</v>
      </c>
      <c r="S130">
        <f t="shared" si="144"/>
        <v>109.06</v>
      </c>
      <c r="T130">
        <f t="shared" si="145"/>
        <v>0</v>
      </c>
      <c r="U130">
        <f t="shared" si="146"/>
        <v>0.43739999999999996</v>
      </c>
      <c r="V130">
        <f t="shared" si="147"/>
        <v>0</v>
      </c>
      <c r="W130">
        <f t="shared" si="148"/>
        <v>0</v>
      </c>
      <c r="X130">
        <f t="shared" si="149"/>
        <v>76.34</v>
      </c>
      <c r="Y130">
        <f t="shared" si="150"/>
        <v>10.91</v>
      </c>
      <c r="AA130">
        <v>43095088</v>
      </c>
      <c r="AB130">
        <f t="shared" si="151"/>
        <v>22745.439999999999</v>
      </c>
      <c r="AC130">
        <f t="shared" si="152"/>
        <v>744.39</v>
      </c>
      <c r="AD130">
        <f t="shared" si="134"/>
        <v>5170.6000000000004</v>
      </c>
      <c r="AE130">
        <f t="shared" si="135"/>
        <v>104.06</v>
      </c>
      <c r="AF130">
        <f t="shared" si="136"/>
        <v>16830.45</v>
      </c>
      <c r="AG130">
        <f t="shared" si="153"/>
        <v>0</v>
      </c>
      <c r="AH130">
        <f t="shared" si="137"/>
        <v>67.5</v>
      </c>
      <c r="AI130">
        <f t="shared" si="138"/>
        <v>0</v>
      </c>
      <c r="AJ130">
        <f t="shared" si="154"/>
        <v>0</v>
      </c>
      <c r="AK130">
        <v>22745.439999999999</v>
      </c>
      <c r="AL130">
        <v>744.39</v>
      </c>
      <c r="AM130">
        <v>5170.6000000000004</v>
      </c>
      <c r="AN130">
        <v>104.06</v>
      </c>
      <c r="AO130">
        <v>16830.45</v>
      </c>
      <c r="AP130">
        <v>0</v>
      </c>
      <c r="AQ130">
        <v>67.5</v>
      </c>
      <c r="AR130">
        <v>0</v>
      </c>
      <c r="AS130">
        <v>0</v>
      </c>
      <c r="AT130">
        <v>70</v>
      </c>
      <c r="AU130">
        <v>10</v>
      </c>
      <c r="AV130">
        <v>1</v>
      </c>
      <c r="AW130">
        <v>1</v>
      </c>
      <c r="AZ130">
        <v>1</v>
      </c>
      <c r="BA130">
        <v>1</v>
      </c>
      <c r="BB130">
        <v>1</v>
      </c>
      <c r="BC130">
        <v>1</v>
      </c>
      <c r="BD130" t="s">
        <v>3</v>
      </c>
      <c r="BE130" t="s">
        <v>3</v>
      </c>
      <c r="BF130" t="s">
        <v>3</v>
      </c>
      <c r="BG130" t="s">
        <v>3</v>
      </c>
      <c r="BH130">
        <v>0</v>
      </c>
      <c r="BI130">
        <v>4</v>
      </c>
      <c r="BJ130" t="s">
        <v>403</v>
      </c>
      <c r="BM130">
        <v>0</v>
      </c>
      <c r="BN130">
        <v>0</v>
      </c>
      <c r="BO130" t="s">
        <v>3</v>
      </c>
      <c r="BP130">
        <v>0</v>
      </c>
      <c r="BQ130">
        <v>1</v>
      </c>
      <c r="BR130">
        <v>0</v>
      </c>
      <c r="BS130">
        <v>1</v>
      </c>
      <c r="BT130">
        <v>1</v>
      </c>
      <c r="BU130">
        <v>1</v>
      </c>
      <c r="BV130">
        <v>1</v>
      </c>
      <c r="BW130">
        <v>1</v>
      </c>
      <c r="BX130">
        <v>1</v>
      </c>
      <c r="BY130" t="s">
        <v>3</v>
      </c>
      <c r="BZ130">
        <v>70</v>
      </c>
      <c r="CA130">
        <v>10</v>
      </c>
      <c r="CB130" t="s">
        <v>3</v>
      </c>
      <c r="CE130">
        <v>0</v>
      </c>
      <c r="CF130">
        <v>0</v>
      </c>
      <c r="CG130">
        <v>0</v>
      </c>
      <c r="CM130">
        <v>0</v>
      </c>
      <c r="CN130" t="s">
        <v>3</v>
      </c>
      <c r="CO130">
        <v>0</v>
      </c>
      <c r="CP130">
        <f t="shared" si="155"/>
        <v>147.38999999999999</v>
      </c>
      <c r="CQ130">
        <f t="shared" si="156"/>
        <v>744.39</v>
      </c>
      <c r="CR130">
        <f t="shared" si="139"/>
        <v>5170.6000000000004</v>
      </c>
      <c r="CS130">
        <f t="shared" si="157"/>
        <v>104.06</v>
      </c>
      <c r="CT130">
        <f t="shared" si="158"/>
        <v>16830.45</v>
      </c>
      <c r="CU130">
        <f t="shared" si="159"/>
        <v>0</v>
      </c>
      <c r="CV130">
        <f t="shared" si="160"/>
        <v>67.5</v>
      </c>
      <c r="CW130">
        <f t="shared" si="161"/>
        <v>0</v>
      </c>
      <c r="CX130">
        <f t="shared" si="162"/>
        <v>0</v>
      </c>
      <c r="CY130">
        <f t="shared" si="163"/>
        <v>76.341999999999999</v>
      </c>
      <c r="CZ130">
        <f t="shared" si="164"/>
        <v>10.905999999999999</v>
      </c>
      <c r="DC130" t="s">
        <v>3</v>
      </c>
      <c r="DD130" t="s">
        <v>3</v>
      </c>
      <c r="DE130" t="s">
        <v>3</v>
      </c>
      <c r="DF130" t="s">
        <v>3</v>
      </c>
      <c r="DG130" t="s">
        <v>3</v>
      </c>
      <c r="DH130" t="s">
        <v>3</v>
      </c>
      <c r="DI130" t="s">
        <v>3</v>
      </c>
      <c r="DJ130" t="s">
        <v>3</v>
      </c>
      <c r="DK130" t="s">
        <v>3</v>
      </c>
      <c r="DL130" t="s">
        <v>3</v>
      </c>
      <c r="DM130" t="s">
        <v>3</v>
      </c>
      <c r="DN130">
        <v>0</v>
      </c>
      <c r="DO130">
        <v>0</v>
      </c>
      <c r="DP130">
        <v>1</v>
      </c>
      <c r="DQ130">
        <v>1</v>
      </c>
      <c r="DU130">
        <v>1009</v>
      </c>
      <c r="DV130" t="s">
        <v>402</v>
      </c>
      <c r="DW130" t="s">
        <v>402</v>
      </c>
      <c r="DX130">
        <v>1000</v>
      </c>
      <c r="DZ130" t="s">
        <v>3</v>
      </c>
      <c r="EA130" t="s">
        <v>3</v>
      </c>
      <c r="EB130" t="s">
        <v>3</v>
      </c>
      <c r="EC130" t="s">
        <v>3</v>
      </c>
      <c r="EE130">
        <v>43033442</v>
      </c>
      <c r="EF130">
        <v>1</v>
      </c>
      <c r="EG130" t="s">
        <v>22</v>
      </c>
      <c r="EH130">
        <v>0</v>
      </c>
      <c r="EI130" t="s">
        <v>3</v>
      </c>
      <c r="EJ130">
        <v>4</v>
      </c>
      <c r="EK130">
        <v>0</v>
      </c>
      <c r="EL130" t="s">
        <v>23</v>
      </c>
      <c r="EM130" t="s">
        <v>24</v>
      </c>
      <c r="EO130" t="s">
        <v>3</v>
      </c>
      <c r="EQ130">
        <v>0</v>
      </c>
      <c r="ER130">
        <v>22745.439999999999</v>
      </c>
      <c r="ES130">
        <v>744.39</v>
      </c>
      <c r="ET130">
        <v>5170.6000000000004</v>
      </c>
      <c r="EU130">
        <v>104.06</v>
      </c>
      <c r="EV130">
        <v>16830.45</v>
      </c>
      <c r="EW130">
        <v>67.5</v>
      </c>
      <c r="EX130">
        <v>0</v>
      </c>
      <c r="EY130">
        <v>0</v>
      </c>
      <c r="FQ130">
        <v>0</v>
      </c>
      <c r="FR130">
        <f t="shared" si="165"/>
        <v>0</v>
      </c>
      <c r="FS130">
        <v>0</v>
      </c>
      <c r="FX130">
        <v>70</v>
      </c>
      <c r="FY130">
        <v>10</v>
      </c>
      <c r="GA130" t="s">
        <v>3</v>
      </c>
      <c r="GD130">
        <v>0</v>
      </c>
      <c r="GF130">
        <v>-833432543</v>
      </c>
      <c r="GG130">
        <v>2</v>
      </c>
      <c r="GH130">
        <v>1</v>
      </c>
      <c r="GI130">
        <v>-2</v>
      </c>
      <c r="GJ130">
        <v>0</v>
      </c>
      <c r="GK130">
        <f>ROUND(R130*(R12)/100,2)</f>
        <v>0.72</v>
      </c>
      <c r="GL130">
        <f t="shared" si="166"/>
        <v>0</v>
      </c>
      <c r="GM130">
        <f t="shared" si="167"/>
        <v>235.36</v>
      </c>
      <c r="GN130">
        <f t="shared" si="168"/>
        <v>0</v>
      </c>
      <c r="GO130">
        <f t="shared" si="169"/>
        <v>0</v>
      </c>
      <c r="GP130">
        <f t="shared" si="170"/>
        <v>235.36</v>
      </c>
      <c r="GR130">
        <v>0</v>
      </c>
      <c r="GS130">
        <v>3</v>
      </c>
      <c r="GT130">
        <v>0</v>
      </c>
      <c r="GU130" t="s">
        <v>3</v>
      </c>
      <c r="GV130">
        <f t="shared" si="171"/>
        <v>0</v>
      </c>
      <c r="GW130">
        <v>1</v>
      </c>
      <c r="GX130">
        <f t="shared" si="172"/>
        <v>0</v>
      </c>
      <c r="HA130">
        <v>0</v>
      </c>
      <c r="HB130">
        <v>0</v>
      </c>
      <c r="HC130">
        <f t="shared" si="173"/>
        <v>0</v>
      </c>
      <c r="HE130" t="s">
        <v>3</v>
      </c>
      <c r="HF130" t="s">
        <v>3</v>
      </c>
      <c r="HM130" t="s">
        <v>3</v>
      </c>
      <c r="HN130" t="s">
        <v>3</v>
      </c>
      <c r="HO130" t="s">
        <v>3</v>
      </c>
      <c r="HP130" t="s">
        <v>3</v>
      </c>
      <c r="HQ130" t="s">
        <v>3</v>
      </c>
      <c r="IK130">
        <v>0</v>
      </c>
    </row>
    <row r="131" spans="1:245" x14ac:dyDescent="0.2">
      <c r="A131">
        <v>18</v>
      </c>
      <c r="B131">
        <v>1</v>
      </c>
      <c r="E131" t="s">
        <v>404</v>
      </c>
      <c r="F131" t="s">
        <v>34</v>
      </c>
      <c r="G131" t="s">
        <v>405</v>
      </c>
      <c r="H131" t="s">
        <v>64</v>
      </c>
      <c r="I131">
        <f>I130*J131</f>
        <v>9</v>
      </c>
      <c r="J131">
        <v>1388.8888888888889</v>
      </c>
      <c r="K131">
        <v>1388.8888890000001</v>
      </c>
      <c r="O131">
        <f t="shared" si="140"/>
        <v>4399.2</v>
      </c>
      <c r="P131">
        <f t="shared" si="141"/>
        <v>4399.2</v>
      </c>
      <c r="Q131">
        <f t="shared" si="142"/>
        <v>0</v>
      </c>
      <c r="R131">
        <f t="shared" si="143"/>
        <v>0</v>
      </c>
      <c r="S131">
        <f t="shared" si="144"/>
        <v>0</v>
      </c>
      <c r="T131">
        <f t="shared" si="145"/>
        <v>0</v>
      </c>
      <c r="U131">
        <f t="shared" si="146"/>
        <v>0</v>
      </c>
      <c r="V131">
        <f t="shared" si="147"/>
        <v>0</v>
      </c>
      <c r="W131">
        <f t="shared" si="148"/>
        <v>0</v>
      </c>
      <c r="X131">
        <f t="shared" si="149"/>
        <v>0</v>
      </c>
      <c r="Y131">
        <f t="shared" si="150"/>
        <v>0</v>
      </c>
      <c r="AA131">
        <v>43095088</v>
      </c>
      <c r="AB131">
        <f t="shared" si="151"/>
        <v>488.8</v>
      </c>
      <c r="AC131">
        <f t="shared" si="152"/>
        <v>488.8</v>
      </c>
      <c r="AD131">
        <f t="shared" si="134"/>
        <v>0</v>
      </c>
      <c r="AE131">
        <f t="shared" si="135"/>
        <v>0</v>
      </c>
      <c r="AF131">
        <f t="shared" si="136"/>
        <v>0</v>
      </c>
      <c r="AG131">
        <f t="shared" si="153"/>
        <v>0</v>
      </c>
      <c r="AH131">
        <f t="shared" si="137"/>
        <v>0</v>
      </c>
      <c r="AI131">
        <f t="shared" si="138"/>
        <v>0</v>
      </c>
      <c r="AJ131">
        <f t="shared" si="154"/>
        <v>0</v>
      </c>
      <c r="AK131">
        <v>488.8</v>
      </c>
      <c r="AL131">
        <v>488.8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70</v>
      </c>
      <c r="AU131">
        <v>10</v>
      </c>
      <c r="AV131">
        <v>1</v>
      </c>
      <c r="AW131">
        <v>1</v>
      </c>
      <c r="AZ131">
        <v>1</v>
      </c>
      <c r="BA131">
        <v>1</v>
      </c>
      <c r="BB131">
        <v>1</v>
      </c>
      <c r="BC131">
        <v>1</v>
      </c>
      <c r="BD131" t="s">
        <v>3</v>
      </c>
      <c r="BE131" t="s">
        <v>3</v>
      </c>
      <c r="BF131" t="s">
        <v>3</v>
      </c>
      <c r="BG131" t="s">
        <v>3</v>
      </c>
      <c r="BH131">
        <v>3</v>
      </c>
      <c r="BI131">
        <v>4</v>
      </c>
      <c r="BJ131" t="s">
        <v>3</v>
      </c>
      <c r="BM131">
        <v>0</v>
      </c>
      <c r="BN131">
        <v>0</v>
      </c>
      <c r="BO131" t="s">
        <v>3</v>
      </c>
      <c r="BP131">
        <v>0</v>
      </c>
      <c r="BQ131">
        <v>1</v>
      </c>
      <c r="BR131">
        <v>0</v>
      </c>
      <c r="BS131">
        <v>1</v>
      </c>
      <c r="BT131">
        <v>1</v>
      </c>
      <c r="BU131">
        <v>1</v>
      </c>
      <c r="BV131">
        <v>1</v>
      </c>
      <c r="BW131">
        <v>1</v>
      </c>
      <c r="BX131">
        <v>1</v>
      </c>
      <c r="BY131" t="s">
        <v>3</v>
      </c>
      <c r="BZ131">
        <v>70</v>
      </c>
      <c r="CA131">
        <v>10</v>
      </c>
      <c r="CB131" t="s">
        <v>3</v>
      </c>
      <c r="CE131">
        <v>0</v>
      </c>
      <c r="CF131">
        <v>0</v>
      </c>
      <c r="CG131">
        <v>0</v>
      </c>
      <c r="CM131">
        <v>0</v>
      </c>
      <c r="CN131" t="s">
        <v>3</v>
      </c>
      <c r="CO131">
        <v>0</v>
      </c>
      <c r="CP131">
        <f t="shared" si="155"/>
        <v>4399.2</v>
      </c>
      <c r="CQ131">
        <f t="shared" si="156"/>
        <v>488.8</v>
      </c>
      <c r="CR131">
        <f t="shared" si="139"/>
        <v>0</v>
      </c>
      <c r="CS131">
        <f t="shared" si="157"/>
        <v>0</v>
      </c>
      <c r="CT131">
        <f t="shared" si="158"/>
        <v>0</v>
      </c>
      <c r="CU131">
        <f t="shared" si="159"/>
        <v>0</v>
      </c>
      <c r="CV131">
        <f t="shared" si="160"/>
        <v>0</v>
      </c>
      <c r="CW131">
        <f t="shared" si="161"/>
        <v>0</v>
      </c>
      <c r="CX131">
        <f t="shared" si="162"/>
        <v>0</v>
      </c>
      <c r="CY131">
        <f t="shared" si="163"/>
        <v>0</v>
      </c>
      <c r="CZ131">
        <f t="shared" si="164"/>
        <v>0</v>
      </c>
      <c r="DC131" t="s">
        <v>3</v>
      </c>
      <c r="DD131" t="s">
        <v>3</v>
      </c>
      <c r="DE131" t="s">
        <v>3</v>
      </c>
      <c r="DF131" t="s">
        <v>3</v>
      </c>
      <c r="DG131" t="s">
        <v>3</v>
      </c>
      <c r="DH131" t="s">
        <v>3</v>
      </c>
      <c r="DI131" t="s">
        <v>3</v>
      </c>
      <c r="DJ131" t="s">
        <v>3</v>
      </c>
      <c r="DK131" t="s">
        <v>3</v>
      </c>
      <c r="DL131" t="s">
        <v>3</v>
      </c>
      <c r="DM131" t="s">
        <v>3</v>
      </c>
      <c r="DN131">
        <v>0</v>
      </c>
      <c r="DO131">
        <v>0</v>
      </c>
      <c r="DP131">
        <v>1</v>
      </c>
      <c r="DQ131">
        <v>1</v>
      </c>
      <c r="DU131">
        <v>1003</v>
      </c>
      <c r="DV131" t="s">
        <v>64</v>
      </c>
      <c r="DW131" t="s">
        <v>64</v>
      </c>
      <c r="DX131">
        <v>1</v>
      </c>
      <c r="DZ131" t="s">
        <v>3</v>
      </c>
      <c r="EA131" t="s">
        <v>3</v>
      </c>
      <c r="EB131" t="s">
        <v>3</v>
      </c>
      <c r="EC131" t="s">
        <v>3</v>
      </c>
      <c r="EE131">
        <v>43033442</v>
      </c>
      <c r="EF131">
        <v>1</v>
      </c>
      <c r="EG131" t="s">
        <v>22</v>
      </c>
      <c r="EH131">
        <v>0</v>
      </c>
      <c r="EI131" t="s">
        <v>3</v>
      </c>
      <c r="EJ131">
        <v>4</v>
      </c>
      <c r="EK131">
        <v>0</v>
      </c>
      <c r="EL131" t="s">
        <v>23</v>
      </c>
      <c r="EM131" t="s">
        <v>24</v>
      </c>
      <c r="EO131" t="s">
        <v>3</v>
      </c>
      <c r="EQ131">
        <v>0</v>
      </c>
      <c r="ER131">
        <v>488.8</v>
      </c>
      <c r="ES131">
        <v>488.8</v>
      </c>
      <c r="ET131">
        <v>0</v>
      </c>
      <c r="EU131">
        <v>0</v>
      </c>
      <c r="EV131">
        <v>0</v>
      </c>
      <c r="EW131">
        <v>0</v>
      </c>
      <c r="EX131">
        <v>0</v>
      </c>
      <c r="EZ131">
        <v>5</v>
      </c>
      <c r="FC131">
        <v>1</v>
      </c>
      <c r="FD131">
        <v>18</v>
      </c>
      <c r="FF131">
        <v>586.55999999999995</v>
      </c>
      <c r="FQ131">
        <v>0</v>
      </c>
      <c r="FR131">
        <f t="shared" si="165"/>
        <v>0</v>
      </c>
      <c r="FS131">
        <v>0</v>
      </c>
      <c r="FX131">
        <v>70</v>
      </c>
      <c r="FY131">
        <v>10</v>
      </c>
      <c r="GA131" t="s">
        <v>406</v>
      </c>
      <c r="GD131">
        <v>0</v>
      </c>
      <c r="GF131">
        <v>1541516876</v>
      </c>
      <c r="GG131">
        <v>2</v>
      </c>
      <c r="GH131">
        <v>3</v>
      </c>
      <c r="GI131">
        <v>-2</v>
      </c>
      <c r="GJ131">
        <v>0</v>
      </c>
      <c r="GK131">
        <f>ROUND(R131*(R12)/100,2)</f>
        <v>0</v>
      </c>
      <c r="GL131">
        <f t="shared" si="166"/>
        <v>0</v>
      </c>
      <c r="GM131">
        <f t="shared" si="167"/>
        <v>4399.2</v>
      </c>
      <c r="GN131">
        <f t="shared" si="168"/>
        <v>0</v>
      </c>
      <c r="GO131">
        <f t="shared" si="169"/>
        <v>0</v>
      </c>
      <c r="GP131">
        <f t="shared" si="170"/>
        <v>4399.2</v>
      </c>
      <c r="GR131">
        <v>1</v>
      </c>
      <c r="GS131">
        <v>1</v>
      </c>
      <c r="GT131">
        <v>0</v>
      </c>
      <c r="GU131" t="s">
        <v>3</v>
      </c>
      <c r="GV131">
        <f t="shared" si="171"/>
        <v>0</v>
      </c>
      <c r="GW131">
        <v>1</v>
      </c>
      <c r="GX131">
        <f t="shared" si="172"/>
        <v>0</v>
      </c>
      <c r="HA131">
        <v>0</v>
      </c>
      <c r="HB131">
        <v>0</v>
      </c>
      <c r="HC131">
        <f t="shared" si="173"/>
        <v>0</v>
      </c>
      <c r="HE131" t="s">
        <v>37</v>
      </c>
      <c r="HF131" t="s">
        <v>37</v>
      </c>
      <c r="HM131" t="s">
        <v>3</v>
      </c>
      <c r="HN131" t="s">
        <v>3</v>
      </c>
      <c r="HO131" t="s">
        <v>3</v>
      </c>
      <c r="HP131" t="s">
        <v>3</v>
      </c>
      <c r="HQ131" t="s">
        <v>3</v>
      </c>
      <c r="IK131">
        <v>0</v>
      </c>
    </row>
    <row r="132" spans="1:245" x14ac:dyDescent="0.2">
      <c r="A132">
        <v>18</v>
      </c>
      <c r="B132">
        <v>1</v>
      </c>
      <c r="E132" t="s">
        <v>407</v>
      </c>
      <c r="F132" t="s">
        <v>34</v>
      </c>
      <c r="G132" t="s">
        <v>408</v>
      </c>
      <c r="H132" t="s">
        <v>64</v>
      </c>
      <c r="I132">
        <f>I130*J132</f>
        <v>9</v>
      </c>
      <c r="J132">
        <v>1388.8888888888889</v>
      </c>
      <c r="K132">
        <v>1388.8888890000001</v>
      </c>
      <c r="O132">
        <f t="shared" si="140"/>
        <v>2452.3200000000002</v>
      </c>
      <c r="P132">
        <f t="shared" si="141"/>
        <v>2452.3200000000002</v>
      </c>
      <c r="Q132">
        <f t="shared" si="142"/>
        <v>0</v>
      </c>
      <c r="R132">
        <f t="shared" si="143"/>
        <v>0</v>
      </c>
      <c r="S132">
        <f t="shared" si="144"/>
        <v>0</v>
      </c>
      <c r="T132">
        <f t="shared" si="145"/>
        <v>0</v>
      </c>
      <c r="U132">
        <f t="shared" si="146"/>
        <v>0</v>
      </c>
      <c r="V132">
        <f t="shared" si="147"/>
        <v>0</v>
      </c>
      <c r="W132">
        <f t="shared" si="148"/>
        <v>0</v>
      </c>
      <c r="X132">
        <f t="shared" si="149"/>
        <v>0</v>
      </c>
      <c r="Y132">
        <f t="shared" si="150"/>
        <v>0</v>
      </c>
      <c r="AA132">
        <v>43095088</v>
      </c>
      <c r="AB132">
        <f t="shared" si="151"/>
        <v>272.48</v>
      </c>
      <c r="AC132">
        <f t="shared" si="152"/>
        <v>272.48</v>
      </c>
      <c r="AD132">
        <f t="shared" si="134"/>
        <v>0</v>
      </c>
      <c r="AE132">
        <f t="shared" si="135"/>
        <v>0</v>
      </c>
      <c r="AF132">
        <f t="shared" si="136"/>
        <v>0</v>
      </c>
      <c r="AG132">
        <f t="shared" si="153"/>
        <v>0</v>
      </c>
      <c r="AH132">
        <f t="shared" si="137"/>
        <v>0</v>
      </c>
      <c r="AI132">
        <f t="shared" si="138"/>
        <v>0</v>
      </c>
      <c r="AJ132">
        <f t="shared" si="154"/>
        <v>0</v>
      </c>
      <c r="AK132">
        <v>272.48</v>
      </c>
      <c r="AL132">
        <v>272.48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70</v>
      </c>
      <c r="AU132">
        <v>10</v>
      </c>
      <c r="AV132">
        <v>1</v>
      </c>
      <c r="AW132">
        <v>1</v>
      </c>
      <c r="AZ132">
        <v>1</v>
      </c>
      <c r="BA132">
        <v>1</v>
      </c>
      <c r="BB132">
        <v>1</v>
      </c>
      <c r="BC132">
        <v>1</v>
      </c>
      <c r="BD132" t="s">
        <v>3</v>
      </c>
      <c r="BE132" t="s">
        <v>3</v>
      </c>
      <c r="BF132" t="s">
        <v>3</v>
      </c>
      <c r="BG132" t="s">
        <v>3</v>
      </c>
      <c r="BH132">
        <v>3</v>
      </c>
      <c r="BI132">
        <v>4</v>
      </c>
      <c r="BJ132" t="s">
        <v>3</v>
      </c>
      <c r="BM132">
        <v>0</v>
      </c>
      <c r="BN132">
        <v>0</v>
      </c>
      <c r="BO132" t="s">
        <v>3</v>
      </c>
      <c r="BP132">
        <v>0</v>
      </c>
      <c r="BQ132">
        <v>1</v>
      </c>
      <c r="BR132">
        <v>0</v>
      </c>
      <c r="BS132">
        <v>1</v>
      </c>
      <c r="BT132">
        <v>1</v>
      </c>
      <c r="BU132">
        <v>1</v>
      </c>
      <c r="BV132">
        <v>1</v>
      </c>
      <c r="BW132">
        <v>1</v>
      </c>
      <c r="BX132">
        <v>1</v>
      </c>
      <c r="BY132" t="s">
        <v>3</v>
      </c>
      <c r="BZ132">
        <v>70</v>
      </c>
      <c r="CA132">
        <v>10</v>
      </c>
      <c r="CB132" t="s">
        <v>3</v>
      </c>
      <c r="CE132">
        <v>0</v>
      </c>
      <c r="CF132">
        <v>0</v>
      </c>
      <c r="CG132">
        <v>0</v>
      </c>
      <c r="CM132">
        <v>0</v>
      </c>
      <c r="CN132" t="s">
        <v>3</v>
      </c>
      <c r="CO132">
        <v>0</v>
      </c>
      <c r="CP132">
        <f t="shared" si="155"/>
        <v>2452.3200000000002</v>
      </c>
      <c r="CQ132">
        <f t="shared" si="156"/>
        <v>272.48</v>
      </c>
      <c r="CR132">
        <f t="shared" si="139"/>
        <v>0</v>
      </c>
      <c r="CS132">
        <f t="shared" si="157"/>
        <v>0</v>
      </c>
      <c r="CT132">
        <f t="shared" si="158"/>
        <v>0</v>
      </c>
      <c r="CU132">
        <f t="shared" si="159"/>
        <v>0</v>
      </c>
      <c r="CV132">
        <f t="shared" si="160"/>
        <v>0</v>
      </c>
      <c r="CW132">
        <f t="shared" si="161"/>
        <v>0</v>
      </c>
      <c r="CX132">
        <f t="shared" si="162"/>
        <v>0</v>
      </c>
      <c r="CY132">
        <f t="shared" si="163"/>
        <v>0</v>
      </c>
      <c r="CZ132">
        <f t="shared" si="164"/>
        <v>0</v>
      </c>
      <c r="DC132" t="s">
        <v>3</v>
      </c>
      <c r="DD132" t="s">
        <v>3</v>
      </c>
      <c r="DE132" t="s">
        <v>3</v>
      </c>
      <c r="DF132" t="s">
        <v>3</v>
      </c>
      <c r="DG132" t="s">
        <v>3</v>
      </c>
      <c r="DH132" t="s">
        <v>3</v>
      </c>
      <c r="DI132" t="s">
        <v>3</v>
      </c>
      <c r="DJ132" t="s">
        <v>3</v>
      </c>
      <c r="DK132" t="s">
        <v>3</v>
      </c>
      <c r="DL132" t="s">
        <v>3</v>
      </c>
      <c r="DM132" t="s">
        <v>3</v>
      </c>
      <c r="DN132">
        <v>0</v>
      </c>
      <c r="DO132">
        <v>0</v>
      </c>
      <c r="DP132">
        <v>1</v>
      </c>
      <c r="DQ132">
        <v>1</v>
      </c>
      <c r="DU132">
        <v>1003</v>
      </c>
      <c r="DV132" t="s">
        <v>64</v>
      </c>
      <c r="DW132" t="s">
        <v>64</v>
      </c>
      <c r="DX132">
        <v>1</v>
      </c>
      <c r="DZ132" t="s">
        <v>3</v>
      </c>
      <c r="EA132" t="s">
        <v>3</v>
      </c>
      <c r="EB132" t="s">
        <v>3</v>
      </c>
      <c r="EC132" t="s">
        <v>3</v>
      </c>
      <c r="EE132">
        <v>43033442</v>
      </c>
      <c r="EF132">
        <v>1</v>
      </c>
      <c r="EG132" t="s">
        <v>22</v>
      </c>
      <c r="EH132">
        <v>0</v>
      </c>
      <c r="EI132" t="s">
        <v>3</v>
      </c>
      <c r="EJ132">
        <v>4</v>
      </c>
      <c r="EK132">
        <v>0</v>
      </c>
      <c r="EL132" t="s">
        <v>23</v>
      </c>
      <c r="EM132" t="s">
        <v>24</v>
      </c>
      <c r="EO132" t="s">
        <v>3</v>
      </c>
      <c r="EQ132">
        <v>0</v>
      </c>
      <c r="ER132">
        <v>272.48</v>
      </c>
      <c r="ES132">
        <v>272.48</v>
      </c>
      <c r="ET132">
        <v>0</v>
      </c>
      <c r="EU132">
        <v>0</v>
      </c>
      <c r="EV132">
        <v>0</v>
      </c>
      <c r="EW132">
        <v>0</v>
      </c>
      <c r="EX132">
        <v>0</v>
      </c>
      <c r="EZ132">
        <v>5</v>
      </c>
      <c r="FC132">
        <v>1</v>
      </c>
      <c r="FD132">
        <v>18</v>
      </c>
      <c r="FF132">
        <v>326.98</v>
      </c>
      <c r="FQ132">
        <v>0</v>
      </c>
      <c r="FR132">
        <f t="shared" si="165"/>
        <v>0</v>
      </c>
      <c r="FS132">
        <v>0</v>
      </c>
      <c r="FX132">
        <v>70</v>
      </c>
      <c r="FY132">
        <v>10</v>
      </c>
      <c r="GA132" t="s">
        <v>409</v>
      </c>
      <c r="GD132">
        <v>0</v>
      </c>
      <c r="GF132">
        <v>-778775767</v>
      </c>
      <c r="GG132">
        <v>2</v>
      </c>
      <c r="GH132">
        <v>3</v>
      </c>
      <c r="GI132">
        <v>-2</v>
      </c>
      <c r="GJ132">
        <v>0</v>
      </c>
      <c r="GK132">
        <f>ROUND(R132*(R12)/100,2)</f>
        <v>0</v>
      </c>
      <c r="GL132">
        <f t="shared" si="166"/>
        <v>0</v>
      </c>
      <c r="GM132">
        <f t="shared" si="167"/>
        <v>2452.3200000000002</v>
      </c>
      <c r="GN132">
        <f t="shared" si="168"/>
        <v>0</v>
      </c>
      <c r="GO132">
        <f t="shared" si="169"/>
        <v>0</v>
      </c>
      <c r="GP132">
        <f t="shared" si="170"/>
        <v>2452.3200000000002</v>
      </c>
      <c r="GR132">
        <v>1</v>
      </c>
      <c r="GS132">
        <v>1</v>
      </c>
      <c r="GT132">
        <v>0</v>
      </c>
      <c r="GU132" t="s">
        <v>3</v>
      </c>
      <c r="GV132">
        <f t="shared" si="171"/>
        <v>0</v>
      </c>
      <c r="GW132">
        <v>1</v>
      </c>
      <c r="GX132">
        <f t="shared" si="172"/>
        <v>0</v>
      </c>
      <c r="HA132">
        <v>0</v>
      </c>
      <c r="HB132">
        <v>0</v>
      </c>
      <c r="HC132">
        <f t="shared" si="173"/>
        <v>0</v>
      </c>
      <c r="HE132" t="s">
        <v>37</v>
      </c>
      <c r="HF132" t="s">
        <v>37</v>
      </c>
      <c r="HM132" t="s">
        <v>3</v>
      </c>
      <c r="HN132" t="s">
        <v>3</v>
      </c>
      <c r="HO132" t="s">
        <v>3</v>
      </c>
      <c r="HP132" t="s">
        <v>3</v>
      </c>
      <c r="HQ132" t="s">
        <v>3</v>
      </c>
      <c r="IK132">
        <v>0</v>
      </c>
    </row>
    <row r="133" spans="1:245" x14ac:dyDescent="0.2">
      <c r="A133">
        <v>18</v>
      </c>
      <c r="B133">
        <v>1</v>
      </c>
      <c r="E133" t="s">
        <v>410</v>
      </c>
      <c r="F133" t="s">
        <v>34</v>
      </c>
      <c r="G133" t="s">
        <v>411</v>
      </c>
      <c r="H133" t="s">
        <v>20</v>
      </c>
      <c r="I133">
        <f>I130*J133</f>
        <v>9</v>
      </c>
      <c r="J133">
        <v>1388.8888888888889</v>
      </c>
      <c r="K133">
        <v>1388.8888890000001</v>
      </c>
      <c r="O133">
        <f t="shared" si="140"/>
        <v>4338.99</v>
      </c>
      <c r="P133">
        <f t="shared" si="141"/>
        <v>4338.99</v>
      </c>
      <c r="Q133">
        <f t="shared" si="142"/>
        <v>0</v>
      </c>
      <c r="R133">
        <f t="shared" si="143"/>
        <v>0</v>
      </c>
      <c r="S133">
        <f t="shared" si="144"/>
        <v>0</v>
      </c>
      <c r="T133">
        <f t="shared" si="145"/>
        <v>0</v>
      </c>
      <c r="U133">
        <f t="shared" si="146"/>
        <v>0</v>
      </c>
      <c r="V133">
        <f t="shared" si="147"/>
        <v>0</v>
      </c>
      <c r="W133">
        <f t="shared" si="148"/>
        <v>0</v>
      </c>
      <c r="X133">
        <f t="shared" si="149"/>
        <v>0</v>
      </c>
      <c r="Y133">
        <f t="shared" si="150"/>
        <v>0</v>
      </c>
      <c r="AA133">
        <v>43095088</v>
      </c>
      <c r="AB133">
        <f t="shared" si="151"/>
        <v>482.11</v>
      </c>
      <c r="AC133">
        <f t="shared" si="152"/>
        <v>482.11</v>
      </c>
      <c r="AD133">
        <f t="shared" si="134"/>
        <v>0</v>
      </c>
      <c r="AE133">
        <f t="shared" si="135"/>
        <v>0</v>
      </c>
      <c r="AF133">
        <f t="shared" si="136"/>
        <v>0</v>
      </c>
      <c r="AG133">
        <f t="shared" si="153"/>
        <v>0</v>
      </c>
      <c r="AH133">
        <f t="shared" si="137"/>
        <v>0</v>
      </c>
      <c r="AI133">
        <f t="shared" si="138"/>
        <v>0</v>
      </c>
      <c r="AJ133">
        <f t="shared" si="154"/>
        <v>0</v>
      </c>
      <c r="AK133">
        <v>482.11</v>
      </c>
      <c r="AL133">
        <v>482.11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70</v>
      </c>
      <c r="AU133">
        <v>10</v>
      </c>
      <c r="AV133">
        <v>1</v>
      </c>
      <c r="AW133">
        <v>1</v>
      </c>
      <c r="AZ133">
        <v>1</v>
      </c>
      <c r="BA133">
        <v>1</v>
      </c>
      <c r="BB133">
        <v>1</v>
      </c>
      <c r="BC133">
        <v>1</v>
      </c>
      <c r="BD133" t="s">
        <v>3</v>
      </c>
      <c r="BE133" t="s">
        <v>3</v>
      </c>
      <c r="BF133" t="s">
        <v>3</v>
      </c>
      <c r="BG133" t="s">
        <v>3</v>
      </c>
      <c r="BH133">
        <v>3</v>
      </c>
      <c r="BI133">
        <v>4</v>
      </c>
      <c r="BJ133" t="s">
        <v>3</v>
      </c>
      <c r="BM133">
        <v>0</v>
      </c>
      <c r="BN133">
        <v>0</v>
      </c>
      <c r="BO133" t="s">
        <v>3</v>
      </c>
      <c r="BP133">
        <v>0</v>
      </c>
      <c r="BQ133">
        <v>1</v>
      </c>
      <c r="BR133">
        <v>0</v>
      </c>
      <c r="BS133">
        <v>1</v>
      </c>
      <c r="BT133">
        <v>1</v>
      </c>
      <c r="BU133">
        <v>1</v>
      </c>
      <c r="BV133">
        <v>1</v>
      </c>
      <c r="BW133">
        <v>1</v>
      </c>
      <c r="BX133">
        <v>1</v>
      </c>
      <c r="BY133" t="s">
        <v>3</v>
      </c>
      <c r="BZ133">
        <v>70</v>
      </c>
      <c r="CA133">
        <v>10</v>
      </c>
      <c r="CB133" t="s">
        <v>3</v>
      </c>
      <c r="CE133">
        <v>0</v>
      </c>
      <c r="CF133">
        <v>0</v>
      </c>
      <c r="CG133">
        <v>0</v>
      </c>
      <c r="CM133">
        <v>0</v>
      </c>
      <c r="CN133" t="s">
        <v>3</v>
      </c>
      <c r="CO133">
        <v>0</v>
      </c>
      <c r="CP133">
        <f t="shared" si="155"/>
        <v>4338.99</v>
      </c>
      <c r="CQ133">
        <f t="shared" si="156"/>
        <v>482.11</v>
      </c>
      <c r="CR133">
        <f t="shared" si="139"/>
        <v>0</v>
      </c>
      <c r="CS133">
        <f t="shared" si="157"/>
        <v>0</v>
      </c>
      <c r="CT133">
        <f t="shared" si="158"/>
        <v>0</v>
      </c>
      <c r="CU133">
        <f t="shared" si="159"/>
        <v>0</v>
      </c>
      <c r="CV133">
        <f t="shared" si="160"/>
        <v>0</v>
      </c>
      <c r="CW133">
        <f t="shared" si="161"/>
        <v>0</v>
      </c>
      <c r="CX133">
        <f t="shared" si="162"/>
        <v>0</v>
      </c>
      <c r="CY133">
        <f t="shared" si="163"/>
        <v>0</v>
      </c>
      <c r="CZ133">
        <f t="shared" si="164"/>
        <v>0</v>
      </c>
      <c r="DC133" t="s">
        <v>3</v>
      </c>
      <c r="DD133" t="s">
        <v>3</v>
      </c>
      <c r="DE133" t="s">
        <v>3</v>
      </c>
      <c r="DF133" t="s">
        <v>3</v>
      </c>
      <c r="DG133" t="s">
        <v>3</v>
      </c>
      <c r="DH133" t="s">
        <v>3</v>
      </c>
      <c r="DI133" t="s">
        <v>3</v>
      </c>
      <c r="DJ133" t="s">
        <v>3</v>
      </c>
      <c r="DK133" t="s">
        <v>3</v>
      </c>
      <c r="DL133" t="s">
        <v>3</v>
      </c>
      <c r="DM133" t="s">
        <v>3</v>
      </c>
      <c r="DN133">
        <v>0</v>
      </c>
      <c r="DO133">
        <v>0</v>
      </c>
      <c r="DP133">
        <v>1</v>
      </c>
      <c r="DQ133">
        <v>1</v>
      </c>
      <c r="DU133">
        <v>1010</v>
      </c>
      <c r="DV133" t="s">
        <v>20</v>
      </c>
      <c r="DW133" t="s">
        <v>20</v>
      </c>
      <c r="DX133">
        <v>1</v>
      </c>
      <c r="DZ133" t="s">
        <v>3</v>
      </c>
      <c r="EA133" t="s">
        <v>3</v>
      </c>
      <c r="EB133" t="s">
        <v>3</v>
      </c>
      <c r="EC133" t="s">
        <v>3</v>
      </c>
      <c r="EE133">
        <v>43033442</v>
      </c>
      <c r="EF133">
        <v>1</v>
      </c>
      <c r="EG133" t="s">
        <v>22</v>
      </c>
      <c r="EH133">
        <v>0</v>
      </c>
      <c r="EI133" t="s">
        <v>3</v>
      </c>
      <c r="EJ133">
        <v>4</v>
      </c>
      <c r="EK133">
        <v>0</v>
      </c>
      <c r="EL133" t="s">
        <v>23</v>
      </c>
      <c r="EM133" t="s">
        <v>24</v>
      </c>
      <c r="EO133" t="s">
        <v>3</v>
      </c>
      <c r="EQ133">
        <v>0</v>
      </c>
      <c r="ER133">
        <v>482.11</v>
      </c>
      <c r="ES133">
        <v>482.11</v>
      </c>
      <c r="ET133">
        <v>0</v>
      </c>
      <c r="EU133">
        <v>0</v>
      </c>
      <c r="EV133">
        <v>0</v>
      </c>
      <c r="EW133">
        <v>0</v>
      </c>
      <c r="EX133">
        <v>0</v>
      </c>
      <c r="EZ133">
        <v>5</v>
      </c>
      <c r="FC133">
        <v>1</v>
      </c>
      <c r="FD133">
        <v>18</v>
      </c>
      <c r="FF133">
        <v>578.53</v>
      </c>
      <c r="FQ133">
        <v>0</v>
      </c>
      <c r="FR133">
        <f t="shared" si="165"/>
        <v>0</v>
      </c>
      <c r="FS133">
        <v>0</v>
      </c>
      <c r="FX133">
        <v>70</v>
      </c>
      <c r="FY133">
        <v>10</v>
      </c>
      <c r="GA133" t="s">
        <v>412</v>
      </c>
      <c r="GD133">
        <v>0</v>
      </c>
      <c r="GF133">
        <v>-1244458214</v>
      </c>
      <c r="GG133">
        <v>2</v>
      </c>
      <c r="GH133">
        <v>3</v>
      </c>
      <c r="GI133">
        <v>-2</v>
      </c>
      <c r="GJ133">
        <v>0</v>
      </c>
      <c r="GK133">
        <f>ROUND(R133*(R12)/100,2)</f>
        <v>0</v>
      </c>
      <c r="GL133">
        <f t="shared" si="166"/>
        <v>0</v>
      </c>
      <c r="GM133">
        <f t="shared" si="167"/>
        <v>4338.99</v>
      </c>
      <c r="GN133">
        <f t="shared" si="168"/>
        <v>0</v>
      </c>
      <c r="GO133">
        <f t="shared" si="169"/>
        <v>0</v>
      </c>
      <c r="GP133">
        <f t="shared" si="170"/>
        <v>4338.99</v>
      </c>
      <c r="GR133">
        <v>1</v>
      </c>
      <c r="GS133">
        <v>1</v>
      </c>
      <c r="GT133">
        <v>0</v>
      </c>
      <c r="GU133" t="s">
        <v>3</v>
      </c>
      <c r="GV133">
        <f t="shared" si="171"/>
        <v>0</v>
      </c>
      <c r="GW133">
        <v>1</v>
      </c>
      <c r="GX133">
        <f t="shared" si="172"/>
        <v>0</v>
      </c>
      <c r="HA133">
        <v>0</v>
      </c>
      <c r="HB133">
        <v>0</v>
      </c>
      <c r="HC133">
        <f t="shared" si="173"/>
        <v>0</v>
      </c>
      <c r="HE133" t="s">
        <v>37</v>
      </c>
      <c r="HF133" t="s">
        <v>37</v>
      </c>
      <c r="HM133" t="s">
        <v>3</v>
      </c>
      <c r="HN133" t="s">
        <v>3</v>
      </c>
      <c r="HO133" t="s">
        <v>3</v>
      </c>
      <c r="HP133" t="s">
        <v>3</v>
      </c>
      <c r="HQ133" t="s">
        <v>3</v>
      </c>
      <c r="IK133">
        <v>0</v>
      </c>
    </row>
    <row r="134" spans="1:245" x14ac:dyDescent="0.2">
      <c r="A134">
        <v>18</v>
      </c>
      <c r="B134">
        <v>1</v>
      </c>
      <c r="E134" t="s">
        <v>413</v>
      </c>
      <c r="F134" t="s">
        <v>34</v>
      </c>
      <c r="G134" t="s">
        <v>414</v>
      </c>
      <c r="H134" t="s">
        <v>20</v>
      </c>
      <c r="I134">
        <f>I130*J134</f>
        <v>0</v>
      </c>
      <c r="J134">
        <v>0</v>
      </c>
      <c r="K134">
        <v>0</v>
      </c>
      <c r="O134">
        <f t="shared" si="140"/>
        <v>0</v>
      </c>
      <c r="P134">
        <f t="shared" si="141"/>
        <v>0</v>
      </c>
      <c r="Q134">
        <f t="shared" si="142"/>
        <v>0</v>
      </c>
      <c r="R134">
        <f t="shared" si="143"/>
        <v>0</v>
      </c>
      <c r="S134">
        <f t="shared" si="144"/>
        <v>0</v>
      </c>
      <c r="T134">
        <f t="shared" si="145"/>
        <v>0</v>
      </c>
      <c r="U134">
        <f t="shared" si="146"/>
        <v>0</v>
      </c>
      <c r="V134">
        <f t="shared" si="147"/>
        <v>0</v>
      </c>
      <c r="W134">
        <f t="shared" si="148"/>
        <v>0</v>
      </c>
      <c r="X134">
        <f t="shared" si="149"/>
        <v>0</v>
      </c>
      <c r="Y134">
        <f t="shared" si="150"/>
        <v>0</v>
      </c>
      <c r="AA134">
        <v>43095088</v>
      </c>
      <c r="AB134">
        <f t="shared" si="151"/>
        <v>45.83</v>
      </c>
      <c r="AC134">
        <f t="shared" si="152"/>
        <v>45.83</v>
      </c>
      <c r="AD134">
        <f t="shared" si="134"/>
        <v>0</v>
      </c>
      <c r="AE134">
        <f t="shared" si="135"/>
        <v>0</v>
      </c>
      <c r="AF134">
        <f t="shared" si="136"/>
        <v>0</v>
      </c>
      <c r="AG134">
        <f t="shared" si="153"/>
        <v>0</v>
      </c>
      <c r="AH134">
        <f t="shared" si="137"/>
        <v>0</v>
      </c>
      <c r="AI134">
        <f t="shared" si="138"/>
        <v>0</v>
      </c>
      <c r="AJ134">
        <f t="shared" si="154"/>
        <v>0</v>
      </c>
      <c r="AK134">
        <v>45.83</v>
      </c>
      <c r="AL134">
        <v>45.83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70</v>
      </c>
      <c r="AU134">
        <v>10</v>
      </c>
      <c r="AV134">
        <v>1</v>
      </c>
      <c r="AW134">
        <v>1</v>
      </c>
      <c r="AZ134">
        <v>1</v>
      </c>
      <c r="BA134">
        <v>1</v>
      </c>
      <c r="BB134">
        <v>1</v>
      </c>
      <c r="BC134">
        <v>1</v>
      </c>
      <c r="BD134" t="s">
        <v>3</v>
      </c>
      <c r="BE134" t="s">
        <v>3</v>
      </c>
      <c r="BF134" t="s">
        <v>3</v>
      </c>
      <c r="BG134" t="s">
        <v>3</v>
      </c>
      <c r="BH134">
        <v>3</v>
      </c>
      <c r="BI134">
        <v>4</v>
      </c>
      <c r="BJ134" t="s">
        <v>3</v>
      </c>
      <c r="BM134">
        <v>0</v>
      </c>
      <c r="BN134">
        <v>0</v>
      </c>
      <c r="BO134" t="s">
        <v>3</v>
      </c>
      <c r="BP134">
        <v>0</v>
      </c>
      <c r="BQ134">
        <v>1</v>
      </c>
      <c r="BR134">
        <v>0</v>
      </c>
      <c r="BS134">
        <v>1</v>
      </c>
      <c r="BT134">
        <v>1</v>
      </c>
      <c r="BU134">
        <v>1</v>
      </c>
      <c r="BV134">
        <v>1</v>
      </c>
      <c r="BW134">
        <v>1</v>
      </c>
      <c r="BX134">
        <v>1</v>
      </c>
      <c r="BY134" t="s">
        <v>3</v>
      </c>
      <c r="BZ134">
        <v>70</v>
      </c>
      <c r="CA134">
        <v>10</v>
      </c>
      <c r="CB134" t="s">
        <v>3</v>
      </c>
      <c r="CE134">
        <v>0</v>
      </c>
      <c r="CF134">
        <v>0</v>
      </c>
      <c r="CG134">
        <v>0</v>
      </c>
      <c r="CM134">
        <v>0</v>
      </c>
      <c r="CN134" t="s">
        <v>3</v>
      </c>
      <c r="CO134">
        <v>0</v>
      </c>
      <c r="CP134">
        <f t="shared" si="155"/>
        <v>0</v>
      </c>
      <c r="CQ134">
        <f t="shared" si="156"/>
        <v>45.83</v>
      </c>
      <c r="CR134">
        <f t="shared" si="139"/>
        <v>0</v>
      </c>
      <c r="CS134">
        <f t="shared" si="157"/>
        <v>0</v>
      </c>
      <c r="CT134">
        <f t="shared" si="158"/>
        <v>0</v>
      </c>
      <c r="CU134">
        <f t="shared" si="159"/>
        <v>0</v>
      </c>
      <c r="CV134">
        <f t="shared" si="160"/>
        <v>0</v>
      </c>
      <c r="CW134">
        <f t="shared" si="161"/>
        <v>0</v>
      </c>
      <c r="CX134">
        <f t="shared" si="162"/>
        <v>0</v>
      </c>
      <c r="CY134">
        <f t="shared" si="163"/>
        <v>0</v>
      </c>
      <c r="CZ134">
        <f t="shared" si="164"/>
        <v>0</v>
      </c>
      <c r="DC134" t="s">
        <v>3</v>
      </c>
      <c r="DD134" t="s">
        <v>3</v>
      </c>
      <c r="DE134" t="s">
        <v>3</v>
      </c>
      <c r="DF134" t="s">
        <v>3</v>
      </c>
      <c r="DG134" t="s">
        <v>3</v>
      </c>
      <c r="DH134" t="s">
        <v>3</v>
      </c>
      <c r="DI134" t="s">
        <v>3</v>
      </c>
      <c r="DJ134" t="s">
        <v>3</v>
      </c>
      <c r="DK134" t="s">
        <v>3</v>
      </c>
      <c r="DL134" t="s">
        <v>3</v>
      </c>
      <c r="DM134" t="s">
        <v>3</v>
      </c>
      <c r="DN134">
        <v>0</v>
      </c>
      <c r="DO134">
        <v>0</v>
      </c>
      <c r="DP134">
        <v>1</v>
      </c>
      <c r="DQ134">
        <v>1</v>
      </c>
      <c r="DU134">
        <v>1010</v>
      </c>
      <c r="DV134" t="s">
        <v>20</v>
      </c>
      <c r="DW134" t="s">
        <v>20</v>
      </c>
      <c r="DX134">
        <v>1</v>
      </c>
      <c r="DZ134" t="s">
        <v>3</v>
      </c>
      <c r="EA134" t="s">
        <v>3</v>
      </c>
      <c r="EB134" t="s">
        <v>3</v>
      </c>
      <c r="EC134" t="s">
        <v>3</v>
      </c>
      <c r="EE134">
        <v>43033442</v>
      </c>
      <c r="EF134">
        <v>1</v>
      </c>
      <c r="EG134" t="s">
        <v>22</v>
      </c>
      <c r="EH134">
        <v>0</v>
      </c>
      <c r="EI134" t="s">
        <v>3</v>
      </c>
      <c r="EJ134">
        <v>4</v>
      </c>
      <c r="EK134">
        <v>0</v>
      </c>
      <c r="EL134" t="s">
        <v>23</v>
      </c>
      <c r="EM134" t="s">
        <v>24</v>
      </c>
      <c r="EO134" t="s">
        <v>3</v>
      </c>
      <c r="EQ134">
        <v>0</v>
      </c>
      <c r="ER134">
        <v>45.83</v>
      </c>
      <c r="ES134">
        <v>45.83</v>
      </c>
      <c r="ET134">
        <v>0</v>
      </c>
      <c r="EU134">
        <v>0</v>
      </c>
      <c r="EV134">
        <v>0</v>
      </c>
      <c r="EW134">
        <v>0</v>
      </c>
      <c r="EX134">
        <v>0</v>
      </c>
      <c r="FQ134">
        <v>0</v>
      </c>
      <c r="FR134">
        <f t="shared" si="165"/>
        <v>0</v>
      </c>
      <c r="FS134">
        <v>0</v>
      </c>
      <c r="FX134">
        <v>70</v>
      </c>
      <c r="FY134">
        <v>10</v>
      </c>
      <c r="GA134" t="s">
        <v>3</v>
      </c>
      <c r="GD134">
        <v>0</v>
      </c>
      <c r="GF134">
        <v>-824412902</v>
      </c>
      <c r="GG134">
        <v>2</v>
      </c>
      <c r="GH134">
        <v>0</v>
      </c>
      <c r="GI134">
        <v>-2</v>
      </c>
      <c r="GJ134">
        <v>0</v>
      </c>
      <c r="GK134">
        <f>ROUND(R134*(R12)/100,2)</f>
        <v>0</v>
      </c>
      <c r="GL134">
        <f t="shared" si="166"/>
        <v>0</v>
      </c>
      <c r="GM134">
        <f t="shared" si="167"/>
        <v>0</v>
      </c>
      <c r="GN134">
        <f t="shared" si="168"/>
        <v>0</v>
      </c>
      <c r="GO134">
        <f t="shared" si="169"/>
        <v>0</v>
      </c>
      <c r="GP134">
        <f t="shared" si="170"/>
        <v>0</v>
      </c>
      <c r="GR134">
        <v>0</v>
      </c>
      <c r="GS134">
        <v>0</v>
      </c>
      <c r="GT134">
        <v>0</v>
      </c>
      <c r="GU134" t="s">
        <v>3</v>
      </c>
      <c r="GV134">
        <f t="shared" si="171"/>
        <v>0</v>
      </c>
      <c r="GW134">
        <v>1</v>
      </c>
      <c r="GX134">
        <f t="shared" si="172"/>
        <v>0</v>
      </c>
      <c r="HA134">
        <v>0</v>
      </c>
      <c r="HB134">
        <v>0</v>
      </c>
      <c r="HC134">
        <f t="shared" si="173"/>
        <v>0</v>
      </c>
      <c r="HE134" t="s">
        <v>3</v>
      </c>
      <c r="HF134" t="s">
        <v>3</v>
      </c>
      <c r="HM134" t="s">
        <v>3</v>
      </c>
      <c r="HN134" t="s">
        <v>3</v>
      </c>
      <c r="HO134" t="s">
        <v>3</v>
      </c>
      <c r="HP134" t="s">
        <v>3</v>
      </c>
      <c r="HQ134" t="s">
        <v>3</v>
      </c>
      <c r="IK134">
        <v>0</v>
      </c>
    </row>
    <row r="135" spans="1:245" x14ac:dyDescent="0.2">
      <c r="A135">
        <v>17</v>
      </c>
      <c r="B135">
        <v>1</v>
      </c>
      <c r="C135">
        <f>ROW(SmtRes!A235)</f>
        <v>235</v>
      </c>
      <c r="D135">
        <f>ROW(EtalonRes!A219)</f>
        <v>219</v>
      </c>
      <c r="E135" t="s">
        <v>415</v>
      </c>
      <c r="F135" t="s">
        <v>416</v>
      </c>
      <c r="G135" t="s">
        <v>417</v>
      </c>
      <c r="H135" t="s">
        <v>342</v>
      </c>
      <c r="I135">
        <f>ROUND(11/100,9)</f>
        <v>0.11</v>
      </c>
      <c r="J135">
        <v>0</v>
      </c>
      <c r="K135">
        <f>ROUND(11/100,9)</f>
        <v>0.11</v>
      </c>
      <c r="O135">
        <f t="shared" si="140"/>
        <v>965.63</v>
      </c>
      <c r="P135">
        <f t="shared" si="141"/>
        <v>99.31</v>
      </c>
      <c r="Q135">
        <f t="shared" si="142"/>
        <v>573.94000000000005</v>
      </c>
      <c r="R135">
        <f t="shared" si="143"/>
        <v>217.98</v>
      </c>
      <c r="S135">
        <f t="shared" si="144"/>
        <v>292.38</v>
      </c>
      <c r="T135">
        <f t="shared" si="145"/>
        <v>0</v>
      </c>
      <c r="U135">
        <f t="shared" si="146"/>
        <v>1.1726000000000001</v>
      </c>
      <c r="V135">
        <f t="shared" si="147"/>
        <v>0</v>
      </c>
      <c r="W135">
        <f t="shared" si="148"/>
        <v>0</v>
      </c>
      <c r="X135">
        <f t="shared" si="149"/>
        <v>204.67</v>
      </c>
      <c r="Y135">
        <f t="shared" si="150"/>
        <v>29.24</v>
      </c>
      <c r="AA135">
        <v>43095088</v>
      </c>
      <c r="AB135">
        <f t="shared" si="151"/>
        <v>8778.49</v>
      </c>
      <c r="AC135">
        <f t="shared" si="152"/>
        <v>902.86</v>
      </c>
      <c r="AD135">
        <f t="shared" si="134"/>
        <v>5217.67</v>
      </c>
      <c r="AE135">
        <f t="shared" si="135"/>
        <v>1981.67</v>
      </c>
      <c r="AF135">
        <f t="shared" si="136"/>
        <v>2657.96</v>
      </c>
      <c r="AG135">
        <f t="shared" si="153"/>
        <v>0</v>
      </c>
      <c r="AH135">
        <f t="shared" si="137"/>
        <v>10.66</v>
      </c>
      <c r="AI135">
        <f t="shared" si="138"/>
        <v>0</v>
      </c>
      <c r="AJ135">
        <f t="shared" si="154"/>
        <v>0</v>
      </c>
      <c r="AK135">
        <v>8778.49</v>
      </c>
      <c r="AL135">
        <v>902.86</v>
      </c>
      <c r="AM135">
        <v>5217.67</v>
      </c>
      <c r="AN135">
        <v>1981.67</v>
      </c>
      <c r="AO135">
        <v>2657.96</v>
      </c>
      <c r="AP135">
        <v>0</v>
      </c>
      <c r="AQ135">
        <v>10.66</v>
      </c>
      <c r="AR135">
        <v>0</v>
      </c>
      <c r="AS135">
        <v>0</v>
      </c>
      <c r="AT135">
        <v>70</v>
      </c>
      <c r="AU135">
        <v>10</v>
      </c>
      <c r="AV135">
        <v>1</v>
      </c>
      <c r="AW135">
        <v>1</v>
      </c>
      <c r="AZ135">
        <v>1</v>
      </c>
      <c r="BA135">
        <v>1</v>
      </c>
      <c r="BB135">
        <v>1</v>
      </c>
      <c r="BC135">
        <v>1</v>
      </c>
      <c r="BD135" t="s">
        <v>3</v>
      </c>
      <c r="BE135" t="s">
        <v>3</v>
      </c>
      <c r="BF135" t="s">
        <v>3</v>
      </c>
      <c r="BG135" t="s">
        <v>3</v>
      </c>
      <c r="BH135">
        <v>0</v>
      </c>
      <c r="BI135">
        <v>4</v>
      </c>
      <c r="BJ135" t="s">
        <v>418</v>
      </c>
      <c r="BM135">
        <v>0</v>
      </c>
      <c r="BN135">
        <v>0</v>
      </c>
      <c r="BO135" t="s">
        <v>3</v>
      </c>
      <c r="BP135">
        <v>0</v>
      </c>
      <c r="BQ135">
        <v>1</v>
      </c>
      <c r="BR135">
        <v>0</v>
      </c>
      <c r="BS135">
        <v>1</v>
      </c>
      <c r="BT135">
        <v>1</v>
      </c>
      <c r="BU135">
        <v>1</v>
      </c>
      <c r="BV135">
        <v>1</v>
      </c>
      <c r="BW135">
        <v>1</v>
      </c>
      <c r="BX135">
        <v>1</v>
      </c>
      <c r="BY135" t="s">
        <v>3</v>
      </c>
      <c r="BZ135">
        <v>70</v>
      </c>
      <c r="CA135">
        <v>10</v>
      </c>
      <c r="CB135" t="s">
        <v>3</v>
      </c>
      <c r="CE135">
        <v>0</v>
      </c>
      <c r="CF135">
        <v>0</v>
      </c>
      <c r="CG135">
        <v>0</v>
      </c>
      <c r="CM135">
        <v>0</v>
      </c>
      <c r="CN135" t="s">
        <v>3</v>
      </c>
      <c r="CO135">
        <v>0</v>
      </c>
      <c r="CP135">
        <f t="shared" si="155"/>
        <v>965.63</v>
      </c>
      <c r="CQ135">
        <f t="shared" si="156"/>
        <v>902.86</v>
      </c>
      <c r="CR135">
        <f t="shared" si="139"/>
        <v>5217.67</v>
      </c>
      <c r="CS135">
        <f t="shared" si="157"/>
        <v>1981.67</v>
      </c>
      <c r="CT135">
        <f t="shared" si="158"/>
        <v>2657.96</v>
      </c>
      <c r="CU135">
        <f t="shared" si="159"/>
        <v>0</v>
      </c>
      <c r="CV135">
        <f t="shared" si="160"/>
        <v>10.66</v>
      </c>
      <c r="CW135">
        <f t="shared" si="161"/>
        <v>0</v>
      </c>
      <c r="CX135">
        <f t="shared" si="162"/>
        <v>0</v>
      </c>
      <c r="CY135">
        <f t="shared" si="163"/>
        <v>204.666</v>
      </c>
      <c r="CZ135">
        <f t="shared" si="164"/>
        <v>29.238000000000003</v>
      </c>
      <c r="DC135" t="s">
        <v>3</v>
      </c>
      <c r="DD135" t="s">
        <v>3</v>
      </c>
      <c r="DE135" t="s">
        <v>3</v>
      </c>
      <c r="DF135" t="s">
        <v>3</v>
      </c>
      <c r="DG135" t="s">
        <v>3</v>
      </c>
      <c r="DH135" t="s">
        <v>3</v>
      </c>
      <c r="DI135" t="s">
        <v>3</v>
      </c>
      <c r="DJ135" t="s">
        <v>3</v>
      </c>
      <c r="DK135" t="s">
        <v>3</v>
      </c>
      <c r="DL135" t="s">
        <v>3</v>
      </c>
      <c r="DM135" t="s">
        <v>3</v>
      </c>
      <c r="DN135">
        <v>0</v>
      </c>
      <c r="DO135">
        <v>0</v>
      </c>
      <c r="DP135">
        <v>1</v>
      </c>
      <c r="DQ135">
        <v>1</v>
      </c>
      <c r="DU135">
        <v>1010</v>
      </c>
      <c r="DV135" t="s">
        <v>342</v>
      </c>
      <c r="DW135" t="s">
        <v>342</v>
      </c>
      <c r="DX135">
        <v>100</v>
      </c>
      <c r="DZ135" t="s">
        <v>3</v>
      </c>
      <c r="EA135" t="s">
        <v>3</v>
      </c>
      <c r="EB135" t="s">
        <v>3</v>
      </c>
      <c r="EC135" t="s">
        <v>3</v>
      </c>
      <c r="EE135">
        <v>43033442</v>
      </c>
      <c r="EF135">
        <v>1</v>
      </c>
      <c r="EG135" t="s">
        <v>22</v>
      </c>
      <c r="EH135">
        <v>0</v>
      </c>
      <c r="EI135" t="s">
        <v>3</v>
      </c>
      <c r="EJ135">
        <v>4</v>
      </c>
      <c r="EK135">
        <v>0</v>
      </c>
      <c r="EL135" t="s">
        <v>23</v>
      </c>
      <c r="EM135" t="s">
        <v>24</v>
      </c>
      <c r="EO135" t="s">
        <v>3</v>
      </c>
      <c r="EQ135">
        <v>0</v>
      </c>
      <c r="ER135">
        <v>8778.49</v>
      </c>
      <c r="ES135">
        <v>902.86</v>
      </c>
      <c r="ET135">
        <v>5217.67</v>
      </c>
      <c r="EU135">
        <v>1981.67</v>
      </c>
      <c r="EV135">
        <v>2657.96</v>
      </c>
      <c r="EW135">
        <v>10.66</v>
      </c>
      <c r="EX135">
        <v>0</v>
      </c>
      <c r="EY135">
        <v>0</v>
      </c>
      <c r="FQ135">
        <v>0</v>
      </c>
      <c r="FR135">
        <f t="shared" si="165"/>
        <v>0</v>
      </c>
      <c r="FS135">
        <v>0</v>
      </c>
      <c r="FX135">
        <v>70</v>
      </c>
      <c r="FY135">
        <v>10</v>
      </c>
      <c r="GA135" t="s">
        <v>3</v>
      </c>
      <c r="GD135">
        <v>0</v>
      </c>
      <c r="GF135">
        <v>-1303314263</v>
      </c>
      <c r="GG135">
        <v>2</v>
      </c>
      <c r="GH135">
        <v>1</v>
      </c>
      <c r="GI135">
        <v>-2</v>
      </c>
      <c r="GJ135">
        <v>0</v>
      </c>
      <c r="GK135">
        <f>ROUND(R135*(R12)/100,2)</f>
        <v>235.42</v>
      </c>
      <c r="GL135">
        <f t="shared" si="166"/>
        <v>0</v>
      </c>
      <c r="GM135">
        <f t="shared" si="167"/>
        <v>1434.96</v>
      </c>
      <c r="GN135">
        <f t="shared" si="168"/>
        <v>0</v>
      </c>
      <c r="GO135">
        <f t="shared" si="169"/>
        <v>0</v>
      </c>
      <c r="GP135">
        <f t="shared" si="170"/>
        <v>1434.96</v>
      </c>
      <c r="GR135">
        <v>0</v>
      </c>
      <c r="GS135">
        <v>3</v>
      </c>
      <c r="GT135">
        <v>0</v>
      </c>
      <c r="GU135" t="s">
        <v>3</v>
      </c>
      <c r="GV135">
        <f t="shared" si="171"/>
        <v>0</v>
      </c>
      <c r="GW135">
        <v>1</v>
      </c>
      <c r="GX135">
        <f t="shared" si="172"/>
        <v>0</v>
      </c>
      <c r="HA135">
        <v>0</v>
      </c>
      <c r="HB135">
        <v>0</v>
      </c>
      <c r="HC135">
        <f t="shared" si="173"/>
        <v>0</v>
      </c>
      <c r="HE135" t="s">
        <v>3</v>
      </c>
      <c r="HF135" t="s">
        <v>3</v>
      </c>
      <c r="HM135" t="s">
        <v>3</v>
      </c>
      <c r="HN135" t="s">
        <v>3</v>
      </c>
      <c r="HO135" t="s">
        <v>3</v>
      </c>
      <c r="HP135" t="s">
        <v>3</v>
      </c>
      <c r="HQ135" t="s">
        <v>3</v>
      </c>
      <c r="IK135">
        <v>0</v>
      </c>
    </row>
    <row r="136" spans="1:245" x14ac:dyDescent="0.2">
      <c r="A136">
        <v>18</v>
      </c>
      <c r="B136">
        <v>1</v>
      </c>
      <c r="C136">
        <v>235</v>
      </c>
      <c r="E136" t="s">
        <v>419</v>
      </c>
      <c r="F136" t="s">
        <v>34</v>
      </c>
      <c r="G136" t="s">
        <v>420</v>
      </c>
      <c r="H136" t="s">
        <v>64</v>
      </c>
      <c r="I136">
        <f>I135*J136</f>
        <v>22</v>
      </c>
      <c r="J136">
        <v>200</v>
      </c>
      <c r="K136">
        <v>200</v>
      </c>
      <c r="O136">
        <f t="shared" si="140"/>
        <v>12372.36</v>
      </c>
      <c r="P136">
        <f t="shared" si="141"/>
        <v>12372.36</v>
      </c>
      <c r="Q136">
        <f t="shared" si="142"/>
        <v>0</v>
      </c>
      <c r="R136">
        <f t="shared" si="143"/>
        <v>0</v>
      </c>
      <c r="S136">
        <f t="shared" si="144"/>
        <v>0</v>
      </c>
      <c r="T136">
        <f t="shared" si="145"/>
        <v>0</v>
      </c>
      <c r="U136">
        <f t="shared" si="146"/>
        <v>0</v>
      </c>
      <c r="V136">
        <f t="shared" si="147"/>
        <v>0</v>
      </c>
      <c r="W136">
        <f t="shared" si="148"/>
        <v>0</v>
      </c>
      <c r="X136">
        <f t="shared" si="149"/>
        <v>0</v>
      </c>
      <c r="Y136">
        <f t="shared" si="150"/>
        <v>0</v>
      </c>
      <c r="AA136">
        <v>43095088</v>
      </c>
      <c r="AB136">
        <f t="shared" si="151"/>
        <v>562.38</v>
      </c>
      <c r="AC136">
        <f t="shared" si="152"/>
        <v>562.38</v>
      </c>
      <c r="AD136">
        <f t="shared" si="134"/>
        <v>0</v>
      </c>
      <c r="AE136">
        <f t="shared" si="135"/>
        <v>0</v>
      </c>
      <c r="AF136">
        <f t="shared" si="136"/>
        <v>0</v>
      </c>
      <c r="AG136">
        <f t="shared" si="153"/>
        <v>0</v>
      </c>
      <c r="AH136">
        <f t="shared" si="137"/>
        <v>0</v>
      </c>
      <c r="AI136">
        <f t="shared" si="138"/>
        <v>0</v>
      </c>
      <c r="AJ136">
        <f t="shared" si="154"/>
        <v>0</v>
      </c>
      <c r="AK136">
        <v>562.38</v>
      </c>
      <c r="AL136">
        <v>562.38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70</v>
      </c>
      <c r="AU136">
        <v>10</v>
      </c>
      <c r="AV136">
        <v>1</v>
      </c>
      <c r="AW136">
        <v>1</v>
      </c>
      <c r="AZ136">
        <v>1</v>
      </c>
      <c r="BA136">
        <v>1</v>
      </c>
      <c r="BB136">
        <v>1</v>
      </c>
      <c r="BC136">
        <v>1</v>
      </c>
      <c r="BD136" t="s">
        <v>3</v>
      </c>
      <c r="BE136" t="s">
        <v>3</v>
      </c>
      <c r="BF136" t="s">
        <v>3</v>
      </c>
      <c r="BG136" t="s">
        <v>3</v>
      </c>
      <c r="BH136">
        <v>3</v>
      </c>
      <c r="BI136">
        <v>4</v>
      </c>
      <c r="BJ136" t="s">
        <v>3</v>
      </c>
      <c r="BM136">
        <v>0</v>
      </c>
      <c r="BN136">
        <v>0</v>
      </c>
      <c r="BO136" t="s">
        <v>3</v>
      </c>
      <c r="BP136">
        <v>0</v>
      </c>
      <c r="BQ136">
        <v>1</v>
      </c>
      <c r="BR136">
        <v>0</v>
      </c>
      <c r="BS136">
        <v>1</v>
      </c>
      <c r="BT136">
        <v>1</v>
      </c>
      <c r="BU136">
        <v>1</v>
      </c>
      <c r="BV136">
        <v>1</v>
      </c>
      <c r="BW136">
        <v>1</v>
      </c>
      <c r="BX136">
        <v>1</v>
      </c>
      <c r="BY136" t="s">
        <v>3</v>
      </c>
      <c r="BZ136">
        <v>70</v>
      </c>
      <c r="CA136">
        <v>10</v>
      </c>
      <c r="CB136" t="s">
        <v>3</v>
      </c>
      <c r="CE136">
        <v>0</v>
      </c>
      <c r="CF136">
        <v>0</v>
      </c>
      <c r="CG136">
        <v>0</v>
      </c>
      <c r="CM136">
        <v>0</v>
      </c>
      <c r="CN136" t="s">
        <v>3</v>
      </c>
      <c r="CO136">
        <v>0</v>
      </c>
      <c r="CP136">
        <f t="shared" si="155"/>
        <v>12372.36</v>
      </c>
      <c r="CQ136">
        <f t="shared" si="156"/>
        <v>562.38</v>
      </c>
      <c r="CR136">
        <f t="shared" si="139"/>
        <v>0</v>
      </c>
      <c r="CS136">
        <f t="shared" si="157"/>
        <v>0</v>
      </c>
      <c r="CT136">
        <f t="shared" si="158"/>
        <v>0</v>
      </c>
      <c r="CU136">
        <f t="shared" si="159"/>
        <v>0</v>
      </c>
      <c r="CV136">
        <f t="shared" si="160"/>
        <v>0</v>
      </c>
      <c r="CW136">
        <f t="shared" si="161"/>
        <v>0</v>
      </c>
      <c r="CX136">
        <f t="shared" si="162"/>
        <v>0</v>
      </c>
      <c r="CY136">
        <f t="shared" si="163"/>
        <v>0</v>
      </c>
      <c r="CZ136">
        <f t="shared" si="164"/>
        <v>0</v>
      </c>
      <c r="DC136" t="s">
        <v>3</v>
      </c>
      <c r="DD136" t="s">
        <v>3</v>
      </c>
      <c r="DE136" t="s">
        <v>3</v>
      </c>
      <c r="DF136" t="s">
        <v>3</v>
      </c>
      <c r="DG136" t="s">
        <v>3</v>
      </c>
      <c r="DH136" t="s">
        <v>3</v>
      </c>
      <c r="DI136" t="s">
        <v>3</v>
      </c>
      <c r="DJ136" t="s">
        <v>3</v>
      </c>
      <c r="DK136" t="s">
        <v>3</v>
      </c>
      <c r="DL136" t="s">
        <v>3</v>
      </c>
      <c r="DM136" t="s">
        <v>3</v>
      </c>
      <c r="DN136">
        <v>0</v>
      </c>
      <c r="DO136">
        <v>0</v>
      </c>
      <c r="DP136">
        <v>1</v>
      </c>
      <c r="DQ136">
        <v>1</v>
      </c>
      <c r="DU136">
        <v>1003</v>
      </c>
      <c r="DV136" t="s">
        <v>64</v>
      </c>
      <c r="DW136" t="s">
        <v>64</v>
      </c>
      <c r="DX136">
        <v>1</v>
      </c>
      <c r="DZ136" t="s">
        <v>3</v>
      </c>
      <c r="EA136" t="s">
        <v>3</v>
      </c>
      <c r="EB136" t="s">
        <v>3</v>
      </c>
      <c r="EC136" t="s">
        <v>3</v>
      </c>
      <c r="EE136">
        <v>43033442</v>
      </c>
      <c r="EF136">
        <v>1</v>
      </c>
      <c r="EG136" t="s">
        <v>22</v>
      </c>
      <c r="EH136">
        <v>0</v>
      </c>
      <c r="EI136" t="s">
        <v>3</v>
      </c>
      <c r="EJ136">
        <v>4</v>
      </c>
      <c r="EK136">
        <v>0</v>
      </c>
      <c r="EL136" t="s">
        <v>23</v>
      </c>
      <c r="EM136" t="s">
        <v>24</v>
      </c>
      <c r="EO136" t="s">
        <v>3</v>
      </c>
      <c r="EQ136">
        <v>0</v>
      </c>
      <c r="ER136">
        <v>562.38</v>
      </c>
      <c r="ES136">
        <v>562.38</v>
      </c>
      <c r="ET136">
        <v>0</v>
      </c>
      <c r="EU136">
        <v>0</v>
      </c>
      <c r="EV136">
        <v>0</v>
      </c>
      <c r="EW136">
        <v>0</v>
      </c>
      <c r="EX136">
        <v>0</v>
      </c>
      <c r="EZ136">
        <v>5</v>
      </c>
      <c r="FC136">
        <v>1</v>
      </c>
      <c r="FD136">
        <v>18</v>
      </c>
      <c r="FF136">
        <v>674.86</v>
      </c>
      <c r="FQ136">
        <v>0</v>
      </c>
      <c r="FR136">
        <f t="shared" si="165"/>
        <v>0</v>
      </c>
      <c r="FS136">
        <v>0</v>
      </c>
      <c r="FX136">
        <v>70</v>
      </c>
      <c r="FY136">
        <v>10</v>
      </c>
      <c r="GA136" t="s">
        <v>421</v>
      </c>
      <c r="GD136">
        <v>0</v>
      </c>
      <c r="GF136">
        <v>2059045151</v>
      </c>
      <c r="GG136">
        <v>2</v>
      </c>
      <c r="GH136">
        <v>3</v>
      </c>
      <c r="GI136">
        <v>-2</v>
      </c>
      <c r="GJ136">
        <v>0</v>
      </c>
      <c r="GK136">
        <f>ROUND(R136*(R12)/100,2)</f>
        <v>0</v>
      </c>
      <c r="GL136">
        <f t="shared" si="166"/>
        <v>0</v>
      </c>
      <c r="GM136">
        <f t="shared" si="167"/>
        <v>12372.36</v>
      </c>
      <c r="GN136">
        <f t="shared" si="168"/>
        <v>0</v>
      </c>
      <c r="GO136">
        <f t="shared" si="169"/>
        <v>0</v>
      </c>
      <c r="GP136">
        <f t="shared" si="170"/>
        <v>12372.36</v>
      </c>
      <c r="GR136">
        <v>1</v>
      </c>
      <c r="GS136">
        <v>1</v>
      </c>
      <c r="GT136">
        <v>0</v>
      </c>
      <c r="GU136" t="s">
        <v>3</v>
      </c>
      <c r="GV136">
        <f t="shared" si="171"/>
        <v>0</v>
      </c>
      <c r="GW136">
        <v>1</v>
      </c>
      <c r="GX136">
        <f t="shared" si="172"/>
        <v>0</v>
      </c>
      <c r="HA136">
        <v>0</v>
      </c>
      <c r="HB136">
        <v>0</v>
      </c>
      <c r="HC136">
        <f t="shared" si="173"/>
        <v>0</v>
      </c>
      <c r="HE136" t="s">
        <v>37</v>
      </c>
      <c r="HF136" t="s">
        <v>37</v>
      </c>
      <c r="HM136" t="s">
        <v>3</v>
      </c>
      <c r="HN136" t="s">
        <v>3</v>
      </c>
      <c r="HO136" t="s">
        <v>3</v>
      </c>
      <c r="HP136" t="s">
        <v>3</v>
      </c>
      <c r="HQ136" t="s">
        <v>3</v>
      </c>
      <c r="IK136">
        <v>0</v>
      </c>
    </row>
    <row r="137" spans="1:245" x14ac:dyDescent="0.2">
      <c r="A137">
        <v>18</v>
      </c>
      <c r="B137">
        <v>1</v>
      </c>
      <c r="E137" t="s">
        <v>422</v>
      </c>
      <c r="F137" t="s">
        <v>34</v>
      </c>
      <c r="G137" t="s">
        <v>423</v>
      </c>
      <c r="H137" t="s">
        <v>20</v>
      </c>
      <c r="I137">
        <f>I135*J137</f>
        <v>0</v>
      </c>
      <c r="J137">
        <v>0</v>
      </c>
      <c r="K137">
        <v>0</v>
      </c>
      <c r="O137">
        <f t="shared" si="140"/>
        <v>0</v>
      </c>
      <c r="P137">
        <f t="shared" si="141"/>
        <v>0</v>
      </c>
      <c r="Q137">
        <f t="shared" si="142"/>
        <v>0</v>
      </c>
      <c r="R137">
        <f t="shared" si="143"/>
        <v>0</v>
      </c>
      <c r="S137">
        <f t="shared" si="144"/>
        <v>0</v>
      </c>
      <c r="T137">
        <f t="shared" si="145"/>
        <v>0</v>
      </c>
      <c r="U137">
        <f t="shared" si="146"/>
        <v>0</v>
      </c>
      <c r="V137">
        <f t="shared" si="147"/>
        <v>0</v>
      </c>
      <c r="W137">
        <f t="shared" si="148"/>
        <v>0</v>
      </c>
      <c r="X137">
        <f t="shared" si="149"/>
        <v>0</v>
      </c>
      <c r="Y137">
        <f t="shared" si="150"/>
        <v>0</v>
      </c>
      <c r="AA137">
        <v>43095088</v>
      </c>
      <c r="AB137">
        <f t="shared" si="151"/>
        <v>212.5</v>
      </c>
      <c r="AC137">
        <f t="shared" si="152"/>
        <v>212.5</v>
      </c>
      <c r="AD137">
        <f t="shared" si="134"/>
        <v>0</v>
      </c>
      <c r="AE137">
        <f t="shared" si="135"/>
        <v>0</v>
      </c>
      <c r="AF137">
        <f t="shared" si="136"/>
        <v>0</v>
      </c>
      <c r="AG137">
        <f t="shared" si="153"/>
        <v>0</v>
      </c>
      <c r="AH137">
        <f t="shared" si="137"/>
        <v>0</v>
      </c>
      <c r="AI137">
        <f t="shared" si="138"/>
        <v>0</v>
      </c>
      <c r="AJ137">
        <f t="shared" si="154"/>
        <v>0</v>
      </c>
      <c r="AK137">
        <v>212.5</v>
      </c>
      <c r="AL137">
        <v>212.5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70</v>
      </c>
      <c r="AU137">
        <v>10</v>
      </c>
      <c r="AV137">
        <v>1</v>
      </c>
      <c r="AW137">
        <v>1</v>
      </c>
      <c r="AZ137">
        <v>1</v>
      </c>
      <c r="BA137">
        <v>1</v>
      </c>
      <c r="BB137">
        <v>1</v>
      </c>
      <c r="BC137">
        <v>1</v>
      </c>
      <c r="BD137" t="s">
        <v>3</v>
      </c>
      <c r="BE137" t="s">
        <v>3</v>
      </c>
      <c r="BF137" t="s">
        <v>3</v>
      </c>
      <c r="BG137" t="s">
        <v>3</v>
      </c>
      <c r="BH137">
        <v>3</v>
      </c>
      <c r="BI137">
        <v>4</v>
      </c>
      <c r="BJ137" t="s">
        <v>3</v>
      </c>
      <c r="BM137">
        <v>0</v>
      </c>
      <c r="BN137">
        <v>0</v>
      </c>
      <c r="BO137" t="s">
        <v>3</v>
      </c>
      <c r="BP137">
        <v>0</v>
      </c>
      <c r="BQ137">
        <v>1</v>
      </c>
      <c r="BR137">
        <v>0</v>
      </c>
      <c r="BS137">
        <v>1</v>
      </c>
      <c r="BT137">
        <v>1</v>
      </c>
      <c r="BU137">
        <v>1</v>
      </c>
      <c r="BV137">
        <v>1</v>
      </c>
      <c r="BW137">
        <v>1</v>
      </c>
      <c r="BX137">
        <v>1</v>
      </c>
      <c r="BY137" t="s">
        <v>3</v>
      </c>
      <c r="BZ137">
        <v>70</v>
      </c>
      <c r="CA137">
        <v>10</v>
      </c>
      <c r="CB137" t="s">
        <v>3</v>
      </c>
      <c r="CE137">
        <v>0</v>
      </c>
      <c r="CF137">
        <v>0</v>
      </c>
      <c r="CG137">
        <v>0</v>
      </c>
      <c r="CM137">
        <v>0</v>
      </c>
      <c r="CN137" t="s">
        <v>3</v>
      </c>
      <c r="CO137">
        <v>0</v>
      </c>
      <c r="CP137">
        <f t="shared" si="155"/>
        <v>0</v>
      </c>
      <c r="CQ137">
        <f t="shared" si="156"/>
        <v>212.5</v>
      </c>
      <c r="CR137">
        <f t="shared" si="139"/>
        <v>0</v>
      </c>
      <c r="CS137">
        <f t="shared" si="157"/>
        <v>0</v>
      </c>
      <c r="CT137">
        <f t="shared" si="158"/>
        <v>0</v>
      </c>
      <c r="CU137">
        <f t="shared" si="159"/>
        <v>0</v>
      </c>
      <c r="CV137">
        <f t="shared" si="160"/>
        <v>0</v>
      </c>
      <c r="CW137">
        <f t="shared" si="161"/>
        <v>0</v>
      </c>
      <c r="CX137">
        <f t="shared" si="162"/>
        <v>0</v>
      </c>
      <c r="CY137">
        <f t="shared" si="163"/>
        <v>0</v>
      </c>
      <c r="CZ137">
        <f t="shared" si="164"/>
        <v>0</v>
      </c>
      <c r="DC137" t="s">
        <v>3</v>
      </c>
      <c r="DD137" t="s">
        <v>3</v>
      </c>
      <c r="DE137" t="s">
        <v>3</v>
      </c>
      <c r="DF137" t="s">
        <v>3</v>
      </c>
      <c r="DG137" t="s">
        <v>3</v>
      </c>
      <c r="DH137" t="s">
        <v>3</v>
      </c>
      <c r="DI137" t="s">
        <v>3</v>
      </c>
      <c r="DJ137" t="s">
        <v>3</v>
      </c>
      <c r="DK137" t="s">
        <v>3</v>
      </c>
      <c r="DL137" t="s">
        <v>3</v>
      </c>
      <c r="DM137" t="s">
        <v>3</v>
      </c>
      <c r="DN137">
        <v>0</v>
      </c>
      <c r="DO137">
        <v>0</v>
      </c>
      <c r="DP137">
        <v>1</v>
      </c>
      <c r="DQ137">
        <v>1</v>
      </c>
      <c r="DU137">
        <v>1010</v>
      </c>
      <c r="DV137" t="s">
        <v>20</v>
      </c>
      <c r="DW137" t="s">
        <v>20</v>
      </c>
      <c r="DX137">
        <v>1</v>
      </c>
      <c r="DZ137" t="s">
        <v>3</v>
      </c>
      <c r="EA137" t="s">
        <v>3</v>
      </c>
      <c r="EB137" t="s">
        <v>3</v>
      </c>
      <c r="EC137" t="s">
        <v>3</v>
      </c>
      <c r="EE137">
        <v>43033442</v>
      </c>
      <c r="EF137">
        <v>1</v>
      </c>
      <c r="EG137" t="s">
        <v>22</v>
      </c>
      <c r="EH137">
        <v>0</v>
      </c>
      <c r="EI137" t="s">
        <v>3</v>
      </c>
      <c r="EJ137">
        <v>4</v>
      </c>
      <c r="EK137">
        <v>0</v>
      </c>
      <c r="EL137" t="s">
        <v>23</v>
      </c>
      <c r="EM137" t="s">
        <v>24</v>
      </c>
      <c r="EO137" t="s">
        <v>3</v>
      </c>
      <c r="EQ137">
        <v>0</v>
      </c>
      <c r="ER137">
        <v>212.5</v>
      </c>
      <c r="ES137">
        <v>212.5</v>
      </c>
      <c r="ET137">
        <v>0</v>
      </c>
      <c r="EU137">
        <v>0</v>
      </c>
      <c r="EV137">
        <v>0</v>
      </c>
      <c r="EW137">
        <v>0</v>
      </c>
      <c r="EX137">
        <v>0</v>
      </c>
      <c r="FQ137">
        <v>0</v>
      </c>
      <c r="FR137">
        <f t="shared" si="165"/>
        <v>0</v>
      </c>
      <c r="FS137">
        <v>0</v>
      </c>
      <c r="FX137">
        <v>70</v>
      </c>
      <c r="FY137">
        <v>10</v>
      </c>
      <c r="GA137" t="s">
        <v>3</v>
      </c>
      <c r="GD137">
        <v>0</v>
      </c>
      <c r="GF137">
        <v>-537903862</v>
      </c>
      <c r="GG137">
        <v>2</v>
      </c>
      <c r="GH137">
        <v>0</v>
      </c>
      <c r="GI137">
        <v>-2</v>
      </c>
      <c r="GJ137">
        <v>0</v>
      </c>
      <c r="GK137">
        <f>ROUND(R137*(R12)/100,2)</f>
        <v>0</v>
      </c>
      <c r="GL137">
        <f t="shared" si="166"/>
        <v>0</v>
      </c>
      <c r="GM137">
        <f t="shared" si="167"/>
        <v>0</v>
      </c>
      <c r="GN137">
        <f t="shared" si="168"/>
        <v>0</v>
      </c>
      <c r="GO137">
        <f t="shared" si="169"/>
        <v>0</v>
      </c>
      <c r="GP137">
        <f t="shared" si="170"/>
        <v>0</v>
      </c>
      <c r="GR137">
        <v>0</v>
      </c>
      <c r="GS137">
        <v>0</v>
      </c>
      <c r="GT137">
        <v>0</v>
      </c>
      <c r="GU137" t="s">
        <v>3</v>
      </c>
      <c r="GV137">
        <f t="shared" si="171"/>
        <v>0</v>
      </c>
      <c r="GW137">
        <v>1</v>
      </c>
      <c r="GX137">
        <f t="shared" si="172"/>
        <v>0</v>
      </c>
      <c r="HA137">
        <v>0</v>
      </c>
      <c r="HB137">
        <v>0</v>
      </c>
      <c r="HC137">
        <f t="shared" si="173"/>
        <v>0</v>
      </c>
      <c r="HE137" t="s">
        <v>3</v>
      </c>
      <c r="HF137" t="s">
        <v>3</v>
      </c>
      <c r="HM137" t="s">
        <v>3</v>
      </c>
      <c r="HN137" t="s">
        <v>3</v>
      </c>
      <c r="HO137" t="s">
        <v>3</v>
      </c>
      <c r="HP137" t="s">
        <v>3</v>
      </c>
      <c r="HQ137" t="s">
        <v>3</v>
      </c>
      <c r="IK137">
        <v>0</v>
      </c>
    </row>
    <row r="138" spans="1:245" x14ac:dyDescent="0.2">
      <c r="A138">
        <v>18</v>
      </c>
      <c r="B138">
        <v>1</v>
      </c>
      <c r="C138">
        <v>234</v>
      </c>
      <c r="E138" t="s">
        <v>424</v>
      </c>
      <c r="F138" t="s">
        <v>425</v>
      </c>
      <c r="G138" t="s">
        <v>426</v>
      </c>
      <c r="H138" t="s">
        <v>64</v>
      </c>
      <c r="I138">
        <f>I135*J138</f>
        <v>0</v>
      </c>
      <c r="J138">
        <v>0</v>
      </c>
      <c r="K138">
        <v>0</v>
      </c>
      <c r="O138">
        <f t="shared" si="140"/>
        <v>0</v>
      </c>
      <c r="P138">
        <f t="shared" si="141"/>
        <v>0</v>
      </c>
      <c r="Q138">
        <f t="shared" si="142"/>
        <v>0</v>
      </c>
      <c r="R138">
        <f t="shared" si="143"/>
        <v>0</v>
      </c>
      <c r="S138">
        <f t="shared" si="144"/>
        <v>0</v>
      </c>
      <c r="T138">
        <f t="shared" si="145"/>
        <v>0</v>
      </c>
      <c r="U138">
        <f t="shared" si="146"/>
        <v>0</v>
      </c>
      <c r="V138">
        <f t="shared" si="147"/>
        <v>0</v>
      </c>
      <c r="W138">
        <f t="shared" si="148"/>
        <v>0</v>
      </c>
      <c r="X138">
        <f t="shared" si="149"/>
        <v>0</v>
      </c>
      <c r="Y138">
        <f t="shared" si="150"/>
        <v>0</v>
      </c>
      <c r="AA138">
        <v>43095088</v>
      </c>
      <c r="AB138">
        <f t="shared" si="151"/>
        <v>25.1</v>
      </c>
      <c r="AC138">
        <f t="shared" si="152"/>
        <v>25.1</v>
      </c>
      <c r="AD138">
        <f t="shared" si="134"/>
        <v>0</v>
      </c>
      <c r="AE138">
        <f t="shared" si="135"/>
        <v>0</v>
      </c>
      <c r="AF138">
        <f t="shared" si="136"/>
        <v>0</v>
      </c>
      <c r="AG138">
        <f t="shared" si="153"/>
        <v>0</v>
      </c>
      <c r="AH138">
        <f t="shared" si="137"/>
        <v>0</v>
      </c>
      <c r="AI138">
        <f t="shared" si="138"/>
        <v>0</v>
      </c>
      <c r="AJ138">
        <f t="shared" si="154"/>
        <v>0</v>
      </c>
      <c r="AK138">
        <v>25.1</v>
      </c>
      <c r="AL138">
        <v>25.1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70</v>
      </c>
      <c r="AU138">
        <v>10</v>
      </c>
      <c r="AV138">
        <v>1</v>
      </c>
      <c r="AW138">
        <v>1</v>
      </c>
      <c r="AZ138">
        <v>1</v>
      </c>
      <c r="BA138">
        <v>1</v>
      </c>
      <c r="BB138">
        <v>1</v>
      </c>
      <c r="BC138">
        <v>1</v>
      </c>
      <c r="BD138" t="s">
        <v>3</v>
      </c>
      <c r="BE138" t="s">
        <v>3</v>
      </c>
      <c r="BF138" t="s">
        <v>3</v>
      </c>
      <c r="BG138" t="s">
        <v>3</v>
      </c>
      <c r="BH138">
        <v>3</v>
      </c>
      <c r="BI138">
        <v>4</v>
      </c>
      <c r="BJ138" t="s">
        <v>427</v>
      </c>
      <c r="BM138">
        <v>0</v>
      </c>
      <c r="BN138">
        <v>0</v>
      </c>
      <c r="BO138" t="s">
        <v>3</v>
      </c>
      <c r="BP138">
        <v>0</v>
      </c>
      <c r="BQ138">
        <v>1</v>
      </c>
      <c r="BR138">
        <v>0</v>
      </c>
      <c r="BS138">
        <v>1</v>
      </c>
      <c r="BT138">
        <v>1</v>
      </c>
      <c r="BU138">
        <v>1</v>
      </c>
      <c r="BV138">
        <v>1</v>
      </c>
      <c r="BW138">
        <v>1</v>
      </c>
      <c r="BX138">
        <v>1</v>
      </c>
      <c r="BY138" t="s">
        <v>3</v>
      </c>
      <c r="BZ138">
        <v>70</v>
      </c>
      <c r="CA138">
        <v>10</v>
      </c>
      <c r="CB138" t="s">
        <v>3</v>
      </c>
      <c r="CE138">
        <v>0</v>
      </c>
      <c r="CF138">
        <v>0</v>
      </c>
      <c r="CG138">
        <v>0</v>
      </c>
      <c r="CM138">
        <v>0</v>
      </c>
      <c r="CN138" t="s">
        <v>3</v>
      </c>
      <c r="CO138">
        <v>0</v>
      </c>
      <c r="CP138">
        <f t="shared" si="155"/>
        <v>0</v>
      </c>
      <c r="CQ138">
        <f t="shared" si="156"/>
        <v>25.1</v>
      </c>
      <c r="CR138">
        <f t="shared" si="139"/>
        <v>0</v>
      </c>
      <c r="CS138">
        <f t="shared" si="157"/>
        <v>0</v>
      </c>
      <c r="CT138">
        <f t="shared" si="158"/>
        <v>0</v>
      </c>
      <c r="CU138">
        <f t="shared" si="159"/>
        <v>0</v>
      </c>
      <c r="CV138">
        <f t="shared" si="160"/>
        <v>0</v>
      </c>
      <c r="CW138">
        <f t="shared" si="161"/>
        <v>0</v>
      </c>
      <c r="CX138">
        <f t="shared" si="162"/>
        <v>0</v>
      </c>
      <c r="CY138">
        <f t="shared" si="163"/>
        <v>0</v>
      </c>
      <c r="CZ138">
        <f t="shared" si="164"/>
        <v>0</v>
      </c>
      <c r="DC138" t="s">
        <v>3</v>
      </c>
      <c r="DD138" t="s">
        <v>3</v>
      </c>
      <c r="DE138" t="s">
        <v>3</v>
      </c>
      <c r="DF138" t="s">
        <v>3</v>
      </c>
      <c r="DG138" t="s">
        <v>3</v>
      </c>
      <c r="DH138" t="s">
        <v>3</v>
      </c>
      <c r="DI138" t="s">
        <v>3</v>
      </c>
      <c r="DJ138" t="s">
        <v>3</v>
      </c>
      <c r="DK138" t="s">
        <v>3</v>
      </c>
      <c r="DL138" t="s">
        <v>3</v>
      </c>
      <c r="DM138" t="s">
        <v>3</v>
      </c>
      <c r="DN138">
        <v>0</v>
      </c>
      <c r="DO138">
        <v>0</v>
      </c>
      <c r="DP138">
        <v>1</v>
      </c>
      <c r="DQ138">
        <v>1</v>
      </c>
      <c r="DU138">
        <v>1003</v>
      </c>
      <c r="DV138" t="s">
        <v>64</v>
      </c>
      <c r="DW138" t="s">
        <v>64</v>
      </c>
      <c r="DX138">
        <v>1</v>
      </c>
      <c r="DZ138" t="s">
        <v>3</v>
      </c>
      <c r="EA138" t="s">
        <v>3</v>
      </c>
      <c r="EB138" t="s">
        <v>3</v>
      </c>
      <c r="EC138" t="s">
        <v>3</v>
      </c>
      <c r="EE138">
        <v>43033442</v>
      </c>
      <c r="EF138">
        <v>1</v>
      </c>
      <c r="EG138" t="s">
        <v>22</v>
      </c>
      <c r="EH138">
        <v>0</v>
      </c>
      <c r="EI138" t="s">
        <v>3</v>
      </c>
      <c r="EJ138">
        <v>4</v>
      </c>
      <c r="EK138">
        <v>0</v>
      </c>
      <c r="EL138" t="s">
        <v>23</v>
      </c>
      <c r="EM138" t="s">
        <v>24</v>
      </c>
      <c r="EO138" t="s">
        <v>3</v>
      </c>
      <c r="EQ138">
        <v>0</v>
      </c>
      <c r="ER138">
        <v>25.1</v>
      </c>
      <c r="ES138">
        <v>25.1</v>
      </c>
      <c r="ET138">
        <v>0</v>
      </c>
      <c r="EU138">
        <v>0</v>
      </c>
      <c r="EV138">
        <v>0</v>
      </c>
      <c r="EW138">
        <v>0</v>
      </c>
      <c r="EX138">
        <v>0</v>
      </c>
      <c r="FQ138">
        <v>0</v>
      </c>
      <c r="FR138">
        <f t="shared" si="165"/>
        <v>0</v>
      </c>
      <c r="FS138">
        <v>0</v>
      </c>
      <c r="FX138">
        <v>70</v>
      </c>
      <c r="FY138">
        <v>10</v>
      </c>
      <c r="GA138" t="s">
        <v>3</v>
      </c>
      <c r="GD138">
        <v>0</v>
      </c>
      <c r="GF138">
        <v>-60746170</v>
      </c>
      <c r="GG138">
        <v>2</v>
      </c>
      <c r="GH138">
        <v>1</v>
      </c>
      <c r="GI138">
        <v>-2</v>
      </c>
      <c r="GJ138">
        <v>0</v>
      </c>
      <c r="GK138">
        <f>ROUND(R138*(R12)/100,2)</f>
        <v>0</v>
      </c>
      <c r="GL138">
        <f t="shared" si="166"/>
        <v>0</v>
      </c>
      <c r="GM138">
        <f t="shared" si="167"/>
        <v>0</v>
      </c>
      <c r="GN138">
        <f t="shared" si="168"/>
        <v>0</v>
      </c>
      <c r="GO138">
        <f t="shared" si="169"/>
        <v>0</v>
      </c>
      <c r="GP138">
        <f t="shared" si="170"/>
        <v>0</v>
      </c>
      <c r="GR138">
        <v>0</v>
      </c>
      <c r="GS138">
        <v>3</v>
      </c>
      <c r="GT138">
        <v>0</v>
      </c>
      <c r="GU138" t="s">
        <v>3</v>
      </c>
      <c r="GV138">
        <f t="shared" si="171"/>
        <v>0</v>
      </c>
      <c r="GW138">
        <v>1</v>
      </c>
      <c r="GX138">
        <f t="shared" si="172"/>
        <v>0</v>
      </c>
      <c r="HA138">
        <v>0</v>
      </c>
      <c r="HB138">
        <v>0</v>
      </c>
      <c r="HC138">
        <f t="shared" si="173"/>
        <v>0</v>
      </c>
      <c r="HE138" t="s">
        <v>3</v>
      </c>
      <c r="HF138" t="s">
        <v>3</v>
      </c>
      <c r="HM138" t="s">
        <v>3</v>
      </c>
      <c r="HN138" t="s">
        <v>3</v>
      </c>
      <c r="HO138" t="s">
        <v>3</v>
      </c>
      <c r="HP138" t="s">
        <v>3</v>
      </c>
      <c r="HQ138" t="s">
        <v>3</v>
      </c>
      <c r="IK138">
        <v>0</v>
      </c>
    </row>
    <row r="139" spans="1:245" x14ac:dyDescent="0.2">
      <c r="A139">
        <v>17</v>
      </c>
      <c r="B139">
        <v>1</v>
      </c>
      <c r="C139">
        <f>ROW(SmtRes!A236)</f>
        <v>236</v>
      </c>
      <c r="D139">
        <f>ROW(EtalonRes!A220)</f>
        <v>220</v>
      </c>
      <c r="E139" t="s">
        <v>428</v>
      </c>
      <c r="F139" t="s">
        <v>429</v>
      </c>
      <c r="G139" t="s">
        <v>430</v>
      </c>
      <c r="H139" t="s">
        <v>64</v>
      </c>
      <c r="I139">
        <v>0</v>
      </c>
      <c r="J139">
        <v>0</v>
      </c>
      <c r="K139">
        <v>0</v>
      </c>
      <c r="O139">
        <f t="shared" si="140"/>
        <v>0</v>
      </c>
      <c r="P139">
        <f t="shared" si="141"/>
        <v>0</v>
      </c>
      <c r="Q139">
        <f t="shared" si="142"/>
        <v>0</v>
      </c>
      <c r="R139">
        <f t="shared" si="143"/>
        <v>0</v>
      </c>
      <c r="S139">
        <f t="shared" si="144"/>
        <v>0</v>
      </c>
      <c r="T139">
        <f t="shared" si="145"/>
        <v>0</v>
      </c>
      <c r="U139">
        <f t="shared" si="146"/>
        <v>0</v>
      </c>
      <c r="V139">
        <f t="shared" si="147"/>
        <v>0</v>
      </c>
      <c r="W139">
        <f t="shared" si="148"/>
        <v>0</v>
      </c>
      <c r="X139">
        <f t="shared" si="149"/>
        <v>0</v>
      </c>
      <c r="Y139">
        <f t="shared" si="150"/>
        <v>0</v>
      </c>
      <c r="AA139">
        <v>43095088</v>
      </c>
      <c r="AB139">
        <f t="shared" si="151"/>
        <v>93.1</v>
      </c>
      <c r="AC139">
        <f t="shared" si="152"/>
        <v>0</v>
      </c>
      <c r="AD139">
        <f t="shared" si="134"/>
        <v>0</v>
      </c>
      <c r="AE139">
        <f t="shared" si="135"/>
        <v>0</v>
      </c>
      <c r="AF139">
        <f t="shared" si="136"/>
        <v>93.1</v>
      </c>
      <c r="AG139">
        <f t="shared" si="153"/>
        <v>0</v>
      </c>
      <c r="AH139">
        <f t="shared" si="137"/>
        <v>0.36</v>
      </c>
      <c r="AI139">
        <f t="shared" si="138"/>
        <v>0</v>
      </c>
      <c r="AJ139">
        <f t="shared" si="154"/>
        <v>0</v>
      </c>
      <c r="AK139">
        <v>93.1</v>
      </c>
      <c r="AL139">
        <v>0</v>
      </c>
      <c r="AM139">
        <v>0</v>
      </c>
      <c r="AN139">
        <v>0</v>
      </c>
      <c r="AO139">
        <v>93.1</v>
      </c>
      <c r="AP139">
        <v>0</v>
      </c>
      <c r="AQ139">
        <v>0.36</v>
      </c>
      <c r="AR139">
        <v>0</v>
      </c>
      <c r="AS139">
        <v>0</v>
      </c>
      <c r="AT139">
        <v>70</v>
      </c>
      <c r="AU139">
        <v>10</v>
      </c>
      <c r="AV139">
        <v>1</v>
      </c>
      <c r="AW139">
        <v>1</v>
      </c>
      <c r="AZ139">
        <v>1</v>
      </c>
      <c r="BA139">
        <v>1</v>
      </c>
      <c r="BB139">
        <v>1</v>
      </c>
      <c r="BC139">
        <v>1</v>
      </c>
      <c r="BD139" t="s">
        <v>3</v>
      </c>
      <c r="BE139" t="s">
        <v>3</v>
      </c>
      <c r="BF139" t="s">
        <v>3</v>
      </c>
      <c r="BG139" t="s">
        <v>3</v>
      </c>
      <c r="BH139">
        <v>0</v>
      </c>
      <c r="BI139">
        <v>4</v>
      </c>
      <c r="BJ139" t="s">
        <v>431</v>
      </c>
      <c r="BM139">
        <v>0</v>
      </c>
      <c r="BN139">
        <v>0</v>
      </c>
      <c r="BO139" t="s">
        <v>3</v>
      </c>
      <c r="BP139">
        <v>0</v>
      </c>
      <c r="BQ139">
        <v>1</v>
      </c>
      <c r="BR139">
        <v>0</v>
      </c>
      <c r="BS139">
        <v>1</v>
      </c>
      <c r="BT139">
        <v>1</v>
      </c>
      <c r="BU139">
        <v>1</v>
      </c>
      <c r="BV139">
        <v>1</v>
      </c>
      <c r="BW139">
        <v>1</v>
      </c>
      <c r="BX139">
        <v>1</v>
      </c>
      <c r="BY139" t="s">
        <v>3</v>
      </c>
      <c r="BZ139">
        <v>70</v>
      </c>
      <c r="CA139">
        <v>10</v>
      </c>
      <c r="CB139" t="s">
        <v>3</v>
      </c>
      <c r="CE139">
        <v>0</v>
      </c>
      <c r="CF139">
        <v>0</v>
      </c>
      <c r="CG139">
        <v>0</v>
      </c>
      <c r="CM139">
        <v>0</v>
      </c>
      <c r="CN139" t="s">
        <v>3</v>
      </c>
      <c r="CO139">
        <v>0</v>
      </c>
      <c r="CP139">
        <f t="shared" si="155"/>
        <v>0</v>
      </c>
      <c r="CQ139">
        <f t="shared" si="156"/>
        <v>0</v>
      </c>
      <c r="CR139">
        <f t="shared" si="139"/>
        <v>0</v>
      </c>
      <c r="CS139">
        <f t="shared" si="157"/>
        <v>0</v>
      </c>
      <c r="CT139">
        <f t="shared" si="158"/>
        <v>93.1</v>
      </c>
      <c r="CU139">
        <f t="shared" si="159"/>
        <v>0</v>
      </c>
      <c r="CV139">
        <f t="shared" si="160"/>
        <v>0.36</v>
      </c>
      <c r="CW139">
        <f t="shared" si="161"/>
        <v>0</v>
      </c>
      <c r="CX139">
        <f t="shared" si="162"/>
        <v>0</v>
      </c>
      <c r="CY139">
        <f t="shared" si="163"/>
        <v>0</v>
      </c>
      <c r="CZ139">
        <f t="shared" si="164"/>
        <v>0</v>
      </c>
      <c r="DC139" t="s">
        <v>3</v>
      </c>
      <c r="DD139" t="s">
        <v>3</v>
      </c>
      <c r="DE139" t="s">
        <v>3</v>
      </c>
      <c r="DF139" t="s">
        <v>3</v>
      </c>
      <c r="DG139" t="s">
        <v>3</v>
      </c>
      <c r="DH139" t="s">
        <v>3</v>
      </c>
      <c r="DI139" t="s">
        <v>3</v>
      </c>
      <c r="DJ139" t="s">
        <v>3</v>
      </c>
      <c r="DK139" t="s">
        <v>3</v>
      </c>
      <c r="DL139" t="s">
        <v>3</v>
      </c>
      <c r="DM139" t="s">
        <v>3</v>
      </c>
      <c r="DN139">
        <v>0</v>
      </c>
      <c r="DO139">
        <v>0</v>
      </c>
      <c r="DP139">
        <v>1</v>
      </c>
      <c r="DQ139">
        <v>1</v>
      </c>
      <c r="DU139">
        <v>1003</v>
      </c>
      <c r="DV139" t="s">
        <v>64</v>
      </c>
      <c r="DW139" t="s">
        <v>64</v>
      </c>
      <c r="DX139">
        <v>1</v>
      </c>
      <c r="DZ139" t="s">
        <v>3</v>
      </c>
      <c r="EA139" t="s">
        <v>3</v>
      </c>
      <c r="EB139" t="s">
        <v>3</v>
      </c>
      <c r="EC139" t="s">
        <v>3</v>
      </c>
      <c r="EE139">
        <v>43033442</v>
      </c>
      <c r="EF139">
        <v>1</v>
      </c>
      <c r="EG139" t="s">
        <v>22</v>
      </c>
      <c r="EH139">
        <v>0</v>
      </c>
      <c r="EI139" t="s">
        <v>3</v>
      </c>
      <c r="EJ139">
        <v>4</v>
      </c>
      <c r="EK139">
        <v>0</v>
      </c>
      <c r="EL139" t="s">
        <v>23</v>
      </c>
      <c r="EM139" t="s">
        <v>24</v>
      </c>
      <c r="EO139" t="s">
        <v>3</v>
      </c>
      <c r="EQ139">
        <v>0</v>
      </c>
      <c r="ER139">
        <v>93.1</v>
      </c>
      <c r="ES139">
        <v>0</v>
      </c>
      <c r="ET139">
        <v>0</v>
      </c>
      <c r="EU139">
        <v>0</v>
      </c>
      <c r="EV139">
        <v>93.1</v>
      </c>
      <c r="EW139">
        <v>0.36</v>
      </c>
      <c r="EX139">
        <v>0</v>
      </c>
      <c r="EY139">
        <v>0</v>
      </c>
      <c r="FQ139">
        <v>0</v>
      </c>
      <c r="FR139">
        <f t="shared" si="165"/>
        <v>0</v>
      </c>
      <c r="FS139">
        <v>0</v>
      </c>
      <c r="FX139">
        <v>70</v>
      </c>
      <c r="FY139">
        <v>10</v>
      </c>
      <c r="GA139" t="s">
        <v>3</v>
      </c>
      <c r="GD139">
        <v>0</v>
      </c>
      <c r="GF139">
        <v>-1950218474</v>
      </c>
      <c r="GG139">
        <v>2</v>
      </c>
      <c r="GH139">
        <v>1</v>
      </c>
      <c r="GI139">
        <v>-2</v>
      </c>
      <c r="GJ139">
        <v>0</v>
      </c>
      <c r="GK139">
        <f>ROUND(R139*(R12)/100,2)</f>
        <v>0</v>
      </c>
      <c r="GL139">
        <f t="shared" si="166"/>
        <v>0</v>
      </c>
      <c r="GM139">
        <f t="shared" si="167"/>
        <v>0</v>
      </c>
      <c r="GN139">
        <f t="shared" si="168"/>
        <v>0</v>
      </c>
      <c r="GO139">
        <f t="shared" si="169"/>
        <v>0</v>
      </c>
      <c r="GP139">
        <f t="shared" si="170"/>
        <v>0</v>
      </c>
      <c r="GR139">
        <v>0</v>
      </c>
      <c r="GS139">
        <v>3</v>
      </c>
      <c r="GT139">
        <v>0</v>
      </c>
      <c r="GU139" t="s">
        <v>3</v>
      </c>
      <c r="GV139">
        <f t="shared" si="171"/>
        <v>0</v>
      </c>
      <c r="GW139">
        <v>1</v>
      </c>
      <c r="GX139">
        <f t="shared" si="172"/>
        <v>0</v>
      </c>
      <c r="HA139">
        <v>0</v>
      </c>
      <c r="HB139">
        <v>0</v>
      </c>
      <c r="HC139">
        <f t="shared" si="173"/>
        <v>0</v>
      </c>
      <c r="HE139" t="s">
        <v>3</v>
      </c>
      <c r="HF139" t="s">
        <v>3</v>
      </c>
      <c r="HM139" t="s">
        <v>3</v>
      </c>
      <c r="HN139" t="s">
        <v>3</v>
      </c>
      <c r="HO139" t="s">
        <v>3</v>
      </c>
      <c r="HP139" t="s">
        <v>3</v>
      </c>
      <c r="HQ139" t="s">
        <v>3</v>
      </c>
      <c r="IK139">
        <v>0</v>
      </c>
    </row>
    <row r="140" spans="1:245" x14ac:dyDescent="0.2">
      <c r="A140">
        <v>17</v>
      </c>
      <c r="B140">
        <v>1</v>
      </c>
      <c r="C140">
        <f>ROW(SmtRes!A240)</f>
        <v>240</v>
      </c>
      <c r="D140">
        <f>ROW(EtalonRes!A224)</f>
        <v>224</v>
      </c>
      <c r="E140" t="s">
        <v>432</v>
      </c>
      <c r="F140" t="s">
        <v>433</v>
      </c>
      <c r="G140" t="s">
        <v>434</v>
      </c>
      <c r="H140" t="s">
        <v>342</v>
      </c>
      <c r="I140">
        <v>0</v>
      </c>
      <c r="J140">
        <v>0</v>
      </c>
      <c r="K140">
        <v>0</v>
      </c>
      <c r="O140">
        <f t="shared" si="140"/>
        <v>0</v>
      </c>
      <c r="P140">
        <f t="shared" si="141"/>
        <v>0</v>
      </c>
      <c r="Q140">
        <f t="shared" si="142"/>
        <v>0</v>
      </c>
      <c r="R140">
        <f t="shared" si="143"/>
        <v>0</v>
      </c>
      <c r="S140">
        <f t="shared" si="144"/>
        <v>0</v>
      </c>
      <c r="T140">
        <f t="shared" si="145"/>
        <v>0</v>
      </c>
      <c r="U140">
        <f t="shared" si="146"/>
        <v>0</v>
      </c>
      <c r="V140">
        <f t="shared" si="147"/>
        <v>0</v>
      </c>
      <c r="W140">
        <f t="shared" si="148"/>
        <v>0</v>
      </c>
      <c r="X140">
        <f t="shared" si="149"/>
        <v>0</v>
      </c>
      <c r="Y140">
        <f t="shared" si="150"/>
        <v>0</v>
      </c>
      <c r="AA140">
        <v>43095088</v>
      </c>
      <c r="AB140">
        <f t="shared" si="151"/>
        <v>66552.88</v>
      </c>
      <c r="AC140">
        <f t="shared" si="152"/>
        <v>61973.95</v>
      </c>
      <c r="AD140">
        <f t="shared" si="134"/>
        <v>0</v>
      </c>
      <c r="AE140">
        <f t="shared" si="135"/>
        <v>0</v>
      </c>
      <c r="AF140">
        <f t="shared" si="136"/>
        <v>4578.93</v>
      </c>
      <c r="AG140">
        <f t="shared" si="153"/>
        <v>0</v>
      </c>
      <c r="AH140">
        <f t="shared" si="137"/>
        <v>15.41</v>
      </c>
      <c r="AI140">
        <f t="shared" si="138"/>
        <v>0</v>
      </c>
      <c r="AJ140">
        <f t="shared" si="154"/>
        <v>0</v>
      </c>
      <c r="AK140">
        <v>66552.88</v>
      </c>
      <c r="AL140">
        <v>61973.95</v>
      </c>
      <c r="AM140">
        <v>0</v>
      </c>
      <c r="AN140">
        <v>0</v>
      </c>
      <c r="AO140">
        <v>4578.93</v>
      </c>
      <c r="AP140">
        <v>0</v>
      </c>
      <c r="AQ140">
        <v>15.41</v>
      </c>
      <c r="AR140">
        <v>0</v>
      </c>
      <c r="AS140">
        <v>0</v>
      </c>
      <c r="AT140">
        <v>70</v>
      </c>
      <c r="AU140">
        <v>10</v>
      </c>
      <c r="AV140">
        <v>1</v>
      </c>
      <c r="AW140">
        <v>1</v>
      </c>
      <c r="AZ140">
        <v>1</v>
      </c>
      <c r="BA140">
        <v>1</v>
      </c>
      <c r="BB140">
        <v>1</v>
      </c>
      <c r="BC140">
        <v>1</v>
      </c>
      <c r="BD140" t="s">
        <v>3</v>
      </c>
      <c r="BE140" t="s">
        <v>3</v>
      </c>
      <c r="BF140" t="s">
        <v>3</v>
      </c>
      <c r="BG140" t="s">
        <v>3</v>
      </c>
      <c r="BH140">
        <v>0</v>
      </c>
      <c r="BI140">
        <v>4</v>
      </c>
      <c r="BJ140" t="s">
        <v>435</v>
      </c>
      <c r="BM140">
        <v>0</v>
      </c>
      <c r="BN140">
        <v>0</v>
      </c>
      <c r="BO140" t="s">
        <v>3</v>
      </c>
      <c r="BP140">
        <v>0</v>
      </c>
      <c r="BQ140">
        <v>1</v>
      </c>
      <c r="BR140">
        <v>0</v>
      </c>
      <c r="BS140">
        <v>1</v>
      </c>
      <c r="BT140">
        <v>1</v>
      </c>
      <c r="BU140">
        <v>1</v>
      </c>
      <c r="BV140">
        <v>1</v>
      </c>
      <c r="BW140">
        <v>1</v>
      </c>
      <c r="BX140">
        <v>1</v>
      </c>
      <c r="BY140" t="s">
        <v>3</v>
      </c>
      <c r="BZ140">
        <v>70</v>
      </c>
      <c r="CA140">
        <v>10</v>
      </c>
      <c r="CB140" t="s">
        <v>3</v>
      </c>
      <c r="CE140">
        <v>0</v>
      </c>
      <c r="CF140">
        <v>0</v>
      </c>
      <c r="CG140">
        <v>0</v>
      </c>
      <c r="CM140">
        <v>0</v>
      </c>
      <c r="CN140" t="s">
        <v>3</v>
      </c>
      <c r="CO140">
        <v>0</v>
      </c>
      <c r="CP140">
        <f t="shared" si="155"/>
        <v>0</v>
      </c>
      <c r="CQ140">
        <f t="shared" si="156"/>
        <v>61973.95</v>
      </c>
      <c r="CR140">
        <f t="shared" si="139"/>
        <v>0</v>
      </c>
      <c r="CS140">
        <f t="shared" si="157"/>
        <v>0</v>
      </c>
      <c r="CT140">
        <f t="shared" si="158"/>
        <v>4578.93</v>
      </c>
      <c r="CU140">
        <f t="shared" si="159"/>
        <v>0</v>
      </c>
      <c r="CV140">
        <f t="shared" si="160"/>
        <v>15.41</v>
      </c>
      <c r="CW140">
        <f t="shared" si="161"/>
        <v>0</v>
      </c>
      <c r="CX140">
        <f t="shared" si="162"/>
        <v>0</v>
      </c>
      <c r="CY140">
        <f t="shared" si="163"/>
        <v>0</v>
      </c>
      <c r="CZ140">
        <f t="shared" si="164"/>
        <v>0</v>
      </c>
      <c r="DC140" t="s">
        <v>3</v>
      </c>
      <c r="DD140" t="s">
        <v>3</v>
      </c>
      <c r="DE140" t="s">
        <v>3</v>
      </c>
      <c r="DF140" t="s">
        <v>3</v>
      </c>
      <c r="DG140" t="s">
        <v>3</v>
      </c>
      <c r="DH140" t="s">
        <v>3</v>
      </c>
      <c r="DI140" t="s">
        <v>3</v>
      </c>
      <c r="DJ140" t="s">
        <v>3</v>
      </c>
      <c r="DK140" t="s">
        <v>3</v>
      </c>
      <c r="DL140" t="s">
        <v>3</v>
      </c>
      <c r="DM140" t="s">
        <v>3</v>
      </c>
      <c r="DN140">
        <v>0</v>
      </c>
      <c r="DO140">
        <v>0</v>
      </c>
      <c r="DP140">
        <v>1</v>
      </c>
      <c r="DQ140">
        <v>1</v>
      </c>
      <c r="DU140">
        <v>1010</v>
      </c>
      <c r="DV140" t="s">
        <v>342</v>
      </c>
      <c r="DW140" t="s">
        <v>342</v>
      </c>
      <c r="DX140">
        <v>100</v>
      </c>
      <c r="DZ140" t="s">
        <v>3</v>
      </c>
      <c r="EA140" t="s">
        <v>3</v>
      </c>
      <c r="EB140" t="s">
        <v>3</v>
      </c>
      <c r="EC140" t="s">
        <v>3</v>
      </c>
      <c r="EE140">
        <v>43033442</v>
      </c>
      <c r="EF140">
        <v>1</v>
      </c>
      <c r="EG140" t="s">
        <v>22</v>
      </c>
      <c r="EH140">
        <v>0</v>
      </c>
      <c r="EI140" t="s">
        <v>3</v>
      </c>
      <c r="EJ140">
        <v>4</v>
      </c>
      <c r="EK140">
        <v>0</v>
      </c>
      <c r="EL140" t="s">
        <v>23</v>
      </c>
      <c r="EM140" t="s">
        <v>24</v>
      </c>
      <c r="EO140" t="s">
        <v>3</v>
      </c>
      <c r="EQ140">
        <v>0</v>
      </c>
      <c r="ER140">
        <v>66552.88</v>
      </c>
      <c r="ES140">
        <v>61973.95</v>
      </c>
      <c r="ET140">
        <v>0</v>
      </c>
      <c r="EU140">
        <v>0</v>
      </c>
      <c r="EV140">
        <v>4578.93</v>
      </c>
      <c r="EW140">
        <v>15.41</v>
      </c>
      <c r="EX140">
        <v>0</v>
      </c>
      <c r="EY140">
        <v>0</v>
      </c>
      <c r="FQ140">
        <v>0</v>
      </c>
      <c r="FR140">
        <f t="shared" si="165"/>
        <v>0</v>
      </c>
      <c r="FS140">
        <v>0</v>
      </c>
      <c r="FX140">
        <v>70</v>
      </c>
      <c r="FY140">
        <v>10</v>
      </c>
      <c r="GA140" t="s">
        <v>3</v>
      </c>
      <c r="GD140">
        <v>0</v>
      </c>
      <c r="GF140">
        <v>1215871456</v>
      </c>
      <c r="GG140">
        <v>2</v>
      </c>
      <c r="GH140">
        <v>1</v>
      </c>
      <c r="GI140">
        <v>-2</v>
      </c>
      <c r="GJ140">
        <v>0</v>
      </c>
      <c r="GK140">
        <f>ROUND(R140*(R12)/100,2)</f>
        <v>0</v>
      </c>
      <c r="GL140">
        <f t="shared" si="166"/>
        <v>0</v>
      </c>
      <c r="GM140">
        <f t="shared" si="167"/>
        <v>0</v>
      </c>
      <c r="GN140">
        <f t="shared" si="168"/>
        <v>0</v>
      </c>
      <c r="GO140">
        <f t="shared" si="169"/>
        <v>0</v>
      </c>
      <c r="GP140">
        <f t="shared" si="170"/>
        <v>0</v>
      </c>
      <c r="GR140">
        <v>0</v>
      </c>
      <c r="GS140">
        <v>3</v>
      </c>
      <c r="GT140">
        <v>0</v>
      </c>
      <c r="GU140" t="s">
        <v>3</v>
      </c>
      <c r="GV140">
        <f t="shared" si="171"/>
        <v>0</v>
      </c>
      <c r="GW140">
        <v>1</v>
      </c>
      <c r="GX140">
        <f t="shared" si="172"/>
        <v>0</v>
      </c>
      <c r="HA140">
        <v>0</v>
      </c>
      <c r="HB140">
        <v>0</v>
      </c>
      <c r="HC140">
        <f t="shared" si="173"/>
        <v>0</v>
      </c>
      <c r="HE140" t="s">
        <v>3</v>
      </c>
      <c r="HF140" t="s">
        <v>3</v>
      </c>
      <c r="HM140" t="s">
        <v>3</v>
      </c>
      <c r="HN140" t="s">
        <v>3</v>
      </c>
      <c r="HO140" t="s">
        <v>3</v>
      </c>
      <c r="HP140" t="s">
        <v>3</v>
      </c>
      <c r="HQ140" t="s">
        <v>3</v>
      </c>
      <c r="IK140">
        <v>0</v>
      </c>
    </row>
    <row r="141" spans="1:245" x14ac:dyDescent="0.2">
      <c r="A141">
        <v>17</v>
      </c>
      <c r="B141">
        <v>1</v>
      </c>
      <c r="C141">
        <f>ROW(SmtRes!A252)</f>
        <v>252</v>
      </c>
      <c r="D141">
        <f>ROW(EtalonRes!A236)</f>
        <v>236</v>
      </c>
      <c r="E141" t="s">
        <v>436</v>
      </c>
      <c r="F141" t="s">
        <v>437</v>
      </c>
      <c r="G141" t="s">
        <v>438</v>
      </c>
      <c r="H141" t="s">
        <v>388</v>
      </c>
      <c r="I141">
        <v>0</v>
      </c>
      <c r="J141">
        <v>0</v>
      </c>
      <c r="K141">
        <v>0</v>
      </c>
      <c r="O141">
        <f t="shared" si="140"/>
        <v>0</v>
      </c>
      <c r="P141">
        <f t="shared" si="141"/>
        <v>0</v>
      </c>
      <c r="Q141">
        <f t="shared" si="142"/>
        <v>0</v>
      </c>
      <c r="R141">
        <f t="shared" si="143"/>
        <v>0</v>
      </c>
      <c r="S141">
        <f t="shared" si="144"/>
        <v>0</v>
      </c>
      <c r="T141">
        <f t="shared" si="145"/>
        <v>0</v>
      </c>
      <c r="U141">
        <f t="shared" si="146"/>
        <v>0</v>
      </c>
      <c r="V141">
        <f t="shared" si="147"/>
        <v>0</v>
      </c>
      <c r="W141">
        <f t="shared" si="148"/>
        <v>0</v>
      </c>
      <c r="X141">
        <f t="shared" si="149"/>
        <v>0</v>
      </c>
      <c r="Y141">
        <f t="shared" si="150"/>
        <v>0</v>
      </c>
      <c r="AA141">
        <v>43095088</v>
      </c>
      <c r="AB141">
        <f t="shared" si="151"/>
        <v>6224.6180000000004</v>
      </c>
      <c r="AC141">
        <f>ROUND(((ES141*0)),6)</f>
        <v>0</v>
      </c>
      <c r="AD141">
        <f>ROUND(((((ET141*0.2))-((EU141*0.2)))+AE141),6)</f>
        <v>77.866</v>
      </c>
      <c r="AE141">
        <f>ROUND(((EU141*0.2)),6)</f>
        <v>3.3359999999999999</v>
      </c>
      <c r="AF141">
        <f>ROUND(((EV141*0.2)),6)</f>
        <v>6146.7520000000004</v>
      </c>
      <c r="AG141">
        <f t="shared" si="153"/>
        <v>0</v>
      </c>
      <c r="AH141">
        <f>((EW141*0.2))</f>
        <v>25.604000000000003</v>
      </c>
      <c r="AI141">
        <f>((EX141*0.2))</f>
        <v>0</v>
      </c>
      <c r="AJ141">
        <f t="shared" si="154"/>
        <v>0</v>
      </c>
      <c r="AK141">
        <v>183356.6</v>
      </c>
      <c r="AL141">
        <v>152233.51</v>
      </c>
      <c r="AM141">
        <v>389.33</v>
      </c>
      <c r="AN141">
        <v>16.68</v>
      </c>
      <c r="AO141">
        <v>30733.759999999998</v>
      </c>
      <c r="AP141">
        <v>0</v>
      </c>
      <c r="AQ141">
        <v>128.02000000000001</v>
      </c>
      <c r="AR141">
        <v>0</v>
      </c>
      <c r="AS141">
        <v>0</v>
      </c>
      <c r="AT141">
        <v>70</v>
      </c>
      <c r="AU141">
        <v>10</v>
      </c>
      <c r="AV141">
        <v>1</v>
      </c>
      <c r="AW141">
        <v>1</v>
      </c>
      <c r="AZ141">
        <v>1</v>
      </c>
      <c r="BA141">
        <v>1</v>
      </c>
      <c r="BB141">
        <v>1</v>
      </c>
      <c r="BC141">
        <v>1</v>
      </c>
      <c r="BD141" t="s">
        <v>3</v>
      </c>
      <c r="BE141" t="s">
        <v>3</v>
      </c>
      <c r="BF141" t="s">
        <v>3</v>
      </c>
      <c r="BG141" t="s">
        <v>3</v>
      </c>
      <c r="BH141">
        <v>0</v>
      </c>
      <c r="BI141">
        <v>4</v>
      </c>
      <c r="BJ141" t="s">
        <v>439</v>
      </c>
      <c r="BM141">
        <v>0</v>
      </c>
      <c r="BN141">
        <v>0</v>
      </c>
      <c r="BO141" t="s">
        <v>3</v>
      </c>
      <c r="BP141">
        <v>0</v>
      </c>
      <c r="BQ141">
        <v>1</v>
      </c>
      <c r="BR141">
        <v>0</v>
      </c>
      <c r="BS141">
        <v>1</v>
      </c>
      <c r="BT141">
        <v>1</v>
      </c>
      <c r="BU141">
        <v>1</v>
      </c>
      <c r="BV141">
        <v>1</v>
      </c>
      <c r="BW141">
        <v>1</v>
      </c>
      <c r="BX141">
        <v>1</v>
      </c>
      <c r="BY141" t="s">
        <v>3</v>
      </c>
      <c r="BZ141">
        <v>70</v>
      </c>
      <c r="CA141">
        <v>10</v>
      </c>
      <c r="CB141" t="s">
        <v>3</v>
      </c>
      <c r="CE141">
        <v>0</v>
      </c>
      <c r="CF141">
        <v>0</v>
      </c>
      <c r="CG141">
        <v>0</v>
      </c>
      <c r="CM141">
        <v>0</v>
      </c>
      <c r="CN141" t="s">
        <v>797</v>
      </c>
      <c r="CO141">
        <v>0</v>
      </c>
      <c r="CP141">
        <f t="shared" si="155"/>
        <v>0</v>
      </c>
      <c r="CQ141">
        <f t="shared" si="156"/>
        <v>0</v>
      </c>
      <c r="CR141">
        <f>(((((ET141*0.2))*BB141-((EU141*0.2))*BS141)+AE141*BS141)*AV141)</f>
        <v>77.866</v>
      </c>
      <c r="CS141">
        <f t="shared" si="157"/>
        <v>3.3359999999999999</v>
      </c>
      <c r="CT141">
        <f t="shared" si="158"/>
        <v>6146.7520000000004</v>
      </c>
      <c r="CU141">
        <f t="shared" si="159"/>
        <v>0</v>
      </c>
      <c r="CV141">
        <f t="shared" si="160"/>
        <v>25.604000000000003</v>
      </c>
      <c r="CW141">
        <f t="shared" si="161"/>
        <v>0</v>
      </c>
      <c r="CX141">
        <f t="shared" si="162"/>
        <v>0</v>
      </c>
      <c r="CY141">
        <f t="shared" si="163"/>
        <v>0</v>
      </c>
      <c r="CZ141">
        <f t="shared" si="164"/>
        <v>0</v>
      </c>
      <c r="DC141" t="s">
        <v>3</v>
      </c>
      <c r="DD141" t="s">
        <v>440</v>
      </c>
      <c r="DE141" t="s">
        <v>441</v>
      </c>
      <c r="DF141" t="s">
        <v>441</v>
      </c>
      <c r="DG141" t="s">
        <v>441</v>
      </c>
      <c r="DH141" t="s">
        <v>3</v>
      </c>
      <c r="DI141" t="s">
        <v>441</v>
      </c>
      <c r="DJ141" t="s">
        <v>441</v>
      </c>
      <c r="DK141" t="s">
        <v>3</v>
      </c>
      <c r="DL141" t="s">
        <v>3</v>
      </c>
      <c r="DM141" t="s">
        <v>3</v>
      </c>
      <c r="DN141">
        <v>0</v>
      </c>
      <c r="DO141">
        <v>0</v>
      </c>
      <c r="DP141">
        <v>1</v>
      </c>
      <c r="DQ141">
        <v>1</v>
      </c>
      <c r="DU141">
        <v>1005</v>
      </c>
      <c r="DV141" t="s">
        <v>388</v>
      </c>
      <c r="DW141" t="s">
        <v>388</v>
      </c>
      <c r="DX141">
        <v>100</v>
      </c>
      <c r="DZ141" t="s">
        <v>3</v>
      </c>
      <c r="EA141" t="s">
        <v>3</v>
      </c>
      <c r="EB141" t="s">
        <v>3</v>
      </c>
      <c r="EC141" t="s">
        <v>3</v>
      </c>
      <c r="EE141">
        <v>43033442</v>
      </c>
      <c r="EF141">
        <v>1</v>
      </c>
      <c r="EG141" t="s">
        <v>22</v>
      </c>
      <c r="EH141">
        <v>0</v>
      </c>
      <c r="EI141" t="s">
        <v>3</v>
      </c>
      <c r="EJ141">
        <v>4</v>
      </c>
      <c r="EK141">
        <v>0</v>
      </c>
      <c r="EL141" t="s">
        <v>23</v>
      </c>
      <c r="EM141" t="s">
        <v>24</v>
      </c>
      <c r="EO141" t="s">
        <v>442</v>
      </c>
      <c r="EQ141">
        <v>0</v>
      </c>
      <c r="ER141">
        <v>183356.6</v>
      </c>
      <c r="ES141">
        <v>152233.51</v>
      </c>
      <c r="ET141">
        <v>389.33</v>
      </c>
      <c r="EU141">
        <v>16.68</v>
      </c>
      <c r="EV141">
        <v>30733.759999999998</v>
      </c>
      <c r="EW141">
        <v>128.02000000000001</v>
      </c>
      <c r="EX141">
        <v>0</v>
      </c>
      <c r="EY141">
        <v>0</v>
      </c>
      <c r="FQ141">
        <v>0</v>
      </c>
      <c r="FR141">
        <f t="shared" si="165"/>
        <v>0</v>
      </c>
      <c r="FS141">
        <v>0</v>
      </c>
      <c r="FX141">
        <v>70</v>
      </c>
      <c r="FY141">
        <v>10</v>
      </c>
      <c r="GA141" t="s">
        <v>3</v>
      </c>
      <c r="GD141">
        <v>0</v>
      </c>
      <c r="GF141">
        <v>914735714</v>
      </c>
      <c r="GG141">
        <v>2</v>
      </c>
      <c r="GH141">
        <v>1</v>
      </c>
      <c r="GI141">
        <v>-2</v>
      </c>
      <c r="GJ141">
        <v>0</v>
      </c>
      <c r="GK141">
        <f>ROUND(R141*(R12)/100,2)</f>
        <v>0</v>
      </c>
      <c r="GL141">
        <f t="shared" si="166"/>
        <v>0</v>
      </c>
      <c r="GM141">
        <f t="shared" si="167"/>
        <v>0</v>
      </c>
      <c r="GN141">
        <f t="shared" si="168"/>
        <v>0</v>
      </c>
      <c r="GO141">
        <f t="shared" si="169"/>
        <v>0</v>
      </c>
      <c r="GP141">
        <f t="shared" si="170"/>
        <v>0</v>
      </c>
      <c r="GR141">
        <v>0</v>
      </c>
      <c r="GS141">
        <v>3</v>
      </c>
      <c r="GT141">
        <v>0</v>
      </c>
      <c r="GU141" t="s">
        <v>3</v>
      </c>
      <c r="GV141">
        <f t="shared" si="171"/>
        <v>0</v>
      </c>
      <c r="GW141">
        <v>1</v>
      </c>
      <c r="GX141">
        <f t="shared" si="172"/>
        <v>0</v>
      </c>
      <c r="HA141">
        <v>0</v>
      </c>
      <c r="HB141">
        <v>0</v>
      </c>
      <c r="HC141">
        <f t="shared" si="173"/>
        <v>0</v>
      </c>
      <c r="HE141" t="s">
        <v>3</v>
      </c>
      <c r="HF141" t="s">
        <v>3</v>
      </c>
      <c r="HM141" t="s">
        <v>3</v>
      </c>
      <c r="HN141" t="s">
        <v>3</v>
      </c>
      <c r="HO141" t="s">
        <v>3</v>
      </c>
      <c r="HP141" t="s">
        <v>3</v>
      </c>
      <c r="HQ141" t="s">
        <v>3</v>
      </c>
      <c r="IK141">
        <v>0</v>
      </c>
    </row>
    <row r="142" spans="1:245" x14ac:dyDescent="0.2">
      <c r="A142">
        <v>17</v>
      </c>
      <c r="B142">
        <v>1</v>
      </c>
      <c r="C142">
        <f>ROW(SmtRes!A264)</f>
        <v>264</v>
      </c>
      <c r="D142">
        <f>ROW(EtalonRes!A248)</f>
        <v>248</v>
      </c>
      <c r="E142" t="s">
        <v>443</v>
      </c>
      <c r="F142" t="s">
        <v>437</v>
      </c>
      <c r="G142" t="s">
        <v>444</v>
      </c>
      <c r="H142" t="s">
        <v>388</v>
      </c>
      <c r="I142">
        <v>0</v>
      </c>
      <c r="J142">
        <v>0</v>
      </c>
      <c r="K142">
        <v>0</v>
      </c>
      <c r="O142">
        <f t="shared" si="140"/>
        <v>0</v>
      </c>
      <c r="P142">
        <f t="shared" si="141"/>
        <v>0</v>
      </c>
      <c r="Q142">
        <f t="shared" si="142"/>
        <v>0</v>
      </c>
      <c r="R142">
        <f t="shared" si="143"/>
        <v>0</v>
      </c>
      <c r="S142">
        <f t="shared" si="144"/>
        <v>0</v>
      </c>
      <c r="T142">
        <f t="shared" si="145"/>
        <v>0</v>
      </c>
      <c r="U142">
        <f t="shared" si="146"/>
        <v>0</v>
      </c>
      <c r="V142">
        <f t="shared" si="147"/>
        <v>0</v>
      </c>
      <c r="W142">
        <f t="shared" si="148"/>
        <v>0</v>
      </c>
      <c r="X142">
        <f t="shared" si="149"/>
        <v>0</v>
      </c>
      <c r="Y142">
        <f t="shared" si="150"/>
        <v>0</v>
      </c>
      <c r="AA142">
        <v>43095088</v>
      </c>
      <c r="AB142">
        <f t="shared" si="151"/>
        <v>183356.6</v>
      </c>
      <c r="AC142">
        <f t="shared" ref="AC142:AC154" si="174">ROUND((ES142),6)</f>
        <v>152233.51</v>
      </c>
      <c r="AD142">
        <f t="shared" ref="AD142:AD154" si="175">ROUND((((ET142)-(EU142))+AE142),6)</f>
        <v>389.33</v>
      </c>
      <c r="AE142">
        <f t="shared" ref="AE142:AE154" si="176">ROUND((EU142),6)</f>
        <v>16.68</v>
      </c>
      <c r="AF142">
        <f t="shared" ref="AF142:AF154" si="177">ROUND((EV142),6)</f>
        <v>30733.759999999998</v>
      </c>
      <c r="AG142">
        <f t="shared" si="153"/>
        <v>0</v>
      </c>
      <c r="AH142">
        <f t="shared" ref="AH142:AH154" si="178">(EW142)</f>
        <v>128.02000000000001</v>
      </c>
      <c r="AI142">
        <f t="shared" ref="AI142:AI154" si="179">(EX142)</f>
        <v>0</v>
      </c>
      <c r="AJ142">
        <f t="shared" si="154"/>
        <v>0</v>
      </c>
      <c r="AK142">
        <v>183356.6</v>
      </c>
      <c r="AL142">
        <v>152233.51</v>
      </c>
      <c r="AM142">
        <v>389.33</v>
      </c>
      <c r="AN142">
        <v>16.68</v>
      </c>
      <c r="AO142">
        <v>30733.759999999998</v>
      </c>
      <c r="AP142">
        <v>0</v>
      </c>
      <c r="AQ142">
        <v>128.02000000000001</v>
      </c>
      <c r="AR142">
        <v>0</v>
      </c>
      <c r="AS142">
        <v>0</v>
      </c>
      <c r="AT142">
        <v>70</v>
      </c>
      <c r="AU142">
        <v>10</v>
      </c>
      <c r="AV142">
        <v>1</v>
      </c>
      <c r="AW142">
        <v>1</v>
      </c>
      <c r="AZ142">
        <v>1</v>
      </c>
      <c r="BA142">
        <v>1</v>
      </c>
      <c r="BB142">
        <v>1</v>
      </c>
      <c r="BC142">
        <v>1</v>
      </c>
      <c r="BD142" t="s">
        <v>3</v>
      </c>
      <c r="BE142" t="s">
        <v>3</v>
      </c>
      <c r="BF142" t="s">
        <v>3</v>
      </c>
      <c r="BG142" t="s">
        <v>3</v>
      </c>
      <c r="BH142">
        <v>0</v>
      </c>
      <c r="BI142">
        <v>4</v>
      </c>
      <c r="BJ142" t="s">
        <v>439</v>
      </c>
      <c r="BM142">
        <v>0</v>
      </c>
      <c r="BN142">
        <v>0</v>
      </c>
      <c r="BO142" t="s">
        <v>3</v>
      </c>
      <c r="BP142">
        <v>0</v>
      </c>
      <c r="BQ142">
        <v>1</v>
      </c>
      <c r="BR142">
        <v>0</v>
      </c>
      <c r="BS142">
        <v>1</v>
      </c>
      <c r="BT142">
        <v>1</v>
      </c>
      <c r="BU142">
        <v>1</v>
      </c>
      <c r="BV142">
        <v>1</v>
      </c>
      <c r="BW142">
        <v>1</v>
      </c>
      <c r="BX142">
        <v>1</v>
      </c>
      <c r="BY142" t="s">
        <v>3</v>
      </c>
      <c r="BZ142">
        <v>70</v>
      </c>
      <c r="CA142">
        <v>10</v>
      </c>
      <c r="CB142" t="s">
        <v>3</v>
      </c>
      <c r="CE142">
        <v>0</v>
      </c>
      <c r="CF142">
        <v>0</v>
      </c>
      <c r="CG142">
        <v>0</v>
      </c>
      <c r="CM142">
        <v>0</v>
      </c>
      <c r="CN142" t="s">
        <v>3</v>
      </c>
      <c r="CO142">
        <v>0</v>
      </c>
      <c r="CP142">
        <f t="shared" si="155"/>
        <v>0</v>
      </c>
      <c r="CQ142">
        <f t="shared" si="156"/>
        <v>152233.51</v>
      </c>
      <c r="CR142">
        <f t="shared" ref="CR142:CR154" si="180">((((ET142)*BB142-(EU142)*BS142)+AE142*BS142)*AV142)</f>
        <v>389.33</v>
      </c>
      <c r="CS142">
        <f t="shared" si="157"/>
        <v>16.68</v>
      </c>
      <c r="CT142">
        <f t="shared" si="158"/>
        <v>30733.759999999998</v>
      </c>
      <c r="CU142">
        <f t="shared" si="159"/>
        <v>0</v>
      </c>
      <c r="CV142">
        <f t="shared" si="160"/>
        <v>128.02000000000001</v>
      </c>
      <c r="CW142">
        <f t="shared" si="161"/>
        <v>0</v>
      </c>
      <c r="CX142">
        <f t="shared" si="162"/>
        <v>0</v>
      </c>
      <c r="CY142">
        <f t="shared" si="163"/>
        <v>0</v>
      </c>
      <c r="CZ142">
        <f t="shared" si="164"/>
        <v>0</v>
      </c>
      <c r="DC142" t="s">
        <v>3</v>
      </c>
      <c r="DD142" t="s">
        <v>3</v>
      </c>
      <c r="DE142" t="s">
        <v>3</v>
      </c>
      <c r="DF142" t="s">
        <v>3</v>
      </c>
      <c r="DG142" t="s">
        <v>3</v>
      </c>
      <c r="DH142" t="s">
        <v>3</v>
      </c>
      <c r="DI142" t="s">
        <v>3</v>
      </c>
      <c r="DJ142" t="s">
        <v>3</v>
      </c>
      <c r="DK142" t="s">
        <v>3</v>
      </c>
      <c r="DL142" t="s">
        <v>3</v>
      </c>
      <c r="DM142" t="s">
        <v>3</v>
      </c>
      <c r="DN142">
        <v>0</v>
      </c>
      <c r="DO142">
        <v>0</v>
      </c>
      <c r="DP142">
        <v>1</v>
      </c>
      <c r="DQ142">
        <v>1</v>
      </c>
      <c r="DU142">
        <v>1005</v>
      </c>
      <c r="DV142" t="s">
        <v>388</v>
      </c>
      <c r="DW142" t="s">
        <v>388</v>
      </c>
      <c r="DX142">
        <v>100</v>
      </c>
      <c r="DZ142" t="s">
        <v>3</v>
      </c>
      <c r="EA142" t="s">
        <v>3</v>
      </c>
      <c r="EB142" t="s">
        <v>3</v>
      </c>
      <c r="EC142" t="s">
        <v>3</v>
      </c>
      <c r="EE142">
        <v>43033442</v>
      </c>
      <c r="EF142">
        <v>1</v>
      </c>
      <c r="EG142" t="s">
        <v>22</v>
      </c>
      <c r="EH142">
        <v>0</v>
      </c>
      <c r="EI142" t="s">
        <v>3</v>
      </c>
      <c r="EJ142">
        <v>4</v>
      </c>
      <c r="EK142">
        <v>0</v>
      </c>
      <c r="EL142" t="s">
        <v>23</v>
      </c>
      <c r="EM142" t="s">
        <v>24</v>
      </c>
      <c r="EO142" t="s">
        <v>3</v>
      </c>
      <c r="EQ142">
        <v>0</v>
      </c>
      <c r="ER142">
        <v>183356.6</v>
      </c>
      <c r="ES142">
        <v>152233.51</v>
      </c>
      <c r="ET142">
        <v>389.33</v>
      </c>
      <c r="EU142">
        <v>16.68</v>
      </c>
      <c r="EV142">
        <v>30733.759999999998</v>
      </c>
      <c r="EW142">
        <v>128.02000000000001</v>
      </c>
      <c r="EX142">
        <v>0</v>
      </c>
      <c r="EY142">
        <v>0</v>
      </c>
      <c r="FQ142">
        <v>0</v>
      </c>
      <c r="FR142">
        <f t="shared" si="165"/>
        <v>0</v>
      </c>
      <c r="FS142">
        <v>0</v>
      </c>
      <c r="FX142">
        <v>70</v>
      </c>
      <c r="FY142">
        <v>10</v>
      </c>
      <c r="GA142" t="s">
        <v>3</v>
      </c>
      <c r="GD142">
        <v>0</v>
      </c>
      <c r="GF142">
        <v>-1298002064</v>
      </c>
      <c r="GG142">
        <v>2</v>
      </c>
      <c r="GH142">
        <v>1</v>
      </c>
      <c r="GI142">
        <v>-2</v>
      </c>
      <c r="GJ142">
        <v>0</v>
      </c>
      <c r="GK142">
        <f>ROUND(R142*(R12)/100,2)</f>
        <v>0</v>
      </c>
      <c r="GL142">
        <f t="shared" si="166"/>
        <v>0</v>
      </c>
      <c r="GM142">
        <f t="shared" si="167"/>
        <v>0</v>
      </c>
      <c r="GN142">
        <f t="shared" si="168"/>
        <v>0</v>
      </c>
      <c r="GO142">
        <f t="shared" si="169"/>
        <v>0</v>
      </c>
      <c r="GP142">
        <f t="shared" si="170"/>
        <v>0</v>
      </c>
      <c r="GR142">
        <v>0</v>
      </c>
      <c r="GS142">
        <v>3</v>
      </c>
      <c r="GT142">
        <v>0</v>
      </c>
      <c r="GU142" t="s">
        <v>3</v>
      </c>
      <c r="GV142">
        <f t="shared" si="171"/>
        <v>0</v>
      </c>
      <c r="GW142">
        <v>1</v>
      </c>
      <c r="GX142">
        <f t="shared" si="172"/>
        <v>0</v>
      </c>
      <c r="HA142">
        <v>0</v>
      </c>
      <c r="HB142">
        <v>0</v>
      </c>
      <c r="HC142">
        <f t="shared" si="173"/>
        <v>0</v>
      </c>
      <c r="HE142" t="s">
        <v>3</v>
      </c>
      <c r="HF142" t="s">
        <v>3</v>
      </c>
      <c r="HM142" t="s">
        <v>3</v>
      </c>
      <c r="HN142" t="s">
        <v>3</v>
      </c>
      <c r="HO142" t="s">
        <v>3</v>
      </c>
      <c r="HP142" t="s">
        <v>3</v>
      </c>
      <c r="HQ142" t="s">
        <v>3</v>
      </c>
      <c r="IK142">
        <v>0</v>
      </c>
    </row>
    <row r="143" spans="1:245" x14ac:dyDescent="0.2">
      <c r="A143">
        <v>18</v>
      </c>
      <c r="B143">
        <v>1</v>
      </c>
      <c r="C143">
        <v>257</v>
      </c>
      <c r="E143" t="s">
        <v>445</v>
      </c>
      <c r="F143" t="s">
        <v>446</v>
      </c>
      <c r="G143" t="s">
        <v>447</v>
      </c>
      <c r="H143" t="s">
        <v>342</v>
      </c>
      <c r="I143">
        <f>I142*J143</f>
        <v>0</v>
      </c>
      <c r="J143">
        <v>-29</v>
      </c>
      <c r="K143">
        <v>-29</v>
      </c>
      <c r="O143">
        <f t="shared" si="140"/>
        <v>0</v>
      </c>
      <c r="P143">
        <f t="shared" si="141"/>
        <v>0</v>
      </c>
      <c r="Q143">
        <f t="shared" si="142"/>
        <v>0</v>
      </c>
      <c r="R143">
        <f t="shared" si="143"/>
        <v>0</v>
      </c>
      <c r="S143">
        <f t="shared" si="144"/>
        <v>0</v>
      </c>
      <c r="T143">
        <f t="shared" si="145"/>
        <v>0</v>
      </c>
      <c r="U143">
        <f t="shared" si="146"/>
        <v>0</v>
      </c>
      <c r="V143">
        <f t="shared" si="147"/>
        <v>0</v>
      </c>
      <c r="W143">
        <f t="shared" si="148"/>
        <v>0</v>
      </c>
      <c r="X143">
        <f t="shared" si="149"/>
        <v>0</v>
      </c>
      <c r="Y143">
        <f t="shared" si="150"/>
        <v>0</v>
      </c>
      <c r="AA143">
        <v>43095088</v>
      </c>
      <c r="AB143">
        <f t="shared" si="151"/>
        <v>24.56</v>
      </c>
      <c r="AC143">
        <f t="shared" si="174"/>
        <v>24.56</v>
      </c>
      <c r="AD143">
        <f t="shared" si="175"/>
        <v>0</v>
      </c>
      <c r="AE143">
        <f t="shared" si="176"/>
        <v>0</v>
      </c>
      <c r="AF143">
        <f t="shared" si="177"/>
        <v>0</v>
      </c>
      <c r="AG143">
        <f t="shared" si="153"/>
        <v>0</v>
      </c>
      <c r="AH143">
        <f t="shared" si="178"/>
        <v>0</v>
      </c>
      <c r="AI143">
        <f t="shared" si="179"/>
        <v>0</v>
      </c>
      <c r="AJ143">
        <f t="shared" si="154"/>
        <v>0</v>
      </c>
      <c r="AK143">
        <v>24.56</v>
      </c>
      <c r="AL143">
        <v>24.56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70</v>
      </c>
      <c r="AU143">
        <v>10</v>
      </c>
      <c r="AV143">
        <v>1</v>
      </c>
      <c r="AW143">
        <v>1</v>
      </c>
      <c r="AZ143">
        <v>1</v>
      </c>
      <c r="BA143">
        <v>1</v>
      </c>
      <c r="BB143">
        <v>1</v>
      </c>
      <c r="BC143">
        <v>1</v>
      </c>
      <c r="BD143" t="s">
        <v>3</v>
      </c>
      <c r="BE143" t="s">
        <v>3</v>
      </c>
      <c r="BF143" t="s">
        <v>3</v>
      </c>
      <c r="BG143" t="s">
        <v>3</v>
      </c>
      <c r="BH143">
        <v>3</v>
      </c>
      <c r="BI143">
        <v>4</v>
      </c>
      <c r="BJ143" t="s">
        <v>448</v>
      </c>
      <c r="BM143">
        <v>0</v>
      </c>
      <c r="BN143">
        <v>0</v>
      </c>
      <c r="BO143" t="s">
        <v>3</v>
      </c>
      <c r="BP143">
        <v>0</v>
      </c>
      <c r="BQ143">
        <v>1</v>
      </c>
      <c r="BR143">
        <v>1</v>
      </c>
      <c r="BS143">
        <v>1</v>
      </c>
      <c r="BT143">
        <v>1</v>
      </c>
      <c r="BU143">
        <v>1</v>
      </c>
      <c r="BV143">
        <v>1</v>
      </c>
      <c r="BW143">
        <v>1</v>
      </c>
      <c r="BX143">
        <v>1</v>
      </c>
      <c r="BY143" t="s">
        <v>3</v>
      </c>
      <c r="BZ143">
        <v>70</v>
      </c>
      <c r="CA143">
        <v>10</v>
      </c>
      <c r="CB143" t="s">
        <v>3</v>
      </c>
      <c r="CE143">
        <v>0</v>
      </c>
      <c r="CF143">
        <v>0</v>
      </c>
      <c r="CG143">
        <v>0</v>
      </c>
      <c r="CM143">
        <v>0</v>
      </c>
      <c r="CN143" t="s">
        <v>3</v>
      </c>
      <c r="CO143">
        <v>0</v>
      </c>
      <c r="CP143">
        <f t="shared" si="155"/>
        <v>0</v>
      </c>
      <c r="CQ143">
        <f t="shared" si="156"/>
        <v>24.56</v>
      </c>
      <c r="CR143">
        <f t="shared" si="180"/>
        <v>0</v>
      </c>
      <c r="CS143">
        <f t="shared" si="157"/>
        <v>0</v>
      </c>
      <c r="CT143">
        <f t="shared" si="158"/>
        <v>0</v>
      </c>
      <c r="CU143">
        <f t="shared" si="159"/>
        <v>0</v>
      </c>
      <c r="CV143">
        <f t="shared" si="160"/>
        <v>0</v>
      </c>
      <c r="CW143">
        <f t="shared" si="161"/>
        <v>0</v>
      </c>
      <c r="CX143">
        <f t="shared" si="162"/>
        <v>0</v>
      </c>
      <c r="CY143">
        <f t="shared" si="163"/>
        <v>0</v>
      </c>
      <c r="CZ143">
        <f t="shared" si="164"/>
        <v>0</v>
      </c>
      <c r="DC143" t="s">
        <v>3</v>
      </c>
      <c r="DD143" t="s">
        <v>3</v>
      </c>
      <c r="DE143" t="s">
        <v>3</v>
      </c>
      <c r="DF143" t="s">
        <v>3</v>
      </c>
      <c r="DG143" t="s">
        <v>3</v>
      </c>
      <c r="DH143" t="s">
        <v>3</v>
      </c>
      <c r="DI143" t="s">
        <v>3</v>
      </c>
      <c r="DJ143" t="s">
        <v>3</v>
      </c>
      <c r="DK143" t="s">
        <v>3</v>
      </c>
      <c r="DL143" t="s">
        <v>3</v>
      </c>
      <c r="DM143" t="s">
        <v>3</v>
      </c>
      <c r="DN143">
        <v>0</v>
      </c>
      <c r="DO143">
        <v>0</v>
      </c>
      <c r="DP143">
        <v>1</v>
      </c>
      <c r="DQ143">
        <v>1</v>
      </c>
      <c r="DU143">
        <v>1010</v>
      </c>
      <c r="DV143" t="s">
        <v>342</v>
      </c>
      <c r="DW143" t="s">
        <v>342</v>
      </c>
      <c r="DX143">
        <v>100</v>
      </c>
      <c r="DZ143" t="s">
        <v>3</v>
      </c>
      <c r="EA143" t="s">
        <v>3</v>
      </c>
      <c r="EB143" t="s">
        <v>3</v>
      </c>
      <c r="EC143" t="s">
        <v>3</v>
      </c>
      <c r="EE143">
        <v>43033442</v>
      </c>
      <c r="EF143">
        <v>1</v>
      </c>
      <c r="EG143" t="s">
        <v>22</v>
      </c>
      <c r="EH143">
        <v>0</v>
      </c>
      <c r="EI143" t="s">
        <v>3</v>
      </c>
      <c r="EJ143">
        <v>4</v>
      </c>
      <c r="EK143">
        <v>0</v>
      </c>
      <c r="EL143" t="s">
        <v>23</v>
      </c>
      <c r="EM143" t="s">
        <v>24</v>
      </c>
      <c r="EO143" t="s">
        <v>3</v>
      </c>
      <c r="EQ143">
        <v>0</v>
      </c>
      <c r="ER143">
        <v>24.56</v>
      </c>
      <c r="ES143">
        <v>24.56</v>
      </c>
      <c r="ET143">
        <v>0</v>
      </c>
      <c r="EU143">
        <v>0</v>
      </c>
      <c r="EV143">
        <v>0</v>
      </c>
      <c r="EW143">
        <v>0</v>
      </c>
      <c r="EX143">
        <v>0</v>
      </c>
      <c r="FQ143">
        <v>0</v>
      </c>
      <c r="FR143">
        <f t="shared" si="165"/>
        <v>0</v>
      </c>
      <c r="FS143">
        <v>0</v>
      </c>
      <c r="FX143">
        <v>70</v>
      </c>
      <c r="FY143">
        <v>10</v>
      </c>
      <c r="GA143" t="s">
        <v>3</v>
      </c>
      <c r="GD143">
        <v>0</v>
      </c>
      <c r="GF143">
        <v>-177941802</v>
      </c>
      <c r="GG143">
        <v>2</v>
      </c>
      <c r="GH143">
        <v>1</v>
      </c>
      <c r="GI143">
        <v>-2</v>
      </c>
      <c r="GJ143">
        <v>0</v>
      </c>
      <c r="GK143">
        <f>ROUND(R143*(R12)/100,2)</f>
        <v>0</v>
      </c>
      <c r="GL143">
        <f t="shared" si="166"/>
        <v>0</v>
      </c>
      <c r="GM143">
        <f t="shared" si="167"/>
        <v>0</v>
      </c>
      <c r="GN143">
        <f t="shared" si="168"/>
        <v>0</v>
      </c>
      <c r="GO143">
        <f t="shared" si="169"/>
        <v>0</v>
      </c>
      <c r="GP143">
        <f t="shared" si="170"/>
        <v>0</v>
      </c>
      <c r="GR143">
        <v>0</v>
      </c>
      <c r="GS143">
        <v>3</v>
      </c>
      <c r="GT143">
        <v>0</v>
      </c>
      <c r="GU143" t="s">
        <v>3</v>
      </c>
      <c r="GV143">
        <f t="shared" si="171"/>
        <v>0</v>
      </c>
      <c r="GW143">
        <v>1</v>
      </c>
      <c r="GX143">
        <f t="shared" si="172"/>
        <v>0</v>
      </c>
      <c r="HA143">
        <v>0</v>
      </c>
      <c r="HB143">
        <v>0</v>
      </c>
      <c r="HC143">
        <f t="shared" si="173"/>
        <v>0</v>
      </c>
      <c r="HE143" t="s">
        <v>3</v>
      </c>
      <c r="HF143" t="s">
        <v>3</v>
      </c>
      <c r="HM143" t="s">
        <v>3</v>
      </c>
      <c r="HN143" t="s">
        <v>3</v>
      </c>
      <c r="HO143" t="s">
        <v>3</v>
      </c>
      <c r="HP143" t="s">
        <v>3</v>
      </c>
      <c r="HQ143" t="s">
        <v>3</v>
      </c>
      <c r="IK143">
        <v>0</v>
      </c>
    </row>
    <row r="144" spans="1:245" x14ac:dyDescent="0.2">
      <c r="A144">
        <v>18</v>
      </c>
      <c r="B144">
        <v>1</v>
      </c>
      <c r="C144">
        <v>258</v>
      </c>
      <c r="E144" t="s">
        <v>449</v>
      </c>
      <c r="F144" t="s">
        <v>450</v>
      </c>
      <c r="G144" t="s">
        <v>451</v>
      </c>
      <c r="H144" t="s">
        <v>342</v>
      </c>
      <c r="I144">
        <f>I142*J144</f>
        <v>0</v>
      </c>
      <c r="J144">
        <v>-7</v>
      </c>
      <c r="K144">
        <v>-7</v>
      </c>
      <c r="O144">
        <f t="shared" si="140"/>
        <v>0</v>
      </c>
      <c r="P144">
        <f t="shared" si="141"/>
        <v>0</v>
      </c>
      <c r="Q144">
        <f t="shared" si="142"/>
        <v>0</v>
      </c>
      <c r="R144">
        <f t="shared" si="143"/>
        <v>0</v>
      </c>
      <c r="S144">
        <f t="shared" si="144"/>
        <v>0</v>
      </c>
      <c r="T144">
        <f t="shared" si="145"/>
        <v>0</v>
      </c>
      <c r="U144">
        <f t="shared" si="146"/>
        <v>0</v>
      </c>
      <c r="V144">
        <f t="shared" si="147"/>
        <v>0</v>
      </c>
      <c r="W144">
        <f t="shared" si="148"/>
        <v>0</v>
      </c>
      <c r="X144">
        <f t="shared" si="149"/>
        <v>0</v>
      </c>
      <c r="Y144">
        <f t="shared" si="150"/>
        <v>0</v>
      </c>
      <c r="AA144">
        <v>43095088</v>
      </c>
      <c r="AB144">
        <f t="shared" si="151"/>
        <v>303.5</v>
      </c>
      <c r="AC144">
        <f t="shared" si="174"/>
        <v>303.5</v>
      </c>
      <c r="AD144">
        <f t="shared" si="175"/>
        <v>0</v>
      </c>
      <c r="AE144">
        <f t="shared" si="176"/>
        <v>0</v>
      </c>
      <c r="AF144">
        <f t="shared" si="177"/>
        <v>0</v>
      </c>
      <c r="AG144">
        <f t="shared" si="153"/>
        <v>0</v>
      </c>
      <c r="AH144">
        <f t="shared" si="178"/>
        <v>0</v>
      </c>
      <c r="AI144">
        <f t="shared" si="179"/>
        <v>0</v>
      </c>
      <c r="AJ144">
        <f t="shared" si="154"/>
        <v>0</v>
      </c>
      <c r="AK144">
        <v>303.5</v>
      </c>
      <c r="AL144">
        <v>303.5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70</v>
      </c>
      <c r="AU144">
        <v>10</v>
      </c>
      <c r="AV144">
        <v>1</v>
      </c>
      <c r="AW144">
        <v>1</v>
      </c>
      <c r="AZ144">
        <v>1</v>
      </c>
      <c r="BA144">
        <v>1</v>
      </c>
      <c r="BB144">
        <v>1</v>
      </c>
      <c r="BC144">
        <v>1</v>
      </c>
      <c r="BD144" t="s">
        <v>3</v>
      </c>
      <c r="BE144" t="s">
        <v>3</v>
      </c>
      <c r="BF144" t="s">
        <v>3</v>
      </c>
      <c r="BG144" t="s">
        <v>3</v>
      </c>
      <c r="BH144">
        <v>3</v>
      </c>
      <c r="BI144">
        <v>4</v>
      </c>
      <c r="BJ144" t="s">
        <v>452</v>
      </c>
      <c r="BM144">
        <v>0</v>
      </c>
      <c r="BN144">
        <v>0</v>
      </c>
      <c r="BO144" t="s">
        <v>3</v>
      </c>
      <c r="BP144">
        <v>0</v>
      </c>
      <c r="BQ144">
        <v>1</v>
      </c>
      <c r="BR144">
        <v>1</v>
      </c>
      <c r="BS144">
        <v>1</v>
      </c>
      <c r="BT144">
        <v>1</v>
      </c>
      <c r="BU144">
        <v>1</v>
      </c>
      <c r="BV144">
        <v>1</v>
      </c>
      <c r="BW144">
        <v>1</v>
      </c>
      <c r="BX144">
        <v>1</v>
      </c>
      <c r="BY144" t="s">
        <v>3</v>
      </c>
      <c r="BZ144">
        <v>70</v>
      </c>
      <c r="CA144">
        <v>10</v>
      </c>
      <c r="CB144" t="s">
        <v>3</v>
      </c>
      <c r="CE144">
        <v>0</v>
      </c>
      <c r="CF144">
        <v>0</v>
      </c>
      <c r="CG144">
        <v>0</v>
      </c>
      <c r="CM144">
        <v>0</v>
      </c>
      <c r="CN144" t="s">
        <v>3</v>
      </c>
      <c r="CO144">
        <v>0</v>
      </c>
      <c r="CP144">
        <f t="shared" si="155"/>
        <v>0</v>
      </c>
      <c r="CQ144">
        <f t="shared" si="156"/>
        <v>303.5</v>
      </c>
      <c r="CR144">
        <f t="shared" si="180"/>
        <v>0</v>
      </c>
      <c r="CS144">
        <f t="shared" si="157"/>
        <v>0</v>
      </c>
      <c r="CT144">
        <f t="shared" si="158"/>
        <v>0</v>
      </c>
      <c r="CU144">
        <f t="shared" si="159"/>
        <v>0</v>
      </c>
      <c r="CV144">
        <f t="shared" si="160"/>
        <v>0</v>
      </c>
      <c r="CW144">
        <f t="shared" si="161"/>
        <v>0</v>
      </c>
      <c r="CX144">
        <f t="shared" si="162"/>
        <v>0</v>
      </c>
      <c r="CY144">
        <f t="shared" si="163"/>
        <v>0</v>
      </c>
      <c r="CZ144">
        <f t="shared" si="164"/>
        <v>0</v>
      </c>
      <c r="DC144" t="s">
        <v>3</v>
      </c>
      <c r="DD144" t="s">
        <v>3</v>
      </c>
      <c r="DE144" t="s">
        <v>3</v>
      </c>
      <c r="DF144" t="s">
        <v>3</v>
      </c>
      <c r="DG144" t="s">
        <v>3</v>
      </c>
      <c r="DH144" t="s">
        <v>3</v>
      </c>
      <c r="DI144" t="s">
        <v>3</v>
      </c>
      <c r="DJ144" t="s">
        <v>3</v>
      </c>
      <c r="DK144" t="s">
        <v>3</v>
      </c>
      <c r="DL144" t="s">
        <v>3</v>
      </c>
      <c r="DM144" t="s">
        <v>3</v>
      </c>
      <c r="DN144">
        <v>0</v>
      </c>
      <c r="DO144">
        <v>0</v>
      </c>
      <c r="DP144">
        <v>1</v>
      </c>
      <c r="DQ144">
        <v>1</v>
      </c>
      <c r="DU144">
        <v>1010</v>
      </c>
      <c r="DV144" t="s">
        <v>342</v>
      </c>
      <c r="DW144" t="s">
        <v>342</v>
      </c>
      <c r="DX144">
        <v>100</v>
      </c>
      <c r="DZ144" t="s">
        <v>3</v>
      </c>
      <c r="EA144" t="s">
        <v>3</v>
      </c>
      <c r="EB144" t="s">
        <v>3</v>
      </c>
      <c r="EC144" t="s">
        <v>3</v>
      </c>
      <c r="EE144">
        <v>43033442</v>
      </c>
      <c r="EF144">
        <v>1</v>
      </c>
      <c r="EG144" t="s">
        <v>22</v>
      </c>
      <c r="EH144">
        <v>0</v>
      </c>
      <c r="EI144" t="s">
        <v>3</v>
      </c>
      <c r="EJ144">
        <v>4</v>
      </c>
      <c r="EK144">
        <v>0</v>
      </c>
      <c r="EL144" t="s">
        <v>23</v>
      </c>
      <c r="EM144" t="s">
        <v>24</v>
      </c>
      <c r="EO144" t="s">
        <v>3</v>
      </c>
      <c r="EQ144">
        <v>0</v>
      </c>
      <c r="ER144">
        <v>303.5</v>
      </c>
      <c r="ES144">
        <v>303.5</v>
      </c>
      <c r="ET144">
        <v>0</v>
      </c>
      <c r="EU144">
        <v>0</v>
      </c>
      <c r="EV144">
        <v>0</v>
      </c>
      <c r="EW144">
        <v>0</v>
      </c>
      <c r="EX144">
        <v>0</v>
      </c>
      <c r="FQ144">
        <v>0</v>
      </c>
      <c r="FR144">
        <f t="shared" si="165"/>
        <v>0</v>
      </c>
      <c r="FS144">
        <v>0</v>
      </c>
      <c r="FX144">
        <v>70</v>
      </c>
      <c r="FY144">
        <v>10</v>
      </c>
      <c r="GA144" t="s">
        <v>3</v>
      </c>
      <c r="GD144">
        <v>0</v>
      </c>
      <c r="GF144">
        <v>-1006674015</v>
      </c>
      <c r="GG144">
        <v>2</v>
      </c>
      <c r="GH144">
        <v>1</v>
      </c>
      <c r="GI144">
        <v>-2</v>
      </c>
      <c r="GJ144">
        <v>0</v>
      </c>
      <c r="GK144">
        <f>ROUND(R144*(R12)/100,2)</f>
        <v>0</v>
      </c>
      <c r="GL144">
        <f t="shared" si="166"/>
        <v>0</v>
      </c>
      <c r="GM144">
        <f t="shared" si="167"/>
        <v>0</v>
      </c>
      <c r="GN144">
        <f t="shared" si="168"/>
        <v>0</v>
      </c>
      <c r="GO144">
        <f t="shared" si="169"/>
        <v>0</v>
      </c>
      <c r="GP144">
        <f t="shared" si="170"/>
        <v>0</v>
      </c>
      <c r="GR144">
        <v>0</v>
      </c>
      <c r="GS144">
        <v>3</v>
      </c>
      <c r="GT144">
        <v>0</v>
      </c>
      <c r="GU144" t="s">
        <v>3</v>
      </c>
      <c r="GV144">
        <f t="shared" si="171"/>
        <v>0</v>
      </c>
      <c r="GW144">
        <v>1</v>
      </c>
      <c r="GX144">
        <f t="shared" si="172"/>
        <v>0</v>
      </c>
      <c r="HA144">
        <v>0</v>
      </c>
      <c r="HB144">
        <v>0</v>
      </c>
      <c r="HC144">
        <f t="shared" si="173"/>
        <v>0</v>
      </c>
      <c r="HE144" t="s">
        <v>3</v>
      </c>
      <c r="HF144" t="s">
        <v>3</v>
      </c>
      <c r="HM144" t="s">
        <v>3</v>
      </c>
      <c r="HN144" t="s">
        <v>3</v>
      </c>
      <c r="HO144" t="s">
        <v>3</v>
      </c>
      <c r="HP144" t="s">
        <v>3</v>
      </c>
      <c r="HQ144" t="s">
        <v>3</v>
      </c>
      <c r="IK144">
        <v>0</v>
      </c>
    </row>
    <row r="145" spans="1:245" x14ac:dyDescent="0.2">
      <c r="A145">
        <v>18</v>
      </c>
      <c r="B145">
        <v>1</v>
      </c>
      <c r="C145">
        <v>259</v>
      </c>
      <c r="E145" t="s">
        <v>453</v>
      </c>
      <c r="F145" t="s">
        <v>454</v>
      </c>
      <c r="G145" t="s">
        <v>455</v>
      </c>
      <c r="H145" t="s">
        <v>20</v>
      </c>
      <c r="I145">
        <f>I142*J145</f>
        <v>0</v>
      </c>
      <c r="J145">
        <v>-350</v>
      </c>
      <c r="K145">
        <v>-350</v>
      </c>
      <c r="O145">
        <f t="shared" si="140"/>
        <v>0</v>
      </c>
      <c r="P145">
        <f t="shared" si="141"/>
        <v>0</v>
      </c>
      <c r="Q145">
        <f t="shared" si="142"/>
        <v>0</v>
      </c>
      <c r="R145">
        <f t="shared" si="143"/>
        <v>0</v>
      </c>
      <c r="S145">
        <f t="shared" si="144"/>
        <v>0</v>
      </c>
      <c r="T145">
        <f t="shared" si="145"/>
        <v>0</v>
      </c>
      <c r="U145">
        <f t="shared" si="146"/>
        <v>0</v>
      </c>
      <c r="V145">
        <f t="shared" si="147"/>
        <v>0</v>
      </c>
      <c r="W145">
        <f t="shared" si="148"/>
        <v>0</v>
      </c>
      <c r="X145">
        <f t="shared" si="149"/>
        <v>0</v>
      </c>
      <c r="Y145">
        <f t="shared" si="150"/>
        <v>0</v>
      </c>
      <c r="AA145">
        <v>43095088</v>
      </c>
      <c r="AB145">
        <f t="shared" si="151"/>
        <v>34.01</v>
      </c>
      <c r="AC145">
        <f t="shared" si="174"/>
        <v>34.01</v>
      </c>
      <c r="AD145">
        <f t="shared" si="175"/>
        <v>0</v>
      </c>
      <c r="AE145">
        <f t="shared" si="176"/>
        <v>0</v>
      </c>
      <c r="AF145">
        <f t="shared" si="177"/>
        <v>0</v>
      </c>
      <c r="AG145">
        <f t="shared" si="153"/>
        <v>0</v>
      </c>
      <c r="AH145">
        <f t="shared" si="178"/>
        <v>0</v>
      </c>
      <c r="AI145">
        <f t="shared" si="179"/>
        <v>0</v>
      </c>
      <c r="AJ145">
        <f t="shared" si="154"/>
        <v>0</v>
      </c>
      <c r="AK145">
        <v>34.01</v>
      </c>
      <c r="AL145">
        <v>34.01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70</v>
      </c>
      <c r="AU145">
        <v>10</v>
      </c>
      <c r="AV145">
        <v>1</v>
      </c>
      <c r="AW145">
        <v>1</v>
      </c>
      <c r="AZ145">
        <v>1</v>
      </c>
      <c r="BA145">
        <v>1</v>
      </c>
      <c r="BB145">
        <v>1</v>
      </c>
      <c r="BC145">
        <v>1</v>
      </c>
      <c r="BD145" t="s">
        <v>3</v>
      </c>
      <c r="BE145" t="s">
        <v>3</v>
      </c>
      <c r="BF145" t="s">
        <v>3</v>
      </c>
      <c r="BG145" t="s">
        <v>3</v>
      </c>
      <c r="BH145">
        <v>3</v>
      </c>
      <c r="BI145">
        <v>4</v>
      </c>
      <c r="BJ145" t="s">
        <v>456</v>
      </c>
      <c r="BM145">
        <v>0</v>
      </c>
      <c r="BN145">
        <v>0</v>
      </c>
      <c r="BO145" t="s">
        <v>3</v>
      </c>
      <c r="BP145">
        <v>0</v>
      </c>
      <c r="BQ145">
        <v>1</v>
      </c>
      <c r="BR145">
        <v>1</v>
      </c>
      <c r="BS145">
        <v>1</v>
      </c>
      <c r="BT145">
        <v>1</v>
      </c>
      <c r="BU145">
        <v>1</v>
      </c>
      <c r="BV145">
        <v>1</v>
      </c>
      <c r="BW145">
        <v>1</v>
      </c>
      <c r="BX145">
        <v>1</v>
      </c>
      <c r="BY145" t="s">
        <v>3</v>
      </c>
      <c r="BZ145">
        <v>70</v>
      </c>
      <c r="CA145">
        <v>10</v>
      </c>
      <c r="CB145" t="s">
        <v>3</v>
      </c>
      <c r="CE145">
        <v>0</v>
      </c>
      <c r="CF145">
        <v>0</v>
      </c>
      <c r="CG145">
        <v>0</v>
      </c>
      <c r="CM145">
        <v>0</v>
      </c>
      <c r="CN145" t="s">
        <v>3</v>
      </c>
      <c r="CO145">
        <v>0</v>
      </c>
      <c r="CP145">
        <f t="shared" si="155"/>
        <v>0</v>
      </c>
      <c r="CQ145">
        <f t="shared" si="156"/>
        <v>34.01</v>
      </c>
      <c r="CR145">
        <f t="shared" si="180"/>
        <v>0</v>
      </c>
      <c r="CS145">
        <f t="shared" si="157"/>
        <v>0</v>
      </c>
      <c r="CT145">
        <f t="shared" si="158"/>
        <v>0</v>
      </c>
      <c r="CU145">
        <f t="shared" si="159"/>
        <v>0</v>
      </c>
      <c r="CV145">
        <f t="shared" si="160"/>
        <v>0</v>
      </c>
      <c r="CW145">
        <f t="shared" si="161"/>
        <v>0</v>
      </c>
      <c r="CX145">
        <f t="shared" si="162"/>
        <v>0</v>
      </c>
      <c r="CY145">
        <f t="shared" si="163"/>
        <v>0</v>
      </c>
      <c r="CZ145">
        <f t="shared" si="164"/>
        <v>0</v>
      </c>
      <c r="DC145" t="s">
        <v>3</v>
      </c>
      <c r="DD145" t="s">
        <v>3</v>
      </c>
      <c r="DE145" t="s">
        <v>3</v>
      </c>
      <c r="DF145" t="s">
        <v>3</v>
      </c>
      <c r="DG145" t="s">
        <v>3</v>
      </c>
      <c r="DH145" t="s">
        <v>3</v>
      </c>
      <c r="DI145" t="s">
        <v>3</v>
      </c>
      <c r="DJ145" t="s">
        <v>3</v>
      </c>
      <c r="DK145" t="s">
        <v>3</v>
      </c>
      <c r="DL145" t="s">
        <v>3</v>
      </c>
      <c r="DM145" t="s">
        <v>3</v>
      </c>
      <c r="DN145">
        <v>0</v>
      </c>
      <c r="DO145">
        <v>0</v>
      </c>
      <c r="DP145">
        <v>1</v>
      </c>
      <c r="DQ145">
        <v>1</v>
      </c>
      <c r="DU145">
        <v>1010</v>
      </c>
      <c r="DV145" t="s">
        <v>20</v>
      </c>
      <c r="DW145" t="s">
        <v>20</v>
      </c>
      <c r="DX145">
        <v>1</v>
      </c>
      <c r="DZ145" t="s">
        <v>3</v>
      </c>
      <c r="EA145" t="s">
        <v>3</v>
      </c>
      <c r="EB145" t="s">
        <v>3</v>
      </c>
      <c r="EC145" t="s">
        <v>3</v>
      </c>
      <c r="EE145">
        <v>43033442</v>
      </c>
      <c r="EF145">
        <v>1</v>
      </c>
      <c r="EG145" t="s">
        <v>22</v>
      </c>
      <c r="EH145">
        <v>0</v>
      </c>
      <c r="EI145" t="s">
        <v>3</v>
      </c>
      <c r="EJ145">
        <v>4</v>
      </c>
      <c r="EK145">
        <v>0</v>
      </c>
      <c r="EL145" t="s">
        <v>23</v>
      </c>
      <c r="EM145" t="s">
        <v>24</v>
      </c>
      <c r="EO145" t="s">
        <v>3</v>
      </c>
      <c r="EQ145">
        <v>0</v>
      </c>
      <c r="ER145">
        <v>34.01</v>
      </c>
      <c r="ES145">
        <v>34.01</v>
      </c>
      <c r="ET145">
        <v>0</v>
      </c>
      <c r="EU145">
        <v>0</v>
      </c>
      <c r="EV145">
        <v>0</v>
      </c>
      <c r="EW145">
        <v>0</v>
      </c>
      <c r="EX145">
        <v>0</v>
      </c>
      <c r="FQ145">
        <v>0</v>
      </c>
      <c r="FR145">
        <f t="shared" si="165"/>
        <v>0</v>
      </c>
      <c r="FS145">
        <v>0</v>
      </c>
      <c r="FX145">
        <v>70</v>
      </c>
      <c r="FY145">
        <v>10</v>
      </c>
      <c r="GA145" t="s">
        <v>3</v>
      </c>
      <c r="GD145">
        <v>0</v>
      </c>
      <c r="GF145">
        <v>511488652</v>
      </c>
      <c r="GG145">
        <v>2</v>
      </c>
      <c r="GH145">
        <v>1</v>
      </c>
      <c r="GI145">
        <v>-2</v>
      </c>
      <c r="GJ145">
        <v>0</v>
      </c>
      <c r="GK145">
        <f>ROUND(R145*(R12)/100,2)</f>
        <v>0</v>
      </c>
      <c r="GL145">
        <f t="shared" si="166"/>
        <v>0</v>
      </c>
      <c r="GM145">
        <f t="shared" si="167"/>
        <v>0</v>
      </c>
      <c r="GN145">
        <f t="shared" si="168"/>
        <v>0</v>
      </c>
      <c r="GO145">
        <f t="shared" si="169"/>
        <v>0</v>
      </c>
      <c r="GP145">
        <f t="shared" si="170"/>
        <v>0</v>
      </c>
      <c r="GR145">
        <v>0</v>
      </c>
      <c r="GS145">
        <v>3</v>
      </c>
      <c r="GT145">
        <v>0</v>
      </c>
      <c r="GU145" t="s">
        <v>3</v>
      </c>
      <c r="GV145">
        <f t="shared" si="171"/>
        <v>0</v>
      </c>
      <c r="GW145">
        <v>1</v>
      </c>
      <c r="GX145">
        <f t="shared" si="172"/>
        <v>0</v>
      </c>
      <c r="HA145">
        <v>0</v>
      </c>
      <c r="HB145">
        <v>0</v>
      </c>
      <c r="HC145">
        <f t="shared" si="173"/>
        <v>0</v>
      </c>
      <c r="HE145" t="s">
        <v>3</v>
      </c>
      <c r="HF145" t="s">
        <v>3</v>
      </c>
      <c r="HM145" t="s">
        <v>3</v>
      </c>
      <c r="HN145" t="s">
        <v>3</v>
      </c>
      <c r="HO145" t="s">
        <v>3</v>
      </c>
      <c r="HP145" t="s">
        <v>3</v>
      </c>
      <c r="HQ145" t="s">
        <v>3</v>
      </c>
      <c r="IK145">
        <v>0</v>
      </c>
    </row>
    <row r="146" spans="1:245" x14ac:dyDescent="0.2">
      <c r="A146">
        <v>18</v>
      </c>
      <c r="B146">
        <v>1</v>
      </c>
      <c r="C146">
        <v>260</v>
      </c>
      <c r="E146" t="s">
        <v>457</v>
      </c>
      <c r="F146" t="s">
        <v>458</v>
      </c>
      <c r="G146" t="s">
        <v>459</v>
      </c>
      <c r="H146" t="s">
        <v>64</v>
      </c>
      <c r="I146">
        <f>I142*J146</f>
        <v>0</v>
      </c>
      <c r="J146">
        <v>-42</v>
      </c>
      <c r="K146">
        <v>-42</v>
      </c>
      <c r="O146">
        <f t="shared" si="140"/>
        <v>0</v>
      </c>
      <c r="P146">
        <f t="shared" si="141"/>
        <v>0</v>
      </c>
      <c r="Q146">
        <f t="shared" si="142"/>
        <v>0</v>
      </c>
      <c r="R146">
        <f t="shared" si="143"/>
        <v>0</v>
      </c>
      <c r="S146">
        <f t="shared" si="144"/>
        <v>0</v>
      </c>
      <c r="T146">
        <f t="shared" si="145"/>
        <v>0</v>
      </c>
      <c r="U146">
        <f t="shared" si="146"/>
        <v>0</v>
      </c>
      <c r="V146">
        <f t="shared" si="147"/>
        <v>0</v>
      </c>
      <c r="W146">
        <f t="shared" si="148"/>
        <v>0</v>
      </c>
      <c r="X146">
        <f t="shared" si="149"/>
        <v>0</v>
      </c>
      <c r="Y146">
        <f t="shared" si="150"/>
        <v>0</v>
      </c>
      <c r="AA146">
        <v>43095088</v>
      </c>
      <c r="AB146">
        <f t="shared" si="151"/>
        <v>86.49</v>
      </c>
      <c r="AC146">
        <f t="shared" si="174"/>
        <v>86.49</v>
      </c>
      <c r="AD146">
        <f t="shared" si="175"/>
        <v>0</v>
      </c>
      <c r="AE146">
        <f t="shared" si="176"/>
        <v>0</v>
      </c>
      <c r="AF146">
        <f t="shared" si="177"/>
        <v>0</v>
      </c>
      <c r="AG146">
        <f t="shared" si="153"/>
        <v>0</v>
      </c>
      <c r="AH146">
        <f t="shared" si="178"/>
        <v>0</v>
      </c>
      <c r="AI146">
        <f t="shared" si="179"/>
        <v>0</v>
      </c>
      <c r="AJ146">
        <f t="shared" si="154"/>
        <v>0</v>
      </c>
      <c r="AK146">
        <v>86.49</v>
      </c>
      <c r="AL146">
        <v>86.49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70</v>
      </c>
      <c r="AU146">
        <v>10</v>
      </c>
      <c r="AV146">
        <v>1</v>
      </c>
      <c r="AW146">
        <v>1</v>
      </c>
      <c r="AZ146">
        <v>1</v>
      </c>
      <c r="BA146">
        <v>1</v>
      </c>
      <c r="BB146">
        <v>1</v>
      </c>
      <c r="BC146">
        <v>1</v>
      </c>
      <c r="BD146" t="s">
        <v>3</v>
      </c>
      <c r="BE146" t="s">
        <v>3</v>
      </c>
      <c r="BF146" t="s">
        <v>3</v>
      </c>
      <c r="BG146" t="s">
        <v>3</v>
      </c>
      <c r="BH146">
        <v>3</v>
      </c>
      <c r="BI146">
        <v>4</v>
      </c>
      <c r="BJ146" t="s">
        <v>460</v>
      </c>
      <c r="BM146">
        <v>0</v>
      </c>
      <c r="BN146">
        <v>0</v>
      </c>
      <c r="BO146" t="s">
        <v>3</v>
      </c>
      <c r="BP146">
        <v>0</v>
      </c>
      <c r="BQ146">
        <v>1</v>
      </c>
      <c r="BR146">
        <v>1</v>
      </c>
      <c r="BS146">
        <v>1</v>
      </c>
      <c r="BT146">
        <v>1</v>
      </c>
      <c r="BU146">
        <v>1</v>
      </c>
      <c r="BV146">
        <v>1</v>
      </c>
      <c r="BW146">
        <v>1</v>
      </c>
      <c r="BX146">
        <v>1</v>
      </c>
      <c r="BY146" t="s">
        <v>3</v>
      </c>
      <c r="BZ146">
        <v>70</v>
      </c>
      <c r="CA146">
        <v>10</v>
      </c>
      <c r="CB146" t="s">
        <v>3</v>
      </c>
      <c r="CE146">
        <v>0</v>
      </c>
      <c r="CF146">
        <v>0</v>
      </c>
      <c r="CG146">
        <v>0</v>
      </c>
      <c r="CM146">
        <v>0</v>
      </c>
      <c r="CN146" t="s">
        <v>3</v>
      </c>
      <c r="CO146">
        <v>0</v>
      </c>
      <c r="CP146">
        <f t="shared" si="155"/>
        <v>0</v>
      </c>
      <c r="CQ146">
        <f t="shared" si="156"/>
        <v>86.49</v>
      </c>
      <c r="CR146">
        <f t="shared" si="180"/>
        <v>0</v>
      </c>
      <c r="CS146">
        <f t="shared" si="157"/>
        <v>0</v>
      </c>
      <c r="CT146">
        <f t="shared" si="158"/>
        <v>0</v>
      </c>
      <c r="CU146">
        <f t="shared" si="159"/>
        <v>0</v>
      </c>
      <c r="CV146">
        <f t="shared" si="160"/>
        <v>0</v>
      </c>
      <c r="CW146">
        <f t="shared" si="161"/>
        <v>0</v>
      </c>
      <c r="CX146">
        <f t="shared" si="162"/>
        <v>0</v>
      </c>
      <c r="CY146">
        <f t="shared" si="163"/>
        <v>0</v>
      </c>
      <c r="CZ146">
        <f t="shared" si="164"/>
        <v>0</v>
      </c>
      <c r="DC146" t="s">
        <v>3</v>
      </c>
      <c r="DD146" t="s">
        <v>3</v>
      </c>
      <c r="DE146" t="s">
        <v>3</v>
      </c>
      <c r="DF146" t="s">
        <v>3</v>
      </c>
      <c r="DG146" t="s">
        <v>3</v>
      </c>
      <c r="DH146" t="s">
        <v>3</v>
      </c>
      <c r="DI146" t="s">
        <v>3</v>
      </c>
      <c r="DJ146" t="s">
        <v>3</v>
      </c>
      <c r="DK146" t="s">
        <v>3</v>
      </c>
      <c r="DL146" t="s">
        <v>3</v>
      </c>
      <c r="DM146" t="s">
        <v>3</v>
      </c>
      <c r="DN146">
        <v>0</v>
      </c>
      <c r="DO146">
        <v>0</v>
      </c>
      <c r="DP146">
        <v>1</v>
      </c>
      <c r="DQ146">
        <v>1</v>
      </c>
      <c r="DU146">
        <v>1003</v>
      </c>
      <c r="DV146" t="s">
        <v>64</v>
      </c>
      <c r="DW146" t="s">
        <v>64</v>
      </c>
      <c r="DX146">
        <v>1</v>
      </c>
      <c r="DZ146" t="s">
        <v>3</v>
      </c>
      <c r="EA146" t="s">
        <v>3</v>
      </c>
      <c r="EB146" t="s">
        <v>3</v>
      </c>
      <c r="EC146" t="s">
        <v>3</v>
      </c>
      <c r="EE146">
        <v>43033442</v>
      </c>
      <c r="EF146">
        <v>1</v>
      </c>
      <c r="EG146" t="s">
        <v>22</v>
      </c>
      <c r="EH146">
        <v>0</v>
      </c>
      <c r="EI146" t="s">
        <v>3</v>
      </c>
      <c r="EJ146">
        <v>4</v>
      </c>
      <c r="EK146">
        <v>0</v>
      </c>
      <c r="EL146" t="s">
        <v>23</v>
      </c>
      <c r="EM146" t="s">
        <v>24</v>
      </c>
      <c r="EO146" t="s">
        <v>3</v>
      </c>
      <c r="EQ146">
        <v>0</v>
      </c>
      <c r="ER146">
        <v>86.49</v>
      </c>
      <c r="ES146">
        <v>86.49</v>
      </c>
      <c r="ET146">
        <v>0</v>
      </c>
      <c r="EU146">
        <v>0</v>
      </c>
      <c r="EV146">
        <v>0</v>
      </c>
      <c r="EW146">
        <v>0</v>
      </c>
      <c r="EX146">
        <v>0</v>
      </c>
      <c r="FQ146">
        <v>0</v>
      </c>
      <c r="FR146">
        <f t="shared" si="165"/>
        <v>0</v>
      </c>
      <c r="FS146">
        <v>0</v>
      </c>
      <c r="FX146">
        <v>70</v>
      </c>
      <c r="FY146">
        <v>10</v>
      </c>
      <c r="GA146" t="s">
        <v>3</v>
      </c>
      <c r="GD146">
        <v>0</v>
      </c>
      <c r="GF146">
        <v>-2003117653</v>
      </c>
      <c r="GG146">
        <v>2</v>
      </c>
      <c r="GH146">
        <v>1</v>
      </c>
      <c r="GI146">
        <v>-2</v>
      </c>
      <c r="GJ146">
        <v>0</v>
      </c>
      <c r="GK146">
        <f>ROUND(R146*(R12)/100,2)</f>
        <v>0</v>
      </c>
      <c r="GL146">
        <f t="shared" si="166"/>
        <v>0</v>
      </c>
      <c r="GM146">
        <f t="shared" si="167"/>
        <v>0</v>
      </c>
      <c r="GN146">
        <f t="shared" si="168"/>
        <v>0</v>
      </c>
      <c r="GO146">
        <f t="shared" si="169"/>
        <v>0</v>
      </c>
      <c r="GP146">
        <f t="shared" si="170"/>
        <v>0</v>
      </c>
      <c r="GR146">
        <v>0</v>
      </c>
      <c r="GS146">
        <v>3</v>
      </c>
      <c r="GT146">
        <v>0</v>
      </c>
      <c r="GU146" t="s">
        <v>3</v>
      </c>
      <c r="GV146">
        <f t="shared" si="171"/>
        <v>0</v>
      </c>
      <c r="GW146">
        <v>1</v>
      </c>
      <c r="GX146">
        <f t="shared" si="172"/>
        <v>0</v>
      </c>
      <c r="HA146">
        <v>0</v>
      </c>
      <c r="HB146">
        <v>0</v>
      </c>
      <c r="HC146">
        <f t="shared" si="173"/>
        <v>0</v>
      </c>
      <c r="HE146" t="s">
        <v>3</v>
      </c>
      <c r="HF146" t="s">
        <v>3</v>
      </c>
      <c r="HM146" t="s">
        <v>3</v>
      </c>
      <c r="HN146" t="s">
        <v>3</v>
      </c>
      <c r="HO146" t="s">
        <v>3</v>
      </c>
      <c r="HP146" t="s">
        <v>3</v>
      </c>
      <c r="HQ146" t="s">
        <v>3</v>
      </c>
      <c r="IK146">
        <v>0</v>
      </c>
    </row>
    <row r="147" spans="1:245" x14ac:dyDescent="0.2">
      <c r="A147">
        <v>18</v>
      </c>
      <c r="B147">
        <v>1</v>
      </c>
      <c r="C147">
        <v>261</v>
      </c>
      <c r="E147" t="s">
        <v>461</v>
      </c>
      <c r="F147" t="s">
        <v>462</v>
      </c>
      <c r="G147" t="s">
        <v>463</v>
      </c>
      <c r="H147" t="s">
        <v>64</v>
      </c>
      <c r="I147">
        <f>I142*J147</f>
        <v>0</v>
      </c>
      <c r="J147">
        <v>-12</v>
      </c>
      <c r="K147">
        <v>-12</v>
      </c>
      <c r="O147">
        <f t="shared" si="140"/>
        <v>0</v>
      </c>
      <c r="P147">
        <f t="shared" si="141"/>
        <v>0</v>
      </c>
      <c r="Q147">
        <f t="shared" si="142"/>
        <v>0</v>
      </c>
      <c r="R147">
        <f t="shared" si="143"/>
        <v>0</v>
      </c>
      <c r="S147">
        <f t="shared" si="144"/>
        <v>0</v>
      </c>
      <c r="T147">
        <f t="shared" si="145"/>
        <v>0</v>
      </c>
      <c r="U147">
        <f t="shared" si="146"/>
        <v>0</v>
      </c>
      <c r="V147">
        <f t="shared" si="147"/>
        <v>0</v>
      </c>
      <c r="W147">
        <f t="shared" si="148"/>
        <v>0</v>
      </c>
      <c r="X147">
        <f t="shared" si="149"/>
        <v>0</v>
      </c>
      <c r="Y147">
        <f t="shared" si="150"/>
        <v>0</v>
      </c>
      <c r="AA147">
        <v>43095088</v>
      </c>
      <c r="AB147">
        <f t="shared" si="151"/>
        <v>281.07</v>
      </c>
      <c r="AC147">
        <f t="shared" si="174"/>
        <v>281.07</v>
      </c>
      <c r="AD147">
        <f t="shared" si="175"/>
        <v>0</v>
      </c>
      <c r="AE147">
        <f t="shared" si="176"/>
        <v>0</v>
      </c>
      <c r="AF147">
        <f t="shared" si="177"/>
        <v>0</v>
      </c>
      <c r="AG147">
        <f t="shared" si="153"/>
        <v>0</v>
      </c>
      <c r="AH147">
        <f t="shared" si="178"/>
        <v>0</v>
      </c>
      <c r="AI147">
        <f t="shared" si="179"/>
        <v>0</v>
      </c>
      <c r="AJ147">
        <f t="shared" si="154"/>
        <v>0</v>
      </c>
      <c r="AK147">
        <v>281.07</v>
      </c>
      <c r="AL147">
        <v>281.07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70</v>
      </c>
      <c r="AU147">
        <v>10</v>
      </c>
      <c r="AV147">
        <v>1</v>
      </c>
      <c r="AW147">
        <v>1</v>
      </c>
      <c r="AZ147">
        <v>1</v>
      </c>
      <c r="BA147">
        <v>1</v>
      </c>
      <c r="BB147">
        <v>1</v>
      </c>
      <c r="BC147">
        <v>1</v>
      </c>
      <c r="BD147" t="s">
        <v>3</v>
      </c>
      <c r="BE147" t="s">
        <v>3</v>
      </c>
      <c r="BF147" t="s">
        <v>3</v>
      </c>
      <c r="BG147" t="s">
        <v>3</v>
      </c>
      <c r="BH147">
        <v>3</v>
      </c>
      <c r="BI147">
        <v>4</v>
      </c>
      <c r="BJ147" t="s">
        <v>464</v>
      </c>
      <c r="BM147">
        <v>0</v>
      </c>
      <c r="BN147">
        <v>0</v>
      </c>
      <c r="BO147" t="s">
        <v>3</v>
      </c>
      <c r="BP147">
        <v>0</v>
      </c>
      <c r="BQ147">
        <v>1</v>
      </c>
      <c r="BR147">
        <v>1</v>
      </c>
      <c r="BS147">
        <v>1</v>
      </c>
      <c r="BT147">
        <v>1</v>
      </c>
      <c r="BU147">
        <v>1</v>
      </c>
      <c r="BV147">
        <v>1</v>
      </c>
      <c r="BW147">
        <v>1</v>
      </c>
      <c r="BX147">
        <v>1</v>
      </c>
      <c r="BY147" t="s">
        <v>3</v>
      </c>
      <c r="BZ147">
        <v>70</v>
      </c>
      <c r="CA147">
        <v>10</v>
      </c>
      <c r="CB147" t="s">
        <v>3</v>
      </c>
      <c r="CE147">
        <v>0</v>
      </c>
      <c r="CF147">
        <v>0</v>
      </c>
      <c r="CG147">
        <v>0</v>
      </c>
      <c r="CM147">
        <v>0</v>
      </c>
      <c r="CN147" t="s">
        <v>3</v>
      </c>
      <c r="CO147">
        <v>0</v>
      </c>
      <c r="CP147">
        <f t="shared" si="155"/>
        <v>0</v>
      </c>
      <c r="CQ147">
        <f t="shared" si="156"/>
        <v>281.07</v>
      </c>
      <c r="CR147">
        <f t="shared" si="180"/>
        <v>0</v>
      </c>
      <c r="CS147">
        <f t="shared" si="157"/>
        <v>0</v>
      </c>
      <c r="CT147">
        <f t="shared" si="158"/>
        <v>0</v>
      </c>
      <c r="CU147">
        <f t="shared" si="159"/>
        <v>0</v>
      </c>
      <c r="CV147">
        <f t="shared" si="160"/>
        <v>0</v>
      </c>
      <c r="CW147">
        <f t="shared" si="161"/>
        <v>0</v>
      </c>
      <c r="CX147">
        <f t="shared" si="162"/>
        <v>0</v>
      </c>
      <c r="CY147">
        <f t="shared" si="163"/>
        <v>0</v>
      </c>
      <c r="CZ147">
        <f t="shared" si="164"/>
        <v>0</v>
      </c>
      <c r="DC147" t="s">
        <v>3</v>
      </c>
      <c r="DD147" t="s">
        <v>3</v>
      </c>
      <c r="DE147" t="s">
        <v>3</v>
      </c>
      <c r="DF147" t="s">
        <v>3</v>
      </c>
      <c r="DG147" t="s">
        <v>3</v>
      </c>
      <c r="DH147" t="s">
        <v>3</v>
      </c>
      <c r="DI147" t="s">
        <v>3</v>
      </c>
      <c r="DJ147" t="s">
        <v>3</v>
      </c>
      <c r="DK147" t="s">
        <v>3</v>
      </c>
      <c r="DL147" t="s">
        <v>3</v>
      </c>
      <c r="DM147" t="s">
        <v>3</v>
      </c>
      <c r="DN147">
        <v>0</v>
      </c>
      <c r="DO147">
        <v>0</v>
      </c>
      <c r="DP147">
        <v>1</v>
      </c>
      <c r="DQ147">
        <v>1</v>
      </c>
      <c r="DU147">
        <v>1003</v>
      </c>
      <c r="DV147" t="s">
        <v>64</v>
      </c>
      <c r="DW147" t="s">
        <v>64</v>
      </c>
      <c r="DX147">
        <v>1</v>
      </c>
      <c r="DZ147" t="s">
        <v>3</v>
      </c>
      <c r="EA147" t="s">
        <v>3</v>
      </c>
      <c r="EB147" t="s">
        <v>3</v>
      </c>
      <c r="EC147" t="s">
        <v>3</v>
      </c>
      <c r="EE147">
        <v>43033442</v>
      </c>
      <c r="EF147">
        <v>1</v>
      </c>
      <c r="EG147" t="s">
        <v>22</v>
      </c>
      <c r="EH147">
        <v>0</v>
      </c>
      <c r="EI147" t="s">
        <v>3</v>
      </c>
      <c r="EJ147">
        <v>4</v>
      </c>
      <c r="EK147">
        <v>0</v>
      </c>
      <c r="EL147" t="s">
        <v>23</v>
      </c>
      <c r="EM147" t="s">
        <v>24</v>
      </c>
      <c r="EO147" t="s">
        <v>3</v>
      </c>
      <c r="EQ147">
        <v>0</v>
      </c>
      <c r="ER147">
        <v>281.07</v>
      </c>
      <c r="ES147">
        <v>281.07</v>
      </c>
      <c r="ET147">
        <v>0</v>
      </c>
      <c r="EU147">
        <v>0</v>
      </c>
      <c r="EV147">
        <v>0</v>
      </c>
      <c r="EW147">
        <v>0</v>
      </c>
      <c r="EX147">
        <v>0</v>
      </c>
      <c r="FQ147">
        <v>0</v>
      </c>
      <c r="FR147">
        <f t="shared" si="165"/>
        <v>0</v>
      </c>
      <c r="FS147">
        <v>0</v>
      </c>
      <c r="FX147">
        <v>70</v>
      </c>
      <c r="FY147">
        <v>10</v>
      </c>
      <c r="GA147" t="s">
        <v>3</v>
      </c>
      <c r="GD147">
        <v>0</v>
      </c>
      <c r="GF147">
        <v>-1377275622</v>
      </c>
      <c r="GG147">
        <v>2</v>
      </c>
      <c r="GH147">
        <v>1</v>
      </c>
      <c r="GI147">
        <v>-2</v>
      </c>
      <c r="GJ147">
        <v>0</v>
      </c>
      <c r="GK147">
        <f>ROUND(R147*(R12)/100,2)</f>
        <v>0</v>
      </c>
      <c r="GL147">
        <f t="shared" si="166"/>
        <v>0</v>
      </c>
      <c r="GM147">
        <f t="shared" si="167"/>
        <v>0</v>
      </c>
      <c r="GN147">
        <f t="shared" si="168"/>
        <v>0</v>
      </c>
      <c r="GO147">
        <f t="shared" si="169"/>
        <v>0</v>
      </c>
      <c r="GP147">
        <f t="shared" si="170"/>
        <v>0</v>
      </c>
      <c r="GR147">
        <v>0</v>
      </c>
      <c r="GS147">
        <v>3</v>
      </c>
      <c r="GT147">
        <v>0</v>
      </c>
      <c r="GU147" t="s">
        <v>3</v>
      </c>
      <c r="GV147">
        <f t="shared" si="171"/>
        <v>0</v>
      </c>
      <c r="GW147">
        <v>1</v>
      </c>
      <c r="GX147">
        <f t="shared" si="172"/>
        <v>0</v>
      </c>
      <c r="HA147">
        <v>0</v>
      </c>
      <c r="HB147">
        <v>0</v>
      </c>
      <c r="HC147">
        <f t="shared" si="173"/>
        <v>0</v>
      </c>
      <c r="HE147" t="s">
        <v>3</v>
      </c>
      <c r="HF147" t="s">
        <v>3</v>
      </c>
      <c r="HM147" t="s">
        <v>3</v>
      </c>
      <c r="HN147" t="s">
        <v>3</v>
      </c>
      <c r="HO147" t="s">
        <v>3</v>
      </c>
      <c r="HP147" t="s">
        <v>3</v>
      </c>
      <c r="HQ147" t="s">
        <v>3</v>
      </c>
      <c r="IK147">
        <v>0</v>
      </c>
    </row>
    <row r="148" spans="1:245" x14ac:dyDescent="0.2">
      <c r="A148">
        <v>18</v>
      </c>
      <c r="B148">
        <v>1</v>
      </c>
      <c r="C148">
        <v>262</v>
      </c>
      <c r="E148" t="s">
        <v>465</v>
      </c>
      <c r="F148" t="s">
        <v>466</v>
      </c>
      <c r="G148" t="s">
        <v>467</v>
      </c>
      <c r="H148" t="s">
        <v>64</v>
      </c>
      <c r="I148">
        <f>I142*J148</f>
        <v>0</v>
      </c>
      <c r="J148">
        <v>-55</v>
      </c>
      <c r="K148">
        <v>-55</v>
      </c>
      <c r="O148">
        <f t="shared" si="140"/>
        <v>0</v>
      </c>
      <c r="P148">
        <f t="shared" si="141"/>
        <v>0</v>
      </c>
      <c r="Q148">
        <f t="shared" si="142"/>
        <v>0</v>
      </c>
      <c r="R148">
        <f t="shared" si="143"/>
        <v>0</v>
      </c>
      <c r="S148">
        <f t="shared" si="144"/>
        <v>0</v>
      </c>
      <c r="T148">
        <f t="shared" si="145"/>
        <v>0</v>
      </c>
      <c r="U148">
        <f t="shared" si="146"/>
        <v>0</v>
      </c>
      <c r="V148">
        <f t="shared" si="147"/>
        <v>0</v>
      </c>
      <c r="W148">
        <f t="shared" si="148"/>
        <v>0</v>
      </c>
      <c r="X148">
        <f t="shared" si="149"/>
        <v>0</v>
      </c>
      <c r="Y148">
        <f t="shared" si="150"/>
        <v>0</v>
      </c>
      <c r="AA148">
        <v>43095088</v>
      </c>
      <c r="AB148">
        <f t="shared" si="151"/>
        <v>152.68</v>
      </c>
      <c r="AC148">
        <f t="shared" si="174"/>
        <v>152.68</v>
      </c>
      <c r="AD148">
        <f t="shared" si="175"/>
        <v>0</v>
      </c>
      <c r="AE148">
        <f t="shared" si="176"/>
        <v>0</v>
      </c>
      <c r="AF148">
        <f t="shared" si="177"/>
        <v>0</v>
      </c>
      <c r="AG148">
        <f t="shared" si="153"/>
        <v>0</v>
      </c>
      <c r="AH148">
        <f t="shared" si="178"/>
        <v>0</v>
      </c>
      <c r="AI148">
        <f t="shared" si="179"/>
        <v>0</v>
      </c>
      <c r="AJ148">
        <f t="shared" si="154"/>
        <v>0</v>
      </c>
      <c r="AK148">
        <v>152.68</v>
      </c>
      <c r="AL148">
        <v>152.68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70</v>
      </c>
      <c r="AU148">
        <v>10</v>
      </c>
      <c r="AV148">
        <v>1</v>
      </c>
      <c r="AW148">
        <v>1</v>
      </c>
      <c r="AZ148">
        <v>1</v>
      </c>
      <c r="BA148">
        <v>1</v>
      </c>
      <c r="BB148">
        <v>1</v>
      </c>
      <c r="BC148">
        <v>1</v>
      </c>
      <c r="BD148" t="s">
        <v>3</v>
      </c>
      <c r="BE148" t="s">
        <v>3</v>
      </c>
      <c r="BF148" t="s">
        <v>3</v>
      </c>
      <c r="BG148" t="s">
        <v>3</v>
      </c>
      <c r="BH148">
        <v>3</v>
      </c>
      <c r="BI148">
        <v>4</v>
      </c>
      <c r="BJ148" t="s">
        <v>468</v>
      </c>
      <c r="BM148">
        <v>0</v>
      </c>
      <c r="BN148">
        <v>0</v>
      </c>
      <c r="BO148" t="s">
        <v>3</v>
      </c>
      <c r="BP148">
        <v>0</v>
      </c>
      <c r="BQ148">
        <v>1</v>
      </c>
      <c r="BR148">
        <v>1</v>
      </c>
      <c r="BS148">
        <v>1</v>
      </c>
      <c r="BT148">
        <v>1</v>
      </c>
      <c r="BU148">
        <v>1</v>
      </c>
      <c r="BV148">
        <v>1</v>
      </c>
      <c r="BW148">
        <v>1</v>
      </c>
      <c r="BX148">
        <v>1</v>
      </c>
      <c r="BY148" t="s">
        <v>3</v>
      </c>
      <c r="BZ148">
        <v>70</v>
      </c>
      <c r="CA148">
        <v>10</v>
      </c>
      <c r="CB148" t="s">
        <v>3</v>
      </c>
      <c r="CE148">
        <v>0</v>
      </c>
      <c r="CF148">
        <v>0</v>
      </c>
      <c r="CG148">
        <v>0</v>
      </c>
      <c r="CM148">
        <v>0</v>
      </c>
      <c r="CN148" t="s">
        <v>3</v>
      </c>
      <c r="CO148">
        <v>0</v>
      </c>
      <c r="CP148">
        <f t="shared" si="155"/>
        <v>0</v>
      </c>
      <c r="CQ148">
        <f t="shared" si="156"/>
        <v>152.68</v>
      </c>
      <c r="CR148">
        <f t="shared" si="180"/>
        <v>0</v>
      </c>
      <c r="CS148">
        <f t="shared" si="157"/>
        <v>0</v>
      </c>
      <c r="CT148">
        <f t="shared" si="158"/>
        <v>0</v>
      </c>
      <c r="CU148">
        <f t="shared" si="159"/>
        <v>0</v>
      </c>
      <c r="CV148">
        <f t="shared" si="160"/>
        <v>0</v>
      </c>
      <c r="CW148">
        <f t="shared" si="161"/>
        <v>0</v>
      </c>
      <c r="CX148">
        <f t="shared" si="162"/>
        <v>0</v>
      </c>
      <c r="CY148">
        <f t="shared" si="163"/>
        <v>0</v>
      </c>
      <c r="CZ148">
        <f t="shared" si="164"/>
        <v>0</v>
      </c>
      <c r="DC148" t="s">
        <v>3</v>
      </c>
      <c r="DD148" t="s">
        <v>3</v>
      </c>
      <c r="DE148" t="s">
        <v>3</v>
      </c>
      <c r="DF148" t="s">
        <v>3</v>
      </c>
      <c r="DG148" t="s">
        <v>3</v>
      </c>
      <c r="DH148" t="s">
        <v>3</v>
      </c>
      <c r="DI148" t="s">
        <v>3</v>
      </c>
      <c r="DJ148" t="s">
        <v>3</v>
      </c>
      <c r="DK148" t="s">
        <v>3</v>
      </c>
      <c r="DL148" t="s">
        <v>3</v>
      </c>
      <c r="DM148" t="s">
        <v>3</v>
      </c>
      <c r="DN148">
        <v>0</v>
      </c>
      <c r="DO148">
        <v>0</v>
      </c>
      <c r="DP148">
        <v>1</v>
      </c>
      <c r="DQ148">
        <v>1</v>
      </c>
      <c r="DU148">
        <v>1003</v>
      </c>
      <c r="DV148" t="s">
        <v>64</v>
      </c>
      <c r="DW148" t="s">
        <v>64</v>
      </c>
      <c r="DX148">
        <v>1</v>
      </c>
      <c r="DZ148" t="s">
        <v>3</v>
      </c>
      <c r="EA148" t="s">
        <v>3</v>
      </c>
      <c r="EB148" t="s">
        <v>3</v>
      </c>
      <c r="EC148" t="s">
        <v>3</v>
      </c>
      <c r="EE148">
        <v>43033442</v>
      </c>
      <c r="EF148">
        <v>1</v>
      </c>
      <c r="EG148" t="s">
        <v>22</v>
      </c>
      <c r="EH148">
        <v>0</v>
      </c>
      <c r="EI148" t="s">
        <v>3</v>
      </c>
      <c r="EJ148">
        <v>4</v>
      </c>
      <c r="EK148">
        <v>0</v>
      </c>
      <c r="EL148" t="s">
        <v>23</v>
      </c>
      <c r="EM148" t="s">
        <v>24</v>
      </c>
      <c r="EO148" t="s">
        <v>3</v>
      </c>
      <c r="EQ148">
        <v>0</v>
      </c>
      <c r="ER148">
        <v>152.68</v>
      </c>
      <c r="ES148">
        <v>152.68</v>
      </c>
      <c r="ET148">
        <v>0</v>
      </c>
      <c r="EU148">
        <v>0</v>
      </c>
      <c r="EV148">
        <v>0</v>
      </c>
      <c r="EW148">
        <v>0</v>
      </c>
      <c r="EX148">
        <v>0</v>
      </c>
      <c r="FQ148">
        <v>0</v>
      </c>
      <c r="FR148">
        <f t="shared" si="165"/>
        <v>0</v>
      </c>
      <c r="FS148">
        <v>0</v>
      </c>
      <c r="FX148">
        <v>70</v>
      </c>
      <c r="FY148">
        <v>10</v>
      </c>
      <c r="GA148" t="s">
        <v>3</v>
      </c>
      <c r="GD148">
        <v>0</v>
      </c>
      <c r="GF148">
        <v>-2058990990</v>
      </c>
      <c r="GG148">
        <v>2</v>
      </c>
      <c r="GH148">
        <v>1</v>
      </c>
      <c r="GI148">
        <v>-2</v>
      </c>
      <c r="GJ148">
        <v>0</v>
      </c>
      <c r="GK148">
        <f>ROUND(R148*(R12)/100,2)</f>
        <v>0</v>
      </c>
      <c r="GL148">
        <f t="shared" si="166"/>
        <v>0</v>
      </c>
      <c r="GM148">
        <f t="shared" si="167"/>
        <v>0</v>
      </c>
      <c r="GN148">
        <f t="shared" si="168"/>
        <v>0</v>
      </c>
      <c r="GO148">
        <f t="shared" si="169"/>
        <v>0</v>
      </c>
      <c r="GP148">
        <f t="shared" si="170"/>
        <v>0</v>
      </c>
      <c r="GR148">
        <v>0</v>
      </c>
      <c r="GS148">
        <v>3</v>
      </c>
      <c r="GT148">
        <v>0</v>
      </c>
      <c r="GU148" t="s">
        <v>3</v>
      </c>
      <c r="GV148">
        <f t="shared" si="171"/>
        <v>0</v>
      </c>
      <c r="GW148">
        <v>1</v>
      </c>
      <c r="GX148">
        <f t="shared" si="172"/>
        <v>0</v>
      </c>
      <c r="HA148">
        <v>0</v>
      </c>
      <c r="HB148">
        <v>0</v>
      </c>
      <c r="HC148">
        <f t="shared" si="173"/>
        <v>0</v>
      </c>
      <c r="HE148" t="s">
        <v>3</v>
      </c>
      <c r="HF148" t="s">
        <v>3</v>
      </c>
      <c r="HM148" t="s">
        <v>3</v>
      </c>
      <c r="HN148" t="s">
        <v>3</v>
      </c>
      <c r="HO148" t="s">
        <v>3</v>
      </c>
      <c r="HP148" t="s">
        <v>3</v>
      </c>
      <c r="HQ148" t="s">
        <v>3</v>
      </c>
      <c r="IK148">
        <v>0</v>
      </c>
    </row>
    <row r="149" spans="1:245" x14ac:dyDescent="0.2">
      <c r="A149">
        <v>18</v>
      </c>
      <c r="B149">
        <v>1</v>
      </c>
      <c r="C149">
        <v>263</v>
      </c>
      <c r="E149" t="s">
        <v>469</v>
      </c>
      <c r="F149" t="s">
        <v>470</v>
      </c>
      <c r="G149" t="s">
        <v>471</v>
      </c>
      <c r="H149" t="s">
        <v>94</v>
      </c>
      <c r="I149">
        <f>I142*J149</f>
        <v>0</v>
      </c>
      <c r="J149">
        <v>-116.6</v>
      </c>
      <c r="K149">
        <v>-116.6</v>
      </c>
      <c r="O149">
        <f t="shared" si="140"/>
        <v>0</v>
      </c>
      <c r="P149">
        <f t="shared" si="141"/>
        <v>0</v>
      </c>
      <c r="Q149">
        <f t="shared" si="142"/>
        <v>0</v>
      </c>
      <c r="R149">
        <f t="shared" si="143"/>
        <v>0</v>
      </c>
      <c r="S149">
        <f t="shared" si="144"/>
        <v>0</v>
      </c>
      <c r="T149">
        <f t="shared" si="145"/>
        <v>0</v>
      </c>
      <c r="U149">
        <f t="shared" si="146"/>
        <v>0</v>
      </c>
      <c r="V149">
        <f t="shared" si="147"/>
        <v>0</v>
      </c>
      <c r="W149">
        <f t="shared" si="148"/>
        <v>0</v>
      </c>
      <c r="X149">
        <f t="shared" si="149"/>
        <v>0</v>
      </c>
      <c r="Y149">
        <f t="shared" si="150"/>
        <v>0</v>
      </c>
      <c r="AA149">
        <v>43095088</v>
      </c>
      <c r="AB149">
        <f t="shared" si="151"/>
        <v>779</v>
      </c>
      <c r="AC149">
        <f t="shared" si="174"/>
        <v>779</v>
      </c>
      <c r="AD149">
        <f t="shared" si="175"/>
        <v>0</v>
      </c>
      <c r="AE149">
        <f t="shared" si="176"/>
        <v>0</v>
      </c>
      <c r="AF149">
        <f t="shared" si="177"/>
        <v>0</v>
      </c>
      <c r="AG149">
        <f t="shared" si="153"/>
        <v>0</v>
      </c>
      <c r="AH149">
        <f t="shared" si="178"/>
        <v>0</v>
      </c>
      <c r="AI149">
        <f t="shared" si="179"/>
        <v>0</v>
      </c>
      <c r="AJ149">
        <f t="shared" si="154"/>
        <v>0</v>
      </c>
      <c r="AK149">
        <v>779</v>
      </c>
      <c r="AL149">
        <v>779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70</v>
      </c>
      <c r="AU149">
        <v>10</v>
      </c>
      <c r="AV149">
        <v>1</v>
      </c>
      <c r="AW149">
        <v>1</v>
      </c>
      <c r="AZ149">
        <v>1</v>
      </c>
      <c r="BA149">
        <v>1</v>
      </c>
      <c r="BB149">
        <v>1</v>
      </c>
      <c r="BC149">
        <v>1</v>
      </c>
      <c r="BD149" t="s">
        <v>3</v>
      </c>
      <c r="BE149" t="s">
        <v>3</v>
      </c>
      <c r="BF149" t="s">
        <v>3</v>
      </c>
      <c r="BG149" t="s">
        <v>3</v>
      </c>
      <c r="BH149">
        <v>3</v>
      </c>
      <c r="BI149">
        <v>4</v>
      </c>
      <c r="BJ149" t="s">
        <v>472</v>
      </c>
      <c r="BM149">
        <v>0</v>
      </c>
      <c r="BN149">
        <v>0</v>
      </c>
      <c r="BO149" t="s">
        <v>3</v>
      </c>
      <c r="BP149">
        <v>0</v>
      </c>
      <c r="BQ149">
        <v>1</v>
      </c>
      <c r="BR149">
        <v>1</v>
      </c>
      <c r="BS149">
        <v>1</v>
      </c>
      <c r="BT149">
        <v>1</v>
      </c>
      <c r="BU149">
        <v>1</v>
      </c>
      <c r="BV149">
        <v>1</v>
      </c>
      <c r="BW149">
        <v>1</v>
      </c>
      <c r="BX149">
        <v>1</v>
      </c>
      <c r="BY149" t="s">
        <v>3</v>
      </c>
      <c r="BZ149">
        <v>70</v>
      </c>
      <c r="CA149">
        <v>10</v>
      </c>
      <c r="CB149" t="s">
        <v>3</v>
      </c>
      <c r="CE149">
        <v>0</v>
      </c>
      <c r="CF149">
        <v>0</v>
      </c>
      <c r="CG149">
        <v>0</v>
      </c>
      <c r="CM149">
        <v>0</v>
      </c>
      <c r="CN149" t="s">
        <v>3</v>
      </c>
      <c r="CO149">
        <v>0</v>
      </c>
      <c r="CP149">
        <f t="shared" si="155"/>
        <v>0</v>
      </c>
      <c r="CQ149">
        <f t="shared" si="156"/>
        <v>779</v>
      </c>
      <c r="CR149">
        <f t="shared" si="180"/>
        <v>0</v>
      </c>
      <c r="CS149">
        <f t="shared" si="157"/>
        <v>0</v>
      </c>
      <c r="CT149">
        <f t="shared" si="158"/>
        <v>0</v>
      </c>
      <c r="CU149">
        <f t="shared" si="159"/>
        <v>0</v>
      </c>
      <c r="CV149">
        <f t="shared" si="160"/>
        <v>0</v>
      </c>
      <c r="CW149">
        <f t="shared" si="161"/>
        <v>0</v>
      </c>
      <c r="CX149">
        <f t="shared" si="162"/>
        <v>0</v>
      </c>
      <c r="CY149">
        <f t="shared" si="163"/>
        <v>0</v>
      </c>
      <c r="CZ149">
        <f t="shared" si="164"/>
        <v>0</v>
      </c>
      <c r="DC149" t="s">
        <v>3</v>
      </c>
      <c r="DD149" t="s">
        <v>3</v>
      </c>
      <c r="DE149" t="s">
        <v>3</v>
      </c>
      <c r="DF149" t="s">
        <v>3</v>
      </c>
      <c r="DG149" t="s">
        <v>3</v>
      </c>
      <c r="DH149" t="s">
        <v>3</v>
      </c>
      <c r="DI149" t="s">
        <v>3</v>
      </c>
      <c r="DJ149" t="s">
        <v>3</v>
      </c>
      <c r="DK149" t="s">
        <v>3</v>
      </c>
      <c r="DL149" t="s">
        <v>3</v>
      </c>
      <c r="DM149" t="s">
        <v>3</v>
      </c>
      <c r="DN149">
        <v>0</v>
      </c>
      <c r="DO149">
        <v>0</v>
      </c>
      <c r="DP149">
        <v>1</v>
      </c>
      <c r="DQ149">
        <v>1</v>
      </c>
      <c r="DU149">
        <v>1005</v>
      </c>
      <c r="DV149" t="s">
        <v>94</v>
      </c>
      <c r="DW149" t="s">
        <v>94</v>
      </c>
      <c r="DX149">
        <v>1</v>
      </c>
      <c r="DZ149" t="s">
        <v>3</v>
      </c>
      <c r="EA149" t="s">
        <v>3</v>
      </c>
      <c r="EB149" t="s">
        <v>3</v>
      </c>
      <c r="EC149" t="s">
        <v>3</v>
      </c>
      <c r="EE149">
        <v>43033442</v>
      </c>
      <c r="EF149">
        <v>1</v>
      </c>
      <c r="EG149" t="s">
        <v>22</v>
      </c>
      <c r="EH149">
        <v>0</v>
      </c>
      <c r="EI149" t="s">
        <v>3</v>
      </c>
      <c r="EJ149">
        <v>4</v>
      </c>
      <c r="EK149">
        <v>0</v>
      </c>
      <c r="EL149" t="s">
        <v>23</v>
      </c>
      <c r="EM149" t="s">
        <v>24</v>
      </c>
      <c r="EO149" t="s">
        <v>3</v>
      </c>
      <c r="EQ149">
        <v>0</v>
      </c>
      <c r="ER149">
        <v>779</v>
      </c>
      <c r="ES149">
        <v>779</v>
      </c>
      <c r="ET149">
        <v>0</v>
      </c>
      <c r="EU149">
        <v>0</v>
      </c>
      <c r="EV149">
        <v>0</v>
      </c>
      <c r="EW149">
        <v>0</v>
      </c>
      <c r="EX149">
        <v>0</v>
      </c>
      <c r="FQ149">
        <v>0</v>
      </c>
      <c r="FR149">
        <f t="shared" si="165"/>
        <v>0</v>
      </c>
      <c r="FS149">
        <v>0</v>
      </c>
      <c r="FX149">
        <v>70</v>
      </c>
      <c r="FY149">
        <v>10</v>
      </c>
      <c r="GA149" t="s">
        <v>3</v>
      </c>
      <c r="GD149">
        <v>0</v>
      </c>
      <c r="GF149">
        <v>-111100368</v>
      </c>
      <c r="GG149">
        <v>2</v>
      </c>
      <c r="GH149">
        <v>1</v>
      </c>
      <c r="GI149">
        <v>-2</v>
      </c>
      <c r="GJ149">
        <v>0</v>
      </c>
      <c r="GK149">
        <f>ROUND(R149*(R12)/100,2)</f>
        <v>0</v>
      </c>
      <c r="GL149">
        <f t="shared" si="166"/>
        <v>0</v>
      </c>
      <c r="GM149">
        <f t="shared" si="167"/>
        <v>0</v>
      </c>
      <c r="GN149">
        <f t="shared" si="168"/>
        <v>0</v>
      </c>
      <c r="GO149">
        <f t="shared" si="169"/>
        <v>0</v>
      </c>
      <c r="GP149">
        <f t="shared" si="170"/>
        <v>0</v>
      </c>
      <c r="GR149">
        <v>0</v>
      </c>
      <c r="GS149">
        <v>3</v>
      </c>
      <c r="GT149">
        <v>0</v>
      </c>
      <c r="GU149" t="s">
        <v>3</v>
      </c>
      <c r="GV149">
        <f t="shared" si="171"/>
        <v>0</v>
      </c>
      <c r="GW149">
        <v>1</v>
      </c>
      <c r="GX149">
        <f t="shared" si="172"/>
        <v>0</v>
      </c>
      <c r="HA149">
        <v>0</v>
      </c>
      <c r="HB149">
        <v>0</v>
      </c>
      <c r="HC149">
        <f t="shared" si="173"/>
        <v>0</v>
      </c>
      <c r="HE149" t="s">
        <v>3</v>
      </c>
      <c r="HF149" t="s">
        <v>3</v>
      </c>
      <c r="HM149" t="s">
        <v>3</v>
      </c>
      <c r="HN149" t="s">
        <v>3</v>
      </c>
      <c r="HO149" t="s">
        <v>3</v>
      </c>
      <c r="HP149" t="s">
        <v>3</v>
      </c>
      <c r="HQ149" t="s">
        <v>3</v>
      </c>
      <c r="IK149">
        <v>0</v>
      </c>
    </row>
    <row r="150" spans="1:245" x14ac:dyDescent="0.2">
      <c r="A150">
        <v>18</v>
      </c>
      <c r="B150">
        <v>1</v>
      </c>
      <c r="C150">
        <v>264</v>
      </c>
      <c r="E150" t="s">
        <v>473</v>
      </c>
      <c r="F150" t="s">
        <v>474</v>
      </c>
      <c r="G150" t="s">
        <v>475</v>
      </c>
      <c r="H150" t="s">
        <v>402</v>
      </c>
      <c r="I150">
        <f>I142*J150</f>
        <v>0</v>
      </c>
      <c r="J150">
        <v>-0.14399999999999999</v>
      </c>
      <c r="K150">
        <v>-0.14399999999999999</v>
      </c>
      <c r="O150">
        <f t="shared" si="140"/>
        <v>0</v>
      </c>
      <c r="P150">
        <f t="shared" si="141"/>
        <v>0</v>
      </c>
      <c r="Q150">
        <f t="shared" si="142"/>
        <v>0</v>
      </c>
      <c r="R150">
        <f t="shared" si="143"/>
        <v>0</v>
      </c>
      <c r="S150">
        <f t="shared" si="144"/>
        <v>0</v>
      </c>
      <c r="T150">
        <f t="shared" si="145"/>
        <v>0</v>
      </c>
      <c r="U150">
        <f t="shared" si="146"/>
        <v>0</v>
      </c>
      <c r="V150">
        <f t="shared" si="147"/>
        <v>0</v>
      </c>
      <c r="W150">
        <f t="shared" si="148"/>
        <v>0</v>
      </c>
      <c r="X150">
        <f t="shared" si="149"/>
        <v>0</v>
      </c>
      <c r="Y150">
        <f t="shared" si="150"/>
        <v>0</v>
      </c>
      <c r="AA150">
        <v>43095088</v>
      </c>
      <c r="AB150">
        <f t="shared" si="151"/>
        <v>217076.76</v>
      </c>
      <c r="AC150">
        <f t="shared" si="174"/>
        <v>217076.76</v>
      </c>
      <c r="AD150">
        <f t="shared" si="175"/>
        <v>0</v>
      </c>
      <c r="AE150">
        <f t="shared" si="176"/>
        <v>0</v>
      </c>
      <c r="AF150">
        <f t="shared" si="177"/>
        <v>0</v>
      </c>
      <c r="AG150">
        <f t="shared" si="153"/>
        <v>0</v>
      </c>
      <c r="AH150">
        <f t="shared" si="178"/>
        <v>0</v>
      </c>
      <c r="AI150">
        <f t="shared" si="179"/>
        <v>0</v>
      </c>
      <c r="AJ150">
        <f t="shared" si="154"/>
        <v>0</v>
      </c>
      <c r="AK150">
        <v>217076.76</v>
      </c>
      <c r="AL150">
        <v>217076.76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70</v>
      </c>
      <c r="AU150">
        <v>10</v>
      </c>
      <c r="AV150">
        <v>1</v>
      </c>
      <c r="AW150">
        <v>1</v>
      </c>
      <c r="AZ150">
        <v>1</v>
      </c>
      <c r="BA150">
        <v>1</v>
      </c>
      <c r="BB150">
        <v>1</v>
      </c>
      <c r="BC150">
        <v>1</v>
      </c>
      <c r="BD150" t="s">
        <v>3</v>
      </c>
      <c r="BE150" t="s">
        <v>3</v>
      </c>
      <c r="BF150" t="s">
        <v>3</v>
      </c>
      <c r="BG150" t="s">
        <v>3</v>
      </c>
      <c r="BH150">
        <v>3</v>
      </c>
      <c r="BI150">
        <v>4</v>
      </c>
      <c r="BJ150" t="s">
        <v>476</v>
      </c>
      <c r="BM150">
        <v>0</v>
      </c>
      <c r="BN150">
        <v>0</v>
      </c>
      <c r="BO150" t="s">
        <v>3</v>
      </c>
      <c r="BP150">
        <v>0</v>
      </c>
      <c r="BQ150">
        <v>1</v>
      </c>
      <c r="BR150">
        <v>1</v>
      </c>
      <c r="BS150">
        <v>1</v>
      </c>
      <c r="BT150">
        <v>1</v>
      </c>
      <c r="BU150">
        <v>1</v>
      </c>
      <c r="BV150">
        <v>1</v>
      </c>
      <c r="BW150">
        <v>1</v>
      </c>
      <c r="BX150">
        <v>1</v>
      </c>
      <c r="BY150" t="s">
        <v>3</v>
      </c>
      <c r="BZ150">
        <v>70</v>
      </c>
      <c r="CA150">
        <v>10</v>
      </c>
      <c r="CB150" t="s">
        <v>3</v>
      </c>
      <c r="CE150">
        <v>0</v>
      </c>
      <c r="CF150">
        <v>0</v>
      </c>
      <c r="CG150">
        <v>0</v>
      </c>
      <c r="CM150">
        <v>0</v>
      </c>
      <c r="CN150" t="s">
        <v>3</v>
      </c>
      <c r="CO150">
        <v>0</v>
      </c>
      <c r="CP150">
        <f t="shared" si="155"/>
        <v>0</v>
      </c>
      <c r="CQ150">
        <f t="shared" si="156"/>
        <v>217076.76</v>
      </c>
      <c r="CR150">
        <f t="shared" si="180"/>
        <v>0</v>
      </c>
      <c r="CS150">
        <f t="shared" si="157"/>
        <v>0</v>
      </c>
      <c r="CT150">
        <f t="shared" si="158"/>
        <v>0</v>
      </c>
      <c r="CU150">
        <f t="shared" si="159"/>
        <v>0</v>
      </c>
      <c r="CV150">
        <f t="shared" si="160"/>
        <v>0</v>
      </c>
      <c r="CW150">
        <f t="shared" si="161"/>
        <v>0</v>
      </c>
      <c r="CX150">
        <f t="shared" si="162"/>
        <v>0</v>
      </c>
      <c r="CY150">
        <f t="shared" si="163"/>
        <v>0</v>
      </c>
      <c r="CZ150">
        <f t="shared" si="164"/>
        <v>0</v>
      </c>
      <c r="DC150" t="s">
        <v>3</v>
      </c>
      <c r="DD150" t="s">
        <v>3</v>
      </c>
      <c r="DE150" t="s">
        <v>3</v>
      </c>
      <c r="DF150" t="s">
        <v>3</v>
      </c>
      <c r="DG150" t="s">
        <v>3</v>
      </c>
      <c r="DH150" t="s">
        <v>3</v>
      </c>
      <c r="DI150" t="s">
        <v>3</v>
      </c>
      <c r="DJ150" t="s">
        <v>3</v>
      </c>
      <c r="DK150" t="s">
        <v>3</v>
      </c>
      <c r="DL150" t="s">
        <v>3</v>
      </c>
      <c r="DM150" t="s">
        <v>3</v>
      </c>
      <c r="DN150">
        <v>0</v>
      </c>
      <c r="DO150">
        <v>0</v>
      </c>
      <c r="DP150">
        <v>1</v>
      </c>
      <c r="DQ150">
        <v>1</v>
      </c>
      <c r="DU150">
        <v>1009</v>
      </c>
      <c r="DV150" t="s">
        <v>402</v>
      </c>
      <c r="DW150" t="s">
        <v>402</v>
      </c>
      <c r="DX150">
        <v>1000</v>
      </c>
      <c r="DZ150" t="s">
        <v>3</v>
      </c>
      <c r="EA150" t="s">
        <v>3</v>
      </c>
      <c r="EB150" t="s">
        <v>3</v>
      </c>
      <c r="EC150" t="s">
        <v>3</v>
      </c>
      <c r="EE150">
        <v>43033442</v>
      </c>
      <c r="EF150">
        <v>1</v>
      </c>
      <c r="EG150" t="s">
        <v>22</v>
      </c>
      <c r="EH150">
        <v>0</v>
      </c>
      <c r="EI150" t="s">
        <v>3</v>
      </c>
      <c r="EJ150">
        <v>4</v>
      </c>
      <c r="EK150">
        <v>0</v>
      </c>
      <c r="EL150" t="s">
        <v>23</v>
      </c>
      <c r="EM150" t="s">
        <v>24</v>
      </c>
      <c r="EO150" t="s">
        <v>3</v>
      </c>
      <c r="EQ150">
        <v>0</v>
      </c>
      <c r="ER150">
        <v>217076.76</v>
      </c>
      <c r="ES150">
        <v>217076.76</v>
      </c>
      <c r="ET150">
        <v>0</v>
      </c>
      <c r="EU150">
        <v>0</v>
      </c>
      <c r="EV150">
        <v>0</v>
      </c>
      <c r="EW150">
        <v>0</v>
      </c>
      <c r="EX150">
        <v>0</v>
      </c>
      <c r="FQ150">
        <v>0</v>
      </c>
      <c r="FR150">
        <f t="shared" si="165"/>
        <v>0</v>
      </c>
      <c r="FS150">
        <v>0</v>
      </c>
      <c r="FX150">
        <v>70</v>
      </c>
      <c r="FY150">
        <v>10</v>
      </c>
      <c r="GA150" t="s">
        <v>3</v>
      </c>
      <c r="GD150">
        <v>0</v>
      </c>
      <c r="GF150">
        <v>1159034141</v>
      </c>
      <c r="GG150">
        <v>2</v>
      </c>
      <c r="GH150">
        <v>1</v>
      </c>
      <c r="GI150">
        <v>-2</v>
      </c>
      <c r="GJ150">
        <v>0</v>
      </c>
      <c r="GK150">
        <f>ROUND(R150*(R12)/100,2)</f>
        <v>0</v>
      </c>
      <c r="GL150">
        <f t="shared" si="166"/>
        <v>0</v>
      </c>
      <c r="GM150">
        <f t="shared" si="167"/>
        <v>0</v>
      </c>
      <c r="GN150">
        <f t="shared" si="168"/>
        <v>0</v>
      </c>
      <c r="GO150">
        <f t="shared" si="169"/>
        <v>0</v>
      </c>
      <c r="GP150">
        <f t="shared" si="170"/>
        <v>0</v>
      </c>
      <c r="GR150">
        <v>0</v>
      </c>
      <c r="GS150">
        <v>3</v>
      </c>
      <c r="GT150">
        <v>0</v>
      </c>
      <c r="GU150" t="s">
        <v>3</v>
      </c>
      <c r="GV150">
        <f t="shared" si="171"/>
        <v>0</v>
      </c>
      <c r="GW150">
        <v>1</v>
      </c>
      <c r="GX150">
        <f t="shared" si="172"/>
        <v>0</v>
      </c>
      <c r="HA150">
        <v>0</v>
      </c>
      <c r="HB150">
        <v>0</v>
      </c>
      <c r="HC150">
        <f t="shared" si="173"/>
        <v>0</v>
      </c>
      <c r="HE150" t="s">
        <v>3</v>
      </c>
      <c r="HF150" t="s">
        <v>3</v>
      </c>
      <c r="HM150" t="s">
        <v>3</v>
      </c>
      <c r="HN150" t="s">
        <v>3</v>
      </c>
      <c r="HO150" t="s">
        <v>3</v>
      </c>
      <c r="HP150" t="s">
        <v>3</v>
      </c>
      <c r="HQ150" t="s">
        <v>3</v>
      </c>
      <c r="IK150">
        <v>0</v>
      </c>
    </row>
    <row r="151" spans="1:245" x14ac:dyDescent="0.2">
      <c r="A151">
        <v>17</v>
      </c>
      <c r="B151">
        <v>1</v>
      </c>
      <c r="E151" t="s">
        <v>477</v>
      </c>
      <c r="F151" t="s">
        <v>478</v>
      </c>
      <c r="G151" t="s">
        <v>479</v>
      </c>
      <c r="H151" t="s">
        <v>480</v>
      </c>
      <c r="I151">
        <v>16</v>
      </c>
      <c r="J151">
        <v>0</v>
      </c>
      <c r="K151">
        <v>16</v>
      </c>
      <c r="O151">
        <f t="shared" si="140"/>
        <v>17120.32</v>
      </c>
      <c r="P151">
        <f t="shared" si="141"/>
        <v>0</v>
      </c>
      <c r="Q151">
        <f t="shared" si="142"/>
        <v>17120.32</v>
      </c>
      <c r="R151">
        <f t="shared" si="143"/>
        <v>12639.36</v>
      </c>
      <c r="S151">
        <f t="shared" si="144"/>
        <v>0</v>
      </c>
      <c r="T151">
        <f t="shared" si="145"/>
        <v>0</v>
      </c>
      <c r="U151">
        <f t="shared" si="146"/>
        <v>0</v>
      </c>
      <c r="V151">
        <f t="shared" si="147"/>
        <v>0</v>
      </c>
      <c r="W151">
        <f t="shared" si="148"/>
        <v>0</v>
      </c>
      <c r="X151">
        <f t="shared" si="149"/>
        <v>0</v>
      </c>
      <c r="Y151">
        <f t="shared" si="150"/>
        <v>0</v>
      </c>
      <c r="AA151">
        <v>43095088</v>
      </c>
      <c r="AB151">
        <f t="shared" si="151"/>
        <v>1070.02</v>
      </c>
      <c r="AC151">
        <f t="shared" si="174"/>
        <v>0</v>
      </c>
      <c r="AD151">
        <f t="shared" si="175"/>
        <v>1070.02</v>
      </c>
      <c r="AE151">
        <f t="shared" si="176"/>
        <v>789.96</v>
      </c>
      <c r="AF151">
        <f t="shared" si="177"/>
        <v>0</v>
      </c>
      <c r="AG151">
        <f t="shared" si="153"/>
        <v>0</v>
      </c>
      <c r="AH151">
        <f t="shared" si="178"/>
        <v>0</v>
      </c>
      <c r="AI151">
        <f t="shared" si="179"/>
        <v>0</v>
      </c>
      <c r="AJ151">
        <f t="shared" si="154"/>
        <v>0</v>
      </c>
      <c r="AK151">
        <v>1070.02</v>
      </c>
      <c r="AL151">
        <v>0</v>
      </c>
      <c r="AM151">
        <v>1070.02</v>
      </c>
      <c r="AN151">
        <v>789.96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70</v>
      </c>
      <c r="AU151">
        <v>10</v>
      </c>
      <c r="AV151">
        <v>1</v>
      </c>
      <c r="AW151">
        <v>1</v>
      </c>
      <c r="AZ151">
        <v>1</v>
      </c>
      <c r="BA151">
        <v>1</v>
      </c>
      <c r="BB151">
        <v>1</v>
      </c>
      <c r="BC151">
        <v>1</v>
      </c>
      <c r="BD151" t="s">
        <v>3</v>
      </c>
      <c r="BE151" t="s">
        <v>3</v>
      </c>
      <c r="BF151" t="s">
        <v>3</v>
      </c>
      <c r="BG151" t="s">
        <v>3</v>
      </c>
      <c r="BH151">
        <v>2</v>
      </c>
      <c r="BI151">
        <v>4</v>
      </c>
      <c r="BJ151" t="s">
        <v>481</v>
      </c>
      <c r="BM151">
        <v>0</v>
      </c>
      <c r="BN151">
        <v>0</v>
      </c>
      <c r="BO151" t="s">
        <v>3</v>
      </c>
      <c r="BP151">
        <v>0</v>
      </c>
      <c r="BQ151">
        <v>1</v>
      </c>
      <c r="BR151">
        <v>0</v>
      </c>
      <c r="BS151">
        <v>1</v>
      </c>
      <c r="BT151">
        <v>1</v>
      </c>
      <c r="BU151">
        <v>1</v>
      </c>
      <c r="BV151">
        <v>1</v>
      </c>
      <c r="BW151">
        <v>1</v>
      </c>
      <c r="BX151">
        <v>1</v>
      </c>
      <c r="BY151" t="s">
        <v>3</v>
      </c>
      <c r="BZ151">
        <v>70</v>
      </c>
      <c r="CA151">
        <v>10</v>
      </c>
      <c r="CB151" t="s">
        <v>3</v>
      </c>
      <c r="CE151">
        <v>0</v>
      </c>
      <c r="CF151">
        <v>0</v>
      </c>
      <c r="CG151">
        <v>0</v>
      </c>
      <c r="CM151">
        <v>0</v>
      </c>
      <c r="CN151" t="s">
        <v>3</v>
      </c>
      <c r="CO151">
        <v>0</v>
      </c>
      <c r="CP151">
        <f t="shared" si="155"/>
        <v>17120.32</v>
      </c>
      <c r="CQ151">
        <f t="shared" si="156"/>
        <v>0</v>
      </c>
      <c r="CR151">
        <f t="shared" si="180"/>
        <v>1070.02</v>
      </c>
      <c r="CS151">
        <f t="shared" si="157"/>
        <v>789.96</v>
      </c>
      <c r="CT151">
        <f t="shared" si="158"/>
        <v>0</v>
      </c>
      <c r="CU151">
        <f t="shared" si="159"/>
        <v>0</v>
      </c>
      <c r="CV151">
        <f t="shared" si="160"/>
        <v>0</v>
      </c>
      <c r="CW151">
        <f t="shared" si="161"/>
        <v>0</v>
      </c>
      <c r="CX151">
        <f t="shared" si="162"/>
        <v>0</v>
      </c>
      <c r="CY151">
        <f t="shared" si="163"/>
        <v>0</v>
      </c>
      <c r="CZ151">
        <f t="shared" si="164"/>
        <v>0</v>
      </c>
      <c r="DC151" t="s">
        <v>3</v>
      </c>
      <c r="DD151" t="s">
        <v>3</v>
      </c>
      <c r="DE151" t="s">
        <v>3</v>
      </c>
      <c r="DF151" t="s">
        <v>3</v>
      </c>
      <c r="DG151" t="s">
        <v>3</v>
      </c>
      <c r="DH151" t="s">
        <v>3</v>
      </c>
      <c r="DI151" t="s">
        <v>3</v>
      </c>
      <c r="DJ151" t="s">
        <v>3</v>
      </c>
      <c r="DK151" t="s">
        <v>3</v>
      </c>
      <c r="DL151" t="s">
        <v>3</v>
      </c>
      <c r="DM151" t="s">
        <v>3</v>
      </c>
      <c r="DN151">
        <v>0</v>
      </c>
      <c r="DO151">
        <v>0</v>
      </c>
      <c r="DP151">
        <v>1</v>
      </c>
      <c r="DQ151">
        <v>1</v>
      </c>
      <c r="DU151">
        <v>1011</v>
      </c>
      <c r="DV151" t="s">
        <v>480</v>
      </c>
      <c r="DW151" t="s">
        <v>480</v>
      </c>
      <c r="DX151">
        <v>1</v>
      </c>
      <c r="DZ151" t="s">
        <v>3</v>
      </c>
      <c r="EA151" t="s">
        <v>3</v>
      </c>
      <c r="EB151" t="s">
        <v>3</v>
      </c>
      <c r="EC151" t="s">
        <v>3</v>
      </c>
      <c r="EE151">
        <v>43033442</v>
      </c>
      <c r="EF151">
        <v>1</v>
      </c>
      <c r="EG151" t="s">
        <v>22</v>
      </c>
      <c r="EH151">
        <v>0</v>
      </c>
      <c r="EI151" t="s">
        <v>3</v>
      </c>
      <c r="EJ151">
        <v>4</v>
      </c>
      <c r="EK151">
        <v>0</v>
      </c>
      <c r="EL151" t="s">
        <v>23</v>
      </c>
      <c r="EM151" t="s">
        <v>24</v>
      </c>
      <c r="EO151" t="s">
        <v>3</v>
      </c>
      <c r="EQ151">
        <v>0</v>
      </c>
      <c r="ER151">
        <v>1070.02</v>
      </c>
      <c r="ES151">
        <v>0</v>
      </c>
      <c r="ET151">
        <v>1070.02</v>
      </c>
      <c r="EU151">
        <v>789.96</v>
      </c>
      <c r="EV151">
        <v>0</v>
      </c>
      <c r="EW151">
        <v>0</v>
      </c>
      <c r="EX151">
        <v>0</v>
      </c>
      <c r="EY151">
        <v>0</v>
      </c>
      <c r="FQ151">
        <v>0</v>
      </c>
      <c r="FR151">
        <f t="shared" si="165"/>
        <v>0</v>
      </c>
      <c r="FS151">
        <v>0</v>
      </c>
      <c r="FX151">
        <v>70</v>
      </c>
      <c r="FY151">
        <v>10</v>
      </c>
      <c r="GA151" t="s">
        <v>3</v>
      </c>
      <c r="GD151">
        <v>0</v>
      </c>
      <c r="GF151">
        <v>-1859537877</v>
      </c>
      <c r="GG151">
        <v>2</v>
      </c>
      <c r="GH151">
        <v>1</v>
      </c>
      <c r="GI151">
        <v>-2</v>
      </c>
      <c r="GJ151">
        <v>0</v>
      </c>
      <c r="GK151">
        <f>ROUND(R151*(R12)/100,2)</f>
        <v>13650.51</v>
      </c>
      <c r="GL151">
        <f t="shared" si="166"/>
        <v>0</v>
      </c>
      <c r="GM151">
        <f t="shared" si="167"/>
        <v>30770.83</v>
      </c>
      <c r="GN151">
        <f t="shared" si="168"/>
        <v>0</v>
      </c>
      <c r="GO151">
        <f t="shared" si="169"/>
        <v>0</v>
      </c>
      <c r="GP151">
        <f t="shared" si="170"/>
        <v>30770.83</v>
      </c>
      <c r="GR151">
        <v>0</v>
      </c>
      <c r="GS151">
        <v>3</v>
      </c>
      <c r="GT151">
        <v>0</v>
      </c>
      <c r="GU151" t="s">
        <v>3</v>
      </c>
      <c r="GV151">
        <f t="shared" si="171"/>
        <v>0</v>
      </c>
      <c r="GW151">
        <v>1</v>
      </c>
      <c r="GX151">
        <f t="shared" si="172"/>
        <v>0</v>
      </c>
      <c r="HA151">
        <v>0</v>
      </c>
      <c r="HB151">
        <v>0</v>
      </c>
      <c r="HC151">
        <f t="shared" si="173"/>
        <v>0</v>
      </c>
      <c r="HE151" t="s">
        <v>3</v>
      </c>
      <c r="HF151" t="s">
        <v>3</v>
      </c>
      <c r="HM151" t="s">
        <v>3</v>
      </c>
      <c r="HN151" t="s">
        <v>3</v>
      </c>
      <c r="HO151" t="s">
        <v>3</v>
      </c>
      <c r="HP151" t="s">
        <v>3</v>
      </c>
      <c r="HQ151" t="s">
        <v>3</v>
      </c>
      <c r="IK151">
        <v>0</v>
      </c>
    </row>
    <row r="152" spans="1:245" x14ac:dyDescent="0.2">
      <c r="A152">
        <v>17</v>
      </c>
      <c r="B152">
        <v>1</v>
      </c>
      <c r="C152">
        <f>ROW(SmtRes!A265)</f>
        <v>265</v>
      </c>
      <c r="D152">
        <f>ROW(EtalonRes!A249)</f>
        <v>249</v>
      </c>
      <c r="E152" t="s">
        <v>482</v>
      </c>
      <c r="F152" t="s">
        <v>483</v>
      </c>
      <c r="G152" t="s">
        <v>484</v>
      </c>
      <c r="H152" t="s">
        <v>402</v>
      </c>
      <c r="I152">
        <v>0</v>
      </c>
      <c r="J152">
        <v>0</v>
      </c>
      <c r="K152">
        <v>0</v>
      </c>
      <c r="O152">
        <f t="shared" si="140"/>
        <v>0</v>
      </c>
      <c r="P152">
        <f t="shared" si="141"/>
        <v>0</v>
      </c>
      <c r="Q152">
        <f t="shared" si="142"/>
        <v>0</v>
      </c>
      <c r="R152">
        <f t="shared" si="143"/>
        <v>0</v>
      </c>
      <c r="S152">
        <f t="shared" si="144"/>
        <v>0</v>
      </c>
      <c r="T152">
        <f t="shared" si="145"/>
        <v>0</v>
      </c>
      <c r="U152">
        <f t="shared" si="146"/>
        <v>0</v>
      </c>
      <c r="V152">
        <f t="shared" si="147"/>
        <v>0</v>
      </c>
      <c r="W152">
        <f t="shared" si="148"/>
        <v>0</v>
      </c>
      <c r="X152">
        <f t="shared" si="149"/>
        <v>0</v>
      </c>
      <c r="Y152">
        <f t="shared" si="150"/>
        <v>0</v>
      </c>
      <c r="AA152">
        <v>43095088</v>
      </c>
      <c r="AB152">
        <f t="shared" ref="AB152:AB154" si="181">ROUND((AC152+AD152+AF152),6)</f>
        <v>84.22</v>
      </c>
      <c r="AC152">
        <f t="shared" si="174"/>
        <v>0</v>
      </c>
      <c r="AD152">
        <f t="shared" si="175"/>
        <v>84.22</v>
      </c>
      <c r="AE152">
        <f t="shared" si="176"/>
        <v>27.13</v>
      </c>
      <c r="AF152">
        <f t="shared" si="177"/>
        <v>0</v>
      </c>
      <c r="AG152">
        <f t="shared" si="153"/>
        <v>0</v>
      </c>
      <c r="AH152">
        <f t="shared" si="178"/>
        <v>0</v>
      </c>
      <c r="AI152">
        <f t="shared" si="179"/>
        <v>0</v>
      </c>
      <c r="AJ152">
        <f t="shared" si="154"/>
        <v>0</v>
      </c>
      <c r="AK152">
        <v>84.22</v>
      </c>
      <c r="AL152">
        <v>0</v>
      </c>
      <c r="AM152">
        <v>84.22</v>
      </c>
      <c r="AN152">
        <v>27.13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70</v>
      </c>
      <c r="AU152">
        <v>10</v>
      </c>
      <c r="AV152">
        <v>1</v>
      </c>
      <c r="AW152">
        <v>1</v>
      </c>
      <c r="AZ152">
        <v>1</v>
      </c>
      <c r="BA152">
        <v>1</v>
      </c>
      <c r="BB152">
        <v>1</v>
      </c>
      <c r="BC152">
        <v>1</v>
      </c>
      <c r="BD152" t="s">
        <v>3</v>
      </c>
      <c r="BE152" t="s">
        <v>3</v>
      </c>
      <c r="BF152" t="s">
        <v>3</v>
      </c>
      <c r="BG152" t="s">
        <v>3</v>
      </c>
      <c r="BH152">
        <v>0</v>
      </c>
      <c r="BI152">
        <v>4</v>
      </c>
      <c r="BJ152" t="s">
        <v>485</v>
      </c>
      <c r="BM152">
        <v>0</v>
      </c>
      <c r="BN152">
        <v>0</v>
      </c>
      <c r="BO152" t="s">
        <v>3</v>
      </c>
      <c r="BP152">
        <v>0</v>
      </c>
      <c r="BQ152">
        <v>1</v>
      </c>
      <c r="BR152">
        <v>0</v>
      </c>
      <c r="BS152">
        <v>1</v>
      </c>
      <c r="BT152">
        <v>1</v>
      </c>
      <c r="BU152">
        <v>1</v>
      </c>
      <c r="BV152">
        <v>1</v>
      </c>
      <c r="BW152">
        <v>1</v>
      </c>
      <c r="BX152">
        <v>1</v>
      </c>
      <c r="BY152" t="s">
        <v>3</v>
      </c>
      <c r="BZ152">
        <v>70</v>
      </c>
      <c r="CA152">
        <v>10</v>
      </c>
      <c r="CB152" t="s">
        <v>3</v>
      </c>
      <c r="CE152">
        <v>0</v>
      </c>
      <c r="CF152">
        <v>0</v>
      </c>
      <c r="CG152">
        <v>0</v>
      </c>
      <c r="CM152">
        <v>0</v>
      </c>
      <c r="CN152" t="s">
        <v>3</v>
      </c>
      <c r="CO152">
        <v>0</v>
      </c>
      <c r="CP152">
        <f t="shared" si="155"/>
        <v>0</v>
      </c>
      <c r="CQ152">
        <f t="shared" si="156"/>
        <v>0</v>
      </c>
      <c r="CR152">
        <f t="shared" si="180"/>
        <v>84.22</v>
      </c>
      <c r="CS152">
        <f t="shared" si="157"/>
        <v>27.13</v>
      </c>
      <c r="CT152">
        <f t="shared" si="158"/>
        <v>0</v>
      </c>
      <c r="CU152">
        <f t="shared" si="159"/>
        <v>0</v>
      </c>
      <c r="CV152">
        <f t="shared" si="160"/>
        <v>0</v>
      </c>
      <c r="CW152">
        <f t="shared" si="161"/>
        <v>0</v>
      </c>
      <c r="CX152">
        <f t="shared" si="162"/>
        <v>0</v>
      </c>
      <c r="CY152">
        <f t="shared" si="163"/>
        <v>0</v>
      </c>
      <c r="CZ152">
        <f t="shared" si="164"/>
        <v>0</v>
      </c>
      <c r="DC152" t="s">
        <v>3</v>
      </c>
      <c r="DD152" t="s">
        <v>3</v>
      </c>
      <c r="DE152" t="s">
        <v>3</v>
      </c>
      <c r="DF152" t="s">
        <v>3</v>
      </c>
      <c r="DG152" t="s">
        <v>3</v>
      </c>
      <c r="DH152" t="s">
        <v>3</v>
      </c>
      <c r="DI152" t="s">
        <v>3</v>
      </c>
      <c r="DJ152" t="s">
        <v>3</v>
      </c>
      <c r="DK152" t="s">
        <v>3</v>
      </c>
      <c r="DL152" t="s">
        <v>3</v>
      </c>
      <c r="DM152" t="s">
        <v>3</v>
      </c>
      <c r="DN152">
        <v>0</v>
      </c>
      <c r="DO152">
        <v>0</v>
      </c>
      <c r="DP152">
        <v>1</v>
      </c>
      <c r="DQ152">
        <v>1</v>
      </c>
      <c r="DU152">
        <v>1009</v>
      </c>
      <c r="DV152" t="s">
        <v>402</v>
      </c>
      <c r="DW152" t="s">
        <v>402</v>
      </c>
      <c r="DX152">
        <v>1000</v>
      </c>
      <c r="DZ152" t="s">
        <v>3</v>
      </c>
      <c r="EA152" t="s">
        <v>3</v>
      </c>
      <c r="EB152" t="s">
        <v>3</v>
      </c>
      <c r="EC152" t="s">
        <v>3</v>
      </c>
      <c r="EE152">
        <v>43033442</v>
      </c>
      <c r="EF152">
        <v>1</v>
      </c>
      <c r="EG152" t="s">
        <v>22</v>
      </c>
      <c r="EH152">
        <v>0</v>
      </c>
      <c r="EI152" t="s">
        <v>3</v>
      </c>
      <c r="EJ152">
        <v>4</v>
      </c>
      <c r="EK152">
        <v>0</v>
      </c>
      <c r="EL152" t="s">
        <v>23</v>
      </c>
      <c r="EM152" t="s">
        <v>24</v>
      </c>
      <c r="EO152" t="s">
        <v>3</v>
      </c>
      <c r="EQ152">
        <v>0</v>
      </c>
      <c r="ER152">
        <v>84.22</v>
      </c>
      <c r="ES152">
        <v>0</v>
      </c>
      <c r="ET152">
        <v>84.22</v>
      </c>
      <c r="EU152">
        <v>27.13</v>
      </c>
      <c r="EV152">
        <v>0</v>
      </c>
      <c r="EW152">
        <v>0</v>
      </c>
      <c r="EX152">
        <v>0</v>
      </c>
      <c r="EY152">
        <v>0</v>
      </c>
      <c r="FQ152">
        <v>0</v>
      </c>
      <c r="FR152">
        <f t="shared" si="165"/>
        <v>0</v>
      </c>
      <c r="FS152">
        <v>0</v>
      </c>
      <c r="FX152">
        <v>70</v>
      </c>
      <c r="FY152">
        <v>10</v>
      </c>
      <c r="GA152" t="s">
        <v>3</v>
      </c>
      <c r="GD152">
        <v>0</v>
      </c>
      <c r="GF152">
        <v>818108907</v>
      </c>
      <c r="GG152">
        <v>2</v>
      </c>
      <c r="GH152">
        <v>1</v>
      </c>
      <c r="GI152">
        <v>-2</v>
      </c>
      <c r="GJ152">
        <v>0</v>
      </c>
      <c r="GK152">
        <f>ROUND(R152*(R12)/100,2)</f>
        <v>0</v>
      </c>
      <c r="GL152">
        <f t="shared" si="166"/>
        <v>0</v>
      </c>
      <c r="GM152">
        <f t="shared" si="167"/>
        <v>0</v>
      </c>
      <c r="GN152">
        <f t="shared" si="168"/>
        <v>0</v>
      </c>
      <c r="GO152">
        <f t="shared" si="169"/>
        <v>0</v>
      </c>
      <c r="GP152">
        <f t="shared" si="170"/>
        <v>0</v>
      </c>
      <c r="GR152">
        <v>0</v>
      </c>
      <c r="GS152">
        <v>3</v>
      </c>
      <c r="GT152">
        <v>0</v>
      </c>
      <c r="GU152" t="s">
        <v>3</v>
      </c>
      <c r="GV152">
        <f t="shared" si="171"/>
        <v>0</v>
      </c>
      <c r="GW152">
        <v>1</v>
      </c>
      <c r="GX152">
        <f t="shared" si="172"/>
        <v>0</v>
      </c>
      <c r="HA152">
        <v>0</v>
      </c>
      <c r="HB152">
        <v>0</v>
      </c>
      <c r="HC152">
        <f t="shared" si="173"/>
        <v>0</v>
      </c>
      <c r="HE152" t="s">
        <v>3</v>
      </c>
      <c r="HF152" t="s">
        <v>3</v>
      </c>
      <c r="HM152" t="s">
        <v>3</v>
      </c>
      <c r="HN152" t="s">
        <v>3</v>
      </c>
      <c r="HO152" t="s">
        <v>3</v>
      </c>
      <c r="HP152" t="s">
        <v>3</v>
      </c>
      <c r="HQ152" t="s">
        <v>3</v>
      </c>
      <c r="IK152">
        <v>0</v>
      </c>
    </row>
    <row r="153" spans="1:245" x14ac:dyDescent="0.2">
      <c r="A153">
        <v>17</v>
      </c>
      <c r="B153">
        <v>1</v>
      </c>
      <c r="C153">
        <f>ROW(SmtRes!A267)</f>
        <v>267</v>
      </c>
      <c r="D153">
        <f>ROW(EtalonRes!A251)</f>
        <v>251</v>
      </c>
      <c r="E153" t="s">
        <v>486</v>
      </c>
      <c r="F153" t="s">
        <v>487</v>
      </c>
      <c r="G153" t="s">
        <v>488</v>
      </c>
      <c r="H153" t="s">
        <v>402</v>
      </c>
      <c r="I153">
        <v>0</v>
      </c>
      <c r="J153">
        <v>0</v>
      </c>
      <c r="K153">
        <v>0</v>
      </c>
      <c r="O153">
        <f t="shared" si="140"/>
        <v>0</v>
      </c>
      <c r="P153">
        <f t="shared" si="141"/>
        <v>0</v>
      </c>
      <c r="Q153">
        <f t="shared" si="142"/>
        <v>0</v>
      </c>
      <c r="R153">
        <f t="shared" si="143"/>
        <v>0</v>
      </c>
      <c r="S153">
        <f t="shared" si="144"/>
        <v>0</v>
      </c>
      <c r="T153">
        <f t="shared" si="145"/>
        <v>0</v>
      </c>
      <c r="U153">
        <f t="shared" si="146"/>
        <v>0</v>
      </c>
      <c r="V153">
        <f t="shared" si="147"/>
        <v>0</v>
      </c>
      <c r="W153">
        <f t="shared" si="148"/>
        <v>0</v>
      </c>
      <c r="X153">
        <f t="shared" si="149"/>
        <v>0</v>
      </c>
      <c r="Y153">
        <f t="shared" si="150"/>
        <v>0</v>
      </c>
      <c r="AA153">
        <v>43095088</v>
      </c>
      <c r="AB153">
        <f t="shared" si="181"/>
        <v>61.22</v>
      </c>
      <c r="AC153">
        <f t="shared" si="174"/>
        <v>0</v>
      </c>
      <c r="AD153">
        <f t="shared" si="175"/>
        <v>61.22</v>
      </c>
      <c r="AE153">
        <f t="shared" si="176"/>
        <v>33.01</v>
      </c>
      <c r="AF153">
        <f t="shared" si="177"/>
        <v>0</v>
      </c>
      <c r="AG153">
        <f t="shared" si="153"/>
        <v>0</v>
      </c>
      <c r="AH153">
        <f t="shared" si="178"/>
        <v>0</v>
      </c>
      <c r="AI153">
        <f t="shared" si="179"/>
        <v>0</v>
      </c>
      <c r="AJ153">
        <f t="shared" si="154"/>
        <v>0</v>
      </c>
      <c r="AK153">
        <v>61.22</v>
      </c>
      <c r="AL153">
        <v>0</v>
      </c>
      <c r="AM153">
        <v>61.22</v>
      </c>
      <c r="AN153">
        <v>33.01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1</v>
      </c>
      <c r="AW153">
        <v>1</v>
      </c>
      <c r="AZ153">
        <v>1</v>
      </c>
      <c r="BA153">
        <v>1</v>
      </c>
      <c r="BB153">
        <v>1</v>
      </c>
      <c r="BC153">
        <v>1</v>
      </c>
      <c r="BD153" t="s">
        <v>3</v>
      </c>
      <c r="BE153" t="s">
        <v>3</v>
      </c>
      <c r="BF153" t="s">
        <v>3</v>
      </c>
      <c r="BG153" t="s">
        <v>3</v>
      </c>
      <c r="BH153">
        <v>0</v>
      </c>
      <c r="BI153">
        <v>4</v>
      </c>
      <c r="BJ153" t="s">
        <v>489</v>
      </c>
      <c r="BM153">
        <v>1</v>
      </c>
      <c r="BN153">
        <v>0</v>
      </c>
      <c r="BO153" t="s">
        <v>3</v>
      </c>
      <c r="BP153">
        <v>0</v>
      </c>
      <c r="BQ153">
        <v>1</v>
      </c>
      <c r="BR153">
        <v>0</v>
      </c>
      <c r="BS153">
        <v>1</v>
      </c>
      <c r="BT153">
        <v>1</v>
      </c>
      <c r="BU153">
        <v>1</v>
      </c>
      <c r="BV153">
        <v>1</v>
      </c>
      <c r="BW153">
        <v>1</v>
      </c>
      <c r="BX153">
        <v>1</v>
      </c>
      <c r="BY153" t="s">
        <v>3</v>
      </c>
      <c r="BZ153">
        <v>0</v>
      </c>
      <c r="CA153">
        <v>0</v>
      </c>
      <c r="CB153" t="s">
        <v>3</v>
      </c>
      <c r="CE153">
        <v>0</v>
      </c>
      <c r="CF153">
        <v>0</v>
      </c>
      <c r="CG153">
        <v>0</v>
      </c>
      <c r="CM153">
        <v>0</v>
      </c>
      <c r="CN153" t="s">
        <v>3</v>
      </c>
      <c r="CO153">
        <v>0</v>
      </c>
      <c r="CP153">
        <f t="shared" si="155"/>
        <v>0</v>
      </c>
      <c r="CQ153">
        <f t="shared" si="156"/>
        <v>0</v>
      </c>
      <c r="CR153">
        <f t="shared" si="180"/>
        <v>61.22</v>
      </c>
      <c r="CS153">
        <f t="shared" si="157"/>
        <v>33.01</v>
      </c>
      <c r="CT153">
        <f t="shared" si="158"/>
        <v>0</v>
      </c>
      <c r="CU153">
        <f t="shared" si="159"/>
        <v>0</v>
      </c>
      <c r="CV153">
        <f t="shared" si="160"/>
        <v>0</v>
      </c>
      <c r="CW153">
        <f t="shared" si="161"/>
        <v>0</v>
      </c>
      <c r="CX153">
        <f t="shared" si="162"/>
        <v>0</v>
      </c>
      <c r="CY153">
        <f t="shared" si="163"/>
        <v>0</v>
      </c>
      <c r="CZ153">
        <f t="shared" si="164"/>
        <v>0</v>
      </c>
      <c r="DC153" t="s">
        <v>3</v>
      </c>
      <c r="DD153" t="s">
        <v>3</v>
      </c>
      <c r="DE153" t="s">
        <v>3</v>
      </c>
      <c r="DF153" t="s">
        <v>3</v>
      </c>
      <c r="DG153" t="s">
        <v>3</v>
      </c>
      <c r="DH153" t="s">
        <v>3</v>
      </c>
      <c r="DI153" t="s">
        <v>3</v>
      </c>
      <c r="DJ153" t="s">
        <v>3</v>
      </c>
      <c r="DK153" t="s">
        <v>3</v>
      </c>
      <c r="DL153" t="s">
        <v>3</v>
      </c>
      <c r="DM153" t="s">
        <v>3</v>
      </c>
      <c r="DN153">
        <v>0</v>
      </c>
      <c r="DO153">
        <v>0</v>
      </c>
      <c r="DP153">
        <v>1</v>
      </c>
      <c r="DQ153">
        <v>1</v>
      </c>
      <c r="DU153">
        <v>1009</v>
      </c>
      <c r="DV153" t="s">
        <v>402</v>
      </c>
      <c r="DW153" t="s">
        <v>402</v>
      </c>
      <c r="DX153">
        <v>1000</v>
      </c>
      <c r="DZ153" t="s">
        <v>3</v>
      </c>
      <c r="EA153" t="s">
        <v>3</v>
      </c>
      <c r="EB153" t="s">
        <v>3</v>
      </c>
      <c r="EC153" t="s">
        <v>3</v>
      </c>
      <c r="EE153">
        <v>43033444</v>
      </c>
      <c r="EF153">
        <v>1</v>
      </c>
      <c r="EG153" t="s">
        <v>22</v>
      </c>
      <c r="EH153">
        <v>0</v>
      </c>
      <c r="EI153" t="s">
        <v>3</v>
      </c>
      <c r="EJ153">
        <v>4</v>
      </c>
      <c r="EK153">
        <v>1</v>
      </c>
      <c r="EL153" t="s">
        <v>490</v>
      </c>
      <c r="EM153" t="s">
        <v>24</v>
      </c>
      <c r="EO153" t="s">
        <v>3</v>
      </c>
      <c r="EQ153">
        <v>0</v>
      </c>
      <c r="ER153">
        <v>61.22</v>
      </c>
      <c r="ES153">
        <v>0</v>
      </c>
      <c r="ET153">
        <v>61.22</v>
      </c>
      <c r="EU153">
        <v>33.01</v>
      </c>
      <c r="EV153">
        <v>0</v>
      </c>
      <c r="EW153">
        <v>0</v>
      </c>
      <c r="EX153">
        <v>0</v>
      </c>
      <c r="EY153">
        <v>0</v>
      </c>
      <c r="FQ153">
        <v>0</v>
      </c>
      <c r="FR153">
        <f t="shared" si="165"/>
        <v>0</v>
      </c>
      <c r="FS153">
        <v>0</v>
      </c>
      <c r="FX153">
        <v>0</v>
      </c>
      <c r="FY153">
        <v>0</v>
      </c>
      <c r="GA153" t="s">
        <v>3</v>
      </c>
      <c r="GD153">
        <v>1</v>
      </c>
      <c r="GF153">
        <v>87630706</v>
      </c>
      <c r="GG153">
        <v>2</v>
      </c>
      <c r="GH153">
        <v>1</v>
      </c>
      <c r="GI153">
        <v>-2</v>
      </c>
      <c r="GJ153">
        <v>0</v>
      </c>
      <c r="GK153">
        <v>0</v>
      </c>
      <c r="GL153">
        <f t="shared" si="166"/>
        <v>0</v>
      </c>
      <c r="GM153">
        <f>ROUND(O153+X153+Y153,2)+GX153</f>
        <v>0</v>
      </c>
      <c r="GN153">
        <f>IF(OR(BI153=0,BI153=1),ROUND(O153+X153+Y153,2),0)</f>
        <v>0</v>
      </c>
      <c r="GO153">
        <f>IF(BI153=2,ROUND(O153+X153+Y153,2),0)</f>
        <v>0</v>
      </c>
      <c r="GP153">
        <f>IF(BI153=4,ROUND(O153+X153+Y153,2)+GX153,0)</f>
        <v>0</v>
      </c>
      <c r="GR153">
        <v>0</v>
      </c>
      <c r="GS153">
        <v>3</v>
      </c>
      <c r="GT153">
        <v>0</v>
      </c>
      <c r="GU153" t="s">
        <v>3</v>
      </c>
      <c r="GV153">
        <f t="shared" si="171"/>
        <v>0</v>
      </c>
      <c r="GW153">
        <v>1</v>
      </c>
      <c r="GX153">
        <f t="shared" si="172"/>
        <v>0</v>
      </c>
      <c r="HA153">
        <v>0</v>
      </c>
      <c r="HB153">
        <v>0</v>
      </c>
      <c r="HC153">
        <f t="shared" si="173"/>
        <v>0</v>
      </c>
      <c r="HE153" t="s">
        <v>3</v>
      </c>
      <c r="HF153" t="s">
        <v>3</v>
      </c>
      <c r="HM153" t="s">
        <v>3</v>
      </c>
      <c r="HN153" t="s">
        <v>3</v>
      </c>
      <c r="HO153" t="s">
        <v>3</v>
      </c>
      <c r="HP153" t="s">
        <v>3</v>
      </c>
      <c r="HQ153" t="s">
        <v>3</v>
      </c>
      <c r="IK153">
        <v>0</v>
      </c>
    </row>
    <row r="154" spans="1:245" x14ac:dyDescent="0.2">
      <c r="A154">
        <v>17</v>
      </c>
      <c r="B154">
        <v>1</v>
      </c>
      <c r="C154">
        <f>ROW(SmtRes!A269)</f>
        <v>269</v>
      </c>
      <c r="D154">
        <f>ROW(EtalonRes!A253)</f>
        <v>253</v>
      </c>
      <c r="E154" t="s">
        <v>491</v>
      </c>
      <c r="F154" t="s">
        <v>492</v>
      </c>
      <c r="G154" t="s">
        <v>493</v>
      </c>
      <c r="H154" t="s">
        <v>402</v>
      </c>
      <c r="I154">
        <v>0</v>
      </c>
      <c r="J154">
        <v>0</v>
      </c>
      <c r="K154">
        <v>0</v>
      </c>
      <c r="O154">
        <f t="shared" si="140"/>
        <v>0</v>
      </c>
      <c r="P154">
        <f t="shared" si="141"/>
        <v>0</v>
      </c>
      <c r="Q154">
        <f t="shared" si="142"/>
        <v>0</v>
      </c>
      <c r="R154">
        <f t="shared" si="143"/>
        <v>0</v>
      </c>
      <c r="S154">
        <f t="shared" si="144"/>
        <v>0</v>
      </c>
      <c r="T154">
        <f t="shared" si="145"/>
        <v>0</v>
      </c>
      <c r="U154">
        <f t="shared" si="146"/>
        <v>0</v>
      </c>
      <c r="V154">
        <f t="shared" si="147"/>
        <v>0</v>
      </c>
      <c r="W154">
        <f t="shared" si="148"/>
        <v>0</v>
      </c>
      <c r="X154">
        <f t="shared" si="149"/>
        <v>0</v>
      </c>
      <c r="Y154">
        <f t="shared" si="150"/>
        <v>0</v>
      </c>
      <c r="AA154">
        <v>43095088</v>
      </c>
      <c r="AB154">
        <f t="shared" si="181"/>
        <v>28.99</v>
      </c>
      <c r="AC154">
        <f t="shared" si="174"/>
        <v>0</v>
      </c>
      <c r="AD154">
        <f t="shared" si="175"/>
        <v>28.99</v>
      </c>
      <c r="AE154">
        <f t="shared" si="176"/>
        <v>15.64</v>
      </c>
      <c r="AF154">
        <f t="shared" si="177"/>
        <v>0</v>
      </c>
      <c r="AG154">
        <f t="shared" si="153"/>
        <v>0</v>
      </c>
      <c r="AH154">
        <f t="shared" si="178"/>
        <v>0</v>
      </c>
      <c r="AI154">
        <f t="shared" si="179"/>
        <v>0</v>
      </c>
      <c r="AJ154">
        <f t="shared" si="154"/>
        <v>0</v>
      </c>
      <c r="AK154">
        <v>28.99</v>
      </c>
      <c r="AL154">
        <v>0</v>
      </c>
      <c r="AM154">
        <v>28.99</v>
      </c>
      <c r="AN154">
        <v>15.64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1</v>
      </c>
      <c r="AW154">
        <v>1</v>
      </c>
      <c r="AZ154">
        <v>1</v>
      </c>
      <c r="BA154">
        <v>1</v>
      </c>
      <c r="BB154">
        <v>1</v>
      </c>
      <c r="BC154">
        <v>1</v>
      </c>
      <c r="BD154" t="s">
        <v>3</v>
      </c>
      <c r="BE154" t="s">
        <v>3</v>
      </c>
      <c r="BF154" t="s">
        <v>3</v>
      </c>
      <c r="BG154" t="s">
        <v>3</v>
      </c>
      <c r="BH154">
        <v>0</v>
      </c>
      <c r="BI154">
        <v>4</v>
      </c>
      <c r="BJ154" t="s">
        <v>494</v>
      </c>
      <c r="BM154">
        <v>1</v>
      </c>
      <c r="BN154">
        <v>0</v>
      </c>
      <c r="BO154" t="s">
        <v>3</v>
      </c>
      <c r="BP154">
        <v>0</v>
      </c>
      <c r="BQ154">
        <v>1</v>
      </c>
      <c r="BR154">
        <v>0</v>
      </c>
      <c r="BS154">
        <v>1</v>
      </c>
      <c r="BT154">
        <v>1</v>
      </c>
      <c r="BU154">
        <v>1</v>
      </c>
      <c r="BV154">
        <v>1</v>
      </c>
      <c r="BW154">
        <v>1</v>
      </c>
      <c r="BX154">
        <v>1</v>
      </c>
      <c r="BY154" t="s">
        <v>3</v>
      </c>
      <c r="BZ154">
        <v>0</v>
      </c>
      <c r="CA154">
        <v>0</v>
      </c>
      <c r="CB154" t="s">
        <v>3</v>
      </c>
      <c r="CE154">
        <v>0</v>
      </c>
      <c r="CF154">
        <v>0</v>
      </c>
      <c r="CG154">
        <v>0</v>
      </c>
      <c r="CM154">
        <v>0</v>
      </c>
      <c r="CN154" t="s">
        <v>3</v>
      </c>
      <c r="CO154">
        <v>0</v>
      </c>
      <c r="CP154">
        <f t="shared" si="155"/>
        <v>0</v>
      </c>
      <c r="CQ154">
        <f t="shared" si="156"/>
        <v>0</v>
      </c>
      <c r="CR154">
        <f t="shared" si="180"/>
        <v>28.99</v>
      </c>
      <c r="CS154">
        <f t="shared" si="157"/>
        <v>15.64</v>
      </c>
      <c r="CT154">
        <f t="shared" si="158"/>
        <v>0</v>
      </c>
      <c r="CU154">
        <f t="shared" si="159"/>
        <v>0</v>
      </c>
      <c r="CV154">
        <f t="shared" si="160"/>
        <v>0</v>
      </c>
      <c r="CW154">
        <f t="shared" si="161"/>
        <v>0</v>
      </c>
      <c r="CX154">
        <f t="shared" si="162"/>
        <v>0</v>
      </c>
      <c r="CY154">
        <f t="shared" si="163"/>
        <v>0</v>
      </c>
      <c r="CZ154">
        <f t="shared" si="164"/>
        <v>0</v>
      </c>
      <c r="DC154" t="s">
        <v>3</v>
      </c>
      <c r="DD154" t="s">
        <v>3</v>
      </c>
      <c r="DE154" t="s">
        <v>3</v>
      </c>
      <c r="DF154" t="s">
        <v>3</v>
      </c>
      <c r="DG154" t="s">
        <v>3</v>
      </c>
      <c r="DH154" t="s">
        <v>3</v>
      </c>
      <c r="DI154" t="s">
        <v>3</v>
      </c>
      <c r="DJ154" t="s">
        <v>3</v>
      </c>
      <c r="DK154" t="s">
        <v>3</v>
      </c>
      <c r="DL154" t="s">
        <v>3</v>
      </c>
      <c r="DM154" t="s">
        <v>3</v>
      </c>
      <c r="DN154">
        <v>0</v>
      </c>
      <c r="DO154">
        <v>0</v>
      </c>
      <c r="DP154">
        <v>1</v>
      </c>
      <c r="DQ154">
        <v>1</v>
      </c>
      <c r="DU154">
        <v>1009</v>
      </c>
      <c r="DV154" t="s">
        <v>402</v>
      </c>
      <c r="DW154" t="s">
        <v>402</v>
      </c>
      <c r="DX154">
        <v>1000</v>
      </c>
      <c r="DZ154" t="s">
        <v>3</v>
      </c>
      <c r="EA154" t="s">
        <v>3</v>
      </c>
      <c r="EB154" t="s">
        <v>3</v>
      </c>
      <c r="EC154" t="s">
        <v>3</v>
      </c>
      <c r="EE154">
        <v>43033444</v>
      </c>
      <c r="EF154">
        <v>1</v>
      </c>
      <c r="EG154" t="s">
        <v>22</v>
      </c>
      <c r="EH154">
        <v>0</v>
      </c>
      <c r="EI154" t="s">
        <v>3</v>
      </c>
      <c r="EJ154">
        <v>4</v>
      </c>
      <c r="EK154">
        <v>1</v>
      </c>
      <c r="EL154" t="s">
        <v>490</v>
      </c>
      <c r="EM154" t="s">
        <v>24</v>
      </c>
      <c r="EO154" t="s">
        <v>3</v>
      </c>
      <c r="EQ154">
        <v>0</v>
      </c>
      <c r="ER154">
        <v>28.99</v>
      </c>
      <c r="ES154">
        <v>0</v>
      </c>
      <c r="ET154">
        <v>28.99</v>
      </c>
      <c r="EU154">
        <v>15.64</v>
      </c>
      <c r="EV154">
        <v>0</v>
      </c>
      <c r="EW154">
        <v>0</v>
      </c>
      <c r="EX154">
        <v>0</v>
      </c>
      <c r="EY154">
        <v>0</v>
      </c>
      <c r="FQ154">
        <v>0</v>
      </c>
      <c r="FR154">
        <f t="shared" si="165"/>
        <v>0</v>
      </c>
      <c r="FS154">
        <v>0</v>
      </c>
      <c r="FX154">
        <v>0</v>
      </c>
      <c r="FY154">
        <v>0</v>
      </c>
      <c r="GA154" t="s">
        <v>3</v>
      </c>
      <c r="GD154">
        <v>1</v>
      </c>
      <c r="GF154">
        <v>-604011155</v>
      </c>
      <c r="GG154">
        <v>2</v>
      </c>
      <c r="GH154">
        <v>1</v>
      </c>
      <c r="GI154">
        <v>-2</v>
      </c>
      <c r="GJ154">
        <v>0</v>
      </c>
      <c r="GK154">
        <v>0</v>
      </c>
      <c r="GL154">
        <f t="shared" si="166"/>
        <v>0</v>
      </c>
      <c r="GM154">
        <f>ROUND(O154+X154+Y154,2)+GX154</f>
        <v>0</v>
      </c>
      <c r="GN154">
        <f>IF(OR(BI154=0,BI154=1),ROUND(O154+X154+Y154,2),0)</f>
        <v>0</v>
      </c>
      <c r="GO154">
        <f>IF(BI154=2,ROUND(O154+X154+Y154,2),0)</f>
        <v>0</v>
      </c>
      <c r="GP154">
        <f>IF(BI154=4,ROUND(O154+X154+Y154,2)+GX154,0)</f>
        <v>0</v>
      </c>
      <c r="GR154">
        <v>0</v>
      </c>
      <c r="GS154">
        <v>3</v>
      </c>
      <c r="GT154">
        <v>0</v>
      </c>
      <c r="GU154" t="s">
        <v>3</v>
      </c>
      <c r="GV154">
        <f t="shared" si="171"/>
        <v>0</v>
      </c>
      <c r="GW154">
        <v>1</v>
      </c>
      <c r="GX154">
        <f t="shared" si="172"/>
        <v>0</v>
      </c>
      <c r="HA154">
        <v>0</v>
      </c>
      <c r="HB154">
        <v>0</v>
      </c>
      <c r="HC154">
        <f t="shared" si="173"/>
        <v>0</v>
      </c>
      <c r="HE154" t="s">
        <v>3</v>
      </c>
      <c r="HF154" t="s">
        <v>3</v>
      </c>
      <c r="HM154" t="s">
        <v>3</v>
      </c>
      <c r="HN154" t="s">
        <v>3</v>
      </c>
      <c r="HO154" t="s">
        <v>3</v>
      </c>
      <c r="HP154" t="s">
        <v>3</v>
      </c>
      <c r="HQ154" t="s">
        <v>3</v>
      </c>
      <c r="IK154">
        <v>0</v>
      </c>
    </row>
    <row r="156" spans="1:245" x14ac:dyDescent="0.2">
      <c r="A156" s="2">
        <v>51</v>
      </c>
      <c r="B156" s="2">
        <f>B20</f>
        <v>1</v>
      </c>
      <c r="C156" s="2">
        <f>A20</f>
        <v>3</v>
      </c>
      <c r="D156" s="2">
        <f>ROW(A20)</f>
        <v>20</v>
      </c>
      <c r="E156" s="2"/>
      <c r="F156" s="2" t="str">
        <f>IF(F20&lt;&gt;"",F20,"")</f>
        <v>Новая локальная смета</v>
      </c>
      <c r="G156" s="2" t="str">
        <f>IF(G20&lt;&gt;"",G20,"")</f>
        <v>Установка сплит-систем</v>
      </c>
      <c r="H156" s="2">
        <v>0</v>
      </c>
      <c r="I156" s="2"/>
      <c r="J156" s="2"/>
      <c r="K156" s="2"/>
      <c r="L156" s="2"/>
      <c r="M156" s="2"/>
      <c r="N156" s="2"/>
      <c r="O156" s="2">
        <f t="shared" ref="O156:T156" si="182">ROUND(AB156,2)</f>
        <v>2465176.85</v>
      </c>
      <c r="P156" s="2">
        <f t="shared" si="182"/>
        <v>2067880.58</v>
      </c>
      <c r="Q156" s="2">
        <f t="shared" si="182"/>
        <v>28458.41</v>
      </c>
      <c r="R156" s="2">
        <f t="shared" si="182"/>
        <v>16575.580000000002</v>
      </c>
      <c r="S156" s="2">
        <f t="shared" si="182"/>
        <v>368837.86</v>
      </c>
      <c r="T156" s="2">
        <f t="shared" si="182"/>
        <v>0</v>
      </c>
      <c r="U156" s="2">
        <f>AH156</f>
        <v>1439.7210702999998</v>
      </c>
      <c r="V156" s="2">
        <f>AI156</f>
        <v>0</v>
      </c>
      <c r="W156" s="2">
        <f>ROUND(AJ156,2)</f>
        <v>0</v>
      </c>
      <c r="X156" s="2">
        <f>ROUND(AK156,2)</f>
        <v>258186.53</v>
      </c>
      <c r="Y156" s="2">
        <f>ROUND(AL156,2)</f>
        <v>36883.82</v>
      </c>
      <c r="Z156" s="2"/>
      <c r="AA156" s="2"/>
      <c r="AB156" s="2">
        <f>ROUND(SUMIF(AA24:AA154,"=43095088",O24:O154),2)</f>
        <v>2465176.85</v>
      </c>
      <c r="AC156" s="2">
        <f>ROUND(SUMIF(AA24:AA154,"=43095088",P24:P154),2)</f>
        <v>2067880.58</v>
      </c>
      <c r="AD156" s="2">
        <f>ROUND(SUMIF(AA24:AA154,"=43095088",Q24:Q154),2)</f>
        <v>28458.41</v>
      </c>
      <c r="AE156" s="2">
        <f>ROUND(SUMIF(AA24:AA154,"=43095088",R24:R154),2)</f>
        <v>16575.580000000002</v>
      </c>
      <c r="AF156" s="2">
        <f>ROUND(SUMIF(AA24:AA154,"=43095088",S24:S154),2)</f>
        <v>368837.86</v>
      </c>
      <c r="AG156" s="2">
        <f>ROUND(SUMIF(AA24:AA154,"=43095088",T24:T154),2)</f>
        <v>0</v>
      </c>
      <c r="AH156" s="2">
        <f>SUMIF(AA24:AA154,"=43095088",U24:U154)</f>
        <v>1439.7210702999998</v>
      </c>
      <c r="AI156" s="2">
        <f>SUMIF(AA24:AA154,"=43095088",V24:V154)</f>
        <v>0</v>
      </c>
      <c r="AJ156" s="2">
        <f>ROUND(SUMIF(AA24:AA154,"=43095088",W24:W154),2)</f>
        <v>0</v>
      </c>
      <c r="AK156" s="2">
        <f>ROUND(SUMIF(AA24:AA154,"=43095088",X24:X154),2)</f>
        <v>258186.53</v>
      </c>
      <c r="AL156" s="2">
        <f>ROUND(SUMIF(AA24:AA154,"=43095088",Y24:Y154),2)</f>
        <v>36883.82</v>
      </c>
      <c r="AM156" s="2"/>
      <c r="AN156" s="2"/>
      <c r="AO156" s="2">
        <f t="shared" ref="AO156:BD156" si="183">ROUND(BX156,2)</f>
        <v>0</v>
      </c>
      <c r="AP156" s="2">
        <f t="shared" si="183"/>
        <v>0</v>
      </c>
      <c r="AQ156" s="2">
        <f t="shared" si="183"/>
        <v>0</v>
      </c>
      <c r="AR156" s="2">
        <f t="shared" si="183"/>
        <v>2778148.82</v>
      </c>
      <c r="AS156" s="2">
        <f t="shared" si="183"/>
        <v>0</v>
      </c>
      <c r="AT156" s="2">
        <f t="shared" si="183"/>
        <v>0</v>
      </c>
      <c r="AU156" s="2">
        <f t="shared" si="183"/>
        <v>2778148.82</v>
      </c>
      <c r="AV156" s="2">
        <f t="shared" si="183"/>
        <v>2067880.58</v>
      </c>
      <c r="AW156" s="2">
        <f t="shared" si="183"/>
        <v>2067880.58</v>
      </c>
      <c r="AX156" s="2">
        <f t="shared" si="183"/>
        <v>0</v>
      </c>
      <c r="AY156" s="2">
        <f t="shared" si="183"/>
        <v>2067880.58</v>
      </c>
      <c r="AZ156" s="2">
        <f t="shared" si="183"/>
        <v>0</v>
      </c>
      <c r="BA156" s="2">
        <f t="shared" si="183"/>
        <v>0</v>
      </c>
      <c r="BB156" s="2">
        <f t="shared" si="183"/>
        <v>0</v>
      </c>
      <c r="BC156" s="2">
        <f t="shared" si="183"/>
        <v>0</v>
      </c>
      <c r="BD156" s="2">
        <f t="shared" si="183"/>
        <v>0</v>
      </c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>
        <f>ROUND(SUMIF(AA24:AA154,"=43095088",FQ24:FQ154),2)</f>
        <v>0</v>
      </c>
      <c r="BY156" s="2">
        <f>ROUND(SUMIF(AA24:AA154,"=43095088",FR24:FR154),2)</f>
        <v>0</v>
      </c>
      <c r="BZ156" s="2">
        <f>ROUND(SUMIF(AA24:AA154,"=43095088",GL24:GL154),2)</f>
        <v>0</v>
      </c>
      <c r="CA156" s="2">
        <f>ROUND(SUMIF(AA24:AA154,"=43095088",GM24:GM154),2)</f>
        <v>2778148.82</v>
      </c>
      <c r="CB156" s="2">
        <f>ROUND(SUMIF(AA24:AA154,"=43095088",GN24:GN154),2)</f>
        <v>0</v>
      </c>
      <c r="CC156" s="2">
        <f>ROUND(SUMIF(AA24:AA154,"=43095088",GO24:GO154),2)</f>
        <v>0</v>
      </c>
      <c r="CD156" s="2">
        <f>ROUND(SUMIF(AA24:AA154,"=43095088",GP24:GP154),2)</f>
        <v>2778148.82</v>
      </c>
      <c r="CE156" s="2">
        <f>AC156-BX156</f>
        <v>2067880.58</v>
      </c>
      <c r="CF156" s="2">
        <f>AC156-BY156</f>
        <v>2067880.58</v>
      </c>
      <c r="CG156" s="2">
        <f>BX156-BZ156</f>
        <v>0</v>
      </c>
      <c r="CH156" s="2">
        <f>AC156-BX156-BY156+BZ156</f>
        <v>2067880.58</v>
      </c>
      <c r="CI156" s="2">
        <f>BY156-BZ156</f>
        <v>0</v>
      </c>
      <c r="CJ156" s="2">
        <f>ROUND(SUMIF(AA24:AA154,"=43095088",GX24:GX154),2)</f>
        <v>0</v>
      </c>
      <c r="CK156" s="2">
        <f>ROUND(SUMIF(AA24:AA154,"=43095088",GY24:GY154),2)</f>
        <v>0</v>
      </c>
      <c r="CL156" s="2">
        <f>ROUND(SUMIF(AA24:AA154,"=43095088",GZ24:GZ154),2)</f>
        <v>0</v>
      </c>
      <c r="CM156" s="2">
        <f>ROUND(SUMIF(AA24:AA154,"=43095088",HD24:HD154),2)</f>
        <v>0</v>
      </c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>
        <v>0</v>
      </c>
    </row>
    <row r="158" spans="1:245" x14ac:dyDescent="0.2">
      <c r="A158" s="4">
        <v>50</v>
      </c>
      <c r="B158" s="4">
        <v>0</v>
      </c>
      <c r="C158" s="4">
        <v>0</v>
      </c>
      <c r="D158" s="4">
        <v>1</v>
      </c>
      <c r="E158" s="4">
        <v>201</v>
      </c>
      <c r="F158" s="4">
        <f>ROUND(Source!O156,O158)</f>
        <v>2465176.85</v>
      </c>
      <c r="G158" s="4" t="s">
        <v>495</v>
      </c>
      <c r="H158" s="4" t="s">
        <v>496</v>
      </c>
      <c r="I158" s="4"/>
      <c r="J158" s="4"/>
      <c r="K158" s="4">
        <v>201</v>
      </c>
      <c r="L158" s="4">
        <v>1</v>
      </c>
      <c r="M158" s="4">
        <v>3</v>
      </c>
      <c r="N158" s="4" t="s">
        <v>3</v>
      </c>
      <c r="O158" s="4">
        <v>2</v>
      </c>
      <c r="P158" s="4"/>
      <c r="Q158" s="4"/>
      <c r="R158" s="4"/>
      <c r="S158" s="4"/>
      <c r="T158" s="4"/>
      <c r="U158" s="4"/>
      <c r="V158" s="4"/>
      <c r="W158" s="4">
        <v>2465176.85</v>
      </c>
      <c r="X158" s="4">
        <v>1</v>
      </c>
      <c r="Y158" s="4">
        <v>2465176.85</v>
      </c>
      <c r="Z158" s="4"/>
      <c r="AA158" s="4"/>
      <c r="AB158" s="4"/>
    </row>
    <row r="159" spans="1:245" x14ac:dyDescent="0.2">
      <c r="A159" s="4">
        <v>50</v>
      </c>
      <c r="B159" s="4">
        <v>0</v>
      </c>
      <c r="C159" s="4">
        <v>0</v>
      </c>
      <c r="D159" s="4">
        <v>1</v>
      </c>
      <c r="E159" s="4">
        <v>202</v>
      </c>
      <c r="F159" s="4">
        <f>ROUND(Source!P156,O159)</f>
        <v>2067880.58</v>
      </c>
      <c r="G159" s="4" t="s">
        <v>497</v>
      </c>
      <c r="H159" s="4" t="s">
        <v>498</v>
      </c>
      <c r="I159" s="4"/>
      <c r="J159" s="4"/>
      <c r="K159" s="4">
        <v>202</v>
      </c>
      <c r="L159" s="4">
        <v>2</v>
      </c>
      <c r="M159" s="4">
        <v>3</v>
      </c>
      <c r="N159" s="4" t="s">
        <v>3</v>
      </c>
      <c r="O159" s="4">
        <v>2</v>
      </c>
      <c r="P159" s="4"/>
      <c r="Q159" s="4"/>
      <c r="R159" s="4"/>
      <c r="S159" s="4"/>
      <c r="T159" s="4"/>
      <c r="U159" s="4"/>
      <c r="V159" s="4"/>
      <c r="W159" s="4">
        <v>2067880.58</v>
      </c>
      <c r="X159" s="4">
        <v>1</v>
      </c>
      <c r="Y159" s="4">
        <v>2067880.58</v>
      </c>
      <c r="Z159" s="4"/>
      <c r="AA159" s="4"/>
      <c r="AB159" s="4"/>
    </row>
    <row r="160" spans="1:245" x14ac:dyDescent="0.2">
      <c r="A160" s="4">
        <v>50</v>
      </c>
      <c r="B160" s="4">
        <v>0</v>
      </c>
      <c r="C160" s="4">
        <v>0</v>
      </c>
      <c r="D160" s="4">
        <v>1</v>
      </c>
      <c r="E160" s="4">
        <v>222</v>
      </c>
      <c r="F160" s="4">
        <f>ROUND(Source!AO156,O160)</f>
        <v>0</v>
      </c>
      <c r="G160" s="4" t="s">
        <v>499</v>
      </c>
      <c r="H160" s="4" t="s">
        <v>500</v>
      </c>
      <c r="I160" s="4"/>
      <c r="J160" s="4"/>
      <c r="K160" s="4">
        <v>222</v>
      </c>
      <c r="L160" s="4">
        <v>3</v>
      </c>
      <c r="M160" s="4">
        <v>3</v>
      </c>
      <c r="N160" s="4" t="s">
        <v>3</v>
      </c>
      <c r="O160" s="4">
        <v>2</v>
      </c>
      <c r="P160" s="4"/>
      <c r="Q160" s="4"/>
      <c r="R160" s="4"/>
      <c r="S160" s="4"/>
      <c r="T160" s="4"/>
      <c r="U160" s="4"/>
      <c r="V160" s="4"/>
      <c r="W160" s="4">
        <v>0</v>
      </c>
      <c r="X160" s="4">
        <v>1</v>
      </c>
      <c r="Y160" s="4">
        <v>0</v>
      </c>
      <c r="Z160" s="4"/>
      <c r="AA160" s="4"/>
      <c r="AB160" s="4"/>
    </row>
    <row r="161" spans="1:28" x14ac:dyDescent="0.2">
      <c r="A161" s="4">
        <v>50</v>
      </c>
      <c r="B161" s="4">
        <v>0</v>
      </c>
      <c r="C161" s="4">
        <v>0</v>
      </c>
      <c r="D161" s="4">
        <v>1</v>
      </c>
      <c r="E161" s="4">
        <v>225</v>
      </c>
      <c r="F161" s="4">
        <f>ROUND(Source!AV156,O161)</f>
        <v>2067880.58</v>
      </c>
      <c r="G161" s="4" t="s">
        <v>501</v>
      </c>
      <c r="H161" s="4" t="s">
        <v>502</v>
      </c>
      <c r="I161" s="4"/>
      <c r="J161" s="4"/>
      <c r="K161" s="4">
        <v>225</v>
      </c>
      <c r="L161" s="4">
        <v>4</v>
      </c>
      <c r="M161" s="4">
        <v>3</v>
      </c>
      <c r="N161" s="4" t="s">
        <v>3</v>
      </c>
      <c r="O161" s="4">
        <v>2</v>
      </c>
      <c r="P161" s="4"/>
      <c r="Q161" s="4"/>
      <c r="R161" s="4"/>
      <c r="S161" s="4"/>
      <c r="T161" s="4"/>
      <c r="U161" s="4"/>
      <c r="V161" s="4"/>
      <c r="W161" s="4">
        <v>2067880.58</v>
      </c>
      <c r="X161" s="4">
        <v>1</v>
      </c>
      <c r="Y161" s="4">
        <v>2067880.58</v>
      </c>
      <c r="Z161" s="4"/>
      <c r="AA161" s="4"/>
      <c r="AB161" s="4"/>
    </row>
    <row r="162" spans="1:28" x14ac:dyDescent="0.2">
      <c r="A162" s="4">
        <v>50</v>
      </c>
      <c r="B162" s="4">
        <v>0</v>
      </c>
      <c r="C162" s="4">
        <v>0</v>
      </c>
      <c r="D162" s="4">
        <v>1</v>
      </c>
      <c r="E162" s="4">
        <v>226</v>
      </c>
      <c r="F162" s="4">
        <f>ROUND(Source!AW156,O162)</f>
        <v>2067880.58</v>
      </c>
      <c r="G162" s="4" t="s">
        <v>503</v>
      </c>
      <c r="H162" s="4" t="s">
        <v>504</v>
      </c>
      <c r="I162" s="4"/>
      <c r="J162" s="4"/>
      <c r="K162" s="4">
        <v>226</v>
      </c>
      <c r="L162" s="4">
        <v>5</v>
      </c>
      <c r="M162" s="4">
        <v>3</v>
      </c>
      <c r="N162" s="4" t="s">
        <v>3</v>
      </c>
      <c r="O162" s="4">
        <v>2</v>
      </c>
      <c r="P162" s="4"/>
      <c r="Q162" s="4"/>
      <c r="R162" s="4"/>
      <c r="S162" s="4"/>
      <c r="T162" s="4"/>
      <c r="U162" s="4"/>
      <c r="V162" s="4"/>
      <c r="W162" s="4">
        <v>2067880.58</v>
      </c>
      <c r="X162" s="4">
        <v>1</v>
      </c>
      <c r="Y162" s="4">
        <v>2067880.58</v>
      </c>
      <c r="Z162" s="4"/>
      <c r="AA162" s="4"/>
      <c r="AB162" s="4"/>
    </row>
    <row r="163" spans="1:28" x14ac:dyDescent="0.2">
      <c r="A163" s="4">
        <v>50</v>
      </c>
      <c r="B163" s="4">
        <v>0</v>
      </c>
      <c r="C163" s="4">
        <v>0</v>
      </c>
      <c r="D163" s="4">
        <v>1</v>
      </c>
      <c r="E163" s="4">
        <v>227</v>
      </c>
      <c r="F163" s="4">
        <f>ROUND(Source!AX156,O163)</f>
        <v>0</v>
      </c>
      <c r="G163" s="4" t="s">
        <v>505</v>
      </c>
      <c r="H163" s="4" t="s">
        <v>506</v>
      </c>
      <c r="I163" s="4"/>
      <c r="J163" s="4"/>
      <c r="K163" s="4">
        <v>227</v>
      </c>
      <c r="L163" s="4">
        <v>6</v>
      </c>
      <c r="M163" s="4">
        <v>3</v>
      </c>
      <c r="N163" s="4" t="s">
        <v>3</v>
      </c>
      <c r="O163" s="4">
        <v>2</v>
      </c>
      <c r="P163" s="4"/>
      <c r="Q163" s="4"/>
      <c r="R163" s="4"/>
      <c r="S163" s="4"/>
      <c r="T163" s="4"/>
      <c r="U163" s="4"/>
      <c r="V163" s="4"/>
      <c r="W163" s="4">
        <v>0</v>
      </c>
      <c r="X163" s="4">
        <v>1</v>
      </c>
      <c r="Y163" s="4">
        <v>0</v>
      </c>
      <c r="Z163" s="4"/>
      <c r="AA163" s="4"/>
      <c r="AB163" s="4"/>
    </row>
    <row r="164" spans="1:28" x14ac:dyDescent="0.2">
      <c r="A164" s="4">
        <v>50</v>
      </c>
      <c r="B164" s="4">
        <v>0</v>
      </c>
      <c r="C164" s="4">
        <v>0</v>
      </c>
      <c r="D164" s="4">
        <v>1</v>
      </c>
      <c r="E164" s="4">
        <v>228</v>
      </c>
      <c r="F164" s="4">
        <f>ROUND(Source!AY156,O164)</f>
        <v>2067880.58</v>
      </c>
      <c r="G164" s="4" t="s">
        <v>507</v>
      </c>
      <c r="H164" s="4" t="s">
        <v>508</v>
      </c>
      <c r="I164" s="4"/>
      <c r="J164" s="4"/>
      <c r="K164" s="4">
        <v>228</v>
      </c>
      <c r="L164" s="4">
        <v>7</v>
      </c>
      <c r="M164" s="4">
        <v>3</v>
      </c>
      <c r="N164" s="4" t="s">
        <v>3</v>
      </c>
      <c r="O164" s="4">
        <v>2</v>
      </c>
      <c r="P164" s="4"/>
      <c r="Q164" s="4"/>
      <c r="R164" s="4"/>
      <c r="S164" s="4"/>
      <c r="T164" s="4"/>
      <c r="U164" s="4"/>
      <c r="V164" s="4"/>
      <c r="W164" s="4">
        <v>2067880.58</v>
      </c>
      <c r="X164" s="4">
        <v>1</v>
      </c>
      <c r="Y164" s="4">
        <v>2067880.58</v>
      </c>
      <c r="Z164" s="4"/>
      <c r="AA164" s="4"/>
      <c r="AB164" s="4"/>
    </row>
    <row r="165" spans="1:28" x14ac:dyDescent="0.2">
      <c r="A165" s="4">
        <v>50</v>
      </c>
      <c r="B165" s="4">
        <v>0</v>
      </c>
      <c r="C165" s="4">
        <v>0</v>
      </c>
      <c r="D165" s="4">
        <v>1</v>
      </c>
      <c r="E165" s="4">
        <v>216</v>
      </c>
      <c r="F165" s="4">
        <f>ROUND(Source!AP156,O165)</f>
        <v>0</v>
      </c>
      <c r="G165" s="4" t="s">
        <v>509</v>
      </c>
      <c r="H165" s="4" t="s">
        <v>510</v>
      </c>
      <c r="I165" s="4"/>
      <c r="J165" s="4"/>
      <c r="K165" s="4">
        <v>216</v>
      </c>
      <c r="L165" s="4">
        <v>8</v>
      </c>
      <c r="M165" s="4">
        <v>3</v>
      </c>
      <c r="N165" s="4" t="s">
        <v>3</v>
      </c>
      <c r="O165" s="4">
        <v>2</v>
      </c>
      <c r="P165" s="4"/>
      <c r="Q165" s="4"/>
      <c r="R165" s="4"/>
      <c r="S165" s="4"/>
      <c r="T165" s="4"/>
      <c r="U165" s="4"/>
      <c r="V165" s="4"/>
      <c r="W165" s="4">
        <v>0</v>
      </c>
      <c r="X165" s="4">
        <v>1</v>
      </c>
      <c r="Y165" s="4">
        <v>0</v>
      </c>
      <c r="Z165" s="4"/>
      <c r="AA165" s="4"/>
      <c r="AB165" s="4"/>
    </row>
    <row r="166" spans="1:28" x14ac:dyDescent="0.2">
      <c r="A166" s="4">
        <v>50</v>
      </c>
      <c r="B166" s="4">
        <v>0</v>
      </c>
      <c r="C166" s="4">
        <v>0</v>
      </c>
      <c r="D166" s="4">
        <v>1</v>
      </c>
      <c r="E166" s="4">
        <v>223</v>
      </c>
      <c r="F166" s="4">
        <f>ROUND(Source!AQ156,O166)</f>
        <v>0</v>
      </c>
      <c r="G166" s="4" t="s">
        <v>511</v>
      </c>
      <c r="H166" s="4" t="s">
        <v>512</v>
      </c>
      <c r="I166" s="4"/>
      <c r="J166" s="4"/>
      <c r="K166" s="4">
        <v>223</v>
      </c>
      <c r="L166" s="4">
        <v>9</v>
      </c>
      <c r="M166" s="4">
        <v>3</v>
      </c>
      <c r="N166" s="4" t="s">
        <v>3</v>
      </c>
      <c r="O166" s="4">
        <v>2</v>
      </c>
      <c r="P166" s="4"/>
      <c r="Q166" s="4"/>
      <c r="R166" s="4"/>
      <c r="S166" s="4"/>
      <c r="T166" s="4"/>
      <c r="U166" s="4"/>
      <c r="V166" s="4"/>
      <c r="W166" s="4">
        <v>0</v>
      </c>
      <c r="X166" s="4">
        <v>1</v>
      </c>
      <c r="Y166" s="4">
        <v>0</v>
      </c>
      <c r="Z166" s="4"/>
      <c r="AA166" s="4"/>
      <c r="AB166" s="4"/>
    </row>
    <row r="167" spans="1:28" x14ac:dyDescent="0.2">
      <c r="A167" s="4">
        <v>50</v>
      </c>
      <c r="B167" s="4">
        <v>0</v>
      </c>
      <c r="C167" s="4">
        <v>0</v>
      </c>
      <c r="D167" s="4">
        <v>1</v>
      </c>
      <c r="E167" s="4">
        <v>229</v>
      </c>
      <c r="F167" s="4">
        <f>ROUND(Source!AZ156,O167)</f>
        <v>0</v>
      </c>
      <c r="G167" s="4" t="s">
        <v>513</v>
      </c>
      <c r="H167" s="4" t="s">
        <v>514</v>
      </c>
      <c r="I167" s="4"/>
      <c r="J167" s="4"/>
      <c r="K167" s="4">
        <v>229</v>
      </c>
      <c r="L167" s="4">
        <v>10</v>
      </c>
      <c r="M167" s="4">
        <v>3</v>
      </c>
      <c r="N167" s="4" t="s">
        <v>3</v>
      </c>
      <c r="O167" s="4">
        <v>2</v>
      </c>
      <c r="P167" s="4"/>
      <c r="Q167" s="4"/>
      <c r="R167" s="4"/>
      <c r="S167" s="4"/>
      <c r="T167" s="4"/>
      <c r="U167" s="4"/>
      <c r="V167" s="4"/>
      <c r="W167" s="4">
        <v>0</v>
      </c>
      <c r="X167" s="4">
        <v>1</v>
      </c>
      <c r="Y167" s="4">
        <v>0</v>
      </c>
      <c r="Z167" s="4"/>
      <c r="AA167" s="4"/>
      <c r="AB167" s="4"/>
    </row>
    <row r="168" spans="1:28" x14ac:dyDescent="0.2">
      <c r="A168" s="4">
        <v>50</v>
      </c>
      <c r="B168" s="4">
        <v>0</v>
      </c>
      <c r="C168" s="4">
        <v>0</v>
      </c>
      <c r="D168" s="4">
        <v>1</v>
      </c>
      <c r="E168" s="4">
        <v>203</v>
      </c>
      <c r="F168" s="4">
        <f>ROUND(Source!Q156,O168)</f>
        <v>28458.41</v>
      </c>
      <c r="G168" s="4" t="s">
        <v>515</v>
      </c>
      <c r="H168" s="4" t="s">
        <v>516</v>
      </c>
      <c r="I168" s="4"/>
      <c r="J168" s="4"/>
      <c r="K168" s="4">
        <v>203</v>
      </c>
      <c r="L168" s="4">
        <v>11</v>
      </c>
      <c r="M168" s="4">
        <v>3</v>
      </c>
      <c r="N168" s="4" t="s">
        <v>3</v>
      </c>
      <c r="O168" s="4">
        <v>2</v>
      </c>
      <c r="P168" s="4"/>
      <c r="Q168" s="4"/>
      <c r="R168" s="4"/>
      <c r="S168" s="4"/>
      <c r="T168" s="4"/>
      <c r="U168" s="4"/>
      <c r="V168" s="4"/>
      <c r="W168" s="4">
        <v>28458.41</v>
      </c>
      <c r="X168" s="4">
        <v>1</v>
      </c>
      <c r="Y168" s="4">
        <v>28458.41</v>
      </c>
      <c r="Z168" s="4"/>
      <c r="AA168" s="4"/>
      <c r="AB168" s="4"/>
    </row>
    <row r="169" spans="1:28" x14ac:dyDescent="0.2">
      <c r="A169" s="4">
        <v>50</v>
      </c>
      <c r="B169" s="4">
        <v>0</v>
      </c>
      <c r="C169" s="4">
        <v>0</v>
      </c>
      <c r="D169" s="4">
        <v>1</v>
      </c>
      <c r="E169" s="4">
        <v>231</v>
      </c>
      <c r="F169" s="4">
        <f>ROUND(Source!BB156,O169)</f>
        <v>0</v>
      </c>
      <c r="G169" s="4" t="s">
        <v>517</v>
      </c>
      <c r="H169" s="4" t="s">
        <v>518</v>
      </c>
      <c r="I169" s="4"/>
      <c r="J169" s="4"/>
      <c r="K169" s="4">
        <v>231</v>
      </c>
      <c r="L169" s="4">
        <v>12</v>
      </c>
      <c r="M169" s="4">
        <v>3</v>
      </c>
      <c r="N169" s="4" t="s">
        <v>3</v>
      </c>
      <c r="O169" s="4">
        <v>2</v>
      </c>
      <c r="P169" s="4"/>
      <c r="Q169" s="4"/>
      <c r="R169" s="4"/>
      <c r="S169" s="4"/>
      <c r="T169" s="4"/>
      <c r="U169" s="4"/>
      <c r="V169" s="4"/>
      <c r="W169" s="4">
        <v>0</v>
      </c>
      <c r="X169" s="4">
        <v>1</v>
      </c>
      <c r="Y169" s="4">
        <v>0</v>
      </c>
      <c r="Z169" s="4"/>
      <c r="AA169" s="4"/>
      <c r="AB169" s="4"/>
    </row>
    <row r="170" spans="1:28" x14ac:dyDescent="0.2">
      <c r="A170" s="4">
        <v>50</v>
      </c>
      <c r="B170" s="4">
        <v>0</v>
      </c>
      <c r="C170" s="4">
        <v>0</v>
      </c>
      <c r="D170" s="4">
        <v>1</v>
      </c>
      <c r="E170" s="4">
        <v>204</v>
      </c>
      <c r="F170" s="4">
        <f>ROUND(Source!R156,O170)</f>
        <v>16575.580000000002</v>
      </c>
      <c r="G170" s="4" t="s">
        <v>519</v>
      </c>
      <c r="H170" s="4" t="s">
        <v>520</v>
      </c>
      <c r="I170" s="4"/>
      <c r="J170" s="4"/>
      <c r="K170" s="4">
        <v>204</v>
      </c>
      <c r="L170" s="4">
        <v>13</v>
      </c>
      <c r="M170" s="4">
        <v>3</v>
      </c>
      <c r="N170" s="4" t="s">
        <v>3</v>
      </c>
      <c r="O170" s="4">
        <v>2</v>
      </c>
      <c r="P170" s="4"/>
      <c r="Q170" s="4"/>
      <c r="R170" s="4"/>
      <c r="S170" s="4"/>
      <c r="T170" s="4"/>
      <c r="U170" s="4"/>
      <c r="V170" s="4"/>
      <c r="W170" s="4">
        <v>16575.580000000002</v>
      </c>
      <c r="X170" s="4">
        <v>1</v>
      </c>
      <c r="Y170" s="4">
        <v>16575.580000000002</v>
      </c>
      <c r="Z170" s="4"/>
      <c r="AA170" s="4"/>
      <c r="AB170" s="4"/>
    </row>
    <row r="171" spans="1:28" x14ac:dyDescent="0.2">
      <c r="A171" s="4">
        <v>50</v>
      </c>
      <c r="B171" s="4">
        <v>0</v>
      </c>
      <c r="C171" s="4">
        <v>0</v>
      </c>
      <c r="D171" s="4">
        <v>1</v>
      </c>
      <c r="E171" s="4">
        <v>205</v>
      </c>
      <c r="F171" s="4">
        <f>ROUND(Source!S156,O171)</f>
        <v>368837.86</v>
      </c>
      <c r="G171" s="4" t="s">
        <v>521</v>
      </c>
      <c r="H171" s="4" t="s">
        <v>522</v>
      </c>
      <c r="I171" s="4"/>
      <c r="J171" s="4"/>
      <c r="K171" s="4">
        <v>205</v>
      </c>
      <c r="L171" s="4">
        <v>14</v>
      </c>
      <c r="M171" s="4">
        <v>3</v>
      </c>
      <c r="N171" s="4" t="s">
        <v>3</v>
      </c>
      <c r="O171" s="4">
        <v>2</v>
      </c>
      <c r="P171" s="4"/>
      <c r="Q171" s="4"/>
      <c r="R171" s="4"/>
      <c r="S171" s="4"/>
      <c r="T171" s="4"/>
      <c r="U171" s="4"/>
      <c r="V171" s="4"/>
      <c r="W171" s="4">
        <v>368837.86</v>
      </c>
      <c r="X171" s="4">
        <v>1</v>
      </c>
      <c r="Y171" s="4">
        <v>368837.86</v>
      </c>
      <c r="Z171" s="4"/>
      <c r="AA171" s="4"/>
      <c r="AB171" s="4"/>
    </row>
    <row r="172" spans="1:28" x14ac:dyDescent="0.2">
      <c r="A172" s="4">
        <v>50</v>
      </c>
      <c r="B172" s="4">
        <v>0</v>
      </c>
      <c r="C172" s="4">
        <v>0</v>
      </c>
      <c r="D172" s="4">
        <v>1</v>
      </c>
      <c r="E172" s="4">
        <v>232</v>
      </c>
      <c r="F172" s="4">
        <f>ROUND(Source!BC156,O172)</f>
        <v>0</v>
      </c>
      <c r="G172" s="4" t="s">
        <v>523</v>
      </c>
      <c r="H172" s="4" t="s">
        <v>524</v>
      </c>
      <c r="I172" s="4"/>
      <c r="J172" s="4"/>
      <c r="K172" s="4">
        <v>232</v>
      </c>
      <c r="L172" s="4">
        <v>15</v>
      </c>
      <c r="M172" s="4">
        <v>3</v>
      </c>
      <c r="N172" s="4" t="s">
        <v>3</v>
      </c>
      <c r="O172" s="4">
        <v>2</v>
      </c>
      <c r="P172" s="4"/>
      <c r="Q172" s="4"/>
      <c r="R172" s="4"/>
      <c r="S172" s="4"/>
      <c r="T172" s="4"/>
      <c r="U172" s="4"/>
      <c r="V172" s="4"/>
      <c r="W172" s="4">
        <v>0</v>
      </c>
      <c r="X172" s="4">
        <v>1</v>
      </c>
      <c r="Y172" s="4">
        <v>0</v>
      </c>
      <c r="Z172" s="4"/>
      <c r="AA172" s="4"/>
      <c r="AB172" s="4"/>
    </row>
    <row r="173" spans="1:28" x14ac:dyDescent="0.2">
      <c r="A173" s="4">
        <v>50</v>
      </c>
      <c r="B173" s="4">
        <v>0</v>
      </c>
      <c r="C173" s="4">
        <v>0</v>
      </c>
      <c r="D173" s="4">
        <v>1</v>
      </c>
      <c r="E173" s="4">
        <v>214</v>
      </c>
      <c r="F173" s="4">
        <f>ROUND(Source!AS156,O173)</f>
        <v>0</v>
      </c>
      <c r="G173" s="4" t="s">
        <v>525</v>
      </c>
      <c r="H173" s="4" t="s">
        <v>526</v>
      </c>
      <c r="I173" s="4"/>
      <c r="J173" s="4"/>
      <c r="K173" s="4">
        <v>214</v>
      </c>
      <c r="L173" s="4">
        <v>16</v>
      </c>
      <c r="M173" s="4">
        <v>3</v>
      </c>
      <c r="N173" s="4" t="s">
        <v>3</v>
      </c>
      <c r="O173" s="4">
        <v>2</v>
      </c>
      <c r="P173" s="4"/>
      <c r="Q173" s="4"/>
      <c r="R173" s="4"/>
      <c r="S173" s="4"/>
      <c r="T173" s="4"/>
      <c r="U173" s="4"/>
      <c r="V173" s="4"/>
      <c r="W173" s="4">
        <v>0</v>
      </c>
      <c r="X173" s="4">
        <v>1</v>
      </c>
      <c r="Y173" s="4">
        <v>0</v>
      </c>
      <c r="Z173" s="4"/>
      <c r="AA173" s="4"/>
      <c r="AB173" s="4"/>
    </row>
    <row r="174" spans="1:28" x14ac:dyDescent="0.2">
      <c r="A174" s="4">
        <v>50</v>
      </c>
      <c r="B174" s="4">
        <v>0</v>
      </c>
      <c r="C174" s="4">
        <v>0</v>
      </c>
      <c r="D174" s="4">
        <v>1</v>
      </c>
      <c r="E174" s="4">
        <v>215</v>
      </c>
      <c r="F174" s="4">
        <f>ROUND(Source!AT156,O174)</f>
        <v>0</v>
      </c>
      <c r="G174" s="4" t="s">
        <v>527</v>
      </c>
      <c r="H174" s="4" t="s">
        <v>528</v>
      </c>
      <c r="I174" s="4"/>
      <c r="J174" s="4"/>
      <c r="K174" s="4">
        <v>215</v>
      </c>
      <c r="L174" s="4">
        <v>17</v>
      </c>
      <c r="M174" s="4">
        <v>3</v>
      </c>
      <c r="N174" s="4" t="s">
        <v>3</v>
      </c>
      <c r="O174" s="4">
        <v>2</v>
      </c>
      <c r="P174" s="4"/>
      <c r="Q174" s="4"/>
      <c r="R174" s="4"/>
      <c r="S174" s="4"/>
      <c r="T174" s="4"/>
      <c r="U174" s="4"/>
      <c r="V174" s="4"/>
      <c r="W174" s="4">
        <v>0</v>
      </c>
      <c r="X174" s="4">
        <v>1</v>
      </c>
      <c r="Y174" s="4">
        <v>0</v>
      </c>
      <c r="Z174" s="4"/>
      <c r="AA174" s="4"/>
      <c r="AB174" s="4"/>
    </row>
    <row r="175" spans="1:28" x14ac:dyDescent="0.2">
      <c r="A175" s="4">
        <v>50</v>
      </c>
      <c r="B175" s="4">
        <v>0</v>
      </c>
      <c r="C175" s="4">
        <v>0</v>
      </c>
      <c r="D175" s="4">
        <v>1</v>
      </c>
      <c r="E175" s="4">
        <v>217</v>
      </c>
      <c r="F175" s="4">
        <f>ROUND(Source!AU156,O175)</f>
        <v>2778148.82</v>
      </c>
      <c r="G175" s="4" t="s">
        <v>529</v>
      </c>
      <c r="H175" s="4" t="s">
        <v>530</v>
      </c>
      <c r="I175" s="4"/>
      <c r="J175" s="4"/>
      <c r="K175" s="4">
        <v>217</v>
      </c>
      <c r="L175" s="4">
        <v>18</v>
      </c>
      <c r="M175" s="4">
        <v>3</v>
      </c>
      <c r="N175" s="4" t="s">
        <v>3</v>
      </c>
      <c r="O175" s="4">
        <v>2</v>
      </c>
      <c r="P175" s="4"/>
      <c r="Q175" s="4"/>
      <c r="R175" s="4"/>
      <c r="S175" s="4"/>
      <c r="T175" s="4"/>
      <c r="U175" s="4"/>
      <c r="V175" s="4"/>
      <c r="W175" s="4">
        <v>2778148.82</v>
      </c>
      <c r="X175" s="4">
        <v>1</v>
      </c>
      <c r="Y175" s="4">
        <v>2778148.82</v>
      </c>
      <c r="Z175" s="4"/>
      <c r="AA175" s="4"/>
      <c r="AB175" s="4"/>
    </row>
    <row r="176" spans="1:28" x14ac:dyDescent="0.2">
      <c r="A176" s="4">
        <v>50</v>
      </c>
      <c r="B176" s="4">
        <v>0</v>
      </c>
      <c r="C176" s="4">
        <v>0</v>
      </c>
      <c r="D176" s="4">
        <v>1</v>
      </c>
      <c r="E176" s="4">
        <v>230</v>
      </c>
      <c r="F176" s="4">
        <f>ROUND(Source!BA156,O176)</f>
        <v>0</v>
      </c>
      <c r="G176" s="4" t="s">
        <v>531</v>
      </c>
      <c r="H176" s="4" t="s">
        <v>532</v>
      </c>
      <c r="I176" s="4"/>
      <c r="J176" s="4"/>
      <c r="K176" s="4">
        <v>230</v>
      </c>
      <c r="L176" s="4">
        <v>19</v>
      </c>
      <c r="M176" s="4">
        <v>3</v>
      </c>
      <c r="N176" s="4" t="s">
        <v>3</v>
      </c>
      <c r="O176" s="4">
        <v>2</v>
      </c>
      <c r="P176" s="4"/>
      <c r="Q176" s="4"/>
      <c r="R176" s="4"/>
      <c r="S176" s="4"/>
      <c r="T176" s="4"/>
      <c r="U176" s="4"/>
      <c r="V176" s="4"/>
      <c r="W176" s="4">
        <v>0</v>
      </c>
      <c r="X176" s="4">
        <v>1</v>
      </c>
      <c r="Y176" s="4">
        <v>0</v>
      </c>
      <c r="Z176" s="4"/>
      <c r="AA176" s="4"/>
      <c r="AB176" s="4"/>
    </row>
    <row r="177" spans="1:206" x14ac:dyDescent="0.2">
      <c r="A177" s="4">
        <v>50</v>
      </c>
      <c r="B177" s="4">
        <v>0</v>
      </c>
      <c r="C177" s="4">
        <v>0</v>
      </c>
      <c r="D177" s="4">
        <v>1</v>
      </c>
      <c r="E177" s="4">
        <v>206</v>
      </c>
      <c r="F177" s="4">
        <f>ROUND(Source!T156,O177)</f>
        <v>0</v>
      </c>
      <c r="G177" s="4" t="s">
        <v>533</v>
      </c>
      <c r="H177" s="4" t="s">
        <v>534</v>
      </c>
      <c r="I177" s="4"/>
      <c r="J177" s="4"/>
      <c r="K177" s="4">
        <v>206</v>
      </c>
      <c r="L177" s="4">
        <v>20</v>
      </c>
      <c r="M177" s="4">
        <v>3</v>
      </c>
      <c r="N177" s="4" t="s">
        <v>3</v>
      </c>
      <c r="O177" s="4">
        <v>2</v>
      </c>
      <c r="P177" s="4"/>
      <c r="Q177" s="4"/>
      <c r="R177" s="4"/>
      <c r="S177" s="4"/>
      <c r="T177" s="4"/>
      <c r="U177" s="4"/>
      <c r="V177" s="4"/>
      <c r="W177" s="4">
        <v>0</v>
      </c>
      <c r="X177" s="4">
        <v>1</v>
      </c>
      <c r="Y177" s="4">
        <v>0</v>
      </c>
      <c r="Z177" s="4"/>
      <c r="AA177" s="4"/>
      <c r="AB177" s="4"/>
    </row>
    <row r="178" spans="1:206" x14ac:dyDescent="0.2">
      <c r="A178" s="4">
        <v>50</v>
      </c>
      <c r="B178" s="4">
        <v>0</v>
      </c>
      <c r="C178" s="4">
        <v>0</v>
      </c>
      <c r="D178" s="4">
        <v>1</v>
      </c>
      <c r="E178" s="4">
        <v>207</v>
      </c>
      <c r="F178" s="4">
        <f>Source!U156</f>
        <v>1439.7210702999998</v>
      </c>
      <c r="G178" s="4" t="s">
        <v>535</v>
      </c>
      <c r="H178" s="4" t="s">
        <v>536</v>
      </c>
      <c r="I178" s="4"/>
      <c r="J178" s="4"/>
      <c r="K178" s="4">
        <v>207</v>
      </c>
      <c r="L178" s="4">
        <v>21</v>
      </c>
      <c r="M178" s="4">
        <v>3</v>
      </c>
      <c r="N178" s="4" t="s">
        <v>3</v>
      </c>
      <c r="O178" s="4">
        <v>-1</v>
      </c>
      <c r="P178" s="4"/>
      <c r="Q178" s="4"/>
      <c r="R178" s="4"/>
      <c r="S178" s="4"/>
      <c r="T178" s="4"/>
      <c r="U178" s="4"/>
      <c r="V178" s="4"/>
      <c r="W178" s="4">
        <v>1439.7210702999998</v>
      </c>
      <c r="X178" s="4">
        <v>1</v>
      </c>
      <c r="Y178" s="4">
        <v>1439.7210702999998</v>
      </c>
      <c r="Z178" s="4"/>
      <c r="AA178" s="4"/>
      <c r="AB178" s="4"/>
    </row>
    <row r="179" spans="1:206" x14ac:dyDescent="0.2">
      <c r="A179" s="4">
        <v>50</v>
      </c>
      <c r="B179" s="4">
        <v>0</v>
      </c>
      <c r="C179" s="4">
        <v>0</v>
      </c>
      <c r="D179" s="4">
        <v>1</v>
      </c>
      <c r="E179" s="4">
        <v>208</v>
      </c>
      <c r="F179" s="4">
        <f>Source!V156</f>
        <v>0</v>
      </c>
      <c r="G179" s="4" t="s">
        <v>537</v>
      </c>
      <c r="H179" s="4" t="s">
        <v>538</v>
      </c>
      <c r="I179" s="4"/>
      <c r="J179" s="4"/>
      <c r="K179" s="4">
        <v>208</v>
      </c>
      <c r="L179" s="4">
        <v>22</v>
      </c>
      <c r="M179" s="4">
        <v>3</v>
      </c>
      <c r="N179" s="4" t="s">
        <v>3</v>
      </c>
      <c r="O179" s="4">
        <v>-1</v>
      </c>
      <c r="P179" s="4"/>
      <c r="Q179" s="4"/>
      <c r="R179" s="4"/>
      <c r="S179" s="4"/>
      <c r="T179" s="4"/>
      <c r="U179" s="4"/>
      <c r="V179" s="4"/>
      <c r="W179" s="4">
        <v>0</v>
      </c>
      <c r="X179" s="4">
        <v>1</v>
      </c>
      <c r="Y179" s="4">
        <v>0</v>
      </c>
      <c r="Z179" s="4"/>
      <c r="AA179" s="4"/>
      <c r="AB179" s="4"/>
    </row>
    <row r="180" spans="1:206" x14ac:dyDescent="0.2">
      <c r="A180" s="4">
        <v>50</v>
      </c>
      <c r="B180" s="4">
        <v>0</v>
      </c>
      <c r="C180" s="4">
        <v>0</v>
      </c>
      <c r="D180" s="4">
        <v>1</v>
      </c>
      <c r="E180" s="4">
        <v>209</v>
      </c>
      <c r="F180" s="4">
        <f>ROUND(Source!W156,O180)</f>
        <v>0</v>
      </c>
      <c r="G180" s="4" t="s">
        <v>539</v>
      </c>
      <c r="H180" s="4" t="s">
        <v>540</v>
      </c>
      <c r="I180" s="4"/>
      <c r="J180" s="4"/>
      <c r="K180" s="4">
        <v>209</v>
      </c>
      <c r="L180" s="4">
        <v>23</v>
      </c>
      <c r="M180" s="4">
        <v>3</v>
      </c>
      <c r="N180" s="4" t="s">
        <v>3</v>
      </c>
      <c r="O180" s="4">
        <v>2</v>
      </c>
      <c r="P180" s="4"/>
      <c r="Q180" s="4"/>
      <c r="R180" s="4"/>
      <c r="S180" s="4"/>
      <c r="T180" s="4"/>
      <c r="U180" s="4"/>
      <c r="V180" s="4"/>
      <c r="W180" s="4">
        <v>0</v>
      </c>
      <c r="X180" s="4">
        <v>1</v>
      </c>
      <c r="Y180" s="4">
        <v>0</v>
      </c>
      <c r="Z180" s="4"/>
      <c r="AA180" s="4"/>
      <c r="AB180" s="4"/>
    </row>
    <row r="181" spans="1:206" x14ac:dyDescent="0.2">
      <c r="A181" s="4">
        <v>50</v>
      </c>
      <c r="B181" s="4">
        <v>0</v>
      </c>
      <c r="C181" s="4">
        <v>0</v>
      </c>
      <c r="D181" s="4">
        <v>1</v>
      </c>
      <c r="E181" s="4">
        <v>233</v>
      </c>
      <c r="F181" s="4">
        <f>ROUND(Source!BD156,O181)</f>
        <v>0</v>
      </c>
      <c r="G181" s="4" t="s">
        <v>541</v>
      </c>
      <c r="H181" s="4" t="s">
        <v>542</v>
      </c>
      <c r="I181" s="4"/>
      <c r="J181" s="4"/>
      <c r="K181" s="4">
        <v>233</v>
      </c>
      <c r="L181" s="4">
        <v>24</v>
      </c>
      <c r="M181" s="4">
        <v>3</v>
      </c>
      <c r="N181" s="4" t="s">
        <v>3</v>
      </c>
      <c r="O181" s="4">
        <v>2</v>
      </c>
      <c r="P181" s="4"/>
      <c r="Q181" s="4"/>
      <c r="R181" s="4"/>
      <c r="S181" s="4"/>
      <c r="T181" s="4"/>
      <c r="U181" s="4"/>
      <c r="V181" s="4"/>
      <c r="W181" s="4">
        <v>0</v>
      </c>
      <c r="X181" s="4">
        <v>1</v>
      </c>
      <c r="Y181" s="4">
        <v>0</v>
      </c>
      <c r="Z181" s="4"/>
      <c r="AA181" s="4"/>
      <c r="AB181" s="4"/>
    </row>
    <row r="182" spans="1:206" x14ac:dyDescent="0.2">
      <c r="A182" s="4">
        <v>50</v>
      </c>
      <c r="B182" s="4">
        <v>0</v>
      </c>
      <c r="C182" s="4">
        <v>0</v>
      </c>
      <c r="D182" s="4">
        <v>1</v>
      </c>
      <c r="E182" s="4">
        <v>210</v>
      </c>
      <c r="F182" s="4">
        <f>ROUND(Source!X156,O182)</f>
        <v>258186.53</v>
      </c>
      <c r="G182" s="4" t="s">
        <v>543</v>
      </c>
      <c r="H182" s="4" t="s">
        <v>544</v>
      </c>
      <c r="I182" s="4"/>
      <c r="J182" s="4"/>
      <c r="K182" s="4">
        <v>210</v>
      </c>
      <c r="L182" s="4">
        <v>25</v>
      </c>
      <c r="M182" s="4">
        <v>3</v>
      </c>
      <c r="N182" s="4" t="s">
        <v>3</v>
      </c>
      <c r="O182" s="4">
        <v>2</v>
      </c>
      <c r="P182" s="4"/>
      <c r="Q182" s="4"/>
      <c r="R182" s="4"/>
      <c r="S182" s="4"/>
      <c r="T182" s="4"/>
      <c r="U182" s="4"/>
      <c r="V182" s="4"/>
      <c r="W182" s="4">
        <v>258186.53</v>
      </c>
      <c r="X182" s="4">
        <v>1</v>
      </c>
      <c r="Y182" s="4">
        <v>258186.53</v>
      </c>
      <c r="Z182" s="4"/>
      <c r="AA182" s="4"/>
      <c r="AB182" s="4"/>
    </row>
    <row r="183" spans="1:206" x14ac:dyDescent="0.2">
      <c r="A183" s="4">
        <v>50</v>
      </c>
      <c r="B183" s="4">
        <v>0</v>
      </c>
      <c r="C183" s="4">
        <v>0</v>
      </c>
      <c r="D183" s="4">
        <v>1</v>
      </c>
      <c r="E183" s="4">
        <v>211</v>
      </c>
      <c r="F183" s="4">
        <f>ROUND(Source!Y156,O183)</f>
        <v>36883.82</v>
      </c>
      <c r="G183" s="4" t="s">
        <v>545</v>
      </c>
      <c r="H183" s="4" t="s">
        <v>546</v>
      </c>
      <c r="I183" s="4"/>
      <c r="J183" s="4"/>
      <c r="K183" s="4">
        <v>211</v>
      </c>
      <c r="L183" s="4">
        <v>26</v>
      </c>
      <c r="M183" s="4">
        <v>3</v>
      </c>
      <c r="N183" s="4" t="s">
        <v>3</v>
      </c>
      <c r="O183" s="4">
        <v>2</v>
      </c>
      <c r="P183" s="4"/>
      <c r="Q183" s="4"/>
      <c r="R183" s="4"/>
      <c r="S183" s="4"/>
      <c r="T183" s="4"/>
      <c r="U183" s="4"/>
      <c r="V183" s="4"/>
      <c r="W183" s="4">
        <v>36883.82</v>
      </c>
      <c r="X183" s="4">
        <v>1</v>
      </c>
      <c r="Y183" s="4">
        <v>36883.82</v>
      </c>
      <c r="Z183" s="4"/>
      <c r="AA183" s="4"/>
      <c r="AB183" s="4"/>
    </row>
    <row r="184" spans="1:206" x14ac:dyDescent="0.2">
      <c r="A184" s="4">
        <v>50</v>
      </c>
      <c r="B184" s="4">
        <v>0</v>
      </c>
      <c r="C184" s="4">
        <v>0</v>
      </c>
      <c r="D184" s="4">
        <v>1</v>
      </c>
      <c r="E184" s="4">
        <v>224</v>
      </c>
      <c r="F184" s="4">
        <f>ROUND(Source!AR156,O184)</f>
        <v>2778148.82</v>
      </c>
      <c r="G184" s="4" t="s">
        <v>547</v>
      </c>
      <c r="H184" s="4" t="s">
        <v>548</v>
      </c>
      <c r="I184" s="4"/>
      <c r="J184" s="4"/>
      <c r="K184" s="4">
        <v>224</v>
      </c>
      <c r="L184" s="4">
        <v>27</v>
      </c>
      <c r="M184" s="4">
        <v>3</v>
      </c>
      <c r="N184" s="4" t="s">
        <v>3</v>
      </c>
      <c r="O184" s="4">
        <v>2</v>
      </c>
      <c r="P184" s="4"/>
      <c r="Q184" s="4"/>
      <c r="R184" s="4"/>
      <c r="S184" s="4"/>
      <c r="T184" s="4"/>
      <c r="U184" s="4"/>
      <c r="V184" s="4"/>
      <c r="W184" s="4">
        <v>2778148.82</v>
      </c>
      <c r="X184" s="4">
        <v>1</v>
      </c>
      <c r="Y184" s="4">
        <v>2778148.82</v>
      </c>
      <c r="Z184" s="4"/>
      <c r="AA184" s="4"/>
      <c r="AB184" s="4"/>
    </row>
    <row r="186" spans="1:206" x14ac:dyDescent="0.2">
      <c r="A186" s="2">
        <v>51</v>
      </c>
      <c r="B186" s="2">
        <f>B12</f>
        <v>221</v>
      </c>
      <c r="C186" s="2">
        <f>A12</f>
        <v>1</v>
      </c>
      <c r="D186" s="2">
        <f>ROW(A12)</f>
        <v>12</v>
      </c>
      <c r="E186" s="2"/>
      <c r="F186" s="2" t="str">
        <f>IF(F12&lt;&gt;"",F12,"")</f>
        <v/>
      </c>
      <c r="G186" s="2" t="str">
        <f>IF(G12&lt;&gt;"",G12,"")</f>
        <v xml:space="preserve">Установка сплит-систем </v>
      </c>
      <c r="H186" s="2">
        <v>0</v>
      </c>
      <c r="I186" s="2"/>
      <c r="J186" s="2"/>
      <c r="K186" s="2"/>
      <c r="L186" s="2"/>
      <c r="M186" s="2"/>
      <c r="N186" s="2"/>
      <c r="O186" s="2">
        <f t="shared" ref="O186:T186" si="184">ROUND(O156,2)</f>
        <v>2465176.85</v>
      </c>
      <c r="P186" s="2">
        <f t="shared" si="184"/>
        <v>2067880.58</v>
      </c>
      <c r="Q186" s="2">
        <f t="shared" si="184"/>
        <v>28458.41</v>
      </c>
      <c r="R186" s="2">
        <f t="shared" si="184"/>
        <v>16575.580000000002</v>
      </c>
      <c r="S186" s="2">
        <f t="shared" si="184"/>
        <v>368837.86</v>
      </c>
      <c r="T186" s="2">
        <f t="shared" si="184"/>
        <v>0</v>
      </c>
      <c r="U186" s="2">
        <f>U156</f>
        <v>1439.7210702999998</v>
      </c>
      <c r="V186" s="2">
        <f>V156</f>
        <v>0</v>
      </c>
      <c r="W186" s="2">
        <f>ROUND(W156,2)</f>
        <v>0</v>
      </c>
      <c r="X186" s="2">
        <f>ROUND(X156,2)</f>
        <v>258186.53</v>
      </c>
      <c r="Y186" s="2">
        <f>ROUND(Y156,2)</f>
        <v>36883.82</v>
      </c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>
        <f t="shared" ref="AO186:BD186" si="185">ROUND(AO156,2)</f>
        <v>0</v>
      </c>
      <c r="AP186" s="2">
        <f t="shared" si="185"/>
        <v>0</v>
      </c>
      <c r="AQ186" s="2">
        <f t="shared" si="185"/>
        <v>0</v>
      </c>
      <c r="AR186" s="2">
        <f t="shared" si="185"/>
        <v>2778148.82</v>
      </c>
      <c r="AS186" s="2">
        <f t="shared" si="185"/>
        <v>0</v>
      </c>
      <c r="AT186" s="2">
        <f t="shared" si="185"/>
        <v>0</v>
      </c>
      <c r="AU186" s="2">
        <f t="shared" si="185"/>
        <v>2778148.82</v>
      </c>
      <c r="AV186" s="2">
        <f t="shared" si="185"/>
        <v>2067880.58</v>
      </c>
      <c r="AW186" s="2">
        <f t="shared" si="185"/>
        <v>2067880.58</v>
      </c>
      <c r="AX186" s="2">
        <f t="shared" si="185"/>
        <v>0</v>
      </c>
      <c r="AY186" s="2">
        <f t="shared" si="185"/>
        <v>2067880.58</v>
      </c>
      <c r="AZ186" s="2">
        <f t="shared" si="185"/>
        <v>0</v>
      </c>
      <c r="BA186" s="2">
        <f t="shared" si="185"/>
        <v>0</v>
      </c>
      <c r="BB186" s="2">
        <f t="shared" si="185"/>
        <v>0</v>
      </c>
      <c r="BC186" s="2">
        <f t="shared" si="185"/>
        <v>0</v>
      </c>
      <c r="BD186" s="2">
        <f t="shared" si="185"/>
        <v>0</v>
      </c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>
        <v>0</v>
      </c>
    </row>
    <row r="188" spans="1:206" x14ac:dyDescent="0.2">
      <c r="A188" s="4">
        <v>50</v>
      </c>
      <c r="B188" s="4">
        <v>0</v>
      </c>
      <c r="C188" s="4">
        <v>0</v>
      </c>
      <c r="D188" s="4">
        <v>1</v>
      </c>
      <c r="E188" s="4">
        <v>201</v>
      </c>
      <c r="F188" s="4">
        <f>ROUND(Source!O186,O188)</f>
        <v>2465176.85</v>
      </c>
      <c r="G188" s="4" t="s">
        <v>495</v>
      </c>
      <c r="H188" s="4" t="s">
        <v>496</v>
      </c>
      <c r="I188" s="4"/>
      <c r="J188" s="4"/>
      <c r="K188" s="4">
        <v>201</v>
      </c>
      <c r="L188" s="4">
        <v>1</v>
      </c>
      <c r="M188" s="4">
        <v>3</v>
      </c>
      <c r="N188" s="4" t="s">
        <v>3</v>
      </c>
      <c r="O188" s="4">
        <v>2</v>
      </c>
      <c r="P188" s="4"/>
      <c r="Q188" s="4"/>
      <c r="R188" s="4"/>
      <c r="S188" s="4"/>
      <c r="T188" s="4"/>
      <c r="U188" s="4"/>
      <c r="V188" s="4"/>
      <c r="W188" s="4">
        <v>2465176.85</v>
      </c>
      <c r="X188" s="4">
        <v>1</v>
      </c>
      <c r="Y188" s="4">
        <v>2465176.85</v>
      </c>
      <c r="Z188" s="4"/>
      <c r="AA188" s="4"/>
      <c r="AB188" s="4"/>
    </row>
    <row r="189" spans="1:206" x14ac:dyDescent="0.2">
      <c r="A189" s="4">
        <v>50</v>
      </c>
      <c r="B189" s="4">
        <v>0</v>
      </c>
      <c r="C189" s="4">
        <v>0</v>
      </c>
      <c r="D189" s="4">
        <v>1</v>
      </c>
      <c r="E189" s="4">
        <v>202</v>
      </c>
      <c r="F189" s="4">
        <f>ROUND(Source!P186,O189)</f>
        <v>2067880.58</v>
      </c>
      <c r="G189" s="4" t="s">
        <v>497</v>
      </c>
      <c r="H189" s="4" t="s">
        <v>498</v>
      </c>
      <c r="I189" s="4"/>
      <c r="J189" s="4"/>
      <c r="K189" s="4">
        <v>202</v>
      </c>
      <c r="L189" s="4">
        <v>2</v>
      </c>
      <c r="M189" s="4">
        <v>3</v>
      </c>
      <c r="N189" s="4" t="s">
        <v>3</v>
      </c>
      <c r="O189" s="4">
        <v>2</v>
      </c>
      <c r="P189" s="4"/>
      <c r="Q189" s="4"/>
      <c r="R189" s="4"/>
      <c r="S189" s="4"/>
      <c r="T189" s="4"/>
      <c r="U189" s="4"/>
      <c r="V189" s="4"/>
      <c r="W189" s="4">
        <v>2067880.58</v>
      </c>
      <c r="X189" s="4">
        <v>1</v>
      </c>
      <c r="Y189" s="4">
        <v>2067880.58</v>
      </c>
      <c r="Z189" s="4"/>
      <c r="AA189" s="4"/>
      <c r="AB189" s="4"/>
    </row>
    <row r="190" spans="1:206" x14ac:dyDescent="0.2">
      <c r="A190" s="4">
        <v>50</v>
      </c>
      <c r="B190" s="4">
        <v>0</v>
      </c>
      <c r="C190" s="4">
        <v>0</v>
      </c>
      <c r="D190" s="4">
        <v>1</v>
      </c>
      <c r="E190" s="4">
        <v>222</v>
      </c>
      <c r="F190" s="4">
        <f>ROUND(Source!AO186,O190)</f>
        <v>0</v>
      </c>
      <c r="G190" s="4" t="s">
        <v>499</v>
      </c>
      <c r="H190" s="4" t="s">
        <v>500</v>
      </c>
      <c r="I190" s="4"/>
      <c r="J190" s="4"/>
      <c r="K190" s="4">
        <v>222</v>
      </c>
      <c r="L190" s="4">
        <v>3</v>
      </c>
      <c r="M190" s="4">
        <v>3</v>
      </c>
      <c r="N190" s="4" t="s">
        <v>3</v>
      </c>
      <c r="O190" s="4">
        <v>2</v>
      </c>
      <c r="P190" s="4"/>
      <c r="Q190" s="4"/>
      <c r="R190" s="4"/>
      <c r="S190" s="4"/>
      <c r="T190" s="4"/>
      <c r="U190" s="4"/>
      <c r="V190" s="4"/>
      <c r="W190" s="4">
        <v>0</v>
      </c>
      <c r="X190" s="4">
        <v>1</v>
      </c>
      <c r="Y190" s="4">
        <v>0</v>
      </c>
      <c r="Z190" s="4"/>
      <c r="AA190" s="4"/>
      <c r="AB190" s="4"/>
    </row>
    <row r="191" spans="1:206" x14ac:dyDescent="0.2">
      <c r="A191" s="4">
        <v>50</v>
      </c>
      <c r="B191" s="4">
        <v>0</v>
      </c>
      <c r="C191" s="4">
        <v>0</v>
      </c>
      <c r="D191" s="4">
        <v>1</v>
      </c>
      <c r="E191" s="4">
        <v>225</v>
      </c>
      <c r="F191" s="4">
        <f>ROUND(Source!AV186,O191)</f>
        <v>2067880.58</v>
      </c>
      <c r="G191" s="4" t="s">
        <v>501</v>
      </c>
      <c r="H191" s="4" t="s">
        <v>502</v>
      </c>
      <c r="I191" s="4"/>
      <c r="J191" s="4"/>
      <c r="K191" s="4">
        <v>225</v>
      </c>
      <c r="L191" s="4">
        <v>4</v>
      </c>
      <c r="M191" s="4">
        <v>3</v>
      </c>
      <c r="N191" s="4" t="s">
        <v>3</v>
      </c>
      <c r="O191" s="4">
        <v>2</v>
      </c>
      <c r="P191" s="4"/>
      <c r="Q191" s="4"/>
      <c r="R191" s="4"/>
      <c r="S191" s="4"/>
      <c r="T191" s="4"/>
      <c r="U191" s="4"/>
      <c r="V191" s="4"/>
      <c r="W191" s="4">
        <v>2067880.58</v>
      </c>
      <c r="X191" s="4">
        <v>1</v>
      </c>
      <c r="Y191" s="4">
        <v>2067880.58</v>
      </c>
      <c r="Z191" s="4"/>
      <c r="AA191" s="4"/>
      <c r="AB191" s="4"/>
    </row>
    <row r="192" spans="1:206" x14ac:dyDescent="0.2">
      <c r="A192" s="4">
        <v>50</v>
      </c>
      <c r="B192" s="4">
        <v>0</v>
      </c>
      <c r="C192" s="4">
        <v>0</v>
      </c>
      <c r="D192" s="4">
        <v>1</v>
      </c>
      <c r="E192" s="4">
        <v>226</v>
      </c>
      <c r="F192" s="4">
        <f>ROUND(Source!AW186,O192)</f>
        <v>2067880.58</v>
      </c>
      <c r="G192" s="4" t="s">
        <v>503</v>
      </c>
      <c r="H192" s="4" t="s">
        <v>504</v>
      </c>
      <c r="I192" s="4"/>
      <c r="J192" s="4"/>
      <c r="K192" s="4">
        <v>226</v>
      </c>
      <c r="L192" s="4">
        <v>5</v>
      </c>
      <c r="M192" s="4">
        <v>3</v>
      </c>
      <c r="N192" s="4" t="s">
        <v>3</v>
      </c>
      <c r="O192" s="4">
        <v>2</v>
      </c>
      <c r="P192" s="4"/>
      <c r="Q192" s="4"/>
      <c r="R192" s="4"/>
      <c r="S192" s="4"/>
      <c r="T192" s="4"/>
      <c r="U192" s="4"/>
      <c r="V192" s="4"/>
      <c r="W192" s="4">
        <v>2067880.58</v>
      </c>
      <c r="X192" s="4">
        <v>1</v>
      </c>
      <c r="Y192" s="4">
        <v>2067880.58</v>
      </c>
      <c r="Z192" s="4"/>
      <c r="AA192" s="4"/>
      <c r="AB192" s="4"/>
    </row>
    <row r="193" spans="1:28" x14ac:dyDescent="0.2">
      <c r="A193" s="4">
        <v>50</v>
      </c>
      <c r="B193" s="4">
        <v>0</v>
      </c>
      <c r="C193" s="4">
        <v>0</v>
      </c>
      <c r="D193" s="4">
        <v>1</v>
      </c>
      <c r="E193" s="4">
        <v>227</v>
      </c>
      <c r="F193" s="4">
        <f>ROUND(Source!AX186,O193)</f>
        <v>0</v>
      </c>
      <c r="G193" s="4" t="s">
        <v>505</v>
      </c>
      <c r="H193" s="4" t="s">
        <v>506</v>
      </c>
      <c r="I193" s="4"/>
      <c r="J193" s="4"/>
      <c r="K193" s="4">
        <v>227</v>
      </c>
      <c r="L193" s="4">
        <v>6</v>
      </c>
      <c r="M193" s="4">
        <v>3</v>
      </c>
      <c r="N193" s="4" t="s">
        <v>3</v>
      </c>
      <c r="O193" s="4">
        <v>2</v>
      </c>
      <c r="P193" s="4"/>
      <c r="Q193" s="4"/>
      <c r="R193" s="4"/>
      <c r="S193" s="4"/>
      <c r="T193" s="4"/>
      <c r="U193" s="4"/>
      <c r="V193" s="4"/>
      <c r="W193" s="4">
        <v>0</v>
      </c>
      <c r="X193" s="4">
        <v>1</v>
      </c>
      <c r="Y193" s="4">
        <v>0</v>
      </c>
      <c r="Z193" s="4"/>
      <c r="AA193" s="4"/>
      <c r="AB193" s="4"/>
    </row>
    <row r="194" spans="1:28" x14ac:dyDescent="0.2">
      <c r="A194" s="4">
        <v>50</v>
      </c>
      <c r="B194" s="4">
        <v>0</v>
      </c>
      <c r="C194" s="4">
        <v>0</v>
      </c>
      <c r="D194" s="4">
        <v>1</v>
      </c>
      <c r="E194" s="4">
        <v>228</v>
      </c>
      <c r="F194" s="4">
        <f>ROUND(Source!AY186,O194)</f>
        <v>2067880.58</v>
      </c>
      <c r="G194" s="4" t="s">
        <v>507</v>
      </c>
      <c r="H194" s="4" t="s">
        <v>508</v>
      </c>
      <c r="I194" s="4"/>
      <c r="J194" s="4"/>
      <c r="K194" s="4">
        <v>228</v>
      </c>
      <c r="L194" s="4">
        <v>7</v>
      </c>
      <c r="M194" s="4">
        <v>3</v>
      </c>
      <c r="N194" s="4" t="s">
        <v>3</v>
      </c>
      <c r="O194" s="4">
        <v>2</v>
      </c>
      <c r="P194" s="4"/>
      <c r="Q194" s="4"/>
      <c r="R194" s="4"/>
      <c r="S194" s="4"/>
      <c r="T194" s="4"/>
      <c r="U194" s="4"/>
      <c r="V194" s="4"/>
      <c r="W194" s="4">
        <v>2067880.58</v>
      </c>
      <c r="X194" s="4">
        <v>1</v>
      </c>
      <c r="Y194" s="4">
        <v>2067880.58</v>
      </c>
      <c r="Z194" s="4"/>
      <c r="AA194" s="4"/>
      <c r="AB194" s="4"/>
    </row>
    <row r="195" spans="1:28" x14ac:dyDescent="0.2">
      <c r="A195" s="4">
        <v>50</v>
      </c>
      <c r="B195" s="4">
        <v>0</v>
      </c>
      <c r="C195" s="4">
        <v>0</v>
      </c>
      <c r="D195" s="4">
        <v>1</v>
      </c>
      <c r="E195" s="4">
        <v>216</v>
      </c>
      <c r="F195" s="4">
        <f>ROUND(Source!AP186,O195)</f>
        <v>0</v>
      </c>
      <c r="G195" s="4" t="s">
        <v>509</v>
      </c>
      <c r="H195" s="4" t="s">
        <v>510</v>
      </c>
      <c r="I195" s="4"/>
      <c r="J195" s="4"/>
      <c r="K195" s="4">
        <v>216</v>
      </c>
      <c r="L195" s="4">
        <v>8</v>
      </c>
      <c r="M195" s="4">
        <v>3</v>
      </c>
      <c r="N195" s="4" t="s">
        <v>3</v>
      </c>
      <c r="O195" s="4">
        <v>2</v>
      </c>
      <c r="P195" s="4"/>
      <c r="Q195" s="4"/>
      <c r="R195" s="4"/>
      <c r="S195" s="4"/>
      <c r="T195" s="4"/>
      <c r="U195" s="4"/>
      <c r="V195" s="4"/>
      <c r="W195" s="4">
        <v>0</v>
      </c>
      <c r="X195" s="4">
        <v>1</v>
      </c>
      <c r="Y195" s="4">
        <v>0</v>
      </c>
      <c r="Z195" s="4"/>
      <c r="AA195" s="4"/>
      <c r="AB195" s="4"/>
    </row>
    <row r="196" spans="1:28" x14ac:dyDescent="0.2">
      <c r="A196" s="4">
        <v>50</v>
      </c>
      <c r="B196" s="4">
        <v>0</v>
      </c>
      <c r="C196" s="4">
        <v>0</v>
      </c>
      <c r="D196" s="4">
        <v>1</v>
      </c>
      <c r="E196" s="4">
        <v>223</v>
      </c>
      <c r="F196" s="4">
        <f>ROUND(Source!AQ186,O196)</f>
        <v>0</v>
      </c>
      <c r="G196" s="4" t="s">
        <v>511</v>
      </c>
      <c r="H196" s="4" t="s">
        <v>512</v>
      </c>
      <c r="I196" s="4"/>
      <c r="J196" s="4"/>
      <c r="K196" s="4">
        <v>223</v>
      </c>
      <c r="L196" s="4">
        <v>9</v>
      </c>
      <c r="M196" s="4">
        <v>3</v>
      </c>
      <c r="N196" s="4" t="s">
        <v>3</v>
      </c>
      <c r="O196" s="4">
        <v>2</v>
      </c>
      <c r="P196" s="4"/>
      <c r="Q196" s="4"/>
      <c r="R196" s="4"/>
      <c r="S196" s="4"/>
      <c r="T196" s="4"/>
      <c r="U196" s="4"/>
      <c r="V196" s="4"/>
      <c r="W196" s="4">
        <v>0</v>
      </c>
      <c r="X196" s="4">
        <v>1</v>
      </c>
      <c r="Y196" s="4">
        <v>0</v>
      </c>
      <c r="Z196" s="4"/>
      <c r="AA196" s="4"/>
      <c r="AB196" s="4"/>
    </row>
    <row r="197" spans="1:28" x14ac:dyDescent="0.2">
      <c r="A197" s="4">
        <v>50</v>
      </c>
      <c r="B197" s="4">
        <v>0</v>
      </c>
      <c r="C197" s="4">
        <v>0</v>
      </c>
      <c r="D197" s="4">
        <v>1</v>
      </c>
      <c r="E197" s="4">
        <v>229</v>
      </c>
      <c r="F197" s="4">
        <f>ROUND(Source!AZ186,O197)</f>
        <v>0</v>
      </c>
      <c r="G197" s="4" t="s">
        <v>513</v>
      </c>
      <c r="H197" s="4" t="s">
        <v>514</v>
      </c>
      <c r="I197" s="4"/>
      <c r="J197" s="4"/>
      <c r="K197" s="4">
        <v>229</v>
      </c>
      <c r="L197" s="4">
        <v>10</v>
      </c>
      <c r="M197" s="4">
        <v>3</v>
      </c>
      <c r="N197" s="4" t="s">
        <v>3</v>
      </c>
      <c r="O197" s="4">
        <v>2</v>
      </c>
      <c r="P197" s="4"/>
      <c r="Q197" s="4"/>
      <c r="R197" s="4"/>
      <c r="S197" s="4"/>
      <c r="T197" s="4"/>
      <c r="U197" s="4"/>
      <c r="V197" s="4"/>
      <c r="W197" s="4">
        <v>0</v>
      </c>
      <c r="X197" s="4">
        <v>1</v>
      </c>
      <c r="Y197" s="4">
        <v>0</v>
      </c>
      <c r="Z197" s="4"/>
      <c r="AA197" s="4"/>
      <c r="AB197" s="4"/>
    </row>
    <row r="198" spans="1:28" x14ac:dyDescent="0.2">
      <c r="A198" s="4">
        <v>50</v>
      </c>
      <c r="B198" s="4">
        <v>0</v>
      </c>
      <c r="C198" s="4">
        <v>0</v>
      </c>
      <c r="D198" s="4">
        <v>1</v>
      </c>
      <c r="E198" s="4">
        <v>203</v>
      </c>
      <c r="F198" s="4">
        <f>ROUND(Source!Q186,O198)</f>
        <v>28458.41</v>
      </c>
      <c r="G198" s="4" t="s">
        <v>515</v>
      </c>
      <c r="H198" s="4" t="s">
        <v>516</v>
      </c>
      <c r="I198" s="4"/>
      <c r="J198" s="4"/>
      <c r="K198" s="4">
        <v>203</v>
      </c>
      <c r="L198" s="4">
        <v>11</v>
      </c>
      <c r="M198" s="4">
        <v>3</v>
      </c>
      <c r="N198" s="4" t="s">
        <v>3</v>
      </c>
      <c r="O198" s="4">
        <v>2</v>
      </c>
      <c r="P198" s="4"/>
      <c r="Q198" s="4"/>
      <c r="R198" s="4"/>
      <c r="S198" s="4"/>
      <c r="T198" s="4"/>
      <c r="U198" s="4"/>
      <c r="V198" s="4"/>
      <c r="W198" s="4">
        <v>28458.41</v>
      </c>
      <c r="X198" s="4">
        <v>1</v>
      </c>
      <c r="Y198" s="4">
        <v>28458.41</v>
      </c>
      <c r="Z198" s="4"/>
      <c r="AA198" s="4"/>
      <c r="AB198" s="4"/>
    </row>
    <row r="199" spans="1:28" x14ac:dyDescent="0.2">
      <c r="A199" s="4">
        <v>50</v>
      </c>
      <c r="B199" s="4">
        <v>0</v>
      </c>
      <c r="C199" s="4">
        <v>0</v>
      </c>
      <c r="D199" s="4">
        <v>1</v>
      </c>
      <c r="E199" s="4">
        <v>231</v>
      </c>
      <c r="F199" s="4">
        <f>ROUND(Source!BB186,O199)</f>
        <v>0</v>
      </c>
      <c r="G199" s="4" t="s">
        <v>517</v>
      </c>
      <c r="H199" s="4" t="s">
        <v>518</v>
      </c>
      <c r="I199" s="4"/>
      <c r="J199" s="4"/>
      <c r="K199" s="4">
        <v>231</v>
      </c>
      <c r="L199" s="4">
        <v>12</v>
      </c>
      <c r="M199" s="4">
        <v>3</v>
      </c>
      <c r="N199" s="4" t="s">
        <v>3</v>
      </c>
      <c r="O199" s="4">
        <v>2</v>
      </c>
      <c r="P199" s="4"/>
      <c r="Q199" s="4"/>
      <c r="R199" s="4"/>
      <c r="S199" s="4"/>
      <c r="T199" s="4"/>
      <c r="U199" s="4"/>
      <c r="V199" s="4"/>
      <c r="W199" s="4">
        <v>0</v>
      </c>
      <c r="X199" s="4">
        <v>1</v>
      </c>
      <c r="Y199" s="4">
        <v>0</v>
      </c>
      <c r="Z199" s="4"/>
      <c r="AA199" s="4"/>
      <c r="AB199" s="4"/>
    </row>
    <row r="200" spans="1:28" x14ac:dyDescent="0.2">
      <c r="A200" s="4">
        <v>50</v>
      </c>
      <c r="B200" s="4">
        <v>0</v>
      </c>
      <c r="C200" s="4">
        <v>0</v>
      </c>
      <c r="D200" s="4">
        <v>1</v>
      </c>
      <c r="E200" s="4">
        <v>204</v>
      </c>
      <c r="F200" s="4">
        <f>ROUND(Source!R186,O200)</f>
        <v>16575.580000000002</v>
      </c>
      <c r="G200" s="4" t="s">
        <v>519</v>
      </c>
      <c r="H200" s="4" t="s">
        <v>520</v>
      </c>
      <c r="I200" s="4"/>
      <c r="J200" s="4"/>
      <c r="K200" s="4">
        <v>204</v>
      </c>
      <c r="L200" s="4">
        <v>13</v>
      </c>
      <c r="M200" s="4">
        <v>3</v>
      </c>
      <c r="N200" s="4" t="s">
        <v>3</v>
      </c>
      <c r="O200" s="4">
        <v>2</v>
      </c>
      <c r="P200" s="4"/>
      <c r="Q200" s="4"/>
      <c r="R200" s="4"/>
      <c r="S200" s="4"/>
      <c r="T200" s="4"/>
      <c r="U200" s="4"/>
      <c r="V200" s="4"/>
      <c r="W200" s="4">
        <v>16575.580000000002</v>
      </c>
      <c r="X200" s="4">
        <v>1</v>
      </c>
      <c r="Y200" s="4">
        <v>16575.580000000002</v>
      </c>
      <c r="Z200" s="4"/>
      <c r="AA200" s="4"/>
      <c r="AB200" s="4"/>
    </row>
    <row r="201" spans="1:28" x14ac:dyDescent="0.2">
      <c r="A201" s="4">
        <v>50</v>
      </c>
      <c r="B201" s="4">
        <v>0</v>
      </c>
      <c r="C201" s="4">
        <v>0</v>
      </c>
      <c r="D201" s="4">
        <v>1</v>
      </c>
      <c r="E201" s="4">
        <v>205</v>
      </c>
      <c r="F201" s="4">
        <f>ROUND(Source!S186,O201)</f>
        <v>368837.86</v>
      </c>
      <c r="G201" s="4" t="s">
        <v>521</v>
      </c>
      <c r="H201" s="4" t="s">
        <v>522</v>
      </c>
      <c r="I201" s="4"/>
      <c r="J201" s="4"/>
      <c r="K201" s="4">
        <v>205</v>
      </c>
      <c r="L201" s="4">
        <v>14</v>
      </c>
      <c r="M201" s="4">
        <v>3</v>
      </c>
      <c r="N201" s="4" t="s">
        <v>3</v>
      </c>
      <c r="O201" s="4">
        <v>2</v>
      </c>
      <c r="P201" s="4"/>
      <c r="Q201" s="4"/>
      <c r="R201" s="4"/>
      <c r="S201" s="4"/>
      <c r="T201" s="4"/>
      <c r="U201" s="4"/>
      <c r="V201" s="4"/>
      <c r="W201" s="4">
        <v>368837.86</v>
      </c>
      <c r="X201" s="4">
        <v>1</v>
      </c>
      <c r="Y201" s="4">
        <v>368837.86</v>
      </c>
      <c r="Z201" s="4"/>
      <c r="AA201" s="4"/>
      <c r="AB201" s="4"/>
    </row>
    <row r="202" spans="1:28" x14ac:dyDescent="0.2">
      <c r="A202" s="4">
        <v>50</v>
      </c>
      <c r="B202" s="4">
        <v>0</v>
      </c>
      <c r="C202" s="4">
        <v>0</v>
      </c>
      <c r="D202" s="4">
        <v>1</v>
      </c>
      <c r="E202" s="4">
        <v>232</v>
      </c>
      <c r="F202" s="4">
        <f>ROUND(Source!BC186,O202)</f>
        <v>0</v>
      </c>
      <c r="G202" s="4" t="s">
        <v>523</v>
      </c>
      <c r="H202" s="4" t="s">
        <v>524</v>
      </c>
      <c r="I202" s="4"/>
      <c r="J202" s="4"/>
      <c r="K202" s="4">
        <v>232</v>
      </c>
      <c r="L202" s="4">
        <v>15</v>
      </c>
      <c r="M202" s="4">
        <v>3</v>
      </c>
      <c r="N202" s="4" t="s">
        <v>3</v>
      </c>
      <c r="O202" s="4">
        <v>2</v>
      </c>
      <c r="P202" s="4"/>
      <c r="Q202" s="4"/>
      <c r="R202" s="4"/>
      <c r="S202" s="4"/>
      <c r="T202" s="4"/>
      <c r="U202" s="4"/>
      <c r="V202" s="4"/>
      <c r="W202" s="4">
        <v>0</v>
      </c>
      <c r="X202" s="4">
        <v>1</v>
      </c>
      <c r="Y202" s="4">
        <v>0</v>
      </c>
      <c r="Z202" s="4"/>
      <c r="AA202" s="4"/>
      <c r="AB202" s="4"/>
    </row>
    <row r="203" spans="1:28" x14ac:dyDescent="0.2">
      <c r="A203" s="4">
        <v>50</v>
      </c>
      <c r="B203" s="4">
        <v>0</v>
      </c>
      <c r="C203" s="4">
        <v>0</v>
      </c>
      <c r="D203" s="4">
        <v>1</v>
      </c>
      <c r="E203" s="4">
        <v>214</v>
      </c>
      <c r="F203" s="4">
        <f>ROUND(Source!AS186,O203)</f>
        <v>0</v>
      </c>
      <c r="G203" s="4" t="s">
        <v>525</v>
      </c>
      <c r="H203" s="4" t="s">
        <v>526</v>
      </c>
      <c r="I203" s="4"/>
      <c r="J203" s="4"/>
      <c r="K203" s="4">
        <v>214</v>
      </c>
      <c r="L203" s="4">
        <v>16</v>
      </c>
      <c r="M203" s="4">
        <v>3</v>
      </c>
      <c r="N203" s="4" t="s">
        <v>3</v>
      </c>
      <c r="O203" s="4">
        <v>2</v>
      </c>
      <c r="P203" s="4"/>
      <c r="Q203" s="4"/>
      <c r="R203" s="4"/>
      <c r="S203" s="4"/>
      <c r="T203" s="4"/>
      <c r="U203" s="4"/>
      <c r="V203" s="4"/>
      <c r="W203" s="4">
        <v>0</v>
      </c>
      <c r="X203" s="4">
        <v>1</v>
      </c>
      <c r="Y203" s="4">
        <v>0</v>
      </c>
      <c r="Z203" s="4"/>
      <c r="AA203" s="4"/>
      <c r="AB203" s="4"/>
    </row>
    <row r="204" spans="1:28" x14ac:dyDescent="0.2">
      <c r="A204" s="4">
        <v>50</v>
      </c>
      <c r="B204" s="4">
        <v>0</v>
      </c>
      <c r="C204" s="4">
        <v>0</v>
      </c>
      <c r="D204" s="4">
        <v>1</v>
      </c>
      <c r="E204" s="4">
        <v>215</v>
      </c>
      <c r="F204" s="4">
        <f>ROUND(Source!AT186,O204)</f>
        <v>0</v>
      </c>
      <c r="G204" s="4" t="s">
        <v>527</v>
      </c>
      <c r="H204" s="4" t="s">
        <v>528</v>
      </c>
      <c r="I204" s="4"/>
      <c r="J204" s="4"/>
      <c r="K204" s="4">
        <v>215</v>
      </c>
      <c r="L204" s="4">
        <v>17</v>
      </c>
      <c r="M204" s="4">
        <v>3</v>
      </c>
      <c r="N204" s="4" t="s">
        <v>3</v>
      </c>
      <c r="O204" s="4">
        <v>2</v>
      </c>
      <c r="P204" s="4"/>
      <c r="Q204" s="4"/>
      <c r="R204" s="4"/>
      <c r="S204" s="4"/>
      <c r="T204" s="4"/>
      <c r="U204" s="4"/>
      <c r="V204" s="4"/>
      <c r="W204" s="4">
        <v>0</v>
      </c>
      <c r="X204" s="4">
        <v>1</v>
      </c>
      <c r="Y204" s="4">
        <v>0</v>
      </c>
      <c r="Z204" s="4"/>
      <c r="AA204" s="4"/>
      <c r="AB204" s="4"/>
    </row>
    <row r="205" spans="1:28" x14ac:dyDescent="0.2">
      <c r="A205" s="4">
        <v>50</v>
      </c>
      <c r="B205" s="4">
        <v>0</v>
      </c>
      <c r="C205" s="4">
        <v>0</v>
      </c>
      <c r="D205" s="4">
        <v>1</v>
      </c>
      <c r="E205" s="4">
        <v>217</v>
      </c>
      <c r="F205" s="4">
        <f>ROUND(Source!AU186,O205)</f>
        <v>2778148.82</v>
      </c>
      <c r="G205" s="4" t="s">
        <v>529</v>
      </c>
      <c r="H205" s="4" t="s">
        <v>530</v>
      </c>
      <c r="I205" s="4"/>
      <c r="J205" s="4"/>
      <c r="K205" s="4">
        <v>217</v>
      </c>
      <c r="L205" s="4">
        <v>18</v>
      </c>
      <c r="M205" s="4">
        <v>3</v>
      </c>
      <c r="N205" s="4" t="s">
        <v>3</v>
      </c>
      <c r="O205" s="4">
        <v>2</v>
      </c>
      <c r="P205" s="4"/>
      <c r="Q205" s="4"/>
      <c r="R205" s="4"/>
      <c r="S205" s="4"/>
      <c r="T205" s="4"/>
      <c r="U205" s="4"/>
      <c r="V205" s="4"/>
      <c r="W205" s="4">
        <v>2778148.82</v>
      </c>
      <c r="X205" s="4">
        <v>1</v>
      </c>
      <c r="Y205" s="4">
        <v>2778148.82</v>
      </c>
      <c r="Z205" s="4"/>
      <c r="AA205" s="4"/>
      <c r="AB205" s="4"/>
    </row>
    <row r="206" spans="1:28" x14ac:dyDescent="0.2">
      <c r="A206" s="4">
        <v>50</v>
      </c>
      <c r="B206" s="4">
        <v>0</v>
      </c>
      <c r="C206" s="4">
        <v>0</v>
      </c>
      <c r="D206" s="4">
        <v>1</v>
      </c>
      <c r="E206" s="4">
        <v>230</v>
      </c>
      <c r="F206" s="4">
        <f>ROUND(Source!BA186,O206)</f>
        <v>0</v>
      </c>
      <c r="G206" s="4" t="s">
        <v>531</v>
      </c>
      <c r="H206" s="4" t="s">
        <v>532</v>
      </c>
      <c r="I206" s="4"/>
      <c r="J206" s="4"/>
      <c r="K206" s="4">
        <v>230</v>
      </c>
      <c r="L206" s="4">
        <v>19</v>
      </c>
      <c r="M206" s="4">
        <v>3</v>
      </c>
      <c r="N206" s="4" t="s">
        <v>3</v>
      </c>
      <c r="O206" s="4">
        <v>2</v>
      </c>
      <c r="P206" s="4"/>
      <c r="Q206" s="4"/>
      <c r="R206" s="4"/>
      <c r="S206" s="4"/>
      <c r="T206" s="4"/>
      <c r="U206" s="4"/>
      <c r="V206" s="4"/>
      <c r="W206" s="4">
        <v>0</v>
      </c>
      <c r="X206" s="4">
        <v>1</v>
      </c>
      <c r="Y206" s="4">
        <v>0</v>
      </c>
      <c r="Z206" s="4"/>
      <c r="AA206" s="4"/>
      <c r="AB206" s="4"/>
    </row>
    <row r="207" spans="1:28" x14ac:dyDescent="0.2">
      <c r="A207" s="4">
        <v>50</v>
      </c>
      <c r="B207" s="4">
        <v>0</v>
      </c>
      <c r="C207" s="4">
        <v>0</v>
      </c>
      <c r="D207" s="4">
        <v>1</v>
      </c>
      <c r="E207" s="4">
        <v>206</v>
      </c>
      <c r="F207" s="4">
        <f>ROUND(Source!T186,O207)</f>
        <v>0</v>
      </c>
      <c r="G207" s="4" t="s">
        <v>533</v>
      </c>
      <c r="H207" s="4" t="s">
        <v>534</v>
      </c>
      <c r="I207" s="4"/>
      <c r="J207" s="4"/>
      <c r="K207" s="4">
        <v>206</v>
      </c>
      <c r="L207" s="4">
        <v>20</v>
      </c>
      <c r="M207" s="4">
        <v>3</v>
      </c>
      <c r="N207" s="4" t="s">
        <v>3</v>
      </c>
      <c r="O207" s="4">
        <v>2</v>
      </c>
      <c r="P207" s="4"/>
      <c r="Q207" s="4"/>
      <c r="R207" s="4"/>
      <c r="S207" s="4"/>
      <c r="T207" s="4"/>
      <c r="U207" s="4"/>
      <c r="V207" s="4"/>
      <c r="W207" s="4">
        <v>0</v>
      </c>
      <c r="X207" s="4">
        <v>1</v>
      </c>
      <c r="Y207" s="4">
        <v>0</v>
      </c>
      <c r="Z207" s="4"/>
      <c r="AA207" s="4"/>
      <c r="AB207" s="4"/>
    </row>
    <row r="208" spans="1:28" x14ac:dyDescent="0.2">
      <c r="A208" s="4">
        <v>50</v>
      </c>
      <c r="B208" s="4">
        <v>0</v>
      </c>
      <c r="C208" s="4">
        <v>0</v>
      </c>
      <c r="D208" s="4">
        <v>1</v>
      </c>
      <c r="E208" s="4">
        <v>207</v>
      </c>
      <c r="F208" s="4">
        <f>Source!U186</f>
        <v>1439.7210702999998</v>
      </c>
      <c r="G208" s="4" t="s">
        <v>535</v>
      </c>
      <c r="H208" s="4" t="s">
        <v>536</v>
      </c>
      <c r="I208" s="4"/>
      <c r="J208" s="4"/>
      <c r="K208" s="4">
        <v>207</v>
      </c>
      <c r="L208" s="4">
        <v>21</v>
      </c>
      <c r="M208" s="4">
        <v>3</v>
      </c>
      <c r="N208" s="4" t="s">
        <v>3</v>
      </c>
      <c r="O208" s="4">
        <v>-1</v>
      </c>
      <c r="P208" s="4"/>
      <c r="Q208" s="4"/>
      <c r="R208" s="4"/>
      <c r="S208" s="4"/>
      <c r="T208" s="4"/>
      <c r="U208" s="4"/>
      <c r="V208" s="4"/>
      <c r="W208" s="4">
        <v>1439.7210702999998</v>
      </c>
      <c r="X208" s="4">
        <v>1</v>
      </c>
      <c r="Y208" s="4">
        <v>1439.7210702999998</v>
      </c>
      <c r="Z208" s="4"/>
      <c r="AA208" s="4"/>
      <c r="AB208" s="4"/>
    </row>
    <row r="209" spans="1:28" x14ac:dyDescent="0.2">
      <c r="A209" s="4">
        <v>50</v>
      </c>
      <c r="B209" s="4">
        <v>0</v>
      </c>
      <c r="C209" s="4">
        <v>0</v>
      </c>
      <c r="D209" s="4">
        <v>1</v>
      </c>
      <c r="E209" s="4">
        <v>208</v>
      </c>
      <c r="F209" s="4">
        <f>Source!V186</f>
        <v>0</v>
      </c>
      <c r="G209" s="4" t="s">
        <v>537</v>
      </c>
      <c r="H209" s="4" t="s">
        <v>538</v>
      </c>
      <c r="I209" s="4"/>
      <c r="J209" s="4"/>
      <c r="K209" s="4">
        <v>208</v>
      </c>
      <c r="L209" s="4">
        <v>22</v>
      </c>
      <c r="M209" s="4">
        <v>3</v>
      </c>
      <c r="N209" s="4" t="s">
        <v>3</v>
      </c>
      <c r="O209" s="4">
        <v>-1</v>
      </c>
      <c r="P209" s="4"/>
      <c r="Q209" s="4"/>
      <c r="R209" s="4"/>
      <c r="S209" s="4"/>
      <c r="T209" s="4"/>
      <c r="U209" s="4"/>
      <c r="V209" s="4"/>
      <c r="W209" s="4">
        <v>0</v>
      </c>
      <c r="X209" s="4">
        <v>1</v>
      </c>
      <c r="Y209" s="4">
        <v>0</v>
      </c>
      <c r="Z209" s="4"/>
      <c r="AA209" s="4"/>
      <c r="AB209" s="4"/>
    </row>
    <row r="210" spans="1:28" x14ac:dyDescent="0.2">
      <c r="A210" s="4">
        <v>50</v>
      </c>
      <c r="B210" s="4">
        <v>0</v>
      </c>
      <c r="C210" s="4">
        <v>0</v>
      </c>
      <c r="D210" s="4">
        <v>1</v>
      </c>
      <c r="E210" s="4">
        <v>209</v>
      </c>
      <c r="F210" s="4">
        <f>ROUND(Source!W186,O210)</f>
        <v>0</v>
      </c>
      <c r="G210" s="4" t="s">
        <v>539</v>
      </c>
      <c r="H210" s="4" t="s">
        <v>540</v>
      </c>
      <c r="I210" s="4"/>
      <c r="J210" s="4"/>
      <c r="K210" s="4">
        <v>209</v>
      </c>
      <c r="L210" s="4">
        <v>23</v>
      </c>
      <c r="M210" s="4">
        <v>3</v>
      </c>
      <c r="N210" s="4" t="s">
        <v>3</v>
      </c>
      <c r="O210" s="4">
        <v>2</v>
      </c>
      <c r="P210" s="4"/>
      <c r="Q210" s="4"/>
      <c r="R210" s="4"/>
      <c r="S210" s="4"/>
      <c r="T210" s="4"/>
      <c r="U210" s="4"/>
      <c r="V210" s="4"/>
      <c r="W210" s="4">
        <v>0</v>
      </c>
      <c r="X210" s="4">
        <v>1</v>
      </c>
      <c r="Y210" s="4">
        <v>0</v>
      </c>
      <c r="Z210" s="4"/>
      <c r="AA210" s="4"/>
      <c r="AB210" s="4"/>
    </row>
    <row r="211" spans="1:28" x14ac:dyDescent="0.2">
      <c r="A211" s="4">
        <v>50</v>
      </c>
      <c r="B211" s="4">
        <v>0</v>
      </c>
      <c r="C211" s="4">
        <v>0</v>
      </c>
      <c r="D211" s="4">
        <v>1</v>
      </c>
      <c r="E211" s="4">
        <v>233</v>
      </c>
      <c r="F211" s="4">
        <f>ROUND(Source!BD186,O211)</f>
        <v>0</v>
      </c>
      <c r="G211" s="4" t="s">
        <v>541</v>
      </c>
      <c r="H211" s="4" t="s">
        <v>542</v>
      </c>
      <c r="I211" s="4"/>
      <c r="J211" s="4"/>
      <c r="K211" s="4">
        <v>233</v>
      </c>
      <c r="L211" s="4">
        <v>24</v>
      </c>
      <c r="M211" s="4">
        <v>3</v>
      </c>
      <c r="N211" s="4" t="s">
        <v>3</v>
      </c>
      <c r="O211" s="4">
        <v>2</v>
      </c>
      <c r="P211" s="4"/>
      <c r="Q211" s="4"/>
      <c r="R211" s="4"/>
      <c r="S211" s="4"/>
      <c r="T211" s="4"/>
      <c r="U211" s="4"/>
      <c r="V211" s="4"/>
      <c r="W211" s="4">
        <v>0</v>
      </c>
      <c r="X211" s="4">
        <v>1</v>
      </c>
      <c r="Y211" s="4">
        <v>0</v>
      </c>
      <c r="Z211" s="4"/>
      <c r="AA211" s="4"/>
      <c r="AB211" s="4"/>
    </row>
    <row r="212" spans="1:28" x14ac:dyDescent="0.2">
      <c r="A212" s="4">
        <v>50</v>
      </c>
      <c r="B212" s="4">
        <v>0</v>
      </c>
      <c r="C212" s="4">
        <v>0</v>
      </c>
      <c r="D212" s="4">
        <v>1</v>
      </c>
      <c r="E212" s="4">
        <v>210</v>
      </c>
      <c r="F212" s="4">
        <f>ROUND(Source!X186,O212)</f>
        <v>258186.53</v>
      </c>
      <c r="G212" s="4" t="s">
        <v>543</v>
      </c>
      <c r="H212" s="4" t="s">
        <v>544</v>
      </c>
      <c r="I212" s="4"/>
      <c r="J212" s="4"/>
      <c r="K212" s="4">
        <v>210</v>
      </c>
      <c r="L212" s="4">
        <v>25</v>
      </c>
      <c r="M212" s="4">
        <v>3</v>
      </c>
      <c r="N212" s="4" t="s">
        <v>3</v>
      </c>
      <c r="O212" s="4">
        <v>2</v>
      </c>
      <c r="P212" s="4"/>
      <c r="Q212" s="4"/>
      <c r="R212" s="4"/>
      <c r="S212" s="4"/>
      <c r="T212" s="4"/>
      <c r="U212" s="4"/>
      <c r="V212" s="4"/>
      <c r="W212" s="4">
        <v>258186.53</v>
      </c>
      <c r="X212" s="4">
        <v>1</v>
      </c>
      <c r="Y212" s="4">
        <v>258186.53</v>
      </c>
      <c r="Z212" s="4"/>
      <c r="AA212" s="4"/>
      <c r="AB212" s="4"/>
    </row>
    <row r="213" spans="1:28" x14ac:dyDescent="0.2">
      <c r="A213" s="4">
        <v>50</v>
      </c>
      <c r="B213" s="4">
        <v>0</v>
      </c>
      <c r="C213" s="4">
        <v>0</v>
      </c>
      <c r="D213" s="4">
        <v>1</v>
      </c>
      <c r="E213" s="4">
        <v>211</v>
      </c>
      <c r="F213" s="4">
        <f>ROUND(Source!Y186,O213)</f>
        <v>36883.82</v>
      </c>
      <c r="G213" s="4" t="s">
        <v>545</v>
      </c>
      <c r="H213" s="4" t="s">
        <v>546</v>
      </c>
      <c r="I213" s="4"/>
      <c r="J213" s="4"/>
      <c r="K213" s="4">
        <v>211</v>
      </c>
      <c r="L213" s="4">
        <v>26</v>
      </c>
      <c r="M213" s="4">
        <v>3</v>
      </c>
      <c r="N213" s="4" t="s">
        <v>3</v>
      </c>
      <c r="O213" s="4">
        <v>2</v>
      </c>
      <c r="P213" s="4"/>
      <c r="Q213" s="4"/>
      <c r="R213" s="4"/>
      <c r="S213" s="4"/>
      <c r="T213" s="4"/>
      <c r="U213" s="4"/>
      <c r="V213" s="4"/>
      <c r="W213" s="4">
        <v>36883.82</v>
      </c>
      <c r="X213" s="4">
        <v>1</v>
      </c>
      <c r="Y213" s="4">
        <v>36883.82</v>
      </c>
      <c r="Z213" s="4"/>
      <c r="AA213" s="4"/>
      <c r="AB213" s="4"/>
    </row>
    <row r="214" spans="1:28" x14ac:dyDescent="0.2">
      <c r="A214" s="4">
        <v>50</v>
      </c>
      <c r="B214" s="4">
        <v>0</v>
      </c>
      <c r="C214" s="4">
        <v>0</v>
      </c>
      <c r="D214" s="4">
        <v>1</v>
      </c>
      <c r="E214" s="4">
        <v>224</v>
      </c>
      <c r="F214" s="4">
        <f>ROUND(Source!AR186,O214)</f>
        <v>2778148.82</v>
      </c>
      <c r="G214" s="4" t="s">
        <v>547</v>
      </c>
      <c r="H214" s="4" t="s">
        <v>548</v>
      </c>
      <c r="I214" s="4"/>
      <c r="J214" s="4"/>
      <c r="K214" s="4">
        <v>224</v>
      </c>
      <c r="L214" s="4">
        <v>27</v>
      </c>
      <c r="M214" s="4">
        <v>3</v>
      </c>
      <c r="N214" s="4" t="s">
        <v>3</v>
      </c>
      <c r="O214" s="4">
        <v>2</v>
      </c>
      <c r="P214" s="4"/>
      <c r="Q214" s="4"/>
      <c r="R214" s="4"/>
      <c r="S214" s="4"/>
      <c r="T214" s="4"/>
      <c r="U214" s="4"/>
      <c r="V214" s="4"/>
      <c r="W214" s="4">
        <v>2778148.82</v>
      </c>
      <c r="X214" s="4">
        <v>1</v>
      </c>
      <c r="Y214" s="4">
        <v>2778148.82</v>
      </c>
      <c r="Z214" s="4"/>
      <c r="AA214" s="4"/>
      <c r="AB214" s="4"/>
    </row>
    <row r="215" spans="1:28" x14ac:dyDescent="0.2">
      <c r="A215" s="4">
        <v>50</v>
      </c>
      <c r="B215" s="4">
        <v>1</v>
      </c>
      <c r="C215" s="4">
        <v>0</v>
      </c>
      <c r="D215" s="4">
        <v>2</v>
      </c>
      <c r="E215" s="4">
        <v>0</v>
      </c>
      <c r="F215" s="4">
        <f>ROUND(F214*0.2,O215)</f>
        <v>555629.76</v>
      </c>
      <c r="G215" s="4" t="s">
        <v>549</v>
      </c>
      <c r="H215" s="4" t="s">
        <v>550</v>
      </c>
      <c r="I215" s="4"/>
      <c r="J215" s="4"/>
      <c r="K215" s="4">
        <v>212</v>
      </c>
      <c r="L215" s="4">
        <v>28</v>
      </c>
      <c r="M215" s="4">
        <v>0</v>
      </c>
      <c r="N215" s="4" t="s">
        <v>3</v>
      </c>
      <c r="O215" s="4">
        <v>2</v>
      </c>
      <c r="P215" s="4"/>
      <c r="Q215" s="4"/>
      <c r="R215" s="4"/>
      <c r="S215" s="4"/>
      <c r="T215" s="4"/>
      <c r="U215" s="4"/>
      <c r="V215" s="4"/>
      <c r="W215" s="4">
        <v>555629.76</v>
      </c>
      <c r="X215" s="4">
        <v>1</v>
      </c>
      <c r="Y215" s="4">
        <v>555629.76</v>
      </c>
      <c r="Z215" s="4"/>
      <c r="AA215" s="4"/>
      <c r="AB215" s="4"/>
    </row>
    <row r="216" spans="1:28" x14ac:dyDescent="0.2">
      <c r="A216" s="4">
        <v>50</v>
      </c>
      <c r="B216" s="4">
        <v>1</v>
      </c>
      <c r="C216" s="4">
        <v>0</v>
      </c>
      <c r="D216" s="4">
        <v>2</v>
      </c>
      <c r="E216" s="4">
        <v>0</v>
      </c>
      <c r="F216" s="4">
        <f>ROUND(F214+F215,O216)</f>
        <v>3333778.58</v>
      </c>
      <c r="G216" s="4" t="s">
        <v>551</v>
      </c>
      <c r="H216" s="4" t="s">
        <v>552</v>
      </c>
      <c r="I216" s="4"/>
      <c r="J216" s="4"/>
      <c r="K216" s="4">
        <v>212</v>
      </c>
      <c r="L216" s="4">
        <v>29</v>
      </c>
      <c r="M216" s="4">
        <v>0</v>
      </c>
      <c r="N216" s="4" t="s">
        <v>3</v>
      </c>
      <c r="O216" s="4">
        <v>2</v>
      </c>
      <c r="P216" s="4"/>
      <c r="Q216" s="4"/>
      <c r="R216" s="4"/>
      <c r="S216" s="4"/>
      <c r="T216" s="4"/>
      <c r="U216" s="4"/>
      <c r="V216" s="4"/>
      <c r="W216" s="4">
        <v>3333778.58</v>
      </c>
      <c r="X216" s="4">
        <v>1</v>
      </c>
      <c r="Y216" s="4">
        <v>3333778.58</v>
      </c>
      <c r="Z216" s="4"/>
      <c r="AA216" s="4"/>
      <c r="AB216" s="4"/>
    </row>
    <row r="219" spans="1:28" x14ac:dyDescent="0.2">
      <c r="A219">
        <v>-1</v>
      </c>
    </row>
    <row r="221" spans="1:28" x14ac:dyDescent="0.2">
      <c r="A221" s="3">
        <v>75</v>
      </c>
      <c r="B221" s="3" t="s">
        <v>553</v>
      </c>
      <c r="C221" s="3">
        <v>2021</v>
      </c>
      <c r="D221" s="3">
        <v>0</v>
      </c>
      <c r="E221" s="3">
        <v>10</v>
      </c>
      <c r="F221" s="3">
        <v>0</v>
      </c>
      <c r="G221" s="3">
        <v>0</v>
      </c>
      <c r="H221" s="3">
        <v>1</v>
      </c>
      <c r="I221" s="3">
        <v>0</v>
      </c>
      <c r="J221" s="3">
        <v>1</v>
      </c>
      <c r="K221" s="3">
        <v>78</v>
      </c>
      <c r="L221" s="3">
        <v>30</v>
      </c>
      <c r="M221" s="3">
        <v>0</v>
      </c>
      <c r="N221" s="3">
        <v>43095088</v>
      </c>
      <c r="O221" s="3">
        <v>1</v>
      </c>
    </row>
    <row r="225" spans="1:5" x14ac:dyDescent="0.2">
      <c r="A225">
        <v>65</v>
      </c>
      <c r="C225">
        <v>1</v>
      </c>
      <c r="D225">
        <v>0</v>
      </c>
      <c r="E225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53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554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58847</v>
      </c>
      <c r="M1">
        <v>10</v>
      </c>
      <c r="N1">
        <v>11</v>
      </c>
      <c r="O1">
        <v>5</v>
      </c>
      <c r="P1">
        <v>1</v>
      </c>
      <c r="Q1">
        <v>0</v>
      </c>
    </row>
    <row r="12" spans="1:133" x14ac:dyDescent="0.2">
      <c r="A12" s="1">
        <v>1</v>
      </c>
      <c r="B12" s="1">
        <v>53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108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6</v>
      </c>
      <c r="AI12" s="1" t="s">
        <v>7</v>
      </c>
      <c r="AJ12" s="1" t="s">
        <v>8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9</v>
      </c>
      <c r="BI12" s="1" t="s">
        <v>10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6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 t="s">
        <v>11</v>
      </c>
      <c r="BZ12" s="1" t="s">
        <v>12</v>
      </c>
      <c r="CA12" s="1" t="s">
        <v>13</v>
      </c>
      <c r="CB12" s="1" t="s">
        <v>13</v>
      </c>
      <c r="CC12" s="1" t="s">
        <v>13</v>
      </c>
      <c r="CD12" s="1" t="s">
        <v>13</v>
      </c>
      <c r="CE12" s="1" t="s">
        <v>14</v>
      </c>
      <c r="CF12" s="1">
        <v>0</v>
      </c>
      <c r="CG12" s="1">
        <v>0</v>
      </c>
      <c r="CH12" s="1">
        <v>2097160</v>
      </c>
      <c r="CI12" s="1" t="s">
        <v>3</v>
      </c>
      <c r="CJ12" s="1" t="s">
        <v>3</v>
      </c>
      <c r="CK12" s="1">
        <v>2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 x14ac:dyDescent="0.2">
      <c r="A14" s="1">
        <v>22</v>
      </c>
      <c r="B14" s="1">
        <v>1</v>
      </c>
      <c r="C14" s="1">
        <v>0</v>
      </c>
      <c r="D14" s="1">
        <v>43095088</v>
      </c>
      <c r="E14" s="1">
        <v>0</v>
      </c>
      <c r="F14" s="1">
        <v>2</v>
      </c>
      <c r="G14" s="1">
        <v>1</v>
      </c>
      <c r="H14" s="1"/>
      <c r="I14" s="1"/>
      <c r="J14" s="1"/>
      <c r="K14" s="1"/>
      <c r="L14" s="1"/>
      <c r="M14" s="1"/>
      <c r="N14" s="1"/>
      <c r="O14" s="1"/>
    </row>
    <row r="16" spans="1:133" x14ac:dyDescent="0.2">
      <c r="A16" s="5">
        <v>3</v>
      </c>
      <c r="B16" s="5">
        <v>0</v>
      </c>
      <c r="C16" s="5" t="s">
        <v>15</v>
      </c>
      <c r="D16" s="5" t="s">
        <v>16</v>
      </c>
      <c r="E16" s="6">
        <f>ROUND((Source!F173)/1000,2)</f>
        <v>0</v>
      </c>
      <c r="F16" s="6">
        <f>ROUND((Source!F174)/1000,2)</f>
        <v>0</v>
      </c>
      <c r="G16" s="6">
        <f>ROUND((Source!F165)/1000,2)</f>
        <v>0</v>
      </c>
      <c r="H16" s="6">
        <f>ROUND((Source!F175)/1000+(Source!F176)/1000,2)</f>
        <v>2778.15</v>
      </c>
      <c r="I16" s="6">
        <f>E16+F16+G16+H16</f>
        <v>2778.15</v>
      </c>
      <c r="J16" s="6">
        <f>ROUND((Source!F171+Source!F170)/1000,2)</f>
        <v>385.41</v>
      </c>
      <c r="AI16" s="5">
        <v>0</v>
      </c>
      <c r="AJ16" s="5">
        <v>0</v>
      </c>
      <c r="AK16" s="5" t="s">
        <v>3</v>
      </c>
      <c r="AL16" s="5" t="s">
        <v>3</v>
      </c>
      <c r="AM16" s="5" t="s">
        <v>3</v>
      </c>
      <c r="AN16" s="5">
        <v>0</v>
      </c>
      <c r="AO16" s="5" t="s">
        <v>3</v>
      </c>
      <c r="AP16" s="5" t="s">
        <v>3</v>
      </c>
      <c r="AT16" s="6">
        <v>2465176.85</v>
      </c>
      <c r="AU16" s="6">
        <v>2067880.58</v>
      </c>
      <c r="AV16" s="6">
        <v>0</v>
      </c>
      <c r="AW16" s="6">
        <v>0</v>
      </c>
      <c r="AX16" s="6">
        <v>0</v>
      </c>
      <c r="AY16" s="6">
        <v>28458.41</v>
      </c>
      <c r="AZ16" s="6">
        <v>16575.580000000002</v>
      </c>
      <c r="BA16" s="6">
        <v>368837.86</v>
      </c>
      <c r="BB16" s="6">
        <v>0</v>
      </c>
      <c r="BC16" s="6">
        <v>0</v>
      </c>
      <c r="BD16" s="6">
        <v>2778148.82</v>
      </c>
      <c r="BE16" s="6">
        <v>0</v>
      </c>
      <c r="BF16" s="6">
        <v>1439.7210702999998</v>
      </c>
      <c r="BG16" s="6">
        <v>0</v>
      </c>
      <c r="BH16" s="6">
        <v>0</v>
      </c>
      <c r="BI16" s="6">
        <v>258186.53</v>
      </c>
      <c r="BJ16" s="6">
        <v>36883.82</v>
      </c>
      <c r="BK16" s="6">
        <v>2778148.82</v>
      </c>
    </row>
    <row r="18" spans="1:19" x14ac:dyDescent="0.2">
      <c r="A18">
        <v>51</v>
      </c>
      <c r="E18" s="7">
        <f>SUMIF(A16:A17,3,E16:E17)</f>
        <v>0</v>
      </c>
      <c r="F18" s="7">
        <f>SUMIF(A16:A17,3,F16:F17)</f>
        <v>0</v>
      </c>
      <c r="G18" s="7">
        <f>SUMIF(A16:A17,3,G16:G17)</f>
        <v>0</v>
      </c>
      <c r="H18" s="7">
        <f>SUMIF(A16:A17,3,H16:H17)</f>
        <v>2778.15</v>
      </c>
      <c r="I18" s="7">
        <f>SUMIF(A16:A17,3,I16:I17)</f>
        <v>2778.15</v>
      </c>
      <c r="J18" s="7">
        <f>SUMIF(A16:A17,3,J16:J17)</f>
        <v>385.41</v>
      </c>
      <c r="K18" s="7"/>
      <c r="L18" s="7"/>
      <c r="M18" s="7"/>
      <c r="N18" s="7"/>
      <c r="O18" s="7"/>
      <c r="P18" s="7"/>
      <c r="Q18" s="7"/>
      <c r="R18" s="7"/>
      <c r="S18" s="7"/>
    </row>
    <row r="20" spans="1:19" x14ac:dyDescent="0.2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2465176.85</v>
      </c>
      <c r="G20" s="4" t="s">
        <v>495</v>
      </c>
      <c r="H20" s="4" t="s">
        <v>496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 x14ac:dyDescent="0.2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2067880.58</v>
      </c>
      <c r="G21" s="4" t="s">
        <v>497</v>
      </c>
      <c r="H21" s="4" t="s">
        <v>498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 x14ac:dyDescent="0.2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499</v>
      </c>
      <c r="H22" s="4" t="s">
        <v>500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 x14ac:dyDescent="0.2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2067880.58</v>
      </c>
      <c r="G23" s="4" t="s">
        <v>501</v>
      </c>
      <c r="H23" s="4" t="s">
        <v>502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 x14ac:dyDescent="0.2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2067880.58</v>
      </c>
      <c r="G24" s="4" t="s">
        <v>503</v>
      </c>
      <c r="H24" s="4" t="s">
        <v>504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 x14ac:dyDescent="0.2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505</v>
      </c>
      <c r="H25" s="4" t="s">
        <v>506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 x14ac:dyDescent="0.2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2067880.58</v>
      </c>
      <c r="G26" s="4" t="s">
        <v>507</v>
      </c>
      <c r="H26" s="4" t="s">
        <v>508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 x14ac:dyDescent="0.2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509</v>
      </c>
      <c r="H27" s="4" t="s">
        <v>510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 x14ac:dyDescent="0.2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511</v>
      </c>
      <c r="H28" s="4" t="s">
        <v>512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 x14ac:dyDescent="0.2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513</v>
      </c>
      <c r="H29" s="4" t="s">
        <v>514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 x14ac:dyDescent="0.2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28458.41</v>
      </c>
      <c r="G30" s="4" t="s">
        <v>515</v>
      </c>
      <c r="H30" s="4" t="s">
        <v>516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 x14ac:dyDescent="0.2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517</v>
      </c>
      <c r="H31" s="4" t="s">
        <v>518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 x14ac:dyDescent="0.2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16575.580000000002</v>
      </c>
      <c r="G32" s="4" t="s">
        <v>519</v>
      </c>
      <c r="H32" s="4" t="s">
        <v>520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 x14ac:dyDescent="0.2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368837.86</v>
      </c>
      <c r="G33" s="4" t="s">
        <v>521</v>
      </c>
      <c r="H33" s="4" t="s">
        <v>522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 x14ac:dyDescent="0.2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523</v>
      </c>
      <c r="H34" s="4" t="s">
        <v>524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 x14ac:dyDescent="0.2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0</v>
      </c>
      <c r="G35" s="4" t="s">
        <v>525</v>
      </c>
      <c r="H35" s="4" t="s">
        <v>526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 x14ac:dyDescent="0.2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0</v>
      </c>
      <c r="G36" s="4" t="s">
        <v>527</v>
      </c>
      <c r="H36" s="4" t="s">
        <v>528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 x14ac:dyDescent="0.2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2778148.82</v>
      </c>
      <c r="G37" s="4" t="s">
        <v>529</v>
      </c>
      <c r="H37" s="4" t="s">
        <v>530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 x14ac:dyDescent="0.2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531</v>
      </c>
      <c r="H38" s="4" t="s">
        <v>532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 x14ac:dyDescent="0.2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533</v>
      </c>
      <c r="H39" s="4" t="s">
        <v>534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 x14ac:dyDescent="0.2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1439.7210702999998</v>
      </c>
      <c r="G40" s="4" t="s">
        <v>535</v>
      </c>
      <c r="H40" s="4" t="s">
        <v>536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 x14ac:dyDescent="0.2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0</v>
      </c>
      <c r="G41" s="4" t="s">
        <v>537</v>
      </c>
      <c r="H41" s="4" t="s">
        <v>538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 x14ac:dyDescent="0.2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0</v>
      </c>
      <c r="G42" s="4" t="s">
        <v>539</v>
      </c>
      <c r="H42" s="4" t="s">
        <v>540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 x14ac:dyDescent="0.2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0</v>
      </c>
      <c r="G43" s="4" t="s">
        <v>541</v>
      </c>
      <c r="H43" s="4" t="s">
        <v>542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 x14ac:dyDescent="0.2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258186.53</v>
      </c>
      <c r="G44" s="4" t="s">
        <v>543</v>
      </c>
      <c r="H44" s="4" t="s">
        <v>544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 x14ac:dyDescent="0.2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36883.82</v>
      </c>
      <c r="G45" s="4" t="s">
        <v>545</v>
      </c>
      <c r="H45" s="4" t="s">
        <v>546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 x14ac:dyDescent="0.2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2778148.82</v>
      </c>
      <c r="G46" s="4" t="s">
        <v>547</v>
      </c>
      <c r="H46" s="4" t="s">
        <v>548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 x14ac:dyDescent="0.2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555629.76</v>
      </c>
      <c r="G47" s="4" t="s">
        <v>549</v>
      </c>
      <c r="H47" s="4" t="s">
        <v>550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2</v>
      </c>
      <c r="P47" s="4"/>
    </row>
    <row r="48" spans="1:16" x14ac:dyDescent="0.2">
      <c r="A48" s="4">
        <v>50</v>
      </c>
      <c r="B48" s="4">
        <v>1</v>
      </c>
      <c r="C48" s="4">
        <v>0</v>
      </c>
      <c r="D48" s="4">
        <v>2</v>
      </c>
      <c r="E48" s="4">
        <v>0</v>
      </c>
      <c r="F48" s="4">
        <v>3333778.58</v>
      </c>
      <c r="G48" s="4" t="s">
        <v>551</v>
      </c>
      <c r="H48" s="4" t="s">
        <v>552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2</v>
      </c>
      <c r="P48" s="4"/>
    </row>
    <row r="50" spans="1:15" x14ac:dyDescent="0.2">
      <c r="A50">
        <v>-1</v>
      </c>
    </row>
    <row r="53" spans="1:15" x14ac:dyDescent="0.2">
      <c r="A53" s="3">
        <v>75</v>
      </c>
      <c r="B53" s="3" t="s">
        <v>553</v>
      </c>
      <c r="C53" s="3">
        <v>2021</v>
      </c>
      <c r="D53" s="3">
        <v>0</v>
      </c>
      <c r="E53" s="3">
        <v>10</v>
      </c>
      <c r="F53" s="3">
        <v>0</v>
      </c>
      <c r="G53" s="3">
        <v>0</v>
      </c>
      <c r="H53" s="3">
        <v>1</v>
      </c>
      <c r="I53" s="3">
        <v>0</v>
      </c>
      <c r="J53" s="3">
        <v>1</v>
      </c>
      <c r="K53" s="3">
        <v>78</v>
      </c>
      <c r="L53" s="3">
        <v>30</v>
      </c>
      <c r="M53" s="3">
        <v>0</v>
      </c>
      <c r="N53" s="3">
        <v>43095088</v>
      </c>
      <c r="O53" s="3">
        <v>1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10</vt:i4>
      </vt:variant>
    </vt:vector>
  </HeadingPairs>
  <TitlesOfParts>
    <vt:vector size="21" baseType="lpstr">
      <vt:lpstr>Смета СН-2012 по гл. 1-5</vt:lpstr>
      <vt:lpstr>кс-2 СН-2012 по гл. 1-5 </vt:lpstr>
      <vt:lpstr>кс3</vt:lpstr>
      <vt:lpstr>Дефектная ведомость</vt:lpstr>
      <vt:lpstr>RV_DATA</vt:lpstr>
      <vt:lpstr>Расчет стоимости ресурсов</vt:lpstr>
      <vt:lpstr>Локальная ресурсная ведомо</vt:lpstr>
      <vt:lpstr>Source</vt:lpstr>
      <vt:lpstr>SourceObSm</vt:lpstr>
      <vt:lpstr>SmtRes</vt:lpstr>
      <vt:lpstr>EtalonRes</vt:lpstr>
      <vt:lpstr>'Дефектная ведомость'!Заголовки_для_печати</vt:lpstr>
      <vt:lpstr>'кс-2 СН-2012 по гл. 1-5 '!Заголовки_для_печати</vt:lpstr>
      <vt:lpstr>'Локальная ресурсная ведомо'!Заголовки_для_печати</vt:lpstr>
      <vt:lpstr>'Расчет стоимости ресурсов'!Заголовки_для_печати</vt:lpstr>
      <vt:lpstr>'Смета СН-2012 по гл. 1-5'!Заголовки_для_печати</vt:lpstr>
      <vt:lpstr>'Дефектная ведомость'!Область_печати</vt:lpstr>
      <vt:lpstr>'кс-2 СН-2012 по гл. 1-5 '!Область_печати</vt:lpstr>
      <vt:lpstr>'Локальная ресурсная ведомо'!Область_печати</vt:lpstr>
      <vt:lpstr>'Расчет стоимости ресурсов'!Область_печати</vt:lpstr>
      <vt:lpstr>'Смета СН-2012 по гл. 1-5'!Область_печати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Мартынова Марина Владимировна</dc:creator>
  <cp:lastModifiedBy>User Windows</cp:lastModifiedBy>
  <cp:lastPrinted>2022-06-30T08:05:45Z</cp:lastPrinted>
  <dcterms:created xsi:type="dcterms:W3CDTF">2022-06-29T14:06:35Z</dcterms:created>
  <dcterms:modified xsi:type="dcterms:W3CDTF">2023-06-21T21:17:42Z</dcterms:modified>
</cp:coreProperties>
</file>