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4865" windowHeight="8580" activeTab="3"/>
  </bookViews>
  <sheets>
    <sheet name="Главная" sheetId="3" r:id="rId1"/>
    <sheet name="Согласие" sheetId="8" r:id="rId2"/>
    <sheet name="Результаты" sheetId="11" r:id="rId3"/>
    <sheet name="Лист4" sheetId="12" r:id="rId4"/>
  </sheets>
  <calcPr calcId="145621"/>
</workbook>
</file>

<file path=xl/calcChain.xml><?xml version="1.0" encoding="utf-8"?>
<calcChain xmlns="http://schemas.openxmlformats.org/spreadsheetml/2006/main">
  <c r="X38" i="12" l="1"/>
  <c r="W38" i="12"/>
  <c r="V38" i="12"/>
  <c r="U38" i="12"/>
  <c r="T38" i="12"/>
  <c r="R38" i="12"/>
  <c r="Q38" i="12"/>
  <c r="P38" i="12"/>
  <c r="O38" i="12"/>
  <c r="N38" i="12"/>
  <c r="I38" i="12"/>
  <c r="J38" i="12"/>
  <c r="K38" i="12"/>
  <c r="L38" i="12"/>
  <c r="H38" i="12"/>
  <c r="A23" i="12"/>
  <c r="A24" i="12"/>
  <c r="A25" i="12"/>
  <c r="A29" i="12" s="1"/>
  <c r="A33" i="12" s="1"/>
  <c r="A37" i="12" s="1"/>
  <c r="A26" i="12"/>
  <c r="A30" i="12" s="1"/>
  <c r="A34" i="12" s="1"/>
  <c r="A27" i="12"/>
  <c r="A31" i="12" s="1"/>
  <c r="A35" i="12" s="1"/>
  <c r="A28" i="12"/>
  <c r="A32" i="12" s="1"/>
  <c r="A36" i="12" s="1"/>
  <c r="A22" i="12"/>
  <c r="U11" i="11"/>
  <c r="AL23" i="11" s="1"/>
  <c r="AM16" i="11" l="1"/>
  <c r="U41" i="11" l="1"/>
  <c r="AK110" i="11"/>
  <c r="AK105" i="11"/>
  <c r="AK101" i="11"/>
  <c r="AK103" i="11" s="1"/>
  <c r="AK96" i="11"/>
  <c r="U34" i="11"/>
  <c r="U31" i="11"/>
  <c r="AH94" i="11"/>
  <c r="AH93" i="11"/>
  <c r="AK98" i="11"/>
  <c r="AH96" i="11"/>
  <c r="AK92" i="11"/>
  <c r="AK93" i="11"/>
  <c r="AK91" i="11"/>
  <c r="AH85" i="11"/>
  <c r="AH84" i="11"/>
  <c r="AK80" i="11"/>
  <c r="Q76" i="11"/>
  <c r="AK78" i="11"/>
  <c r="Q112" i="11"/>
  <c r="Q106" i="11"/>
  <c r="Q104" i="11"/>
  <c r="Q103" i="11"/>
  <c r="Q102" i="11"/>
  <c r="Q100" i="11"/>
  <c r="N81" i="11"/>
  <c r="N76" i="11"/>
  <c r="N74" i="11"/>
  <c r="Q70" i="11"/>
  <c r="Q74" i="11"/>
  <c r="N70" i="11"/>
  <c r="Q55" i="11"/>
  <c r="N55" i="11"/>
  <c r="Q54" i="11"/>
  <c r="N54" i="11"/>
  <c r="N52" i="11"/>
  <c r="N62" i="11" s="1"/>
  <c r="AL57" i="11"/>
  <c r="AL56" i="11"/>
  <c r="AL55" i="11"/>
  <c r="AL52" i="11"/>
  <c r="AL49" i="11"/>
  <c r="V46" i="11"/>
  <c r="B2" i="3" l="1"/>
  <c r="C11" i="11"/>
  <c r="AC24" i="11"/>
  <c r="AH101" i="11" l="1"/>
  <c r="AH102" i="11" s="1"/>
  <c r="Q82" i="11"/>
  <c r="AK88" i="11"/>
  <c r="N85" i="11"/>
  <c r="N88" i="11"/>
  <c r="N89" i="11"/>
  <c r="AK108" i="11" s="1"/>
  <c r="N87" i="11"/>
  <c r="N84" i="11"/>
  <c r="N83" i="11"/>
  <c r="Q83" i="11" s="1"/>
  <c r="AK109" i="11" s="1"/>
  <c r="N78" i="11"/>
  <c r="N80" i="11"/>
  <c r="Q80" i="11" s="1"/>
  <c r="N79" i="11"/>
  <c r="N77" i="11"/>
  <c r="N86" i="11"/>
  <c r="AF25" i="11"/>
  <c r="AH107" i="11" s="1"/>
  <c r="N90" i="11"/>
  <c r="N91" i="11"/>
  <c r="Q91" i="11" s="1"/>
  <c r="AK89" i="11" s="1"/>
  <c r="Q63" i="11"/>
  <c r="AK90" i="11" s="1"/>
  <c r="AK87" i="11" s="1"/>
  <c r="N53" i="11"/>
  <c r="Q53" i="11" s="1"/>
  <c r="Q52" i="11"/>
  <c r="Q62" i="11" s="1"/>
  <c r="AL53" i="11"/>
  <c r="AL58" i="11"/>
  <c r="AL54" i="11"/>
  <c r="A19" i="11"/>
  <c r="P32" i="11"/>
  <c r="M32" i="11"/>
  <c r="M31" i="11"/>
  <c r="M30" i="11"/>
  <c r="J28" i="11"/>
  <c r="U16" i="11" s="1"/>
  <c r="J25" i="11"/>
  <c r="J22" i="11"/>
  <c r="U22" i="11" s="1"/>
  <c r="S21" i="11"/>
  <c r="AI25" i="11" s="1"/>
  <c r="M21" i="11"/>
  <c r="S18" i="11"/>
  <c r="M18" i="11"/>
  <c r="I18" i="11"/>
  <c r="E18" i="11"/>
  <c r="Q16" i="11"/>
  <c r="AM20" i="11" s="1"/>
  <c r="D16" i="11"/>
  <c r="AM19" i="11" s="1"/>
  <c r="F15" i="11"/>
  <c r="C15" i="11"/>
  <c r="AM18" i="11" s="1"/>
  <c r="B14" i="11"/>
  <c r="E14" i="11"/>
  <c r="U10" i="11"/>
  <c r="B10" i="11"/>
  <c r="V10" i="11" s="1"/>
  <c r="U9" i="11"/>
  <c r="B9" i="11"/>
  <c r="U8" i="11"/>
  <c r="B8" i="11"/>
  <c r="Z25" i="11" l="1"/>
  <c r="V39" i="11" s="1"/>
  <c r="Q105" i="11"/>
  <c r="AL50" i="11"/>
  <c r="Q77" i="11"/>
  <c r="Q90" i="11"/>
  <c r="AL25" i="11"/>
  <c r="AK83" i="11"/>
  <c r="Q107" i="11"/>
  <c r="AL51" i="11"/>
  <c r="Q86" i="11"/>
  <c r="Q78" i="11"/>
  <c r="Q108" i="11"/>
  <c r="AH87" i="11"/>
  <c r="AC25" i="11"/>
  <c r="AG23" i="11"/>
  <c r="P14" i="11"/>
  <c r="AM21" i="11" s="1"/>
  <c r="W25" i="11" s="1"/>
  <c r="V8" i="11"/>
  <c r="V9" i="11"/>
  <c r="Q111" i="11" l="1"/>
  <c r="W24" i="11"/>
  <c r="Z24" i="11"/>
  <c r="U7" i="8"/>
  <c r="U8" i="8"/>
  <c r="U9" i="8"/>
  <c r="U10" i="8"/>
  <c r="AG10" i="8"/>
  <c r="V11" i="8"/>
  <c r="U12" i="8"/>
  <c r="AD12" i="8"/>
  <c r="AE12" i="8"/>
  <c r="AG12" i="8"/>
  <c r="U13" i="8"/>
  <c r="AG13" i="8"/>
  <c r="U14" i="8"/>
  <c r="U15" i="8"/>
  <c r="U16" i="8"/>
  <c r="U17" i="8"/>
  <c r="U19" i="8"/>
  <c r="U20" i="8"/>
  <c r="U21" i="8"/>
  <c r="U22" i="8"/>
  <c r="U23" i="8"/>
  <c r="U25" i="8"/>
  <c r="W25" i="8"/>
  <c r="U27" i="8"/>
  <c r="W27" i="8"/>
  <c r="U28" i="8"/>
  <c r="U30" i="8"/>
  <c r="C15" i="8"/>
  <c r="W15" i="8" s="1"/>
  <c r="C14" i="8"/>
  <c r="W14" i="8" s="1"/>
  <c r="Q13" i="8"/>
  <c r="AK13" i="8" s="1"/>
  <c r="L13" i="8"/>
  <c r="AF13" i="8" s="1"/>
  <c r="K13" i="8"/>
  <c r="AE13" i="8" s="1"/>
  <c r="J13" i="8"/>
  <c r="AD13" i="8" s="1"/>
  <c r="I13" i="8"/>
  <c r="AC13" i="8" s="1"/>
  <c r="H13" i="8"/>
  <c r="AB13" i="8" s="1"/>
  <c r="G13" i="8"/>
  <c r="AA13" i="8" s="1"/>
  <c r="F13" i="8"/>
  <c r="Z13" i="8" s="1"/>
  <c r="E13" i="8"/>
  <c r="Y13" i="8" s="1"/>
  <c r="D13" i="8"/>
  <c r="X13" i="8" s="1"/>
  <c r="C13" i="8"/>
  <c r="W13" i="8" s="1"/>
  <c r="C12" i="8"/>
  <c r="W12" i="8" s="1"/>
  <c r="Q11" i="8"/>
  <c r="AK11" i="8" s="1"/>
  <c r="P11" i="8"/>
  <c r="AJ11" i="8" s="1"/>
  <c r="O11" i="8"/>
  <c r="AI11" i="8" s="1"/>
  <c r="N11" i="8"/>
  <c r="AH11" i="8" s="1"/>
  <c r="M11" i="8"/>
  <c r="AG11" i="8" s="1"/>
  <c r="L11" i="8"/>
  <c r="AF11" i="8" s="1"/>
  <c r="K11" i="8"/>
  <c r="AE11" i="8" s="1"/>
  <c r="J11" i="8"/>
  <c r="AD11" i="8" s="1"/>
  <c r="I11" i="8"/>
  <c r="AC11" i="8" s="1"/>
  <c r="H11" i="8"/>
  <c r="AB11" i="8" s="1"/>
  <c r="G11" i="8"/>
  <c r="AA11" i="8" s="1"/>
  <c r="F11" i="8"/>
  <c r="Z11" i="8" s="1"/>
  <c r="E11" i="8"/>
  <c r="Y11" i="8" s="1"/>
  <c r="D11" i="8"/>
  <c r="X11" i="8" s="1"/>
  <c r="C11" i="8"/>
  <c r="W11" i="8" s="1"/>
  <c r="Q10" i="8"/>
  <c r="AK10" i="8" s="1"/>
  <c r="B10" i="8"/>
  <c r="V10" i="8" s="1"/>
  <c r="B9" i="8"/>
  <c r="V9" i="8" s="1"/>
  <c r="B8" i="8"/>
  <c r="B7" i="8"/>
  <c r="V7" i="8" s="1"/>
  <c r="AH105" i="11" l="1"/>
  <c r="U27" i="11"/>
  <c r="U29" i="11"/>
  <c r="AH82" i="11"/>
  <c r="AK82" i="11"/>
  <c r="AH104" i="11"/>
  <c r="U37" i="11"/>
  <c r="AH91" i="11"/>
  <c r="AH98" i="11"/>
  <c r="AK99" i="11" s="1"/>
  <c r="AH92" i="11"/>
  <c r="Q99" i="11"/>
  <c r="Q101" i="11"/>
  <c r="O24" i="8"/>
  <c r="AI24" i="8"/>
  <c r="D24" i="8"/>
  <c r="X24" i="8" s="1"/>
  <c r="V8" i="8"/>
  <c r="C45" i="11"/>
  <c r="A29" i="8" l="1"/>
  <c r="U29" i="8" s="1"/>
</calcChain>
</file>

<file path=xl/sharedStrings.xml><?xml version="1.0" encoding="utf-8"?>
<sst xmlns="http://schemas.openxmlformats.org/spreadsheetml/2006/main" count="575" uniqueCount="347">
  <si>
    <t>Дата выдачи:</t>
  </si>
  <si>
    <t>Фамилия</t>
  </si>
  <si>
    <t>2.</t>
  </si>
  <si>
    <t>Имя</t>
  </si>
  <si>
    <t>Отчество</t>
  </si>
  <si>
    <t>Дата рождения:</t>
  </si>
  <si>
    <t>Паспорт (серия,номер):</t>
  </si>
  <si>
    <t>Страховой полис :</t>
  </si>
  <si>
    <t>(кампания,сер.,№)</t>
  </si>
  <si>
    <t>Пол:</t>
  </si>
  <si>
    <t>муж./жен.</t>
  </si>
  <si>
    <t>Даты проведения:</t>
  </si>
  <si>
    <t>Адрес места жительства/регистрации по месту прописки(в городе 1, селе 2):</t>
  </si>
  <si>
    <t>Контактный телефон:</t>
  </si>
  <si>
    <t>да</t>
  </si>
  <si>
    <t>нет</t>
  </si>
  <si>
    <t>№ амбулаторной карты</t>
  </si>
  <si>
    <t>Контактный телефон</t>
  </si>
  <si>
    <t>Серия, номер</t>
  </si>
  <si>
    <t>Когда выдан</t>
  </si>
  <si>
    <t>Адрес места жительства/регистрации по месту прописки</t>
  </si>
  <si>
    <t>Табельный № врача</t>
  </si>
  <si>
    <t>Страховой полис</t>
  </si>
  <si>
    <t>Название страховой кампании</t>
  </si>
  <si>
    <t>Паспорт</t>
  </si>
  <si>
    <t>Дата регистрации</t>
  </si>
  <si>
    <t>Школы здоровья</t>
  </si>
  <si>
    <t>Название:</t>
  </si>
  <si>
    <t>Диспансеризация</t>
  </si>
  <si>
    <t>I этап открыт</t>
  </si>
  <si>
    <t>I этап закрыт</t>
  </si>
  <si>
    <t>II этап открыт</t>
  </si>
  <si>
    <t>II этап закрыт</t>
  </si>
  <si>
    <t>Профилактический осмотр</t>
  </si>
  <si>
    <t>открыт</t>
  </si>
  <si>
    <t>закрыт</t>
  </si>
  <si>
    <t>Ввод пациента:</t>
  </si>
  <si>
    <t>________</t>
  </si>
  <si>
    <t>_</t>
  </si>
  <si>
    <t>даю информированное добровольное согласие на медицинское вмешательство, предложенное мне / гражданину, чьим законным представителем я являюсь (ненужное зачеркнуть)</t>
  </si>
  <si>
    <t>Ф.И.О. гражданина, от имени которого выступает законный представитель:</t>
  </si>
  <si>
    <t xml:space="preserve">необходимое для оказания медицинской помощи  осуществляемое в  МБУЗ «Правдинская поликлиника» Московская область, Пушкинский район п.Правдинский ул.Лесная д.2. </t>
  </si>
  <si>
    <t xml:space="preserve">Мне в доступной для меня форме мне разъяснены цели, методы оказания медицинской помощи, связанный с ними риск, возможные варианты медицинских вмешательств, их последствия, в том числе вероятность развития осложнений, а также предполагаемые результаты оказания медицинской помощи. Мне разъяснено, что я имею право отказаться от определенного вида медицинского вмешательства или потребовать его прекращения, за исключением случаев, предусмотренных частью 9 статьи 20 Федерального закона от 21 ноября 2011 г. № 323-ФЗ «Об основах охраны здоровья граждан в Российской Федерации»**. </t>
  </si>
  <si>
    <t>(подпись)</t>
  </si>
  <si>
    <t>(Ф.И.О. гражданина / законного представителя гражданина)</t>
  </si>
  <si>
    <t>(Ф.И.О. Медицинского работника)</t>
  </si>
  <si>
    <t>Дата заполнения:</t>
  </si>
  <si>
    <t>*Настоящая форма информированного добровольного согласия на медицинское вмешательство не применяется в случае если законодательством Российской Федерации установлена иная форма информированного добровольного согласия на определенный вид медицинского вмешательства. 
** Собрание законодательства Российской Федерации, 2011, № 48, ст. 6724; 2012, № 26, ст. 3442, 3446.</t>
  </si>
  <si>
    <t>на медицинское вмешательство:</t>
  </si>
  <si>
    <t xml:space="preserve">Медицинское обследование состояния здоровья </t>
  </si>
  <si>
    <t>медицинским персоналом в рамках Приказа МЗ РФ №1006н от 03.12.2012г./Приказа МЗ РФ № 1011н от 06.12.2012 г./Приказа МЗ РФ №597н от 19.08.2009 г. (ненужное зачеркнуть)</t>
  </si>
  <si>
    <t>Общий анализ мочи</t>
  </si>
  <si>
    <t>Глюкоза</t>
  </si>
  <si>
    <t>Врач:</t>
  </si>
  <si>
    <t>Рост (метров)</t>
  </si>
  <si>
    <t>Вес (кг)</t>
  </si>
  <si>
    <t>ЖЕЛ</t>
  </si>
  <si>
    <t>ФЖЕЛ</t>
  </si>
  <si>
    <t>ОФБ1</t>
  </si>
  <si>
    <t>ОФБ1/ЖЕЛ</t>
  </si>
  <si>
    <t>Заключение:</t>
  </si>
  <si>
    <t>Спирометрия</t>
  </si>
  <si>
    <t>Экспресс-оценка состояния сердца по ЭКГ-сигналам от конечностей</t>
  </si>
  <si>
    <t>Ритм:</t>
  </si>
  <si>
    <t>Пульс (в '):</t>
  </si>
  <si>
    <t xml:space="preserve">Скрининг-оценка    уровня психофизиологического  и  соматического  здоровья,  функциональных  и адаптивных  резервов  организма, параметры физического развития                            </t>
  </si>
  <si>
    <t>Ангиологический  скрининг  с   автоматическим   измерением систолического артериального  давления  и  расчета  плече-лодыжечного индекса</t>
  </si>
  <si>
    <t xml:space="preserve">Биоимпедансметрия       (процентное соотношение воды, мышечной и жировой ткани)                          </t>
  </si>
  <si>
    <t>Анализ окиси углерода выдыхаемого воздуха с определением карбоксигемоглобина</t>
  </si>
  <si>
    <t>Пульсоксиметрия</t>
  </si>
  <si>
    <t>Артериальное давление:</t>
  </si>
  <si>
    <t>/</t>
  </si>
  <si>
    <t>мм.рт.ст.</t>
  </si>
  <si>
    <t>1. Рост,м</t>
  </si>
  <si>
    <t>Вес,кг</t>
  </si>
  <si>
    <t>Индекс массы тела</t>
  </si>
  <si>
    <t>(N 25)</t>
  </si>
  <si>
    <t>2. Артериальное давление</t>
  </si>
  <si>
    <t>(N менее 140/90 мм.рт.ст.)</t>
  </si>
  <si>
    <t>3. Холестерин</t>
  </si>
  <si>
    <t>( N менее 5,0 ммоль/л):</t>
  </si>
  <si>
    <t>ммоль/л</t>
  </si>
  <si>
    <t>4. Глюкоза</t>
  </si>
  <si>
    <t>( N менее 6,5 ммоль/л):</t>
  </si>
  <si>
    <t>5. Спирометрия:</t>
  </si>
  <si>
    <t>ОФВ1/ЖЕЛ</t>
  </si>
  <si>
    <t>Результат обследования</t>
  </si>
  <si>
    <t>Пульс в '</t>
  </si>
  <si>
    <t>Скрининг-оценка    уровня психофизиологического  и  соматического  здоровья,  функциональных  и адаптивных  резервов  организма, параметры физического развития</t>
  </si>
  <si>
    <t xml:space="preserve">Биоимпедансметрия (процентное соотношение воды, мышечной и жировой ткани)                          </t>
  </si>
  <si>
    <t>Анализ котинина и других биологических маркеров в крови и моче</t>
  </si>
  <si>
    <t>Обследование проведено медицинским персоналом в рамках Приказа МЗ РФ №1006н от 03.12.2012г. / Приказа МЗ РФ № 1011н от 06.12.2012 г. / Приказа МЗ РФ №597н от 19.08.2009 г. (ненужное зачеркнуть)</t>
  </si>
  <si>
    <t>Легкая рестрикция</t>
  </si>
  <si>
    <t>16%-14%</t>
  </si>
  <si>
    <t>Изменение процесса деполяризации желудочков</t>
  </si>
  <si>
    <t>средний</t>
  </si>
  <si>
    <t>Изменения сосудистой стенки</t>
  </si>
  <si>
    <t>SpO2</t>
  </si>
  <si>
    <t>%</t>
  </si>
  <si>
    <t>Пульсоксиметрия:</t>
  </si>
  <si>
    <t>SpO2:</t>
  </si>
  <si>
    <t>Холестерин</t>
  </si>
  <si>
    <t>нет показаний</t>
  </si>
  <si>
    <t>Наименование обследования</t>
  </si>
  <si>
    <r>
      <t xml:space="preserve">Обследование проведено медицинским персоналом в рамках Приказа МЗ РФ №1006н от 03.12.2012г. / Приказа МЗ РФ № 1011н от 06.12.2012 г. / Приказа МЗ РФ №597н от 19.08.2009 г. </t>
    </r>
    <r>
      <rPr>
        <sz val="10"/>
        <color theme="0" tint="-0.499984740745262"/>
        <rFont val="Arial"/>
        <family val="2"/>
        <charset val="204"/>
      </rPr>
      <t>(ненужное зачеркнуть)</t>
    </r>
  </si>
  <si>
    <t>Курение</t>
  </si>
  <si>
    <t>Гиподинамия</t>
  </si>
  <si>
    <t>Артериальная гипертензия</t>
  </si>
  <si>
    <t>Гиперхолестеринемия</t>
  </si>
  <si>
    <t>Ожирение</t>
  </si>
  <si>
    <t>Факторы риска сердечно-сосудистых заболеваний</t>
  </si>
  <si>
    <t>Гипергликемия</t>
  </si>
  <si>
    <t>Функциональные отклонения:</t>
  </si>
  <si>
    <t>Низкая толерантность к физическим нагрузкам</t>
  </si>
  <si>
    <t>ЛПИ (ABI):</t>
  </si>
  <si>
    <t>39,1%/38,8%/3,5%</t>
  </si>
  <si>
    <t>Нарушение соотношения воды,мышечной ткани и жировой ткани в следствие несоблюдения режима  питания</t>
  </si>
  <si>
    <t>Группа здоровья:</t>
  </si>
  <si>
    <t>SCORE:</t>
  </si>
  <si>
    <t>Установленные и предполагаемые диагнозы:</t>
  </si>
  <si>
    <t>Рекомендации:</t>
  </si>
  <si>
    <t>Дообследование</t>
  </si>
  <si>
    <t>ЭХО-КГ, Холтер-КГ, по результатам – консультация кардиолога.</t>
  </si>
  <si>
    <t>Самоконтроль:</t>
  </si>
  <si>
    <t xml:space="preserve">Ведение дневника контроля артериального давления с измерениями минимум 2 раза в день (утро/вечер). </t>
  </si>
  <si>
    <t>Диета:</t>
  </si>
  <si>
    <t>Физическая активность:</t>
  </si>
  <si>
    <t>Под контролем специалиста умеренная физическая активность – консультация врача ЛФК. Лечебное плавание. Регулярное санаторно-курортное лечение в санаторно-курортных учреждениях кардиологического профиля.</t>
  </si>
  <si>
    <t>Физиотерапия (при отвутствии противопоказаний после дообследования):</t>
  </si>
  <si>
    <t xml:space="preserve">Магнитотерапия по гипотензивной методике курсом. Пневмокомпрессионный (лимфодренажный) массаж нижних конечностей. При обострении дорсопатии: экстракорпоральная ударно-волновая терапия (ЭУВТ)
</t>
  </si>
  <si>
    <t>Рекомендации по дальнейшему образу жизни:</t>
  </si>
  <si>
    <t>Регулярный (минимум 2 раза в год) контроль показателей крови: гликированный гемоглобин, ЛПНП, при повышении – консультации специалистов для коррекции. Посещение школы профилактики артериальной гипертензии.</t>
  </si>
  <si>
    <t xml:space="preserve">В плановом порядке: ЭхоКГ, по результатам – консультация специалиста. Срочно тест на толерантность к глюкозе
</t>
  </si>
  <si>
    <t>Стол №10 по Певзнеру. Регулярное питание.</t>
  </si>
  <si>
    <t xml:space="preserve">Регулярный курс (1-2 р. в год) лечебного массажа. Галотерапия.
</t>
  </si>
  <si>
    <t>Стол №15 по Певзнеру. Регулярное питание.</t>
  </si>
  <si>
    <t xml:space="preserve">Регулярный курс (1-2 р. в год) лечебного массажа. При обострении: Диадинамотерапия. Курсом: ЭУВТ(экстракорпоральная ударно-волновая терапия). Галотерапия
</t>
  </si>
  <si>
    <t xml:space="preserve">Магнитотерапия грудного отд. п-ка. Электрофорез Sol MgSO4 воротниковой обл. Гало/спелео терапия. Щелочные ингаляции
</t>
  </si>
  <si>
    <t xml:space="preserve">Умеренная физическая активность – утренняя гимнастика, регулярные занятия физической культурой, лечебное плавание. Ношение ортопедической обуви. Консультация травматолога-ортопеда по поводу ношения коррегирующего белья. Регулярное санаторно-курортное лечение.
</t>
  </si>
  <si>
    <t>Консультация эндокринолога, анализ крови на гликированный гемоглобин</t>
  </si>
  <si>
    <t xml:space="preserve">Массаж ручной классический спины. Галотерапия. Щелочные ингаляции. Магнитотерапия голеней/ УЗТ коленных суставов курсами по №10 ежедневно
</t>
  </si>
  <si>
    <t xml:space="preserve">Наблюдение пульмонолога. Спирометрия в динамике. ЭКГ, наблюдение кардиологом, терапевтом
</t>
  </si>
  <si>
    <t>Ведение дневника контроля артериального давления с измерениями минимум 2 раза в день (утро/вечер). Постоянный прием антигипертензивных препаратов. Адекватная аэробная физ. нагрузка.</t>
  </si>
  <si>
    <t xml:space="preserve">Спирометрия в динамике. Посещение школы профилактики артериальной гипертензии. Ведение дневника измерений АД+Пульс
</t>
  </si>
  <si>
    <t xml:space="preserve">После подбора плановой терапии – под контролем специалиста умеренная физическая активность – консультация специалиста ЛФК. Лечебное плавание. Регулярное санаторно-курортное лечение в санаторно-курортных учреждениях кардионеврологического профиля.
</t>
  </si>
  <si>
    <t xml:space="preserve">Регулярный (минимум 2 раза в год) контроль показателей крови: о. холестерин, ЛПНП, ЛПВП,  ТГ, АСТ, АЛТ, о. билирубин, при повышении – консультации специалистов для коррекции. Посещение школы профилактики артериальной гипертензии и сахарного диабета.
</t>
  </si>
  <si>
    <t>Ведение дневника контроля артериального давления с измерениями минимум 2 раза в день (утро/вечер) в течение 5-7 дней. При неоднократной регистрации АД свыше 140/90 мм.рт.ст. – консультация лечащего врача.</t>
  </si>
  <si>
    <t>1 раз в полгода/год -ведение дневника контроля артериального давления с измерениями минимум 2 раза в день (утро/вечер) в течение 5-7 дней. При неоднократной регистрации АД свыше 140/90 мм.рт.ст. – консультация лечащего врача.</t>
  </si>
  <si>
    <t>Стол №9 по Певзнеру. Самоконтроль гликемии</t>
  </si>
  <si>
    <t xml:space="preserve">Умеренная физическая активность – Утренняя гимнастика, спокойная ходьба 5 км/день. Лечебное плавание. Регулярное санаторно-курортное лечение в санаторно-курортных учреждениях кардионеврологического профиля.
</t>
  </si>
  <si>
    <t xml:space="preserve">Умеренная физическая активность – утренняя гимнастика, регулярные занятия физической культурой, лечебное плавание. Регулярное санаторно-курортное лечение.
</t>
  </si>
  <si>
    <t>% COHb</t>
  </si>
  <si>
    <t>CO</t>
  </si>
  <si>
    <t>% COHb:</t>
  </si>
  <si>
    <t>Дообследование:</t>
  </si>
  <si>
    <t>Физическая активность</t>
  </si>
  <si>
    <r>
      <t>Физиотерапия</t>
    </r>
    <r>
      <rPr>
        <u/>
        <sz val="12"/>
        <color theme="0" tint="-0.499984740745262"/>
        <rFont val="Arial"/>
        <family val="2"/>
        <charset val="204"/>
      </rPr>
      <t xml:space="preserve"> (при отвутствии противопоказаний после дообследования)</t>
    </r>
    <r>
      <rPr>
        <b/>
        <u/>
        <sz val="12"/>
        <color theme="0" tint="-0.499984740745262"/>
        <rFont val="Arial"/>
        <family val="2"/>
        <charset val="204"/>
      </rPr>
      <t>:</t>
    </r>
  </si>
  <si>
    <t>+</t>
  </si>
  <si>
    <t>лет (диспансерный год)</t>
  </si>
  <si>
    <t>Пол (м-1, ж-2)</t>
  </si>
  <si>
    <t>В плановом порядке: Рентгенография позвоночника с функциональными пробами, наблюдение невролога. Аллергопробы (бытовые, пищевые)</t>
  </si>
  <si>
    <t xml:space="preserve">СРОЧНО: ОАК, ОАМ, о. холестерин, ЛПНП, ЛПВП,  ТГ, консультации невролога, офтальмолога, кардиолога
</t>
  </si>
  <si>
    <t>Комплексное обследование щитовидной железы (УЗИ+горм.фон+АТ), консультация эндокринолога</t>
  </si>
  <si>
    <t xml:space="preserve">В плановом порядке: ЭКГ, дуплекс каротид, по результатам – консультация специалиста. Консультация невролога
</t>
  </si>
  <si>
    <t xml:space="preserve">Пневмокомпрессионный(лимфодренажный) массаж нижних конечностей. Магнитолазеротерапия воротниковой области по схеме.
</t>
  </si>
  <si>
    <t>1-2 раза в год ЭКГ, ЭХО-КГ по результатам – консультация кардиолога для отслеживанияэффективности плановой терапии. Спирометрия в динамике, флюорография лёгких, консультация пульмонолога.</t>
  </si>
  <si>
    <t>Консультация невролога</t>
  </si>
  <si>
    <t>ОАК, липидный профиль, гликемический профиль, консультация лечащего врача/кардиолога для коррекции плановой терапии.</t>
  </si>
  <si>
    <t xml:space="preserve">Утренняя гимнастика с элементами дыхательной гимнастики по Стрельниковой, регулярные занятия физической культурой, лечебное плавание. Санаторно-курортное лечение.Консультация травматолога-ортопеда по поводу ношения ортопедической обуви.
</t>
  </si>
  <si>
    <t xml:space="preserve">1 раз в год контроль показателей крови: глюкоза крови, общий холестерин, при повышении – консультации специалистов для коррекции. Нормальный режим труда/отдыха. Отказ от курения. Динамическое наблюдение в Центре Здоровья. Регулярная диспансеризация.
</t>
  </si>
  <si>
    <t xml:space="preserve">1-2 раза в год контроль показателей крови: гликированный гемоглобин, общий холестерин, при повышении – консультации специалистов для коррекции. Нормальный режим труда/отдыха.  Посещение школы профилактики артериальной гипертензии. Динамическое наблюдение в Центре Здоровья.
</t>
  </si>
  <si>
    <t>Врач-специалист (фельдшер или акушерка)</t>
  </si>
  <si>
    <t>№ строки</t>
  </si>
  <si>
    <t>Пройдено*****</t>
  </si>
  <si>
    <t>Фельдшер отделения (кабинета) медицинской профилактики</t>
  </si>
  <si>
    <t>Да/Нет</t>
  </si>
  <si>
    <t>Фельдшер (акушерка) (для женщин)</t>
  </si>
  <si>
    <t>Врач-невролог</t>
  </si>
  <si>
    <t>Профилактическое консультирование краткое</t>
  </si>
  <si>
    <t>Врач-хирург</t>
  </si>
  <si>
    <t>Врач-уролог (для мужчин)</t>
  </si>
  <si>
    <t>Врач-колопроктолог</t>
  </si>
  <si>
    <t>Врач-акушер-гинеколог (для женщин)</t>
  </si>
  <si>
    <t>Врач-офтальмолог</t>
  </si>
  <si>
    <t>Врач-терапевт (врач-терапевт участковый, врач-терапевт цехового врачебного участка, врач общей практики (семейный врач), либо фельдшер фельдшерского здравпункта или фельдшерско-акушерского пункта (в рамках второго этапа диспансеризации)</t>
  </si>
  <si>
    <t>Врач-терапевт (врач-терапевт участковый, врач-терапевт цехового врачебного участка, врач общей практики (семейный врач), либо фельдшер фельдшерского здравпункта или ФАП (в рамках первого этапа диспансеризации)</t>
  </si>
  <si>
    <t>24. Осмотры (консультации) врачей-специалистов(фельдшера или акушерки), профилактическое консультирование****:</t>
  </si>
  <si>
    <t>Выявлены заболевания*****</t>
  </si>
  <si>
    <t>25.  Лабораторные и инструментальные исследования, профилактическое консультирование ****:</t>
  </si>
  <si>
    <t>Антропометрия (измерение роста стоя, массы тела, окружности талии), расчет индекса массы тела</t>
  </si>
  <si>
    <t>Измерение артериального давления</t>
  </si>
  <si>
    <t>Электрокардиография в покое</t>
  </si>
  <si>
    <t>Флюорография легких</t>
  </si>
  <si>
    <t>Маммография (для женщин)</t>
  </si>
  <si>
    <t>Клинический анализ крови</t>
  </si>
  <si>
    <t>Клинический анализ крови развернутый</t>
  </si>
  <si>
    <t>Анализ крови биохимический общетерапевтический</t>
  </si>
  <si>
    <t>Исследование кала на скрытую кровь</t>
  </si>
  <si>
    <t>Определение уровня простат-специфического антигена в крови (для мужчин)</t>
  </si>
  <si>
    <t>Ультразвуковое исследование органов брюшной полости</t>
  </si>
  <si>
    <t>Измерение внутриглазного давления</t>
  </si>
  <si>
    <t>Дуплексное сканирование брахицефальных артерий</t>
  </si>
  <si>
    <t>Эзофагогастродуоденоскопия</t>
  </si>
  <si>
    <t>Колоноскопия (ректороманоскопия)</t>
  </si>
  <si>
    <t>Определение липидного спектра крови</t>
  </si>
  <si>
    <t>Определение концентрации гликированного гемоглобина в крови (тест на толерантность к глюкозе)</t>
  </si>
  <si>
    <t xml:space="preserve">Определение уровня общего холестерина в крови
</t>
  </si>
  <si>
    <t xml:space="preserve">Определение уровня глюкозы в крови
</t>
  </si>
  <si>
    <t>Определение суммарного сердечно¬сосудистого риска</t>
  </si>
  <si>
    <t>Взятие мазка с шейки матки на цитологическое исследование</t>
  </si>
  <si>
    <t>Определение концентрации гликированного гемоглобина в крови</t>
  </si>
  <si>
    <t>26. Осмотры (консультации), лабораторные и инструментальные исследования второго этапа диспансеризации, показания к которым были выявлены по результатам первого этапа:</t>
  </si>
  <si>
    <t>Дуплексное сканирование брахицефапьных артерий</t>
  </si>
  <si>
    <t>Осмотр (консультация) врача-невролога</t>
  </si>
  <si>
    <t>Осмотр (консультация) врача-хирурга (врача-уролога) (для мужчин)</t>
  </si>
  <si>
    <t>Осмотр (консультация) врача-хирурга (врача-колопроктолога)</t>
  </si>
  <si>
    <t>Осмотр (консультация) врача-акушера-гинеколога (для женщин)</t>
  </si>
  <si>
    <t>Осмотр (консультация) врача-офтальмолога</t>
  </si>
  <si>
    <t>Углубленное профилактическое консультирование индивидуальное</t>
  </si>
  <si>
    <t>Профилактическое консультирование групповое</t>
  </si>
  <si>
    <r>
      <t xml:space="preserve">27. Результаты диспансеризации (профилактического медицинского осмотра):
</t>
    </r>
    <r>
      <rPr>
        <sz val="9"/>
        <color theme="0" tint="-0.499984740745262"/>
        <rFont val="Arial"/>
        <family val="2"/>
        <charset val="204"/>
      </rPr>
      <t>27.1. Выявленные факторы риска развития хронических неинфекционных заболеваний, являющихся основной причиной инвалидности и преждевременной смертности населения РФ</t>
    </r>
  </si>
  <si>
    <t>Фактор риска развития заболеваний</t>
  </si>
  <si>
    <t xml:space="preserve">№ </t>
  </si>
  <si>
    <t>Выявлено*****</t>
  </si>
  <si>
    <t>Повышенный уровень артериального давления</t>
  </si>
  <si>
    <t>Дислипидемия</t>
  </si>
  <si>
    <t>Повышенный уровень глюкозы в крови</t>
  </si>
  <si>
    <t>Курение табака</t>
  </si>
  <si>
    <t>Риск пагубного потребления алкоголя</t>
  </si>
  <si>
    <t>Риск потребления наркотических средств и психотропных веществ без назначения врача</t>
  </si>
  <si>
    <t>Нерациональное питание</t>
  </si>
  <si>
    <t>Низкая физическая активность</t>
  </si>
  <si>
    <t>Избыточная масса тела (ожирение)</t>
  </si>
  <si>
    <t>Отягощенная наследственность по хроническим неинфекционным заболеваниям</t>
  </si>
  <si>
    <t>Высокий уровень стресса</t>
  </si>
  <si>
    <t>Умеренный суммарный сердечно-сосудистый риск</t>
  </si>
  <si>
    <t>Высокий суммарный сердечно-сосудистый риск</t>
  </si>
  <si>
    <t>Очень высокий суммарный сердечно-сосудистый риск</t>
  </si>
  <si>
    <t>27.2. Выявленные заболевания (подозрение на наличие заболевания):</t>
  </si>
  <si>
    <t>Некоторые инфекционные и паразитарные болезни</t>
  </si>
  <si>
    <t>в том числе: туберкулез</t>
  </si>
  <si>
    <t>Новообразования</t>
  </si>
  <si>
    <t>поджелудочной железы</t>
  </si>
  <si>
    <t>трахеи, бронхов и легкого</t>
  </si>
  <si>
    <t>молочной железы</t>
  </si>
  <si>
    <t>яичника</t>
  </si>
  <si>
    <t>предстательной железы</t>
  </si>
  <si>
    <t>почки (кроме почечной лоханки)</t>
  </si>
  <si>
    <t>в том числе: анемии</t>
  </si>
  <si>
    <t>Болезни эндокринной системы, расстройства питания и нарушения обмена веществ</t>
  </si>
  <si>
    <t>в том числе: сахарный диабет</t>
  </si>
  <si>
    <t>ожирение</t>
  </si>
  <si>
    <t>Болезни нервной системы</t>
  </si>
  <si>
    <t>Болезни глаза и его придаточного аппарата</t>
  </si>
  <si>
    <t>в том числе: катаракта</t>
  </si>
  <si>
    <t>глаукома</t>
  </si>
  <si>
    <t>слепота и пониженное зрение</t>
  </si>
  <si>
    <t>Болезни системы кровообращения</t>
  </si>
  <si>
    <t>ишемическая болезнь сердца</t>
  </si>
  <si>
    <t>в том числе нестабильная стенокардия</t>
  </si>
  <si>
    <t>хроническая ишемическая болезнь сердца</t>
  </si>
  <si>
    <t>другие болезни сердца</t>
  </si>
  <si>
    <t>цереброваскулярные болезни</t>
  </si>
  <si>
    <t>другие цереброваскулярные болезни</t>
  </si>
  <si>
    <t>Болезни органов дыхания</t>
  </si>
  <si>
    <t>другая хроническая обструктивная легочная болезнь, бронхоэктатическая болезнь</t>
  </si>
  <si>
    <t>Болезни органов пищеварения</t>
  </si>
  <si>
    <t>гастрит и дуоденит</t>
  </si>
  <si>
    <t>неинфекционный энтерит и колит</t>
  </si>
  <si>
    <t>Прием врача-терапевта (участкового, цехового участка, врача общей практики, либо фельдшер фельдшерского здравпункта или ФАП</t>
  </si>
  <si>
    <t>Болезни мочеполовой системы</t>
  </si>
  <si>
    <t>доброкачественная дисплазия молочной железы</t>
  </si>
  <si>
    <t>воспалительные болезни женских тазовых органов</t>
  </si>
  <si>
    <t>Прочие заболевания</t>
  </si>
  <si>
    <t>А00-В99</t>
  </si>
  <si>
    <t>А15-А19</t>
  </si>
  <si>
    <t>С00-D48</t>
  </si>
  <si>
    <t>C18</t>
  </si>
  <si>
    <t>С25</t>
  </si>
  <si>
    <t>С64</t>
  </si>
  <si>
    <t>D50-D64</t>
  </si>
  <si>
    <t>Е00-Е89</t>
  </si>
  <si>
    <t>Е10-Е14</t>
  </si>
  <si>
    <t>E66</t>
  </si>
  <si>
    <t>G00-G98</t>
  </si>
  <si>
    <t>G45</t>
  </si>
  <si>
    <t>H00-H59</t>
  </si>
  <si>
    <t>H25, H26</t>
  </si>
  <si>
    <t>Н40</t>
  </si>
  <si>
    <t>Н54</t>
  </si>
  <si>
    <t>I00-I99</t>
  </si>
  <si>
    <t>I10-I13</t>
  </si>
  <si>
    <t>I20-I25</t>
  </si>
  <si>
    <t>I20</t>
  </si>
  <si>
    <t>I20.0</t>
  </si>
  <si>
    <t>I25</t>
  </si>
  <si>
    <t>I30-I52</t>
  </si>
  <si>
    <t>I60-I69</t>
  </si>
  <si>
    <t>I65, I66</t>
  </si>
  <si>
    <t>I67</t>
  </si>
  <si>
    <t>J00-J98</t>
  </si>
  <si>
    <t>J40-J43</t>
  </si>
  <si>
    <t>J44-J47</t>
  </si>
  <si>
    <t>K00-K92</t>
  </si>
  <si>
    <t>K29</t>
  </si>
  <si>
    <t>K50-K52</t>
  </si>
  <si>
    <t>N00-N99</t>
  </si>
  <si>
    <t>N40-N42</t>
  </si>
  <si>
    <t>N60</t>
  </si>
  <si>
    <t>N70-N77</t>
  </si>
  <si>
    <t>Код по МКБ Х</t>
  </si>
  <si>
    <t>Заболевание (подозрение на наличие заболевания)</t>
  </si>
  <si>
    <t>Опрос (анкетирование), на выявление хронических неинфекционных заболеваний, факторов риска, потребления наркотических и психотропных веществ без назначения врача</t>
  </si>
  <si>
    <t>C16</t>
  </si>
  <si>
    <t>в том числе:желудка</t>
  </si>
  <si>
    <t>в том числе: злокачественные новообразования</t>
  </si>
  <si>
    <t>С33-34</t>
  </si>
  <si>
    <t>С50</t>
  </si>
  <si>
    <t>шейки матки, тела матки</t>
  </si>
  <si>
    <t>С53,54</t>
  </si>
  <si>
    <t>С56</t>
  </si>
  <si>
    <t>С61</t>
  </si>
  <si>
    <t>Болезни крови, кроветворных органов и нарушения, вовлекающие иммунный механизм</t>
  </si>
  <si>
    <t>D50-89</t>
  </si>
  <si>
    <t xml:space="preserve">в том числе: транзиторные ишемические приступы и родственные синдромы  </t>
  </si>
  <si>
    <t>в том числе: стенокардия (грудная жаба)</t>
  </si>
  <si>
    <t>в том числе: болезни, характеризующиеся повышенным кровяным давлением</t>
  </si>
  <si>
    <t>закупорка и стеноз пре- и церебральных артерий, не приводящие к инфаркту мозга</t>
  </si>
  <si>
    <t xml:space="preserve">в том числе: бронхит хронический и неуточненный, эмфизема </t>
  </si>
  <si>
    <t>в том числе: болезни предстательной железы</t>
  </si>
  <si>
    <t>27.3. Имеется подозрение на ранее перенесенное нарушение мозгового кровообращения (Да/Нет)</t>
  </si>
  <si>
    <t>28. Должность, Ф.И.О. и подпись медицинского работника</t>
  </si>
  <si>
    <t>Профилактическое консультирование углубленное индивидуальное</t>
  </si>
  <si>
    <t>Выявлены заболевания</t>
  </si>
  <si>
    <t>Выявлено подозрение</t>
  </si>
  <si>
    <t>0-40 лет</t>
  </si>
  <si>
    <t>41-50 лет</t>
  </si>
  <si>
    <t>51-55 лет</t>
  </si>
  <si>
    <t>0-139</t>
  </si>
  <si>
    <t>140-159</t>
  </si>
  <si>
    <t>160-179</t>
  </si>
  <si>
    <t>180&gt;=</t>
  </si>
  <si>
    <t>56&gt;= лет</t>
  </si>
  <si>
    <r>
      <rPr>
        <sz val="9"/>
        <color rgb="FFC00000"/>
        <rFont val="Arial"/>
        <family val="2"/>
        <charset val="204"/>
      </rPr>
      <t>Женщины</t>
    </r>
    <r>
      <rPr>
        <sz val="9"/>
        <rFont val="Arial"/>
        <family val="2"/>
      </rPr>
      <t xml:space="preserve"> </t>
    </r>
    <r>
      <rPr>
        <sz val="9"/>
        <color rgb="FFFFC000"/>
        <rFont val="Arial"/>
        <family val="2"/>
        <charset val="204"/>
      </rPr>
      <t>курящие</t>
    </r>
  </si>
  <si>
    <r>
      <rPr>
        <sz val="9"/>
        <color rgb="FFC00000"/>
        <rFont val="Arial"/>
        <family val="2"/>
        <charset val="204"/>
      </rPr>
      <t>Мужчины</t>
    </r>
    <r>
      <rPr>
        <sz val="9"/>
        <rFont val="Arial"/>
        <family val="2"/>
      </rPr>
      <t xml:space="preserve"> </t>
    </r>
    <r>
      <rPr>
        <sz val="9"/>
        <color rgb="FFFFC000"/>
        <rFont val="Arial"/>
        <family val="2"/>
        <charset val="204"/>
      </rPr>
      <t>некурящие</t>
    </r>
  </si>
  <si>
    <r>
      <rPr>
        <sz val="9"/>
        <color rgb="FFC00000"/>
        <rFont val="Arial"/>
        <family val="2"/>
        <charset val="204"/>
      </rPr>
      <t>Мужчины</t>
    </r>
    <r>
      <rPr>
        <sz val="9"/>
        <rFont val="Arial"/>
        <family val="2"/>
      </rPr>
      <t xml:space="preserve"> </t>
    </r>
    <r>
      <rPr>
        <sz val="9"/>
        <color rgb="FFFFC000"/>
        <rFont val="Arial"/>
        <family val="2"/>
        <charset val="204"/>
      </rPr>
      <t>курящие</t>
    </r>
  </si>
  <si>
    <r>
      <rPr>
        <sz val="9"/>
        <color rgb="FFC00000"/>
        <rFont val="Arial"/>
        <family val="2"/>
        <charset val="204"/>
      </rPr>
      <t>Женщины</t>
    </r>
    <r>
      <rPr>
        <sz val="9"/>
        <rFont val="Arial"/>
        <family val="2"/>
      </rPr>
      <t xml:space="preserve"> </t>
    </r>
    <r>
      <rPr>
        <sz val="9"/>
        <color rgb="FFFFC000"/>
        <rFont val="Arial"/>
        <family val="2"/>
        <charset val="204"/>
      </rPr>
      <t>некурящие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</si>
</sst>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р_._-;\-* #,##0.00\ _р_._-;_-* &quot;-&quot;??\ _р_._-;_-@_-"/>
    <numFmt numFmtId="165" formatCode="[$-FC19]dd\ mmmm\ yyyy\ \г\.;@"/>
    <numFmt numFmtId="166" formatCode="0.0"/>
  </numFmts>
  <fonts count="78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4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22"/>
      <color rgb="FF0070C0"/>
      <name val="Arial"/>
      <family val="2"/>
      <charset val="204"/>
    </font>
    <font>
      <sz val="10"/>
      <color theme="0" tint="-0.499984740745262"/>
      <name val="Arial"/>
      <family val="2"/>
    </font>
    <font>
      <b/>
      <sz val="11"/>
      <color theme="0" tint="-0.499984740745262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2"/>
      <color theme="0" tint="-0.499984740745262"/>
      <name val="Courier New"/>
      <family val="2"/>
    </font>
    <font>
      <sz val="22"/>
      <color theme="0" tint="-0.499984740745262"/>
      <name val="Arial"/>
      <family val="2"/>
    </font>
    <font>
      <sz val="12"/>
      <color theme="0" tint="-0.499984740745262"/>
      <name val="Calibri"/>
      <family val="2"/>
      <charset val="204"/>
    </font>
    <font>
      <sz val="12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2"/>
      <color theme="0" tint="-0.499984740745262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9"/>
      <color theme="0" tint="-0.499984740745262"/>
      <name val="Arial"/>
      <family val="2"/>
    </font>
    <font>
      <sz val="12"/>
      <color theme="0" tint="-0.499984740745262"/>
      <name val="Arial"/>
      <family val="2"/>
      <charset val="204"/>
    </font>
    <font>
      <b/>
      <sz val="14"/>
      <color theme="0" tint="-0.499984740745262"/>
      <name val="Arial"/>
      <family val="2"/>
      <charset val="204"/>
    </font>
    <font>
      <sz val="8"/>
      <color theme="0" tint="-0.499984740745262"/>
      <name val="Arial"/>
      <family val="2"/>
      <charset val="204"/>
    </font>
    <font>
      <sz val="8"/>
      <color theme="0" tint="-0.499984740745262"/>
      <name val="Arial"/>
      <family val="2"/>
    </font>
    <font>
      <sz val="14"/>
      <color theme="0" tint="-0.499984740745262"/>
      <name val="Arial"/>
      <family val="2"/>
    </font>
    <font>
      <b/>
      <sz val="16"/>
      <name val="Arial"/>
      <family val="2"/>
      <charset val="204"/>
    </font>
    <font>
      <b/>
      <sz val="16"/>
      <color theme="0" tint="-0.499984740745262"/>
      <name val="Arial"/>
      <family val="2"/>
      <charset val="204"/>
    </font>
    <font>
      <sz val="14"/>
      <color theme="0" tint="-0.499984740745262"/>
      <name val="Arial"/>
      <family val="2"/>
      <charset val="204"/>
    </font>
    <font>
      <b/>
      <sz val="9"/>
      <color theme="0" tint="-0.499984740745262"/>
      <name val="Arial"/>
      <family val="2"/>
      <charset val="204"/>
    </font>
    <font>
      <sz val="18"/>
      <color theme="0" tint="-0.499984740745262"/>
      <name val="Arial"/>
      <family val="2"/>
    </font>
    <font>
      <b/>
      <sz val="9"/>
      <name val="Arial"/>
      <family val="2"/>
      <charset val="204"/>
    </font>
    <font>
      <b/>
      <u/>
      <sz val="12"/>
      <color theme="0" tint="-0.499984740745262"/>
      <name val="Arial"/>
      <family val="2"/>
      <charset val="204"/>
    </font>
    <font>
      <b/>
      <u/>
      <sz val="12"/>
      <name val="Arial"/>
      <family val="2"/>
      <charset val="204"/>
    </font>
    <font>
      <u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sz val="9"/>
      <color theme="0" tint="-0.499984740745262"/>
      <name val="Arial"/>
      <family val="2"/>
      <charset val="204"/>
    </font>
    <font>
      <sz val="10"/>
      <color rgb="FF80808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indexed="2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2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8"/>
      <color theme="0" tint="-0.499984740745262"/>
      <name val="Tahoma"/>
      <family val="2"/>
      <charset val="204"/>
    </font>
    <font>
      <sz val="9"/>
      <color rgb="FFC00000"/>
      <name val="Arial"/>
      <family val="2"/>
      <charset val="204"/>
    </font>
    <font>
      <sz val="9"/>
      <color rgb="FFFFC000"/>
      <name val="Arial"/>
      <family val="2"/>
      <charset val="204"/>
    </font>
    <font>
      <b/>
      <sz val="8"/>
      <color rgb="FF0070C0"/>
      <name val="Arial"/>
      <family val="2"/>
      <charset val="204"/>
    </font>
    <font>
      <b/>
      <sz val="9"/>
      <color rgb="FF7030A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CEFA8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6">
    <xf numFmtId="0" fontId="0" fillId="0" borderId="0"/>
    <xf numFmtId="0" fontId="46" fillId="0" borderId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7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2" borderId="0" applyNumberFormat="0" applyBorder="0" applyAlignment="0" applyProtection="0"/>
    <xf numFmtId="0" fontId="46" fillId="15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46" fillId="9" borderId="0" applyNumberFormat="0" applyBorder="0" applyAlignment="0" applyProtection="0"/>
    <xf numFmtId="0" fontId="66" fillId="20" borderId="0" applyNumberFormat="0" applyBorder="0" applyAlignment="0" applyProtection="0"/>
    <xf numFmtId="0" fontId="60" fillId="21" borderId="0" applyNumberFormat="0" applyBorder="0" applyAlignment="0" applyProtection="0"/>
    <xf numFmtId="0" fontId="66" fillId="16" borderId="0" applyNumberFormat="0" applyBorder="0" applyAlignment="0" applyProtection="0"/>
    <xf numFmtId="0" fontId="60" fillId="16" borderId="0" applyNumberFormat="0" applyBorder="0" applyAlignment="0" applyProtection="0"/>
    <xf numFmtId="0" fontId="66" fillId="17" borderId="0" applyNumberFormat="0" applyBorder="0" applyAlignment="0" applyProtection="0"/>
    <xf numFmtId="0" fontId="60" fillId="18" borderId="0" applyNumberFormat="0" applyBorder="0" applyAlignment="0" applyProtection="0"/>
    <xf numFmtId="0" fontId="66" fillId="22" borderId="0" applyNumberFormat="0" applyBorder="0" applyAlignment="0" applyProtection="0"/>
    <xf numFmtId="0" fontId="60" fillId="15" borderId="0" applyNumberFormat="0" applyBorder="0" applyAlignment="0" applyProtection="0"/>
    <xf numFmtId="0" fontId="66" fillId="21" borderId="0" applyNumberFormat="0" applyBorder="0" applyAlignment="0" applyProtection="0"/>
    <xf numFmtId="0" fontId="60" fillId="21" borderId="0" applyNumberFormat="0" applyBorder="0" applyAlignment="0" applyProtection="0"/>
    <xf numFmtId="0" fontId="66" fillId="23" borderId="0" applyNumberFormat="0" applyBorder="0" applyAlignment="0" applyProtection="0"/>
    <xf numFmtId="0" fontId="60" fillId="9" borderId="0" applyNumberFormat="0" applyBorder="0" applyAlignment="0" applyProtection="0"/>
    <xf numFmtId="0" fontId="66" fillId="24" borderId="0" applyNumberFormat="0" applyBorder="0" applyAlignment="0" applyProtection="0"/>
    <xf numFmtId="0" fontId="60" fillId="21" borderId="0" applyNumberFormat="0" applyBorder="0" applyAlignment="0" applyProtection="0"/>
    <xf numFmtId="0" fontId="66" fillId="25" borderId="0" applyNumberFormat="0" applyBorder="0" applyAlignment="0" applyProtection="0"/>
    <xf numFmtId="0" fontId="60" fillId="25" borderId="0" applyNumberFormat="0" applyBorder="0" applyAlignment="0" applyProtection="0"/>
    <xf numFmtId="0" fontId="66" fillId="26" borderId="0" applyNumberFormat="0" applyBorder="0" applyAlignment="0" applyProtection="0"/>
    <xf numFmtId="0" fontId="60" fillId="26" borderId="0" applyNumberFormat="0" applyBorder="0" applyAlignment="0" applyProtection="0"/>
    <xf numFmtId="0" fontId="66" fillId="22" borderId="0" applyNumberFormat="0" applyBorder="0" applyAlignment="0" applyProtection="0"/>
    <xf numFmtId="0" fontId="60" fillId="27" borderId="0" applyNumberFormat="0" applyBorder="0" applyAlignment="0" applyProtection="0"/>
    <xf numFmtId="0" fontId="66" fillId="21" borderId="0" applyNumberFormat="0" applyBorder="0" applyAlignment="0" applyProtection="0"/>
    <xf numFmtId="0" fontId="60" fillId="21" borderId="0" applyNumberFormat="0" applyBorder="0" applyAlignment="0" applyProtection="0"/>
    <xf numFmtId="0" fontId="66" fillId="28" borderId="0" applyNumberFormat="0" applyBorder="0" applyAlignment="0" applyProtection="0"/>
    <xf numFmtId="0" fontId="60" fillId="28" borderId="0" applyNumberFormat="0" applyBorder="0" applyAlignment="0" applyProtection="0"/>
    <xf numFmtId="0" fontId="49" fillId="9" borderId="18" applyNumberFormat="0" applyAlignment="0" applyProtection="0"/>
    <xf numFmtId="0" fontId="49" fillId="9" borderId="18" applyNumberFormat="0" applyAlignment="0" applyProtection="0"/>
    <xf numFmtId="0" fontId="50" fillId="15" borderId="19" applyNumberFormat="0" applyAlignment="0" applyProtection="0"/>
    <xf numFmtId="0" fontId="50" fillId="7" borderId="19" applyNumberFormat="0" applyAlignment="0" applyProtection="0"/>
    <xf numFmtId="0" fontId="51" fillId="15" borderId="18" applyNumberFormat="0" applyAlignment="0" applyProtection="0"/>
    <xf numFmtId="0" fontId="51" fillId="7" borderId="18" applyNumberFormat="0" applyAlignment="0" applyProtection="0"/>
    <xf numFmtId="0" fontId="67" fillId="0" borderId="20" applyNumberFormat="0" applyFill="0" applyAlignment="0" applyProtection="0"/>
    <xf numFmtId="0" fontId="61" fillId="0" borderId="21" applyNumberFormat="0" applyFill="0" applyAlignment="0" applyProtection="0"/>
    <xf numFmtId="0" fontId="68" fillId="0" borderId="22" applyNumberFormat="0" applyFill="0" applyAlignment="0" applyProtection="0"/>
    <xf numFmtId="0" fontId="62" fillId="0" borderId="22" applyNumberFormat="0" applyFill="0" applyAlignment="0" applyProtection="0"/>
    <xf numFmtId="0" fontId="69" fillId="0" borderId="23" applyNumberFormat="0" applyFill="0" applyAlignment="0" applyProtection="0"/>
    <xf numFmtId="0" fontId="63" fillId="0" borderId="24" applyNumberFormat="0" applyFill="0" applyAlignment="0" applyProtection="0"/>
    <xf numFmtId="0" fontId="6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52" fillId="0" borderId="26" applyNumberFormat="0" applyFill="0" applyAlignment="0" applyProtection="0"/>
    <xf numFmtId="0" fontId="70" fillId="29" borderId="27" applyNumberFormat="0" applyAlignment="0" applyProtection="0"/>
    <xf numFmtId="0" fontId="64" fillId="29" borderId="27" applyNumberFormat="0" applyAlignment="0" applyProtection="0"/>
    <xf numFmtId="0" fontId="71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47" fillId="0" borderId="0"/>
    <xf numFmtId="0" fontId="59" fillId="0" borderId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6" fillId="11" borderId="28" applyNumberFormat="0" applyFont="0" applyAlignment="0" applyProtection="0"/>
    <xf numFmtId="0" fontId="46" fillId="11" borderId="28" applyNumberFormat="0" applyFont="0" applyAlignment="0" applyProtection="0"/>
    <xf numFmtId="0" fontId="56" fillId="0" borderId="29" applyNumberFormat="0" applyFill="0" applyAlignment="0" applyProtection="0"/>
    <xf numFmtId="0" fontId="56" fillId="0" borderId="29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</cellStyleXfs>
  <cellXfs count="549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14" xfId="0" applyBorder="1"/>
    <xf numFmtId="0" fontId="11" fillId="0" borderId="0" xfId="0" applyFont="1"/>
    <xf numFmtId="0" fontId="11" fillId="3" borderId="8" xfId="0" applyFont="1" applyFill="1" applyBorder="1" applyAlignment="1">
      <alignment horizontal="left" vertical="center"/>
    </xf>
    <xf numFmtId="0" fontId="11" fillId="3" borderId="2" xfId="0" applyFont="1" applyFill="1" applyBorder="1" applyAlignment="1"/>
    <xf numFmtId="0" fontId="0" fillId="3" borderId="2" xfId="0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4" borderId="0" xfId="0" applyFill="1" applyBorder="1"/>
    <xf numFmtId="0" fontId="0" fillId="4" borderId="0" xfId="0" applyFill="1"/>
    <xf numFmtId="0" fontId="0" fillId="4" borderId="0" xfId="0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2" xfId="0" applyFont="1" applyFill="1" applyBorder="1" applyAlignment="1"/>
    <xf numFmtId="0" fontId="11" fillId="4" borderId="0" xfId="0" applyFont="1" applyFill="1" applyBorder="1" applyAlignment="1"/>
    <xf numFmtId="0" fontId="2" fillId="0" borderId="0" xfId="0" applyFont="1" applyBorder="1" applyAlignment="1">
      <alignment horizontal="center" vertical="center" wrapText="1"/>
    </xf>
    <xf numFmtId="0" fontId="17" fillId="0" borderId="0" xfId="0" applyFont="1"/>
    <xf numFmtId="0" fontId="18" fillId="0" borderId="1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Border="1"/>
    <xf numFmtId="1" fontId="18" fillId="0" borderId="1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20" fillId="0" borderId="0" xfId="0" applyFont="1" applyBorder="1" applyAlignment="1">
      <alignment wrapText="1"/>
    </xf>
    <xf numFmtId="0" fontId="29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17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top"/>
    </xf>
    <xf numFmtId="0" fontId="17" fillId="0" borderId="0" xfId="0" applyFont="1" applyBorder="1"/>
    <xf numFmtId="0" fontId="22" fillId="0" borderId="0" xfId="0" applyFont="1" applyBorder="1" applyAlignment="1">
      <alignment horizontal="center" vertical="center" wrapText="1"/>
    </xf>
    <xf numFmtId="0" fontId="24" fillId="0" borderId="0" xfId="0" applyFont="1" applyBorder="1" applyAlignment="1"/>
    <xf numFmtId="0" fontId="26" fillId="0" borderId="0" xfId="0" applyFont="1" applyBorder="1" applyAlignment="1"/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wrapText="1"/>
    </xf>
    <xf numFmtId="0" fontId="24" fillId="0" borderId="0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9" fillId="0" borderId="16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/>
    </xf>
    <xf numFmtId="0" fontId="21" fillId="0" borderId="0" xfId="0" applyNumberFormat="1" applyFont="1" applyBorder="1" applyAlignment="1"/>
    <xf numFmtId="0" fontId="17" fillId="0" borderId="0" xfId="0" applyFont="1" applyAlignment="1"/>
    <xf numFmtId="0" fontId="17" fillId="0" borderId="0" xfId="0" applyFont="1" applyBorder="1" applyAlignment="1"/>
    <xf numFmtId="0" fontId="19" fillId="0" borderId="0" xfId="0" applyFont="1" applyBorder="1" applyAlignment="1">
      <alignment horizontal="left" vertical="top" wrapText="1"/>
    </xf>
    <xf numFmtId="14" fontId="30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31" fillId="0" borderId="0" xfId="0" applyFont="1" applyBorder="1" applyAlignment="1">
      <alignment horizontal="left" wrapText="1"/>
    </xf>
    <xf numFmtId="0" fontId="3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30" fillId="0" borderId="0" xfId="0" applyFont="1" applyAlignment="1"/>
    <xf numFmtId="0" fontId="36" fillId="0" borderId="6" xfId="0" applyFont="1" applyBorder="1" applyAlignment="1">
      <alignment horizontal="left"/>
    </xf>
    <xf numFmtId="0" fontId="0" fillId="4" borderId="0" xfId="0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5" borderId="0" xfId="0" applyFill="1"/>
    <xf numFmtId="0" fontId="0" fillId="5" borderId="0" xfId="0" applyFill="1" applyBorder="1"/>
    <xf numFmtId="0" fontId="0" fillId="5" borderId="0" xfId="0" applyFill="1" applyAlignment="1"/>
    <xf numFmtId="0" fontId="0" fillId="5" borderId="0" xfId="0" applyFill="1" applyAlignment="1">
      <alignment vertical="top"/>
    </xf>
    <xf numFmtId="0" fontId="0" fillId="5" borderId="0" xfId="0" applyFill="1" applyAlignment="1">
      <alignment vertical="top" wrapText="1"/>
    </xf>
    <xf numFmtId="0" fontId="0" fillId="5" borderId="0" xfId="0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/>
    </xf>
    <xf numFmtId="0" fontId="12" fillId="3" borderId="0" xfId="0" applyFont="1" applyFill="1" applyAlignment="1">
      <alignment horizontal="right"/>
    </xf>
    <xf numFmtId="0" fontId="0" fillId="3" borderId="11" xfId="0" applyFill="1" applyBorder="1"/>
    <xf numFmtId="0" fontId="14" fillId="5" borderId="0" xfId="0" applyFont="1" applyFill="1"/>
    <xf numFmtId="0" fontId="0" fillId="5" borderId="0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2" fontId="0" fillId="0" borderId="11" xfId="0" applyNumberFormat="1" applyBorder="1"/>
    <xf numFmtId="0" fontId="25" fillId="0" borderId="0" xfId="0" applyFont="1" applyBorder="1" applyAlignment="1"/>
    <xf numFmtId="0" fontId="25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5" fillId="0" borderId="0" xfId="0" applyNumberFormat="1" applyFont="1" applyBorder="1" applyAlignment="1">
      <alignment horizontal="left" wrapText="1"/>
    </xf>
    <xf numFmtId="0" fontId="38" fillId="0" borderId="0" xfId="0" applyFont="1" applyBorder="1" applyAlignment="1">
      <alignment horizontal="center"/>
    </xf>
    <xf numFmtId="0" fontId="25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/>
    <xf numFmtId="0" fontId="7" fillId="5" borderId="0" xfId="0" applyFont="1" applyFill="1" applyAlignment="1">
      <alignment horizontal="right"/>
    </xf>
    <xf numFmtId="0" fontId="17" fillId="0" borderId="4" xfId="0" applyFont="1" applyBorder="1" applyAlignment="1">
      <alignment horizontal="left" vertical="center" wrapText="1"/>
    </xf>
    <xf numFmtId="0" fontId="13" fillId="3" borderId="0" xfId="0" applyFont="1" applyFill="1" applyAlignment="1">
      <alignment horizontal="right"/>
    </xf>
    <xf numFmtId="0" fontId="18" fillId="0" borderId="0" xfId="0" applyFont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 vertical="center"/>
    </xf>
    <xf numFmtId="0" fontId="24" fillId="0" borderId="0" xfId="0" applyFont="1"/>
    <xf numFmtId="2" fontId="30" fillId="0" borderId="6" xfId="0" applyNumberFormat="1" applyFont="1" applyBorder="1" applyAlignment="1">
      <alignment horizontal="center" wrapText="1"/>
    </xf>
    <xf numFmtId="0" fontId="30" fillId="0" borderId="6" xfId="0" applyFont="1" applyBorder="1" applyAlignment="1">
      <alignment horizontal="center"/>
    </xf>
    <xf numFmtId="0" fontId="28" fillId="0" borderId="0" xfId="0" applyFont="1" applyBorder="1" applyAlignment="1">
      <alignment vertical="center" wrapText="1"/>
    </xf>
    <xf numFmtId="0" fontId="20" fillId="0" borderId="5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0" fontId="24" fillId="0" borderId="13" xfId="0" applyFont="1" applyBorder="1" applyAlignment="1">
      <alignment horizontal="center" wrapText="1"/>
    </xf>
    <xf numFmtId="0" fontId="40" fillId="0" borderId="0" xfId="0" applyFont="1" applyBorder="1" applyAlignment="1">
      <alignment horizontal="left" wrapText="1"/>
    </xf>
    <xf numFmtId="0" fontId="40" fillId="0" borderId="0" xfId="0" applyFont="1" applyBorder="1" applyAlignment="1">
      <alignment horizontal="right" wrapText="1"/>
    </xf>
    <xf numFmtId="0" fontId="20" fillId="0" borderId="6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wrapText="1"/>
    </xf>
    <xf numFmtId="0" fontId="25" fillId="0" borderId="0" xfId="0" applyFont="1" applyAlignment="1">
      <alignment horizontal="left" vertical="center"/>
    </xf>
    <xf numFmtId="0" fontId="4" fillId="0" borderId="0" xfId="0" applyFont="1" applyFill="1" applyAlignment="1"/>
    <xf numFmtId="0" fontId="39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0" fillId="0" borderId="1" xfId="0" applyBorder="1" applyAlignment="1"/>
    <xf numFmtId="0" fontId="48" fillId="0" borderId="0" xfId="1" applyFont="1" applyFill="1" applyBorder="1" applyAlignment="1">
      <alignment horizontal="left" wrapText="1"/>
    </xf>
    <xf numFmtId="0" fontId="48" fillId="0" borderId="0" xfId="1" applyFont="1" applyFill="1" applyBorder="1" applyAlignment="1">
      <alignment horizontal="center" vertical="center" wrapText="1"/>
    </xf>
    <xf numFmtId="0" fontId="48" fillId="0" borderId="0" xfId="1" applyFont="1" applyFill="1" applyBorder="1" applyAlignment="1">
      <alignment horizontal="left" wrapText="1" indent="2"/>
    </xf>
    <xf numFmtId="0" fontId="48" fillId="0" borderId="14" xfId="1" applyFont="1" applyFill="1" applyBorder="1" applyAlignment="1">
      <alignment horizontal="center" vertical="center" wrapText="1"/>
    </xf>
    <xf numFmtId="0" fontId="48" fillId="0" borderId="1" xfId="1" applyFont="1" applyFill="1" applyBorder="1" applyAlignment="1">
      <alignment horizontal="center" vertical="center" wrapText="1"/>
    </xf>
    <xf numFmtId="0" fontId="48" fillId="0" borderId="1" xfId="1" applyFont="1" applyFill="1" applyBorder="1" applyAlignment="1">
      <alignment horizontal="left" wrapText="1"/>
    </xf>
    <xf numFmtId="0" fontId="48" fillId="0" borderId="0" xfId="1" applyFont="1" applyFill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33" borderId="1" xfId="0" applyFont="1" applyFill="1" applyBorder="1" applyAlignment="1">
      <alignment horizontal="center" vertical="center"/>
    </xf>
    <xf numFmtId="0" fontId="26" fillId="31" borderId="1" xfId="0" applyFont="1" applyFill="1" applyBorder="1" applyAlignment="1">
      <alignment horizontal="center" vertical="center" wrapText="1"/>
    </xf>
    <xf numFmtId="0" fontId="75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1" fontId="30" fillId="32" borderId="0" xfId="0" applyNumberFormat="1" applyFont="1" applyFill="1"/>
    <xf numFmtId="0" fontId="27" fillId="35" borderId="0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14" fontId="9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0" fillId="4" borderId="0" xfId="0" applyFill="1" applyBorder="1" applyAlignment="1">
      <alignment vertical="center"/>
    </xf>
    <xf numFmtId="1" fontId="9" fillId="0" borderId="1" xfId="0" applyNumberFormat="1" applyFont="1" applyBorder="1" applyAlignment="1" applyProtection="1">
      <alignment horizontal="left" vertical="center"/>
      <protection locked="0"/>
    </xf>
    <xf numFmtId="0" fontId="0" fillId="4" borderId="0" xfId="0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5" xfId="0" applyFont="1" applyFill="1" applyBorder="1" applyAlignment="1">
      <alignment horizontal="center"/>
    </xf>
    <xf numFmtId="0" fontId="0" fillId="0" borderId="5" xfId="0" applyBorder="1" applyAlignment="1"/>
    <xf numFmtId="0" fontId="0" fillId="0" borderId="13" xfId="0" applyBorder="1" applyAlignment="1"/>
    <xf numFmtId="165" fontId="12" fillId="0" borderId="1" xfId="0" applyNumberFormat="1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top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0" fillId="0" borderId="11" xfId="0" applyBorder="1" applyAlignment="1"/>
    <xf numFmtId="0" fontId="16" fillId="4" borderId="0" xfId="0" applyFont="1" applyFill="1" applyAlignment="1"/>
    <xf numFmtId="0" fontId="16" fillId="4" borderId="0" xfId="0" applyFont="1" applyFill="1" applyBorder="1" applyAlignment="1"/>
    <xf numFmtId="0" fontId="0" fillId="4" borderId="0" xfId="0" applyFill="1" applyAlignment="1">
      <alignment horizontal="left" vertical="center"/>
    </xf>
    <xf numFmtId="165" fontId="12" fillId="0" borderId="1" xfId="0" quotePrefix="1" applyNumberFormat="1" applyFont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>
      <alignment horizontal="right"/>
    </xf>
    <xf numFmtId="0" fontId="0" fillId="0" borderId="0" xfId="0" applyBorder="1" applyAlignment="1"/>
    <xf numFmtId="0" fontId="12" fillId="5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2" fontId="9" fillId="0" borderId="1" xfId="0" applyNumberFormat="1" applyFont="1" applyBorder="1" applyAlignment="1"/>
    <xf numFmtId="1" fontId="9" fillId="0" borderId="1" xfId="0" applyNumberFormat="1" applyFont="1" applyBorder="1" applyAlignment="1"/>
    <xf numFmtId="0" fontId="7" fillId="3" borderId="0" xfId="0" applyFont="1" applyFill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3" borderId="15" xfId="0" applyFont="1" applyFill="1" applyBorder="1" applyAlignment="1">
      <alignment vertical="top" wrapText="1"/>
    </xf>
    <xf numFmtId="0" fontId="7" fillId="3" borderId="15" xfId="0" applyFont="1" applyFill="1" applyBorder="1" applyAlignment="1">
      <alignment vertical="top"/>
    </xf>
    <xf numFmtId="0" fontId="7" fillId="3" borderId="0" xfId="0" applyFont="1" applyFill="1" applyAlignment="1">
      <alignment vertical="top" wrapText="1"/>
    </xf>
    <xf numFmtId="0" fontId="0" fillId="3" borderId="11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3" fillId="5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6" fontId="0" fillId="0" borderId="1" xfId="0" applyNumberFormat="1" applyBorder="1" applyAlignment="1"/>
    <xf numFmtId="0" fontId="0" fillId="5" borderId="0" xfId="0" applyFill="1" applyBorder="1" applyAlignment="1"/>
    <xf numFmtId="0" fontId="0" fillId="5" borderId="0" xfId="0" applyFill="1" applyAlignment="1"/>
    <xf numFmtId="0" fontId="7" fillId="5" borderId="0" xfId="0" applyFont="1" applyFill="1" applyAlignment="1">
      <alignment horizontal="right"/>
    </xf>
    <xf numFmtId="0" fontId="12" fillId="3" borderId="1" xfId="0" applyFont="1" applyFill="1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31" fillId="0" borderId="0" xfId="0" applyFont="1" applyBorder="1" applyAlignment="1">
      <alignment horizontal="left" wrapText="1"/>
    </xf>
    <xf numFmtId="0" fontId="31" fillId="0" borderId="0" xfId="0" applyFont="1" applyBorder="1" applyAlignment="1">
      <alignment wrapText="1"/>
    </xf>
    <xf numFmtId="14" fontId="31" fillId="0" borderId="0" xfId="0" applyNumberFormat="1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  <xf numFmtId="0" fontId="20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wrapText="1"/>
    </xf>
    <xf numFmtId="14" fontId="19" fillId="0" borderId="0" xfId="0" applyNumberFormat="1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4" fontId="30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4" fontId="30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right" wrapText="1"/>
    </xf>
    <xf numFmtId="0" fontId="36" fillId="0" borderId="6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25" fillId="0" borderId="4" xfId="0" applyNumberFormat="1" applyFont="1" applyBorder="1" applyAlignment="1">
      <alignment horizontal="left" vertical="top" wrapText="1"/>
    </xf>
    <xf numFmtId="0" fontId="25" fillId="0" borderId="3" xfId="0" applyFont="1" applyBorder="1" applyAlignment="1">
      <alignment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wrapText="1"/>
    </xf>
    <xf numFmtId="0" fontId="17" fillId="0" borderId="4" xfId="0" applyFont="1" applyBorder="1" applyAlignment="1"/>
    <xf numFmtId="1" fontId="26" fillId="0" borderId="4" xfId="0" applyNumberFormat="1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0" fontId="28" fillId="0" borderId="14" xfId="0" applyFont="1" applyBorder="1" applyAlignment="1">
      <alignment vertical="center"/>
    </xf>
    <xf numFmtId="0" fontId="29" fillId="0" borderId="17" xfId="0" applyFont="1" applyBorder="1" applyAlignment="1">
      <alignment horizontal="left" wrapText="1"/>
    </xf>
    <xf numFmtId="0" fontId="29" fillId="0" borderId="17" xfId="0" applyFont="1" applyBorder="1" applyAlignment="1">
      <alignment wrapText="1"/>
    </xf>
    <xf numFmtId="0" fontId="35" fillId="0" borderId="0" xfId="0" applyFont="1" applyBorder="1" applyAlignment="1">
      <alignment horizontal="left" wrapText="1"/>
    </xf>
    <xf numFmtId="0" fontId="35" fillId="0" borderId="0" xfId="0" applyFont="1" applyBorder="1" applyAlignment="1">
      <alignment wrapText="1"/>
    </xf>
    <xf numFmtId="0" fontId="25" fillId="0" borderId="4" xfId="0" applyFont="1" applyBorder="1" applyAlignment="1">
      <alignment horizontal="right" vertical="center"/>
    </xf>
    <xf numFmtId="14" fontId="18" fillId="0" borderId="4" xfId="0" applyNumberFormat="1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25" fillId="0" borderId="6" xfId="0" applyFont="1" applyBorder="1" applyAlignment="1"/>
    <xf numFmtId="0" fontId="25" fillId="0" borderId="4" xfId="0" applyNumberFormat="1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2" xfId="0" applyNumberFormat="1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14" fontId="25" fillId="0" borderId="1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30" fillId="0" borderId="0" xfId="0" applyFont="1" applyAlignment="1"/>
    <xf numFmtId="0" fontId="25" fillId="0" borderId="13" xfId="0" applyNumberFormat="1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right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top" wrapText="1"/>
    </xf>
    <xf numFmtId="0" fontId="20" fillId="0" borderId="0" xfId="0" applyFont="1" applyAlignment="1">
      <alignment horizontal="right" vertical="top"/>
    </xf>
    <xf numFmtId="0" fontId="21" fillId="0" borderId="0" xfId="0" applyNumberFormat="1" applyFont="1" applyBorder="1" applyAlignment="1"/>
    <xf numFmtId="0" fontId="17" fillId="0" borderId="0" xfId="0" applyFont="1" applyAlignment="1"/>
    <xf numFmtId="0" fontId="17" fillId="0" borderId="0" xfId="0" applyFont="1" applyBorder="1" applyAlignment="1"/>
    <xf numFmtId="0" fontId="17" fillId="0" borderId="15" xfId="0" applyFont="1" applyBorder="1" applyAlignment="1"/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/>
    <xf numFmtId="0" fontId="24" fillId="0" borderId="0" xfId="0" applyFont="1" applyAlignment="1"/>
    <xf numFmtId="0" fontId="25" fillId="0" borderId="2" xfId="0" applyNumberFormat="1" applyFont="1" applyBorder="1" applyAlignment="1">
      <alignment horizontal="left" vertical="top" wrapText="1"/>
    </xf>
    <xf numFmtId="0" fontId="24" fillId="0" borderId="2" xfId="0" applyFont="1" applyBorder="1" applyAlignment="1">
      <alignment wrapText="1"/>
    </xf>
    <xf numFmtId="1" fontId="26" fillId="0" borderId="2" xfId="0" applyNumberFormat="1" applyFont="1" applyBorder="1" applyAlignment="1">
      <alignment horizontal="left" vertical="center"/>
    </xf>
    <xf numFmtId="0" fontId="25" fillId="0" borderId="11" xfId="0" applyNumberFormat="1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1" fillId="0" borderId="0" xfId="0" applyFont="1" applyBorder="1" applyAlignment="1">
      <alignment horizontal="left" vertical="top" wrapText="1"/>
    </xf>
    <xf numFmtId="0" fontId="31" fillId="0" borderId="0" xfId="0" applyFont="1" applyBorder="1" applyAlignment="1">
      <alignment vertical="top" wrapText="1"/>
    </xf>
    <xf numFmtId="0" fontId="25" fillId="0" borderId="2" xfId="0" applyFont="1" applyBorder="1" applyAlignment="1">
      <alignment horizontal="right" vertical="center"/>
    </xf>
    <xf numFmtId="0" fontId="25" fillId="0" borderId="4" xfId="0" applyFont="1" applyBorder="1" applyAlignment="1">
      <alignment horizontal="right"/>
    </xf>
    <xf numFmtId="164" fontId="20" fillId="0" borderId="6" xfId="0" applyNumberFormat="1" applyFont="1" applyBorder="1" applyAlignment="1">
      <alignment horizontal="left" vertical="center"/>
    </xf>
    <xf numFmtId="10" fontId="20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0" fillId="0" borderId="0" xfId="0" applyFont="1" applyFill="1" applyBorder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30" fillId="0" borderId="0" xfId="0" applyFont="1" applyAlignment="1">
      <alignment horizontal="center"/>
    </xf>
    <xf numFmtId="0" fontId="30" fillId="0" borderId="0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25" fillId="0" borderId="0" xfId="0" applyFont="1" applyBorder="1" applyAlignment="1"/>
    <xf numFmtId="14" fontId="43" fillId="0" borderId="0" xfId="0" applyNumberFormat="1" applyFont="1" applyBorder="1" applyAlignment="1">
      <alignment horizontal="left"/>
    </xf>
    <xf numFmtId="0" fontId="43" fillId="0" borderId="0" xfId="0" applyFont="1" applyBorder="1" applyAlignment="1">
      <alignment horizontal="left"/>
    </xf>
    <xf numFmtId="14" fontId="36" fillId="0" borderId="0" xfId="0" applyNumberFormat="1" applyFont="1" applyAlignment="1"/>
    <xf numFmtId="0" fontId="0" fillId="0" borderId="0" xfId="0" applyAlignment="1"/>
    <xf numFmtId="0" fontId="30" fillId="0" borderId="0" xfId="0" applyFont="1" applyFill="1" applyAlignment="1">
      <alignment horizontal="center" wrapText="1"/>
    </xf>
    <xf numFmtId="0" fontId="36" fillId="0" borderId="0" xfId="0" applyFont="1" applyFill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25" fillId="0" borderId="0" xfId="0" applyNumberFormat="1" applyFont="1" applyBorder="1" applyAlignment="1"/>
    <xf numFmtId="1" fontId="18" fillId="0" borderId="0" xfId="0" applyNumberFormat="1" applyFont="1" applyBorder="1" applyAlignment="1">
      <alignment horizontal="center"/>
    </xf>
    <xf numFmtId="2" fontId="30" fillId="0" borderId="6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1" fontId="30" fillId="30" borderId="0" xfId="0" applyNumberFormat="1" applyFont="1" applyFill="1" applyBorder="1" applyAlignment="1">
      <alignment horizontal="center"/>
    </xf>
    <xf numFmtId="0" fontId="14" fillId="30" borderId="0" xfId="0" applyFont="1" applyFill="1" applyAlignment="1">
      <alignment horizontal="center"/>
    </xf>
    <xf numFmtId="1" fontId="30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3" fillId="0" borderId="0" xfId="0" applyFont="1" applyBorder="1" applyAlignment="1">
      <alignment horizontal="center"/>
    </xf>
    <xf numFmtId="0" fontId="9" fillId="0" borderId="0" xfId="0" applyFont="1" applyAlignment="1"/>
    <xf numFmtId="0" fontId="2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0" fillId="34" borderId="6" xfId="0" applyFont="1" applyFill="1" applyBorder="1" applyAlignment="1">
      <alignment horizontal="center"/>
    </xf>
    <xf numFmtId="0" fontId="15" fillId="34" borderId="6" xfId="0" applyFont="1" applyFill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30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1" fontId="30" fillId="0" borderId="6" xfId="0" applyNumberFormat="1" applyFont="1" applyBorder="1" applyAlignment="1">
      <alignment horizontal="center"/>
    </xf>
    <xf numFmtId="166" fontId="13" fillId="0" borderId="6" xfId="0" applyNumberFormat="1" applyFont="1" applyBorder="1" applyAlignment="1">
      <alignment horizontal="center"/>
    </xf>
    <xf numFmtId="0" fontId="24" fillId="0" borderId="0" xfId="0" applyFont="1" applyBorder="1" applyAlignment="1">
      <alignment horizontal="left" wrapText="1"/>
    </xf>
    <xf numFmtId="0" fontId="12" fillId="0" borderId="0" xfId="0" applyFont="1" applyAlignment="1"/>
    <xf numFmtId="2" fontId="14" fillId="0" borderId="6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5" fillId="0" borderId="6" xfId="0" applyNumberFormat="1" applyFont="1" applyBorder="1" applyAlignment="1">
      <alignment horizontal="left" vertical="top" wrapText="1"/>
    </xf>
    <xf numFmtId="0" fontId="25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0" xfId="0" applyFont="1" applyBorder="1" applyAlignment="1"/>
    <xf numFmtId="0" fontId="12" fillId="0" borderId="0" xfId="0" applyFont="1" applyBorder="1" applyAlignment="1"/>
    <xf numFmtId="0" fontId="20" fillId="0" borderId="12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4" fillId="0" borderId="5" xfId="0" applyFont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24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14" fontId="19" fillId="0" borderId="12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4" fillId="0" borderId="12" xfId="0" applyFont="1" applyBorder="1" applyAlignment="1">
      <alignment horizontal="right" wrapText="1"/>
    </xf>
    <xf numFmtId="0" fontId="30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7" fillId="0" borderId="0" xfId="0" applyFont="1" applyAlignment="1">
      <alignment horizontal="center" vertical="top"/>
    </xf>
    <xf numFmtId="14" fontId="29" fillId="0" borderId="12" xfId="0" applyNumberFormat="1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19" fillId="0" borderId="12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14" fontId="29" fillId="0" borderId="1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2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10" fontId="17" fillId="0" borderId="4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5" xfId="0" applyFont="1" applyBorder="1" applyAlignment="1">
      <alignment wrapText="1"/>
    </xf>
    <xf numFmtId="0" fontId="25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wrapText="1"/>
    </xf>
    <xf numFmtId="0" fontId="25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 applyAlignment="1">
      <alignment vertical="center" wrapText="1"/>
    </xf>
    <xf numFmtId="0" fontId="25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5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5" xfId="0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26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2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" fontId="29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7" fillId="0" borderId="1" xfId="0" applyFont="1" applyBorder="1" applyAlignme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4" fillId="0" borderId="0" xfId="0" applyFont="1" applyBorder="1" applyAlignment="1"/>
    <xf numFmtId="0" fontId="33" fillId="0" borderId="0" xfId="0" applyFont="1" applyAlignment="1">
      <alignment horizontal="right"/>
    </xf>
    <xf numFmtId="0" fontId="26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40" fillId="0" borderId="0" xfId="0" applyFont="1" applyBorder="1" applyAlignment="1">
      <alignment wrapText="1"/>
    </xf>
    <xf numFmtId="0" fontId="41" fillId="0" borderId="0" xfId="0" applyFont="1" applyAlignment="1">
      <alignment wrapText="1"/>
    </xf>
    <xf numFmtId="0" fontId="17" fillId="0" borderId="0" xfId="0" applyFont="1" applyAlignment="1">
      <alignment horizontal="left" vertical="top" wrapText="1"/>
    </xf>
    <xf numFmtId="0" fontId="25" fillId="0" borderId="0" xfId="0" applyFont="1" applyBorder="1" applyAlignment="1">
      <alignment wrapText="1"/>
    </xf>
    <xf numFmtId="0" fontId="25" fillId="0" borderId="0" xfId="0" applyFont="1" applyAlignment="1">
      <alignment wrapText="1"/>
    </xf>
    <xf numFmtId="0" fontId="40" fillId="0" borderId="0" xfId="0" applyFont="1" applyAlignment="1">
      <alignment wrapText="1"/>
    </xf>
    <xf numFmtId="14" fontId="40" fillId="0" borderId="0" xfId="0" applyNumberFormat="1" applyFont="1" applyBorder="1" applyAlignment="1">
      <alignment horizontal="right" wrapText="1"/>
    </xf>
    <xf numFmtId="0" fontId="41" fillId="0" borderId="0" xfId="0" applyFont="1" applyAlignment="1">
      <alignment horizontal="right" wrapText="1"/>
    </xf>
    <xf numFmtId="0" fontId="20" fillId="0" borderId="0" xfId="0" applyFont="1" applyBorder="1" applyAlignment="1">
      <alignment horizontal="left" vertical="top" wrapText="1"/>
    </xf>
    <xf numFmtId="0" fontId="40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14" fontId="44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41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14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17" fillId="0" borderId="1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14" fontId="19" fillId="0" borderId="10" xfId="0" applyNumberFormat="1" applyFont="1" applyBorder="1" applyAlignment="1">
      <alignment horizontal="left" vertical="top" wrapText="1"/>
    </xf>
    <xf numFmtId="0" fontId="27" fillId="0" borderId="0" xfId="0" applyFont="1" applyAlignment="1">
      <alignment wrapText="1"/>
    </xf>
    <xf numFmtId="0" fontId="27" fillId="0" borderId="0" xfId="0" applyFont="1" applyAlignment="1"/>
    <xf numFmtId="0" fontId="1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7" fillId="0" borderId="5" xfId="0" applyFont="1" applyBorder="1" applyAlignment="1"/>
    <xf numFmtId="0" fontId="0" fillId="0" borderId="1" xfId="0" applyBorder="1" applyAlignment="1"/>
    <xf numFmtId="0" fontId="2" fillId="0" borderId="1" xfId="0" applyFont="1" applyBorder="1" applyAlignment="1"/>
    <xf numFmtId="0" fontId="2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27" fillId="0" borderId="5" xfId="0" applyFont="1" applyBorder="1" applyAlignment="1">
      <alignment wrapText="1"/>
    </xf>
    <xf numFmtId="0" fontId="0" fillId="0" borderId="6" xfId="0" applyBorder="1" applyAlignment="1"/>
    <xf numFmtId="0" fontId="17" fillId="0" borderId="12" xfId="0" applyFont="1" applyBorder="1" applyAlignment="1">
      <alignment horizontal="left" wrapText="1"/>
    </xf>
    <xf numFmtId="0" fontId="0" fillId="0" borderId="13" xfId="0" applyBorder="1" applyAlignment="1">
      <alignment wrapText="1"/>
    </xf>
    <xf numFmtId="0" fontId="1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7" fillId="0" borderId="0" xfId="0" applyFont="1" applyAlignment="1">
      <alignment wrapText="1"/>
    </xf>
    <xf numFmtId="0" fontId="37" fillId="0" borderId="0" xfId="0" applyFont="1" applyAlignment="1"/>
    <xf numFmtId="0" fontId="37" fillId="0" borderId="1" xfId="0" applyFont="1" applyBorder="1" applyAlignment="1"/>
    <xf numFmtId="0" fontId="27" fillId="0" borderId="1" xfId="0" applyFont="1" applyBorder="1" applyAlignment="1"/>
    <xf numFmtId="0" fontId="17" fillId="0" borderId="2" xfId="0" applyFont="1" applyBorder="1" applyAlignment="1"/>
    <xf numFmtId="0" fontId="17" fillId="0" borderId="3" xfId="0" applyFont="1" applyBorder="1" applyAlignme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0" fillId="0" borderId="15" xfId="0" applyBorder="1" applyAlignment="1"/>
    <xf numFmtId="0" fontId="0" fillId="0" borderId="10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7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 shrinkToFit="1"/>
    </xf>
    <xf numFmtId="0" fontId="72" fillId="0" borderId="1" xfId="1" applyFont="1" applyFill="1" applyBorder="1" applyAlignment="1">
      <alignment horizontal="center" vertical="center" wrapText="1"/>
    </xf>
    <xf numFmtId="0" fontId="72" fillId="0" borderId="1" xfId="1" applyFont="1" applyFill="1" applyBorder="1" applyAlignment="1">
      <alignment horizontal="left" wrapText="1"/>
    </xf>
    <xf numFmtId="0" fontId="20" fillId="0" borderId="1" xfId="1" applyFont="1" applyFill="1" applyBorder="1" applyAlignment="1">
      <alignment horizontal="left" wrapText="1"/>
    </xf>
    <xf numFmtId="0" fontId="20" fillId="0" borderId="1" xfId="0" applyFont="1" applyBorder="1" applyAlignment="1"/>
    <xf numFmtId="0" fontId="72" fillId="0" borderId="5" xfId="1" applyFont="1" applyFill="1" applyBorder="1" applyAlignment="1">
      <alignment horizontal="left" wrapText="1"/>
    </xf>
    <xf numFmtId="0" fontId="17" fillId="0" borderId="5" xfId="0" applyFont="1" applyBorder="1" applyAlignment="1">
      <alignment wrapText="1"/>
    </xf>
    <xf numFmtId="0" fontId="17" fillId="0" borderId="0" xfId="0" applyFont="1" applyAlignment="1">
      <alignment wrapText="1"/>
    </xf>
    <xf numFmtId="0" fontId="45" fillId="0" borderId="5" xfId="0" applyFont="1" applyBorder="1" applyAlignment="1"/>
    <xf numFmtId="0" fontId="77" fillId="0" borderId="0" xfId="0" applyFont="1" applyAlignment="1">
      <alignment horizontal="center" vertical="center" textRotation="90"/>
    </xf>
    <xf numFmtId="0" fontId="8" fillId="0" borderId="0" xfId="0" applyFont="1" applyFill="1" applyAlignment="1">
      <alignment horizontal="center" vertical="center"/>
    </xf>
    <xf numFmtId="0" fontId="4" fillId="36" borderId="0" xfId="0" applyFont="1" applyFill="1" applyAlignment="1">
      <alignment horizontal="center" vertical="center"/>
    </xf>
  </cellXfs>
  <cellStyles count="86">
    <cellStyle name="20% - Акцент1 2" xfId="3"/>
    <cellStyle name="20% - Акцент1 3" xfId="2"/>
    <cellStyle name="20% - Акцент2 2" xfId="5"/>
    <cellStyle name="20% - Акцент2 3" xfId="4"/>
    <cellStyle name="20% - Акцент3 2" xfId="7"/>
    <cellStyle name="20% - Акцент3 3" xfId="6"/>
    <cellStyle name="20% - Акцент4 2" xfId="9"/>
    <cellStyle name="20% - Акцент4 3" xfId="8"/>
    <cellStyle name="20% - Акцент5 2" xfId="11"/>
    <cellStyle name="20% - Акцент5 3" xfId="10"/>
    <cellStyle name="20% - Акцент6 2" xfId="13"/>
    <cellStyle name="20% - Акцент6 3" xfId="12"/>
    <cellStyle name="40% - Акцент1 2" xfId="15"/>
    <cellStyle name="40% - Акцент1 3" xfId="14"/>
    <cellStyle name="40% - Акцент2 2" xfId="17"/>
    <cellStyle name="40% - Акцент2 3" xfId="16"/>
    <cellStyle name="40% - Акцент3 2" xfId="19"/>
    <cellStyle name="40% - Акцент3 3" xfId="18"/>
    <cellStyle name="40% - Акцент4 2" xfId="21"/>
    <cellStyle name="40% - Акцент4 3" xfId="20"/>
    <cellStyle name="40% - Акцент5 2" xfId="23"/>
    <cellStyle name="40% - Акцент5 3" xfId="22"/>
    <cellStyle name="40% - Акцент6 2" xfId="25"/>
    <cellStyle name="40% - Акцент6 3" xfId="24"/>
    <cellStyle name="60% - Акцент1 2" xfId="27"/>
    <cellStyle name="60% - Акцент1 3" xfId="26"/>
    <cellStyle name="60% - Акцент2 2" xfId="29"/>
    <cellStyle name="60% - Акцент2 3" xfId="28"/>
    <cellStyle name="60% - Акцент3 2" xfId="31"/>
    <cellStyle name="60% - Акцент3 3" xfId="30"/>
    <cellStyle name="60% - Акцент4 2" xfId="33"/>
    <cellStyle name="60% - Акцент4 3" xfId="32"/>
    <cellStyle name="60% - Акцент5 2" xfId="35"/>
    <cellStyle name="60% - Акцент5 3" xfId="34"/>
    <cellStyle name="60% - Акцент6 2" xfId="37"/>
    <cellStyle name="60% - Акцент6 3" xfId="36"/>
    <cellStyle name="Акцент1 2" xfId="39"/>
    <cellStyle name="Акцент1 3" xfId="38"/>
    <cellStyle name="Акцент2 2" xfId="41"/>
    <cellStyle name="Акцент2 3" xfId="40"/>
    <cellStyle name="Акцент3 2" xfId="43"/>
    <cellStyle name="Акцент3 3" xfId="42"/>
    <cellStyle name="Акцент4 2" xfId="45"/>
    <cellStyle name="Акцент4 3" xfId="44"/>
    <cellStyle name="Акцент5 2" xfId="47"/>
    <cellStyle name="Акцент5 3" xfId="46"/>
    <cellStyle name="Акцент6 2" xfId="49"/>
    <cellStyle name="Акцент6 3" xfId="48"/>
    <cellStyle name="Ввод  2" xfId="51"/>
    <cellStyle name="Ввод  3" xfId="50"/>
    <cellStyle name="Вывод 2" xfId="53"/>
    <cellStyle name="Вывод 3" xfId="52"/>
    <cellStyle name="Вычисление 2" xfId="55"/>
    <cellStyle name="Вычисление 3" xfId="54"/>
    <cellStyle name="Заголовок 1 2" xfId="57"/>
    <cellStyle name="Заголовок 1 3" xfId="56"/>
    <cellStyle name="Заголовок 2 2" xfId="59"/>
    <cellStyle name="Заголовок 2 3" xfId="58"/>
    <cellStyle name="Заголовок 3 2" xfId="61"/>
    <cellStyle name="Заголовок 3 3" xfId="60"/>
    <cellStyle name="Заголовок 4 2" xfId="63"/>
    <cellStyle name="Заголовок 4 3" xfId="62"/>
    <cellStyle name="Итог 2" xfId="65"/>
    <cellStyle name="Итог 3" xfId="64"/>
    <cellStyle name="Контрольная ячейка 2" xfId="67"/>
    <cellStyle name="Контрольная ячейка 3" xfId="66"/>
    <cellStyle name="Название 2" xfId="69"/>
    <cellStyle name="Название 3" xfId="68"/>
    <cellStyle name="Нейтральный 2" xfId="71"/>
    <cellStyle name="Нейтральный 3" xfId="70"/>
    <cellStyle name="Обычный" xfId="0" builtinId="0"/>
    <cellStyle name="Обычный 2" xfId="72"/>
    <cellStyle name="Обычный 3" xfId="73"/>
    <cellStyle name="Обычный 4" xfId="1"/>
    <cellStyle name="Плохой 2" xfId="75"/>
    <cellStyle name="Плохой 3" xfId="74"/>
    <cellStyle name="Пояснение 2" xfId="77"/>
    <cellStyle name="Пояснение 3" xfId="76"/>
    <cellStyle name="Примечание 2" xfId="79"/>
    <cellStyle name="Примечание 3" xfId="78"/>
    <cellStyle name="Связанная ячейка 2" xfId="81"/>
    <cellStyle name="Связанная ячейка 3" xfId="80"/>
    <cellStyle name="Текст предупреждения 2" xfId="83"/>
    <cellStyle name="Текст предупреждения 3" xfId="82"/>
    <cellStyle name="Хороший 2" xfId="85"/>
    <cellStyle name="Хороший 3" xfId="84"/>
  </cellStyles>
  <dxfs count="0"/>
  <tableStyles count="0" defaultTableStyle="TableStyleMedium9" defaultPivotStyle="PivotStyleLight16"/>
  <colors>
    <mruColors>
      <color rgb="FF99FF33"/>
      <color rgb="FFC9F1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showFormulas="1" zoomScale="60" zoomScaleNormal="60" workbookViewId="0">
      <selection activeCell="D65" sqref="D65:E65"/>
    </sheetView>
  </sheetViews>
  <sheetFormatPr defaultRowHeight="12.75" x14ac:dyDescent="0.2"/>
  <cols>
    <col min="1" max="1" width="34.28515625" customWidth="1"/>
    <col min="2" max="17" width="3.7109375" style="1" customWidth="1"/>
  </cols>
  <sheetData>
    <row r="1" spans="1:22" ht="46.15" customHeight="1" x14ac:dyDescent="0.4">
      <c r="A1" s="160" t="s">
        <v>36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1"/>
      <c r="R1" s="10"/>
      <c r="S1" s="11"/>
      <c r="T1" s="11"/>
      <c r="U1" s="11"/>
      <c r="V1" s="11"/>
    </row>
    <row r="2" spans="1:22" ht="21" customHeight="1" x14ac:dyDescent="0.2">
      <c r="A2" s="13" t="s">
        <v>25</v>
      </c>
      <c r="B2" s="142">
        <f ca="1">TODAY()</f>
        <v>41817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1"/>
      <c r="S2" s="11"/>
      <c r="T2" s="11"/>
      <c r="U2" s="11"/>
      <c r="V2" s="11"/>
    </row>
    <row r="3" spans="1:22" ht="21.6" customHeight="1" x14ac:dyDescent="0.2">
      <c r="A3" s="13" t="s">
        <v>16</v>
      </c>
      <c r="B3" s="53" t="s">
        <v>38</v>
      </c>
      <c r="C3" s="53" t="s">
        <v>38</v>
      </c>
      <c r="D3" s="53" t="s">
        <v>38</v>
      </c>
      <c r="E3" s="53" t="s">
        <v>38</v>
      </c>
      <c r="F3" s="53" t="s">
        <v>38</v>
      </c>
      <c r="G3" s="53" t="s">
        <v>38</v>
      </c>
      <c r="H3" s="53" t="s">
        <v>38</v>
      </c>
      <c r="I3" s="53" t="s">
        <v>38</v>
      </c>
      <c r="J3" s="147"/>
      <c r="K3" s="147"/>
      <c r="L3" s="147"/>
      <c r="M3" s="147"/>
      <c r="N3" s="147"/>
      <c r="O3" s="147"/>
      <c r="P3" s="147"/>
      <c r="Q3" s="147"/>
      <c r="R3" s="11"/>
      <c r="S3" s="11"/>
      <c r="T3" s="11"/>
      <c r="U3" s="11"/>
      <c r="V3" s="11"/>
    </row>
    <row r="4" spans="1:22" ht="22.15" customHeight="1" x14ac:dyDescent="0.2">
      <c r="A4" s="13" t="s">
        <v>1</v>
      </c>
      <c r="B4" s="144" t="s">
        <v>38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1"/>
      <c r="S4" s="11"/>
      <c r="T4" s="11"/>
      <c r="U4" s="11"/>
      <c r="V4" s="11"/>
    </row>
    <row r="5" spans="1:22" ht="18.600000000000001" customHeight="1" x14ac:dyDescent="0.2">
      <c r="A5" s="13" t="s">
        <v>3</v>
      </c>
      <c r="B5" s="144" t="s">
        <v>38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1"/>
      <c r="S5" s="11"/>
      <c r="T5" s="11"/>
      <c r="U5" s="11"/>
      <c r="V5" s="11"/>
    </row>
    <row r="6" spans="1:22" ht="22.9" customHeight="1" x14ac:dyDescent="0.2">
      <c r="A6" s="13" t="s">
        <v>4</v>
      </c>
      <c r="B6" s="144" t="s">
        <v>38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1"/>
      <c r="S6" s="11"/>
      <c r="T6" s="11"/>
      <c r="U6" s="11"/>
      <c r="V6" s="11"/>
    </row>
    <row r="7" spans="1:22" ht="19.899999999999999" customHeight="1" x14ac:dyDescent="0.2">
      <c r="A7" s="13" t="s">
        <v>5</v>
      </c>
      <c r="B7" s="145">
        <v>23326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1"/>
      <c r="S7" s="11"/>
      <c r="T7" s="11"/>
      <c r="U7" s="11"/>
      <c r="V7" s="11"/>
    </row>
    <row r="8" spans="1:22" ht="24.6" customHeight="1" x14ac:dyDescent="0.2">
      <c r="A8" s="13" t="s">
        <v>17</v>
      </c>
      <c r="B8" s="148" t="s">
        <v>38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1"/>
      <c r="S8" s="11"/>
      <c r="T8" s="11"/>
      <c r="U8" s="11"/>
      <c r="V8" s="11"/>
    </row>
    <row r="9" spans="1:22" ht="20.45" customHeight="1" x14ac:dyDescent="0.25">
      <c r="A9" s="13" t="s">
        <v>21</v>
      </c>
      <c r="B9" s="9">
        <v>1</v>
      </c>
      <c r="C9" s="9">
        <v>0</v>
      </c>
      <c r="D9" s="9">
        <v>0</v>
      </c>
      <c r="E9" s="9">
        <v>1</v>
      </c>
      <c r="F9" s="73"/>
      <c r="G9" s="152" t="s">
        <v>159</v>
      </c>
      <c r="H9" s="153"/>
      <c r="I9" s="154"/>
      <c r="J9" s="136">
        <v>2</v>
      </c>
      <c r="K9" s="73"/>
      <c r="L9" s="73"/>
      <c r="M9" s="73"/>
      <c r="N9" s="73"/>
      <c r="O9" s="73"/>
      <c r="P9" s="73"/>
      <c r="Q9" s="73"/>
      <c r="R9" s="10"/>
      <c r="S9" s="11"/>
      <c r="T9" s="11"/>
      <c r="U9" s="11"/>
      <c r="V9" s="11"/>
    </row>
    <row r="10" spans="1:22" ht="25.9" customHeight="1" x14ac:dyDescent="0.2">
      <c r="A10" s="150" t="s">
        <v>24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0"/>
      <c r="S10" s="11"/>
      <c r="T10" s="11"/>
      <c r="U10" s="11"/>
      <c r="V10" s="11"/>
    </row>
    <row r="11" spans="1:22" ht="28.15" customHeight="1" x14ac:dyDescent="0.2">
      <c r="A11" s="6" t="s">
        <v>18</v>
      </c>
      <c r="B11" s="54" t="s">
        <v>38</v>
      </c>
      <c r="C11" s="54" t="s">
        <v>38</v>
      </c>
      <c r="D11" s="54" t="s">
        <v>38</v>
      </c>
      <c r="E11" s="54" t="s">
        <v>38</v>
      </c>
      <c r="F11" s="54" t="s">
        <v>38</v>
      </c>
      <c r="G11" s="54" t="s">
        <v>38</v>
      </c>
      <c r="H11" s="54" t="s">
        <v>38</v>
      </c>
      <c r="I11" s="54" t="s">
        <v>38</v>
      </c>
      <c r="J11" s="54" t="s">
        <v>38</v>
      </c>
      <c r="K11" s="54" t="s">
        <v>38</v>
      </c>
      <c r="L11" s="149"/>
      <c r="M11" s="149"/>
      <c r="N11" s="149"/>
      <c r="O11" s="149"/>
      <c r="P11" s="149"/>
      <c r="Q11" s="149"/>
      <c r="R11" s="10"/>
      <c r="S11" s="11"/>
      <c r="T11" s="11"/>
      <c r="U11" s="11"/>
      <c r="V11" s="11"/>
    </row>
    <row r="12" spans="1:22" ht="17.45" customHeight="1" x14ac:dyDescent="0.2">
      <c r="A12" s="6" t="s">
        <v>19</v>
      </c>
      <c r="B12" s="142" t="s">
        <v>37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1"/>
      <c r="S12" s="11"/>
      <c r="T12" s="11"/>
      <c r="U12" s="11"/>
      <c r="V12" s="11"/>
    </row>
    <row r="13" spans="1:22" ht="76.150000000000006" customHeight="1" x14ac:dyDescent="0.2">
      <c r="A13" s="7" t="s">
        <v>20</v>
      </c>
      <c r="B13" s="156" t="s">
        <v>37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1"/>
      <c r="S13" s="11"/>
      <c r="T13" s="11"/>
      <c r="U13" s="11"/>
      <c r="V13" s="11"/>
    </row>
    <row r="14" spans="1:22" ht="27.6" customHeight="1" x14ac:dyDescent="0.2">
      <c r="A14" s="14" t="s">
        <v>22</v>
      </c>
      <c r="B14" s="55" t="s">
        <v>38</v>
      </c>
      <c r="C14" s="55" t="s">
        <v>38</v>
      </c>
      <c r="D14" s="55" t="s">
        <v>38</v>
      </c>
      <c r="E14" s="55" t="s">
        <v>38</v>
      </c>
      <c r="F14" s="55" t="s">
        <v>38</v>
      </c>
      <c r="G14" s="55" t="s">
        <v>38</v>
      </c>
      <c r="H14" s="55" t="s">
        <v>38</v>
      </c>
      <c r="I14" s="55" t="s">
        <v>38</v>
      </c>
      <c r="J14" s="55" t="s">
        <v>38</v>
      </c>
      <c r="K14" s="55" t="s">
        <v>38</v>
      </c>
      <c r="L14" s="55" t="s">
        <v>38</v>
      </c>
      <c r="M14" s="55" t="s">
        <v>38</v>
      </c>
      <c r="N14" s="55" t="s">
        <v>38</v>
      </c>
      <c r="O14" s="55" t="s">
        <v>38</v>
      </c>
      <c r="P14" s="55" t="s">
        <v>38</v>
      </c>
      <c r="Q14" s="55" t="s">
        <v>38</v>
      </c>
      <c r="R14" s="11"/>
      <c r="S14" s="11"/>
      <c r="T14" s="11"/>
      <c r="U14" s="11"/>
      <c r="V14" s="11"/>
    </row>
    <row r="15" spans="1:22" ht="25.15" customHeight="1" x14ac:dyDescent="0.2">
      <c r="A15" s="8" t="s">
        <v>23</v>
      </c>
      <c r="B15" s="146" t="s">
        <v>37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1"/>
      <c r="S15" s="11"/>
      <c r="T15" s="11"/>
      <c r="U15" s="11"/>
      <c r="V15" s="11"/>
    </row>
    <row r="16" spans="1:22" ht="22.15" customHeight="1" x14ac:dyDescent="0.2">
      <c r="A16" s="5" t="s">
        <v>19</v>
      </c>
      <c r="B16" s="145" t="s">
        <v>37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1"/>
      <c r="S16" s="11"/>
      <c r="T16" s="11"/>
      <c r="U16" s="11"/>
      <c r="V16" s="11"/>
    </row>
    <row r="17" spans="1:22" x14ac:dyDescent="0.2">
      <c r="A17" s="10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1"/>
      <c r="S17" s="11"/>
      <c r="T17" s="11"/>
      <c r="U17" s="11"/>
      <c r="V17" s="11"/>
    </row>
    <row r="18" spans="1:22" ht="27" customHeight="1" x14ac:dyDescent="0.25">
      <c r="A18" s="15" t="s">
        <v>26</v>
      </c>
      <c r="B18" s="158" t="s">
        <v>27</v>
      </c>
      <c r="C18" s="158"/>
      <c r="D18" s="157" t="s">
        <v>37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1"/>
      <c r="S18" s="11"/>
      <c r="T18" s="11"/>
      <c r="U18" s="11"/>
      <c r="V18" s="11"/>
    </row>
    <row r="19" spans="1:22" ht="27" customHeight="1" x14ac:dyDescent="0.2">
      <c r="A19" s="16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1"/>
      <c r="S19" s="11"/>
      <c r="T19" s="11"/>
      <c r="U19" s="11"/>
      <c r="V19" s="11"/>
    </row>
    <row r="20" spans="1:22" ht="15" x14ac:dyDescent="0.2">
      <c r="A20" s="6" t="s">
        <v>11</v>
      </c>
      <c r="B20" s="155" t="s">
        <v>37</v>
      </c>
      <c r="C20" s="155"/>
      <c r="D20" s="155"/>
      <c r="E20" s="155"/>
      <c r="F20" s="155"/>
      <c r="G20" s="155"/>
      <c r="H20" s="155"/>
      <c r="I20" s="155"/>
      <c r="J20" s="149"/>
      <c r="K20" s="149"/>
      <c r="L20" s="149"/>
      <c r="M20" s="149"/>
      <c r="N20" s="149"/>
      <c r="O20" s="149"/>
      <c r="P20" s="149"/>
      <c r="Q20" s="149"/>
      <c r="R20" s="10"/>
      <c r="S20" s="11"/>
      <c r="T20" s="11"/>
      <c r="U20" s="11"/>
      <c r="V20" s="11"/>
    </row>
    <row r="21" spans="1:22" ht="15" x14ac:dyDescent="0.2">
      <c r="A21" s="11"/>
      <c r="B21" s="155" t="s">
        <v>37</v>
      </c>
      <c r="C21" s="155"/>
      <c r="D21" s="155"/>
      <c r="E21" s="155"/>
      <c r="F21" s="155"/>
      <c r="G21" s="155"/>
      <c r="H21" s="155"/>
      <c r="I21" s="155"/>
      <c r="J21" s="149"/>
      <c r="K21" s="149"/>
      <c r="L21" s="149"/>
      <c r="M21" s="149"/>
      <c r="N21" s="149"/>
      <c r="O21" s="149"/>
      <c r="P21" s="149"/>
      <c r="Q21" s="149"/>
      <c r="R21" s="10"/>
      <c r="S21" s="11"/>
      <c r="T21" s="11"/>
      <c r="U21" s="11"/>
      <c r="V21" s="11"/>
    </row>
    <row r="22" spans="1:22" ht="15" x14ac:dyDescent="0.2">
      <c r="A22" s="11"/>
      <c r="B22" s="155" t="s">
        <v>37</v>
      </c>
      <c r="C22" s="155"/>
      <c r="D22" s="155"/>
      <c r="E22" s="155"/>
      <c r="F22" s="155"/>
      <c r="G22" s="155"/>
      <c r="H22" s="155"/>
      <c r="I22" s="155"/>
      <c r="J22" s="149"/>
      <c r="K22" s="149"/>
      <c r="L22" s="149"/>
      <c r="M22" s="149"/>
      <c r="N22" s="149"/>
      <c r="O22" s="149"/>
      <c r="P22" s="149"/>
      <c r="Q22" s="149"/>
      <c r="R22" s="10"/>
      <c r="S22" s="11"/>
      <c r="T22" s="11"/>
      <c r="U22" s="11"/>
      <c r="V22" s="11"/>
    </row>
    <row r="23" spans="1:22" ht="15" x14ac:dyDescent="0.2">
      <c r="A23" s="11"/>
      <c r="B23" s="155" t="s">
        <v>37</v>
      </c>
      <c r="C23" s="155"/>
      <c r="D23" s="155"/>
      <c r="E23" s="155"/>
      <c r="F23" s="155"/>
      <c r="G23" s="155"/>
      <c r="H23" s="155"/>
      <c r="I23" s="155"/>
      <c r="J23" s="149"/>
      <c r="K23" s="149"/>
      <c r="L23" s="149"/>
      <c r="M23" s="149"/>
      <c r="N23" s="149"/>
      <c r="O23" s="149"/>
      <c r="P23" s="149"/>
      <c r="Q23" s="149"/>
      <c r="R23" s="10"/>
      <c r="S23" s="11"/>
      <c r="T23" s="11"/>
      <c r="U23" s="11"/>
      <c r="V23" s="11"/>
    </row>
    <row r="24" spans="1:22" ht="15" x14ac:dyDescent="0.2">
      <c r="A24" s="11"/>
      <c r="B24" s="155" t="s">
        <v>37</v>
      </c>
      <c r="C24" s="155"/>
      <c r="D24" s="155"/>
      <c r="E24" s="155"/>
      <c r="F24" s="155"/>
      <c r="G24" s="155"/>
      <c r="H24" s="155"/>
      <c r="I24" s="155"/>
      <c r="J24" s="149"/>
      <c r="K24" s="149"/>
      <c r="L24" s="149"/>
      <c r="M24" s="149"/>
      <c r="N24" s="149"/>
      <c r="O24" s="149"/>
      <c r="P24" s="149"/>
      <c r="Q24" s="149"/>
      <c r="R24" s="10"/>
      <c r="S24" s="11"/>
      <c r="T24" s="11"/>
      <c r="U24" s="11"/>
      <c r="V24" s="11"/>
    </row>
    <row r="25" spans="1:22" x14ac:dyDescent="0.2">
      <c r="A25" s="150" t="s">
        <v>28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0"/>
      <c r="S25" s="11"/>
      <c r="T25" s="11"/>
      <c r="U25" s="11"/>
      <c r="V25" s="11"/>
    </row>
    <row r="26" spans="1:22" x14ac:dyDescent="0.2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0"/>
      <c r="S26" s="11"/>
      <c r="T26" s="11"/>
      <c r="U26" s="11"/>
      <c r="V26" s="11"/>
    </row>
    <row r="27" spans="1:22" ht="15" x14ac:dyDescent="0.2">
      <c r="A27" s="56" t="s">
        <v>29</v>
      </c>
      <c r="B27" s="155" t="s">
        <v>37</v>
      </c>
      <c r="C27" s="155"/>
      <c r="D27" s="155"/>
      <c r="E27" s="155"/>
      <c r="F27" s="155"/>
      <c r="G27" s="155"/>
      <c r="H27" s="155"/>
      <c r="I27" s="155"/>
      <c r="J27" s="149"/>
      <c r="K27" s="149"/>
      <c r="L27" s="149"/>
      <c r="M27" s="149"/>
      <c r="N27" s="149"/>
      <c r="O27" s="149"/>
      <c r="P27" s="149"/>
      <c r="Q27" s="149"/>
      <c r="R27" s="11"/>
      <c r="S27" s="11"/>
      <c r="T27" s="11"/>
      <c r="U27" s="11"/>
      <c r="V27" s="11"/>
    </row>
    <row r="28" spans="1:22" ht="15" x14ac:dyDescent="0.2">
      <c r="A28" s="56" t="s">
        <v>30</v>
      </c>
      <c r="B28" s="163" t="s">
        <v>37</v>
      </c>
      <c r="C28" s="155"/>
      <c r="D28" s="155"/>
      <c r="E28" s="155"/>
      <c r="F28" s="155"/>
      <c r="G28" s="155"/>
      <c r="H28" s="155"/>
      <c r="I28" s="155"/>
      <c r="J28" s="149"/>
      <c r="K28" s="149"/>
      <c r="L28" s="149"/>
      <c r="M28" s="149"/>
      <c r="N28" s="149"/>
      <c r="O28" s="149"/>
      <c r="P28" s="149"/>
      <c r="Q28" s="149"/>
      <c r="R28" s="11"/>
      <c r="S28" s="11"/>
      <c r="T28" s="11"/>
      <c r="U28" s="11"/>
      <c r="V28" s="11"/>
    </row>
    <row r="29" spans="1:22" x14ac:dyDescent="0.2">
      <c r="A29" s="162"/>
      <c r="B29" s="162"/>
      <c r="C29" s="162"/>
      <c r="D29" s="162"/>
      <c r="E29" s="162"/>
      <c r="F29" s="162"/>
      <c r="G29" s="162"/>
      <c r="H29" s="162"/>
      <c r="I29" s="149"/>
      <c r="J29" s="149"/>
      <c r="K29" s="149"/>
      <c r="L29" s="149"/>
      <c r="M29" s="149"/>
      <c r="N29" s="149"/>
      <c r="O29" s="149"/>
      <c r="P29" s="149"/>
      <c r="Q29" s="149"/>
      <c r="R29" s="11"/>
      <c r="S29" s="11"/>
      <c r="T29" s="11"/>
      <c r="U29" s="11"/>
      <c r="V29" s="11"/>
    </row>
    <row r="30" spans="1:22" ht="15" x14ac:dyDescent="0.2">
      <c r="A30" s="56" t="s">
        <v>31</v>
      </c>
      <c r="B30" s="155" t="s">
        <v>37</v>
      </c>
      <c r="C30" s="155"/>
      <c r="D30" s="155"/>
      <c r="E30" s="155"/>
      <c r="F30" s="155"/>
      <c r="G30" s="155"/>
      <c r="H30" s="155"/>
      <c r="I30" s="155"/>
      <c r="J30" s="149"/>
      <c r="K30" s="149"/>
      <c r="L30" s="149"/>
      <c r="M30" s="149"/>
      <c r="N30" s="149"/>
      <c r="O30" s="149"/>
      <c r="P30" s="149"/>
      <c r="Q30" s="149"/>
      <c r="R30" s="11"/>
      <c r="S30" s="11"/>
      <c r="T30" s="11"/>
      <c r="U30" s="11"/>
      <c r="V30" s="11"/>
    </row>
    <row r="31" spans="1:22" ht="15" x14ac:dyDescent="0.2">
      <c r="A31" s="56" t="s">
        <v>32</v>
      </c>
      <c r="B31" s="155" t="s">
        <v>37</v>
      </c>
      <c r="C31" s="155"/>
      <c r="D31" s="155"/>
      <c r="E31" s="155"/>
      <c r="F31" s="155"/>
      <c r="G31" s="155"/>
      <c r="H31" s="155"/>
      <c r="I31" s="155"/>
      <c r="J31" s="149"/>
      <c r="K31" s="149"/>
      <c r="L31" s="149"/>
      <c r="M31" s="149"/>
      <c r="N31" s="149"/>
      <c r="O31" s="149"/>
      <c r="P31" s="149"/>
      <c r="Q31" s="149"/>
      <c r="R31" s="11"/>
      <c r="S31" s="11"/>
      <c r="T31" s="11"/>
      <c r="U31" s="10"/>
      <c r="V31" s="11"/>
    </row>
    <row r="32" spans="1:22" x14ac:dyDescent="0.2">
      <c r="A32" s="162"/>
      <c r="B32" s="162"/>
      <c r="C32" s="162"/>
      <c r="D32" s="162"/>
      <c r="E32" s="162"/>
      <c r="F32" s="162"/>
      <c r="G32" s="162"/>
      <c r="H32" s="162"/>
      <c r="I32" s="149"/>
      <c r="J32" s="149"/>
      <c r="K32" s="149"/>
      <c r="L32" s="149"/>
      <c r="M32" s="149"/>
      <c r="N32" s="149"/>
      <c r="O32" s="149"/>
      <c r="P32" s="149"/>
      <c r="Q32" s="149"/>
      <c r="R32" s="11"/>
      <c r="S32" s="11"/>
      <c r="T32" s="11"/>
      <c r="U32" s="11"/>
      <c r="V32" s="11"/>
    </row>
    <row r="33" spans="1:22" ht="25.9" customHeight="1" x14ac:dyDescent="0.2">
      <c r="A33" s="150" t="s">
        <v>33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1"/>
      <c r="S33" s="11"/>
      <c r="T33" s="11"/>
      <c r="U33" s="11"/>
      <c r="V33" s="10"/>
    </row>
    <row r="34" spans="1:22" ht="15" x14ac:dyDescent="0.2">
      <c r="A34" s="56" t="s">
        <v>34</v>
      </c>
      <c r="B34" s="155" t="s">
        <v>37</v>
      </c>
      <c r="C34" s="155"/>
      <c r="D34" s="155"/>
      <c r="E34" s="155"/>
      <c r="F34" s="155"/>
      <c r="G34" s="155"/>
      <c r="H34" s="155"/>
      <c r="I34" s="155"/>
      <c r="J34" s="149"/>
      <c r="K34" s="149"/>
      <c r="L34" s="149"/>
      <c r="M34" s="149"/>
      <c r="N34" s="149"/>
      <c r="O34" s="149"/>
      <c r="P34" s="149"/>
      <c r="Q34" s="149"/>
      <c r="R34" s="11"/>
      <c r="S34" s="11"/>
      <c r="T34" s="11"/>
      <c r="U34" s="11"/>
      <c r="V34" s="11"/>
    </row>
    <row r="35" spans="1:22" ht="15" x14ac:dyDescent="0.2">
      <c r="A35" s="56" t="s">
        <v>35</v>
      </c>
      <c r="B35" s="155" t="s">
        <v>37</v>
      </c>
      <c r="C35" s="155"/>
      <c r="D35" s="155"/>
      <c r="E35" s="155"/>
      <c r="F35" s="155"/>
      <c r="G35" s="155"/>
      <c r="H35" s="155"/>
      <c r="I35" s="155"/>
      <c r="J35" s="149"/>
      <c r="K35" s="149"/>
      <c r="L35" s="149"/>
      <c r="M35" s="149"/>
      <c r="N35" s="149"/>
      <c r="O35" s="149"/>
      <c r="P35" s="149"/>
      <c r="Q35" s="149"/>
      <c r="R35" s="11"/>
      <c r="S35" s="11"/>
      <c r="T35" s="11"/>
      <c r="U35" s="11"/>
      <c r="V35" s="11"/>
    </row>
    <row r="36" spans="1:22" x14ac:dyDescent="0.2">
      <c r="A36" s="11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1"/>
      <c r="S36" s="11"/>
      <c r="T36" s="11"/>
      <c r="U36" s="11"/>
      <c r="V36" s="11"/>
    </row>
    <row r="37" spans="1:22" x14ac:dyDescent="0.2">
      <c r="A37" s="11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  <c r="S37" s="11"/>
      <c r="T37" s="11"/>
      <c r="U37" s="11"/>
      <c r="V37" s="11"/>
    </row>
    <row r="38" spans="1:22" x14ac:dyDescent="0.2">
      <c r="A38" s="11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/>
      <c r="S38" s="11"/>
      <c r="T38" s="11"/>
      <c r="U38" s="11"/>
      <c r="V38" s="11"/>
    </row>
    <row r="39" spans="1:22" x14ac:dyDescent="0.2">
      <c r="A39" s="1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/>
      <c r="S39" s="11"/>
      <c r="T39" s="11"/>
      <c r="U39" s="11"/>
      <c r="V39" s="11"/>
    </row>
    <row r="40" spans="1:22" x14ac:dyDescent="0.2">
      <c r="A40" s="1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1"/>
      <c r="S40" s="11"/>
      <c r="T40" s="11"/>
      <c r="U40" s="11"/>
      <c r="V40" s="11"/>
    </row>
    <row r="41" spans="1:22" ht="20.25" x14ac:dyDescent="0.3">
      <c r="A41" s="83" t="s">
        <v>54</v>
      </c>
      <c r="B41" s="168">
        <v>1.65</v>
      </c>
      <c r="C41" s="168"/>
      <c r="D41" s="77"/>
      <c r="E41" s="77"/>
      <c r="F41" s="164" t="s">
        <v>70</v>
      </c>
      <c r="G41" s="164"/>
      <c r="H41" s="164"/>
      <c r="I41" s="164"/>
      <c r="J41" s="164"/>
      <c r="K41" s="165"/>
      <c r="L41" s="165"/>
      <c r="M41" s="77"/>
      <c r="N41" s="77"/>
      <c r="O41" s="77"/>
      <c r="P41" s="77"/>
      <c r="Q41" s="77"/>
      <c r="R41" s="76"/>
      <c r="S41" s="76"/>
      <c r="T41" s="76"/>
      <c r="U41" s="76"/>
      <c r="V41" s="76"/>
    </row>
    <row r="42" spans="1:22" ht="20.25" x14ac:dyDescent="0.25">
      <c r="A42" s="83" t="s">
        <v>55</v>
      </c>
      <c r="B42" s="169">
        <v>85</v>
      </c>
      <c r="C42" s="169"/>
      <c r="D42" s="77"/>
      <c r="E42" s="77"/>
      <c r="F42" s="77"/>
      <c r="G42" s="77"/>
      <c r="H42" s="77"/>
      <c r="I42" s="77"/>
      <c r="J42" s="106">
        <v>110</v>
      </c>
      <c r="K42" s="82" t="s">
        <v>71</v>
      </c>
      <c r="L42" s="106">
        <v>70</v>
      </c>
      <c r="M42" s="166" t="s">
        <v>72</v>
      </c>
      <c r="N42" s="167"/>
      <c r="O42" s="77"/>
      <c r="P42" s="77"/>
      <c r="Q42" s="77"/>
      <c r="R42" s="76"/>
      <c r="S42" s="76"/>
      <c r="T42" s="76"/>
      <c r="U42" s="76"/>
      <c r="V42" s="76"/>
    </row>
    <row r="43" spans="1:22" x14ac:dyDescent="0.2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6"/>
      <c r="S43" s="76"/>
      <c r="T43" s="76"/>
      <c r="U43" s="76"/>
      <c r="V43" s="76"/>
    </row>
    <row r="44" spans="1:22" ht="18" x14ac:dyDescent="0.25">
      <c r="A44" s="86" t="s">
        <v>61</v>
      </c>
      <c r="B44" s="85" t="s">
        <v>56</v>
      </c>
      <c r="C44" s="89">
        <v>1.5</v>
      </c>
      <c r="D44" s="85" t="s">
        <v>57</v>
      </c>
      <c r="E44" s="89">
        <v>1.93</v>
      </c>
      <c r="F44" s="85" t="s">
        <v>58</v>
      </c>
      <c r="G44" s="89">
        <v>2.2999999999999998</v>
      </c>
      <c r="H44" s="181" t="s">
        <v>59</v>
      </c>
      <c r="I44" s="181"/>
      <c r="J44" s="159">
        <v>100</v>
      </c>
      <c r="K44" s="159"/>
      <c r="L44" s="77"/>
      <c r="M44" s="77"/>
      <c r="N44" s="77"/>
      <c r="O44" s="77"/>
      <c r="P44" s="77"/>
      <c r="Q44" s="77"/>
      <c r="R44" s="76"/>
      <c r="S44" s="76"/>
      <c r="T44" s="76"/>
      <c r="U44" s="76"/>
      <c r="V44" s="76"/>
    </row>
    <row r="45" spans="1:22" ht="15" x14ac:dyDescent="0.2">
      <c r="A45" s="84" t="s">
        <v>60</v>
      </c>
      <c r="B45" s="172" t="s">
        <v>92</v>
      </c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4"/>
      <c r="R45" s="76"/>
      <c r="S45" s="76"/>
      <c r="T45" s="76"/>
      <c r="U45" s="76"/>
      <c r="V45" s="76"/>
    </row>
    <row r="46" spans="1:22" x14ac:dyDescent="0.2">
      <c r="A46" s="76"/>
      <c r="B46" s="175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7"/>
      <c r="R46" s="76"/>
      <c r="S46" s="76"/>
      <c r="T46" s="76"/>
      <c r="U46" s="76"/>
      <c r="V46" s="76"/>
    </row>
    <row r="47" spans="1:22" x14ac:dyDescent="0.2">
      <c r="A47" s="76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6"/>
      <c r="S47" s="76"/>
      <c r="T47" s="76"/>
      <c r="U47" s="76"/>
      <c r="V47" s="76"/>
    </row>
    <row r="48" spans="1:22" ht="19.149999999999999" customHeight="1" x14ac:dyDescent="0.2">
      <c r="A48" s="185" t="s">
        <v>62</v>
      </c>
      <c r="B48" s="88" t="s">
        <v>63</v>
      </c>
      <c r="C48" s="182" t="s">
        <v>93</v>
      </c>
      <c r="D48" s="182"/>
      <c r="E48" s="81"/>
      <c r="F48" s="183" t="s">
        <v>64</v>
      </c>
      <c r="G48" s="183"/>
      <c r="H48" s="184">
        <v>72</v>
      </c>
      <c r="I48" s="184"/>
      <c r="J48" s="77"/>
      <c r="K48" s="77"/>
      <c r="L48" s="77"/>
      <c r="M48" s="77"/>
      <c r="N48" s="77"/>
      <c r="O48" s="77"/>
      <c r="P48" s="77"/>
      <c r="Q48" s="77"/>
      <c r="R48" s="76"/>
      <c r="S48" s="76"/>
      <c r="T48" s="76"/>
      <c r="U48" s="76"/>
      <c r="V48" s="76"/>
    </row>
    <row r="49" spans="1:22" ht="18" customHeight="1" x14ac:dyDescent="0.2">
      <c r="A49" s="18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6"/>
      <c r="S49" s="76"/>
      <c r="T49" s="76"/>
      <c r="U49" s="76"/>
      <c r="V49" s="76"/>
    </row>
    <row r="50" spans="1:22" ht="15" x14ac:dyDescent="0.2">
      <c r="A50" s="84" t="s">
        <v>60</v>
      </c>
      <c r="B50" s="172" t="s">
        <v>94</v>
      </c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4"/>
      <c r="R50" s="76"/>
      <c r="S50" s="76"/>
      <c r="T50" s="76"/>
      <c r="U50" s="76"/>
      <c r="V50" s="76"/>
    </row>
    <row r="51" spans="1:22" x14ac:dyDescent="0.2">
      <c r="A51" s="76"/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7"/>
      <c r="R51" s="76"/>
      <c r="S51" s="76"/>
      <c r="T51" s="76"/>
      <c r="U51" s="76"/>
      <c r="V51" s="76"/>
    </row>
    <row r="52" spans="1:22" x14ac:dyDescent="0.2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6"/>
      <c r="S52" s="76"/>
      <c r="T52" s="76"/>
      <c r="U52" s="76"/>
      <c r="V52" s="76"/>
    </row>
    <row r="53" spans="1:22" ht="25.15" customHeight="1" x14ac:dyDescent="0.2">
      <c r="A53" s="178" t="s">
        <v>65</v>
      </c>
      <c r="B53" s="171" t="s">
        <v>95</v>
      </c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76"/>
      <c r="S53" s="76"/>
      <c r="T53" s="76"/>
      <c r="U53" s="76"/>
      <c r="V53" s="76"/>
    </row>
    <row r="54" spans="1:22" x14ac:dyDescent="0.2">
      <c r="A54" s="179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76"/>
      <c r="S54" s="76"/>
      <c r="T54" s="76"/>
      <c r="U54" s="76"/>
      <c r="V54" s="76"/>
    </row>
    <row r="55" spans="1:22" x14ac:dyDescent="0.2">
      <c r="A55" s="179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76"/>
      <c r="S55" s="76"/>
      <c r="T55" s="76"/>
      <c r="U55" s="76"/>
      <c r="V55" s="76"/>
    </row>
    <row r="56" spans="1:22" x14ac:dyDescent="0.2">
      <c r="A56" s="79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6"/>
      <c r="S56" s="76"/>
      <c r="T56" s="76"/>
      <c r="U56" s="76"/>
      <c r="V56" s="76"/>
    </row>
    <row r="57" spans="1:22" x14ac:dyDescent="0.2">
      <c r="A57" s="180" t="s">
        <v>66</v>
      </c>
      <c r="B57" s="171" t="s">
        <v>96</v>
      </c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76"/>
      <c r="S57" s="76"/>
      <c r="T57" s="76"/>
      <c r="U57" s="76"/>
      <c r="V57" s="76"/>
    </row>
    <row r="58" spans="1:22" x14ac:dyDescent="0.2">
      <c r="A58" s="180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76"/>
      <c r="S58" s="76"/>
      <c r="T58" s="76"/>
      <c r="U58" s="76"/>
      <c r="V58" s="76"/>
    </row>
    <row r="59" spans="1:22" x14ac:dyDescent="0.2">
      <c r="A59" s="180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76"/>
      <c r="S59" s="76"/>
      <c r="T59" s="76"/>
      <c r="U59" s="76"/>
      <c r="V59" s="76"/>
    </row>
    <row r="60" spans="1:22" x14ac:dyDescent="0.2">
      <c r="A60" s="180"/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76"/>
      <c r="S60" s="76"/>
      <c r="T60" s="76"/>
      <c r="U60" s="76"/>
      <c r="V60" s="76"/>
    </row>
    <row r="61" spans="1:22" x14ac:dyDescent="0.2">
      <c r="A61" s="80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6"/>
      <c r="S61" s="76"/>
      <c r="T61" s="76"/>
      <c r="U61" s="76"/>
      <c r="V61" s="76"/>
    </row>
    <row r="62" spans="1:22" x14ac:dyDescent="0.2">
      <c r="A62" s="170" t="s">
        <v>67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76"/>
      <c r="S62" s="76"/>
      <c r="T62" s="76"/>
      <c r="U62" s="76"/>
      <c r="V62" s="76"/>
    </row>
    <row r="63" spans="1:22" x14ac:dyDescent="0.2">
      <c r="A63" s="170"/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76"/>
      <c r="S63" s="76"/>
      <c r="T63" s="76"/>
      <c r="U63" s="76"/>
      <c r="V63" s="76"/>
    </row>
    <row r="64" spans="1:22" x14ac:dyDescent="0.2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6"/>
      <c r="S64" s="76"/>
      <c r="T64" s="76"/>
      <c r="U64" s="76"/>
      <c r="V64" s="76"/>
    </row>
    <row r="65" spans="1:22" ht="15" x14ac:dyDescent="0.2">
      <c r="A65" s="170" t="s">
        <v>68</v>
      </c>
      <c r="B65" s="194" t="s">
        <v>151</v>
      </c>
      <c r="C65" s="194"/>
      <c r="D65" s="195">
        <v>0</v>
      </c>
      <c r="E65" s="195"/>
      <c r="F65" s="87"/>
      <c r="G65" s="87"/>
      <c r="H65" s="194" t="s">
        <v>152</v>
      </c>
      <c r="I65" s="194"/>
      <c r="J65" s="196">
        <v>0</v>
      </c>
      <c r="K65" s="196"/>
      <c r="L65" s="87"/>
      <c r="M65" s="87"/>
      <c r="N65" s="87"/>
      <c r="O65" s="87"/>
      <c r="P65" s="87"/>
      <c r="Q65" s="87"/>
      <c r="R65" s="77"/>
      <c r="S65" s="76"/>
      <c r="T65" s="76"/>
      <c r="U65" s="76"/>
      <c r="V65" s="76"/>
    </row>
    <row r="66" spans="1:22" x14ac:dyDescent="0.2">
      <c r="A66" s="170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77"/>
      <c r="S66" s="76"/>
      <c r="T66" s="76"/>
      <c r="U66" s="76"/>
      <c r="V66" s="76"/>
    </row>
    <row r="67" spans="1:22" x14ac:dyDescent="0.2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6"/>
      <c r="S67" s="76"/>
      <c r="T67" s="76"/>
      <c r="U67" s="76"/>
      <c r="V67" s="76"/>
    </row>
    <row r="68" spans="1:22" ht="15.75" x14ac:dyDescent="0.25">
      <c r="A68" s="104" t="s">
        <v>99</v>
      </c>
      <c r="B68" s="102" t="s">
        <v>100</v>
      </c>
      <c r="C68" s="113">
        <v>0.01</v>
      </c>
      <c r="D68" s="87" t="s">
        <v>98</v>
      </c>
      <c r="E68" s="187" t="s">
        <v>38</v>
      </c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9"/>
      <c r="R68" s="76"/>
      <c r="S68" s="76"/>
      <c r="T68" s="76"/>
      <c r="U68" s="76"/>
      <c r="V68" s="76"/>
    </row>
    <row r="69" spans="1:22" x14ac:dyDescent="0.2">
      <c r="A69" s="76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6"/>
      <c r="S69" s="76"/>
      <c r="T69" s="76"/>
      <c r="U69" s="76"/>
      <c r="V69" s="76"/>
    </row>
    <row r="70" spans="1:22" ht="15.75" x14ac:dyDescent="0.25">
      <c r="A70" s="104" t="s">
        <v>52</v>
      </c>
      <c r="B70" s="190">
        <v>5.0999999999999996</v>
      </c>
      <c r="C70" s="190"/>
      <c r="D70" s="191" t="s">
        <v>81</v>
      </c>
      <c r="E70" s="192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6"/>
      <c r="S70" s="76"/>
      <c r="T70" s="76"/>
      <c r="U70" s="76"/>
      <c r="V70" s="76"/>
    </row>
    <row r="71" spans="1:22" ht="15" x14ac:dyDescent="0.25">
      <c r="A71" s="193"/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</row>
    <row r="72" spans="1:22" ht="15.75" x14ac:dyDescent="0.25">
      <c r="A72" s="104" t="s">
        <v>101</v>
      </c>
      <c r="B72" s="190">
        <v>5.41</v>
      </c>
      <c r="C72" s="190"/>
      <c r="D72" s="191" t="s">
        <v>81</v>
      </c>
      <c r="E72" s="192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6"/>
      <c r="S72" s="76"/>
      <c r="T72" s="76"/>
      <c r="U72" s="76"/>
      <c r="V72" s="76"/>
    </row>
    <row r="73" spans="1:22" x14ac:dyDescent="0.2">
      <c r="A73" s="76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6"/>
      <c r="S73" s="76"/>
      <c r="T73" s="76"/>
      <c r="U73" s="76"/>
      <c r="V73" s="76"/>
    </row>
  </sheetData>
  <mergeCells count="65">
    <mergeCell ref="A48:A49"/>
    <mergeCell ref="E68:Q68"/>
    <mergeCell ref="B70:C70"/>
    <mergeCell ref="B72:C72"/>
    <mergeCell ref="D70:E70"/>
    <mergeCell ref="D72:E72"/>
    <mergeCell ref="A71:V71"/>
    <mergeCell ref="B65:C65"/>
    <mergeCell ref="D65:E65"/>
    <mergeCell ref="H65:I65"/>
    <mergeCell ref="J65:K65"/>
    <mergeCell ref="A65:A66"/>
    <mergeCell ref="F41:L41"/>
    <mergeCell ref="M42:N42"/>
    <mergeCell ref="B41:C41"/>
    <mergeCell ref="B42:C42"/>
    <mergeCell ref="A62:A63"/>
    <mergeCell ref="B62:Q63"/>
    <mergeCell ref="B50:Q51"/>
    <mergeCell ref="A53:A55"/>
    <mergeCell ref="B53:Q55"/>
    <mergeCell ref="A57:A60"/>
    <mergeCell ref="B57:Q60"/>
    <mergeCell ref="H44:I44"/>
    <mergeCell ref="B45:Q46"/>
    <mergeCell ref="C48:D48"/>
    <mergeCell ref="F48:G48"/>
    <mergeCell ref="H48:I48"/>
    <mergeCell ref="J44:K44"/>
    <mergeCell ref="A1:Q1"/>
    <mergeCell ref="B34:I34"/>
    <mergeCell ref="B35:I35"/>
    <mergeCell ref="A29:I29"/>
    <mergeCell ref="J27:Q32"/>
    <mergeCell ref="A32:I32"/>
    <mergeCell ref="J34:Q35"/>
    <mergeCell ref="A33:Q33"/>
    <mergeCell ref="B27:I27"/>
    <mergeCell ref="B28:I28"/>
    <mergeCell ref="B30:I30"/>
    <mergeCell ref="B31:I31"/>
    <mergeCell ref="A25:Q26"/>
    <mergeCell ref="B20:I20"/>
    <mergeCell ref="B21:I21"/>
    <mergeCell ref="B22:I22"/>
    <mergeCell ref="B23:I23"/>
    <mergeCell ref="B24:I24"/>
    <mergeCell ref="B13:Q13"/>
    <mergeCell ref="B15:Q15"/>
    <mergeCell ref="B16:Q16"/>
    <mergeCell ref="D18:Q18"/>
    <mergeCell ref="B19:Q19"/>
    <mergeCell ref="J20:Q24"/>
    <mergeCell ref="B18:C18"/>
    <mergeCell ref="B8:Q8"/>
    <mergeCell ref="L11:Q11"/>
    <mergeCell ref="B12:Q12"/>
    <mergeCell ref="A10:Q10"/>
    <mergeCell ref="G9:I9"/>
    <mergeCell ref="B2:Q2"/>
    <mergeCell ref="B4:Q4"/>
    <mergeCell ref="B5:Q5"/>
    <mergeCell ref="B6:Q6"/>
    <mergeCell ref="B7:Q7"/>
    <mergeCell ref="J3:Q3"/>
  </mergeCells>
  <dataValidations count="1">
    <dataValidation type="textLength" operator="lessThanOrEqual" allowBlank="1" showInputMessage="1" showErrorMessage="1" sqref="B3:I3 B9:E9 B11:K11 B14:Q14">
      <formula1>1</formula1>
    </dataValidation>
  </dataValidations>
  <pageMargins left="0.25" right="0.25" top="0.75" bottom="0.75" header="0.3" footer="0.3"/>
  <pageSetup paperSize="9"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4"/>
  <sheetViews>
    <sheetView zoomScale="60" zoomScaleNormal="60" workbookViewId="0">
      <selection activeCell="AN1" sqref="A1:AN6"/>
    </sheetView>
  </sheetViews>
  <sheetFormatPr defaultRowHeight="12.75" x14ac:dyDescent="0.2"/>
  <cols>
    <col min="1" max="1" width="14.42578125" customWidth="1"/>
    <col min="2" max="2" width="20.5703125" customWidth="1"/>
    <col min="3" max="18" width="3.7109375" customWidth="1"/>
    <col min="19" max="19" width="7.28515625" customWidth="1"/>
    <col min="20" max="20" width="10.7109375" customWidth="1"/>
    <col min="21" max="21" width="14.42578125" customWidth="1"/>
    <col min="22" max="22" width="20.5703125" customWidth="1"/>
    <col min="23" max="38" width="3.7109375" customWidth="1"/>
    <col min="39" max="39" width="7.28515625" customWidth="1"/>
    <col min="40" max="40" width="8.85546875" customWidth="1"/>
  </cols>
  <sheetData>
    <row r="1" spans="1:39" ht="27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49"/>
      <c r="M1" s="249"/>
      <c r="N1" s="249"/>
      <c r="O1" s="249"/>
      <c r="P1" s="249"/>
      <c r="Q1" s="249"/>
      <c r="R1" s="249"/>
      <c r="S1" s="249"/>
      <c r="T1" s="34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249"/>
      <c r="AG1" s="249"/>
      <c r="AH1" s="249"/>
      <c r="AI1" s="249"/>
      <c r="AJ1" s="249"/>
      <c r="AK1" s="249"/>
      <c r="AL1" s="249"/>
      <c r="AM1" s="249"/>
    </row>
    <row r="2" spans="1:39" s="2" customFormat="1" ht="17.45" customHeight="1" x14ac:dyDescent="0.2">
      <c r="A2" s="250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35"/>
      <c r="U2" s="250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</row>
    <row r="3" spans="1:39" s="2" customFormat="1" ht="21.6" customHeight="1" x14ac:dyDescent="0.2">
      <c r="A3" s="252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36"/>
      <c r="U3" s="252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</row>
    <row r="4" spans="1:39" ht="16.149999999999999" customHeight="1" x14ac:dyDescent="0.25">
      <c r="A4" s="254"/>
      <c r="B4" s="255"/>
      <c r="C4" s="255"/>
      <c r="D4" s="255"/>
      <c r="E4" s="256"/>
      <c r="F4" s="255"/>
      <c r="G4" s="255"/>
      <c r="H4" s="255"/>
      <c r="I4" s="255"/>
      <c r="J4" s="257"/>
      <c r="K4" s="19"/>
      <c r="L4" s="19"/>
      <c r="M4" s="19"/>
      <c r="N4" s="19"/>
      <c r="O4" s="19"/>
      <c r="P4" s="19"/>
      <c r="Q4" s="19"/>
      <c r="R4" s="19"/>
      <c r="S4" s="18"/>
      <c r="T4" s="37"/>
      <c r="U4" s="254"/>
      <c r="V4" s="255"/>
      <c r="W4" s="255"/>
      <c r="X4" s="255"/>
      <c r="Y4" s="256"/>
      <c r="Z4" s="255"/>
      <c r="AA4" s="255"/>
      <c r="AB4" s="255"/>
      <c r="AC4" s="255"/>
      <c r="AD4" s="257"/>
      <c r="AE4" s="19"/>
      <c r="AF4" s="19"/>
      <c r="AG4" s="19"/>
      <c r="AH4" s="19"/>
      <c r="AI4" s="19"/>
      <c r="AJ4" s="19"/>
      <c r="AK4" s="19"/>
      <c r="AL4" s="19"/>
      <c r="AM4" s="18"/>
    </row>
    <row r="5" spans="1:39" ht="66" customHeight="1" x14ac:dyDescent="0.2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3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</row>
    <row r="6" spans="1:39" ht="15.6" customHeight="1" x14ac:dyDescent="0.25">
      <c r="A6" s="26"/>
      <c r="B6" s="259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39"/>
      <c r="U6" s="26"/>
      <c r="V6" s="259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</row>
    <row r="7" spans="1:39" s="4" customFormat="1" ht="22.15" customHeight="1" x14ac:dyDescent="0.25">
      <c r="A7" s="20" t="s">
        <v>1</v>
      </c>
      <c r="B7" s="242" t="str">
        <f>Главная!B4</f>
        <v>_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40"/>
      <c r="U7" s="20" t="str">
        <f t="shared" ref="U7:U10" si="0">A7</f>
        <v>Фамилия</v>
      </c>
      <c r="V7" s="242" t="str">
        <f t="shared" ref="V7:V11" si="1">B7</f>
        <v>_</v>
      </c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</row>
    <row r="8" spans="1:39" s="4" customFormat="1" ht="22.9" customHeight="1" x14ac:dyDescent="0.25">
      <c r="A8" s="20" t="s">
        <v>3</v>
      </c>
      <c r="B8" s="242" t="str">
        <f>Главная!B5</f>
        <v>_</v>
      </c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40"/>
      <c r="U8" s="20" t="str">
        <f t="shared" si="0"/>
        <v>Имя</v>
      </c>
      <c r="V8" s="242" t="str">
        <f t="shared" si="1"/>
        <v>_</v>
      </c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</row>
    <row r="9" spans="1:39" s="4" customFormat="1" ht="22.9" customHeight="1" x14ac:dyDescent="0.25">
      <c r="A9" s="20" t="s">
        <v>4</v>
      </c>
      <c r="B9" s="242" t="str">
        <f>Главная!B6</f>
        <v>_</v>
      </c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40"/>
      <c r="U9" s="20" t="str">
        <f t="shared" si="0"/>
        <v>Отчество</v>
      </c>
      <c r="V9" s="242" t="str">
        <f t="shared" si="1"/>
        <v>_</v>
      </c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</row>
    <row r="10" spans="1:39" s="4" customFormat="1" ht="20.45" customHeight="1" x14ac:dyDescent="0.2">
      <c r="A10" s="264" t="s">
        <v>7</v>
      </c>
      <c r="B10" s="216" t="str">
        <f>Главная!$B$15</f>
        <v>________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6"/>
      <c r="M10" s="238" t="s">
        <v>0</v>
      </c>
      <c r="N10" s="239"/>
      <c r="O10" s="239"/>
      <c r="P10" s="237"/>
      <c r="Q10" s="247" t="str">
        <f>Главная!$B$16</f>
        <v>________</v>
      </c>
      <c r="R10" s="248"/>
      <c r="S10" s="248"/>
      <c r="T10" s="41"/>
      <c r="U10" s="243" t="str">
        <f t="shared" si="0"/>
        <v>Страховой полис :</v>
      </c>
      <c r="V10" s="216" t="str">
        <f t="shared" si="1"/>
        <v>________</v>
      </c>
      <c r="W10" s="245"/>
      <c r="X10" s="245"/>
      <c r="Y10" s="245"/>
      <c r="Z10" s="245"/>
      <c r="AA10" s="245"/>
      <c r="AB10" s="245"/>
      <c r="AC10" s="245"/>
      <c r="AD10" s="245"/>
      <c r="AE10" s="245"/>
      <c r="AF10" s="246"/>
      <c r="AG10" s="238" t="str">
        <f t="shared" ref="AG10:AG13" si="2">M10</f>
        <v>Дата выдачи:</v>
      </c>
      <c r="AH10" s="239"/>
      <c r="AI10" s="239"/>
      <c r="AJ10" s="237"/>
      <c r="AK10" s="247" t="str">
        <f t="shared" ref="AK10:AK11" si="3">Q10</f>
        <v>________</v>
      </c>
      <c r="AL10" s="248"/>
      <c r="AM10" s="248"/>
    </row>
    <row r="11" spans="1:39" s="4" customFormat="1" ht="27" customHeight="1" x14ac:dyDescent="0.2">
      <c r="A11" s="265"/>
      <c r="B11" s="52" t="s">
        <v>8</v>
      </c>
      <c r="C11" s="49" t="str">
        <f>Главная!B14</f>
        <v>_</v>
      </c>
      <c r="D11" s="49" t="str">
        <f>Главная!C14</f>
        <v>_</v>
      </c>
      <c r="E11" s="49" t="str">
        <f>Главная!D14</f>
        <v>_</v>
      </c>
      <c r="F11" s="49" t="str">
        <f>Главная!E14</f>
        <v>_</v>
      </c>
      <c r="G11" s="49" t="str">
        <f>Главная!F14</f>
        <v>_</v>
      </c>
      <c r="H11" s="49" t="str">
        <f>Главная!G14</f>
        <v>_</v>
      </c>
      <c r="I11" s="49" t="str">
        <f>Главная!H14</f>
        <v>_</v>
      </c>
      <c r="J11" s="49" t="str">
        <f>Главная!I14</f>
        <v>_</v>
      </c>
      <c r="K11" s="49" t="str">
        <f>Главная!J14</f>
        <v>_</v>
      </c>
      <c r="L11" s="49" t="str">
        <f>Главная!K14</f>
        <v>_</v>
      </c>
      <c r="M11" s="50" t="str">
        <f>Главная!L14</f>
        <v>_</v>
      </c>
      <c r="N11" s="51" t="str">
        <f>Главная!M14</f>
        <v>_</v>
      </c>
      <c r="O11" s="51" t="str">
        <f>Главная!N14</f>
        <v>_</v>
      </c>
      <c r="P11" s="51" t="str">
        <f>Главная!O14</f>
        <v>_</v>
      </c>
      <c r="Q11" s="51" t="str">
        <f>Главная!P14</f>
        <v>_</v>
      </c>
      <c r="R11" s="21"/>
      <c r="S11" s="20"/>
      <c r="T11" s="21"/>
      <c r="U11" s="244"/>
      <c r="V11" s="52" t="str">
        <f t="shared" si="1"/>
        <v>(кампания,сер.,№)</v>
      </c>
      <c r="W11" s="49" t="str">
        <f t="shared" ref="W11:W15" si="4">C11</f>
        <v>_</v>
      </c>
      <c r="X11" s="49" t="str">
        <f t="shared" ref="X11" si="5">D11</f>
        <v>_</v>
      </c>
      <c r="Y11" s="49" t="str">
        <f t="shared" ref="Y11" si="6">E11</f>
        <v>_</v>
      </c>
      <c r="Z11" s="49" t="str">
        <f t="shared" ref="Z11" si="7">F11</f>
        <v>_</v>
      </c>
      <c r="AA11" s="49" t="str">
        <f t="shared" ref="AA11" si="8">G11</f>
        <v>_</v>
      </c>
      <c r="AB11" s="49" t="str">
        <f t="shared" ref="AB11" si="9">H11</f>
        <v>_</v>
      </c>
      <c r="AC11" s="49" t="str">
        <f t="shared" ref="AC11" si="10">I11</f>
        <v>_</v>
      </c>
      <c r="AD11" s="49" t="str">
        <f t="shared" ref="AD11:AD13" si="11">J11</f>
        <v>_</v>
      </c>
      <c r="AE11" s="49" t="str">
        <f t="shared" ref="AE11:AE13" si="12">K11</f>
        <v>_</v>
      </c>
      <c r="AF11" s="49" t="str">
        <f t="shared" ref="AF11" si="13">L11</f>
        <v>_</v>
      </c>
      <c r="AG11" s="50" t="str">
        <f t="shared" si="2"/>
        <v>_</v>
      </c>
      <c r="AH11" s="51" t="str">
        <f t="shared" ref="AH11" si="14">N11</f>
        <v>_</v>
      </c>
      <c r="AI11" s="51" t="str">
        <f t="shared" ref="AI11" si="15">O11</f>
        <v>_</v>
      </c>
      <c r="AJ11" s="51" t="str">
        <f t="shared" ref="AJ11" si="16">P11</f>
        <v>_</v>
      </c>
      <c r="AK11" s="51" t="str">
        <f t="shared" si="3"/>
        <v>_</v>
      </c>
      <c r="AL11" s="21"/>
      <c r="AM11" s="20"/>
    </row>
    <row r="12" spans="1:39" s="4" customFormat="1" ht="16.149999999999999" customHeight="1" x14ac:dyDescent="0.2">
      <c r="A12" s="273" t="s">
        <v>5</v>
      </c>
      <c r="B12" s="231"/>
      <c r="C12" s="232">
        <f>Главная!$B$7</f>
        <v>23326</v>
      </c>
      <c r="D12" s="233"/>
      <c r="E12" s="233"/>
      <c r="F12" s="233"/>
      <c r="G12" s="233"/>
      <c r="H12" s="233"/>
      <c r="I12" s="234"/>
      <c r="J12" s="20" t="s">
        <v>2</v>
      </c>
      <c r="K12" s="235" t="s">
        <v>9</v>
      </c>
      <c r="L12" s="235"/>
      <c r="M12" s="274" t="s">
        <v>10</v>
      </c>
      <c r="N12" s="274"/>
      <c r="O12" s="274"/>
      <c r="P12" s="274"/>
      <c r="Q12" s="274"/>
      <c r="R12" s="20"/>
      <c r="S12" s="20"/>
      <c r="T12" s="21"/>
      <c r="U12" s="231" t="str">
        <f t="shared" ref="U12:U17" si="17">A12</f>
        <v>Дата рождения:</v>
      </c>
      <c r="V12" s="231"/>
      <c r="W12" s="232">
        <f t="shared" si="4"/>
        <v>23326</v>
      </c>
      <c r="X12" s="233"/>
      <c r="Y12" s="233"/>
      <c r="Z12" s="233"/>
      <c r="AA12" s="233"/>
      <c r="AB12" s="233"/>
      <c r="AC12" s="234"/>
      <c r="AD12" s="20" t="str">
        <f t="shared" si="11"/>
        <v>2.</v>
      </c>
      <c r="AE12" s="235" t="str">
        <f t="shared" si="12"/>
        <v>Пол:</v>
      </c>
      <c r="AF12" s="235"/>
      <c r="AG12" s="235" t="str">
        <f t="shared" si="2"/>
        <v>муж./жен.</v>
      </c>
      <c r="AH12" s="235"/>
      <c r="AI12" s="235"/>
      <c r="AJ12" s="235"/>
      <c r="AK12" s="235"/>
      <c r="AL12" s="20"/>
      <c r="AM12" s="20"/>
    </row>
    <row r="13" spans="1:39" s="4" customFormat="1" ht="24.6" customHeight="1" x14ac:dyDescent="0.2">
      <c r="A13" s="238" t="s">
        <v>6</v>
      </c>
      <c r="B13" s="237"/>
      <c r="C13" s="22" t="str">
        <f>Главная!B11</f>
        <v>_</v>
      </c>
      <c r="D13" s="22" t="str">
        <f>Главная!C11</f>
        <v>_</v>
      </c>
      <c r="E13" s="22" t="str">
        <f>Главная!D11</f>
        <v>_</v>
      </c>
      <c r="F13" s="22" t="str">
        <f>Главная!E11</f>
        <v>_</v>
      </c>
      <c r="G13" s="22" t="str">
        <f>Главная!F11</f>
        <v>_</v>
      </c>
      <c r="H13" s="22" t="str">
        <f>Главная!G11</f>
        <v>_</v>
      </c>
      <c r="I13" s="22" t="str">
        <f>Главная!H11</f>
        <v>_</v>
      </c>
      <c r="J13" s="22" t="str">
        <f>Главная!I11</f>
        <v>_</v>
      </c>
      <c r="K13" s="22" t="str">
        <f>Главная!J11</f>
        <v>_</v>
      </c>
      <c r="L13" s="22" t="str">
        <f>Главная!K11</f>
        <v>_</v>
      </c>
      <c r="M13" s="238" t="s">
        <v>0</v>
      </c>
      <c r="N13" s="239"/>
      <c r="O13" s="239"/>
      <c r="P13" s="237"/>
      <c r="Q13" s="240" t="str">
        <f>Главная!$B$12</f>
        <v>________</v>
      </c>
      <c r="R13" s="241"/>
      <c r="S13" s="241"/>
      <c r="T13" s="41"/>
      <c r="U13" s="236" t="str">
        <f t="shared" si="17"/>
        <v>Паспорт (серия,номер):</v>
      </c>
      <c r="V13" s="237"/>
      <c r="W13" s="22" t="str">
        <f t="shared" si="4"/>
        <v>_</v>
      </c>
      <c r="X13" s="22" t="str">
        <f t="shared" ref="X13" si="18">D13</f>
        <v>_</v>
      </c>
      <c r="Y13" s="22" t="str">
        <f t="shared" ref="Y13" si="19">E13</f>
        <v>_</v>
      </c>
      <c r="Z13" s="22" t="str">
        <f t="shared" ref="Z13" si="20">F13</f>
        <v>_</v>
      </c>
      <c r="AA13" s="22" t="str">
        <f t="shared" ref="AA13" si="21">G13</f>
        <v>_</v>
      </c>
      <c r="AB13" s="22" t="str">
        <f t="shared" ref="AB13" si="22">H13</f>
        <v>_</v>
      </c>
      <c r="AC13" s="22" t="str">
        <f t="shared" ref="AC13" si="23">I13</f>
        <v>_</v>
      </c>
      <c r="AD13" s="22" t="str">
        <f t="shared" si="11"/>
        <v>_</v>
      </c>
      <c r="AE13" s="22" t="str">
        <f t="shared" si="12"/>
        <v>_</v>
      </c>
      <c r="AF13" s="22" t="str">
        <f t="shared" ref="AF13" si="24">L13</f>
        <v>_</v>
      </c>
      <c r="AG13" s="238" t="str">
        <f t="shared" si="2"/>
        <v>Дата выдачи:</v>
      </c>
      <c r="AH13" s="239"/>
      <c r="AI13" s="239"/>
      <c r="AJ13" s="237"/>
      <c r="AK13" s="240" t="str">
        <f t="shared" ref="AK13" si="25">Q13</f>
        <v>________</v>
      </c>
      <c r="AL13" s="241"/>
      <c r="AM13" s="241"/>
    </row>
    <row r="14" spans="1:39" s="4" customFormat="1" ht="68.45" customHeight="1" x14ac:dyDescent="0.2">
      <c r="A14" s="261" t="s">
        <v>12</v>
      </c>
      <c r="B14" s="215"/>
      <c r="C14" s="216" t="str">
        <f>Главная!$B$13</f>
        <v>________</v>
      </c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42"/>
      <c r="U14" s="214" t="str">
        <f t="shared" si="17"/>
        <v>Адрес места жительства/регистрации по месту прописки(в городе 1, селе 2):</v>
      </c>
      <c r="V14" s="215"/>
      <c r="W14" s="216" t="str">
        <f t="shared" si="4"/>
        <v>________</v>
      </c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8"/>
    </row>
    <row r="15" spans="1:39" s="4" customFormat="1" ht="17.45" customHeight="1" x14ac:dyDescent="0.2">
      <c r="A15" s="262" t="s">
        <v>13</v>
      </c>
      <c r="B15" s="220"/>
      <c r="C15" s="263" t="str">
        <f>Главная!$B$8</f>
        <v>_</v>
      </c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3"/>
      <c r="T15" s="43"/>
      <c r="U15" s="219" t="str">
        <f t="shared" si="17"/>
        <v>Контактный телефон:</v>
      </c>
      <c r="V15" s="220"/>
      <c r="W15" s="221" t="str">
        <f t="shared" si="4"/>
        <v>_</v>
      </c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3"/>
    </row>
    <row r="16" spans="1:39" s="4" customFormat="1" ht="52.15" customHeight="1" x14ac:dyDescent="0.2">
      <c r="A16" s="224" t="s">
        <v>39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48"/>
      <c r="U16" s="224" t="str">
        <f t="shared" si="17"/>
        <v>даю информированное добровольное согласие на медицинское вмешательство, предложенное мне / гражданину, чьим законным представителем я являюсь (ненужное зачеркнуть)</v>
      </c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</row>
    <row r="17" spans="1:39" s="4" customFormat="1" ht="16.149999999999999" customHeight="1" x14ac:dyDescent="0.2">
      <c r="A17" s="225" t="s">
        <v>40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44"/>
      <c r="U17" s="225" t="str">
        <f t="shared" si="17"/>
        <v>Ф.И.О. гражданина, от имени которого выступает законный представитель:</v>
      </c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</row>
    <row r="18" spans="1:39" s="4" customFormat="1" ht="19.899999999999999" customHeight="1" thickBot="1" x14ac:dyDescent="0.25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44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</row>
    <row r="19" spans="1:39" s="4" customFormat="1" ht="19.149999999999999" customHeight="1" x14ac:dyDescent="0.2">
      <c r="A19" s="227" t="s">
        <v>48</v>
      </c>
      <c r="B19" s="227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47"/>
      <c r="U19" s="227" t="str">
        <f>A19</f>
        <v>на медицинское вмешательство:</v>
      </c>
      <c r="V19" s="227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</row>
    <row r="20" spans="1:39" s="4" customFormat="1" ht="22.9" customHeight="1" x14ac:dyDescent="0.3">
      <c r="A20" s="229" t="s">
        <v>49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7"/>
      <c r="U20" s="229" t="str">
        <f>A20</f>
        <v xml:space="preserve">Медицинское обследование состояния здоровья </v>
      </c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</row>
    <row r="21" spans="1:39" s="4" customFormat="1" ht="31.9" customHeight="1" x14ac:dyDescent="0.2">
      <c r="A21" s="206" t="s">
        <v>50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9"/>
      <c r="U21" s="206" t="str">
        <f>A21</f>
        <v>медицинским персоналом в рамках Приказа МЗ РФ №1006н от 03.12.2012г./Приказа МЗ РФ № 1011н от 06.12.2012 г./Приказа МЗ РФ №597н от 19.08.2009 г. (ненужное зачеркнуть)</v>
      </c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</row>
    <row r="22" spans="1:39" s="4" customFormat="1" ht="32.450000000000003" customHeight="1" x14ac:dyDescent="0.2">
      <c r="A22" s="205" t="s">
        <v>41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8"/>
      <c r="U22" s="205" t="str">
        <f>A22</f>
        <v xml:space="preserve">необходимое для оказания медицинской помощи  осуществляемое в  МБУЗ «Правдинская поликлиника» Московская область, Пушкинский район п.Правдинский ул.Лесная д.2. </v>
      </c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</row>
    <row r="23" spans="1:39" s="4" customFormat="1" ht="106.15" customHeight="1" x14ac:dyDescent="0.2">
      <c r="A23" s="206" t="s">
        <v>42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30"/>
      <c r="U23" s="206" t="str">
        <f>A23</f>
        <v xml:space="preserve">Мне в доступной для меня форме мне разъяснены цели, методы оказания медицинской помощи, связанный с ними риск, возможные варианты медицинских вмешательств, их последствия, в том числе вероятность развития осложнений, а также предполагаемые результаты оказания медицинской помощи. Мне разъяснено, что я имею право отказаться от определенного вида медицинского вмешательства или потребовать его прекращения, за исключением случаев, предусмотренных частью 9 статьи 20 Федерального закона от 21 ноября 2011 г. № 323-ФЗ «Об основах охраны здоровья граждан в Российской Федерации»**. </v>
      </c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</row>
    <row r="24" spans="1:39" s="4" customFormat="1" ht="29.45" customHeight="1" x14ac:dyDescent="0.25">
      <c r="A24" s="209"/>
      <c r="B24" s="210"/>
      <c r="C24" s="23"/>
      <c r="D24" s="211" t="str">
        <f>B7</f>
        <v>_</v>
      </c>
      <c r="E24" s="211"/>
      <c r="F24" s="211"/>
      <c r="G24" s="211"/>
      <c r="H24" s="211"/>
      <c r="I24" s="211"/>
      <c r="J24" s="211"/>
      <c r="K24" s="211"/>
      <c r="L24" s="211"/>
      <c r="M24" s="211"/>
      <c r="N24" s="72"/>
      <c r="O24" s="212" t="str">
        <f>B8</f>
        <v>_</v>
      </c>
      <c r="P24" s="213"/>
      <c r="Q24" s="213"/>
      <c r="R24" s="213"/>
      <c r="S24" s="213"/>
      <c r="T24" s="45"/>
      <c r="U24" s="209"/>
      <c r="V24" s="210"/>
      <c r="W24" s="23"/>
      <c r="X24" s="211" t="str">
        <f t="shared" ref="X24" si="26">D24</f>
        <v>_</v>
      </c>
      <c r="Y24" s="211"/>
      <c r="Z24" s="211"/>
      <c r="AA24" s="211"/>
      <c r="AB24" s="211"/>
      <c r="AC24" s="211"/>
      <c r="AD24" s="211"/>
      <c r="AE24" s="211"/>
      <c r="AF24" s="211"/>
      <c r="AG24" s="211"/>
      <c r="AH24" s="72"/>
      <c r="AI24" s="212" t="str">
        <f>B8</f>
        <v>_</v>
      </c>
      <c r="AJ24" s="213"/>
      <c r="AK24" s="213"/>
      <c r="AL24" s="213"/>
      <c r="AM24" s="213"/>
    </row>
    <row r="25" spans="1:39" s="4" customFormat="1" ht="13.9" customHeight="1" x14ac:dyDescent="0.2">
      <c r="A25" s="199" t="s">
        <v>43</v>
      </c>
      <c r="B25" s="200"/>
      <c r="C25" s="201" t="s">
        <v>44</v>
      </c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46"/>
      <c r="U25" s="199" t="str">
        <f>A25</f>
        <v>(подпись)</v>
      </c>
      <c r="V25" s="200"/>
      <c r="W25" s="201" t="str">
        <f>C25</f>
        <v>(Ф.И.О. гражданина / законного представителя гражданина)</v>
      </c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</row>
    <row r="26" spans="1:39" s="4" customFormat="1" ht="30" customHeight="1" x14ac:dyDescent="0.2">
      <c r="A26" s="209"/>
      <c r="B26" s="210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4"/>
      <c r="U26" s="209"/>
      <c r="V26" s="210"/>
      <c r="W26" s="24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</row>
    <row r="27" spans="1:39" s="4" customFormat="1" ht="17.45" customHeight="1" x14ac:dyDescent="0.2">
      <c r="A27" s="199" t="s">
        <v>43</v>
      </c>
      <c r="B27" s="200"/>
      <c r="C27" s="201" t="s">
        <v>45</v>
      </c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46"/>
      <c r="U27" s="199" t="str">
        <f>A27</f>
        <v>(подпись)</v>
      </c>
      <c r="V27" s="200"/>
      <c r="W27" s="201" t="str">
        <f>C27</f>
        <v>(Ф.И.О. Медицинского работника)</v>
      </c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</row>
    <row r="28" spans="1:39" s="4" customFormat="1" ht="30" customHeight="1" x14ac:dyDescent="0.2">
      <c r="A28" s="202" t="s">
        <v>46</v>
      </c>
      <c r="B28" s="202"/>
      <c r="C28" s="202"/>
      <c r="D28" s="202"/>
      <c r="E28" s="202"/>
      <c r="F28" s="202"/>
      <c r="G28" s="202"/>
      <c r="H28" s="203"/>
      <c r="I28" s="203"/>
      <c r="J28" s="203"/>
      <c r="K28" s="203"/>
      <c r="L28" s="203"/>
      <c r="M28" s="203"/>
      <c r="N28" s="203"/>
      <c r="O28" s="204"/>
      <c r="P28" s="204"/>
      <c r="Q28" s="204"/>
      <c r="R28" s="204"/>
      <c r="S28" s="204"/>
      <c r="T28" s="31"/>
      <c r="U28" s="202" t="str">
        <f>A28</f>
        <v>Дата заполнения:</v>
      </c>
      <c r="V28" s="202"/>
      <c r="W28" s="202"/>
      <c r="X28" s="202"/>
      <c r="Y28" s="202"/>
      <c r="Z28" s="202"/>
      <c r="AA28" s="202"/>
      <c r="AB28" s="203"/>
      <c r="AC28" s="203"/>
      <c r="AD28" s="203"/>
      <c r="AE28" s="203"/>
      <c r="AF28" s="203"/>
      <c r="AG28" s="203"/>
      <c r="AH28" s="203"/>
      <c r="AI28" s="204"/>
      <c r="AJ28" s="204"/>
      <c r="AK28" s="204"/>
      <c r="AL28" s="204"/>
      <c r="AM28" s="204"/>
    </row>
    <row r="29" spans="1:39" s="4" customFormat="1" ht="26.45" customHeight="1" x14ac:dyDescent="0.2">
      <c r="A29" s="205">
        <f ca="1">Главная!$B$2</f>
        <v>41817</v>
      </c>
      <c r="B29" s="206"/>
      <c r="C29" s="206"/>
      <c r="D29" s="206"/>
      <c r="E29" s="206"/>
      <c r="F29" s="206"/>
      <c r="G29" s="206"/>
      <c r="H29" s="207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32"/>
      <c r="U29" s="205">
        <f ca="1">A29</f>
        <v>41817</v>
      </c>
      <c r="V29" s="206"/>
      <c r="W29" s="206"/>
      <c r="X29" s="206"/>
      <c r="Y29" s="206"/>
      <c r="Z29" s="206"/>
      <c r="AA29" s="206"/>
      <c r="AB29" s="207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</row>
    <row r="30" spans="1:39" s="4" customFormat="1" ht="33" customHeight="1" x14ac:dyDescent="0.2">
      <c r="A30" s="271" t="s">
        <v>47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33"/>
      <c r="U30" s="197" t="str">
        <f>A30</f>
        <v>*Настоящая форма информированного добровольного согласия на медицинское вмешательство не применяется в случае если законодательством Российской Федерации установлена иная форма информированного добровольного согласия на определенный вид медицинского вмешательства. 
** Собрание законодательства Российской Федерации, 2011, № 48, ст. 6724; 2012, № 26, ст. 3442, 3446.</v>
      </c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</row>
    <row r="31" spans="1:39" s="4" customFormat="1" ht="14.25" x14ac:dyDescent="0.2">
      <c r="A31" s="269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68"/>
      <c r="R31" s="268"/>
      <c r="S31" s="17"/>
      <c r="T31" s="17"/>
    </row>
    <row r="32" spans="1:39" s="4" customFormat="1" ht="29.45" customHeight="1" x14ac:dyDescent="0.2">
      <c r="A32" s="269"/>
      <c r="B32" s="270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68"/>
      <c r="R32" s="268"/>
      <c r="S32" s="17"/>
      <c r="T32" s="17"/>
    </row>
    <row r="33" spans="1:20" x14ac:dyDescent="0.2">
      <c r="A33" s="269"/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68"/>
      <c r="R33" s="268"/>
      <c r="S33" s="17"/>
      <c r="T33" s="17"/>
    </row>
    <row r="34" spans="1:20" ht="14.25" x14ac:dyDescent="0.2">
      <c r="A34" s="266"/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8"/>
      <c r="R34" s="268"/>
      <c r="S34" s="17"/>
      <c r="T34" s="17"/>
    </row>
  </sheetData>
  <mergeCells count="98">
    <mergeCell ref="A4:J4"/>
    <mergeCell ref="A5:S5"/>
    <mergeCell ref="B7:S7"/>
    <mergeCell ref="B8:S8"/>
    <mergeCell ref="A2:S2"/>
    <mergeCell ref="B10:L10"/>
    <mergeCell ref="M10:P10"/>
    <mergeCell ref="Q10:S10"/>
    <mergeCell ref="A12:B12"/>
    <mergeCell ref="C12:I12"/>
    <mergeCell ref="K12:L12"/>
    <mergeCell ref="M12:Q12"/>
    <mergeCell ref="A29:G29"/>
    <mergeCell ref="H29:S29"/>
    <mergeCell ref="A30:S30"/>
    <mergeCell ref="A24:B24"/>
    <mergeCell ref="A16:S16"/>
    <mergeCell ref="A17:S17"/>
    <mergeCell ref="A18:S18"/>
    <mergeCell ref="A19:S19"/>
    <mergeCell ref="A20:S20"/>
    <mergeCell ref="O24:S24"/>
    <mergeCell ref="A34:P34"/>
    <mergeCell ref="Q34:R34"/>
    <mergeCell ref="L1:S1"/>
    <mergeCell ref="A3:S3"/>
    <mergeCell ref="B6:S6"/>
    <mergeCell ref="A21:S21"/>
    <mergeCell ref="A22:S22"/>
    <mergeCell ref="A23:S23"/>
    <mergeCell ref="A31:P31"/>
    <mergeCell ref="Q31:R31"/>
    <mergeCell ref="A32:P32"/>
    <mergeCell ref="Q32:R32"/>
    <mergeCell ref="A33:P33"/>
    <mergeCell ref="Q33:R33"/>
    <mergeCell ref="A28:G28"/>
    <mergeCell ref="H28:S28"/>
    <mergeCell ref="V6:AM6"/>
    <mergeCell ref="A26:B26"/>
    <mergeCell ref="A25:B25"/>
    <mergeCell ref="A27:B27"/>
    <mergeCell ref="C25:S25"/>
    <mergeCell ref="C27:S27"/>
    <mergeCell ref="D24:M24"/>
    <mergeCell ref="A13:B13"/>
    <mergeCell ref="M13:P13"/>
    <mergeCell ref="Q13:S13"/>
    <mergeCell ref="A14:B14"/>
    <mergeCell ref="C14:S14"/>
    <mergeCell ref="A15:B15"/>
    <mergeCell ref="C15:S15"/>
    <mergeCell ref="B9:S9"/>
    <mergeCell ref="A10:A11"/>
    <mergeCell ref="AF1:AM1"/>
    <mergeCell ref="U2:AM2"/>
    <mergeCell ref="U3:AM3"/>
    <mergeCell ref="U4:AD4"/>
    <mergeCell ref="U5:AM5"/>
    <mergeCell ref="V7:AM7"/>
    <mergeCell ref="V8:AM8"/>
    <mergeCell ref="V9:AM9"/>
    <mergeCell ref="U10:U11"/>
    <mergeCell ref="V10:AF10"/>
    <mergeCell ref="AG10:AJ10"/>
    <mergeCell ref="AK10:AM10"/>
    <mergeCell ref="U12:V12"/>
    <mergeCell ref="W12:AC12"/>
    <mergeCell ref="AE12:AF12"/>
    <mergeCell ref="AG12:AK12"/>
    <mergeCell ref="U13:V13"/>
    <mergeCell ref="AG13:AJ13"/>
    <mergeCell ref="AK13:AM13"/>
    <mergeCell ref="U23:AM23"/>
    <mergeCell ref="U14:V14"/>
    <mergeCell ref="W14:AM14"/>
    <mergeCell ref="U15:V15"/>
    <mergeCell ref="W15:AM15"/>
    <mergeCell ref="U16:AM16"/>
    <mergeCell ref="U17:AM17"/>
    <mergeCell ref="U18:AM18"/>
    <mergeCell ref="U19:AM19"/>
    <mergeCell ref="U20:AM20"/>
    <mergeCell ref="U21:AM21"/>
    <mergeCell ref="U22:AM22"/>
    <mergeCell ref="U24:V24"/>
    <mergeCell ref="U25:V25"/>
    <mergeCell ref="W25:AM25"/>
    <mergeCell ref="U26:V26"/>
    <mergeCell ref="X24:AG24"/>
    <mergeCell ref="AI24:AM24"/>
    <mergeCell ref="U30:AM30"/>
    <mergeCell ref="U27:V27"/>
    <mergeCell ref="W27:AM27"/>
    <mergeCell ref="U28:AA28"/>
    <mergeCell ref="AB28:AM28"/>
    <mergeCell ref="U29:AA29"/>
    <mergeCell ref="AB29:AM29"/>
  </mergeCells>
  <pageMargins left="0.23622047244094491" right="0.23622047244094491" top="0.15748031496062992" bottom="0.15748031496062992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28"/>
  <sheetViews>
    <sheetView zoomScale="60" zoomScaleNormal="60" workbookViewId="0">
      <selection activeCell="U11" sqref="U11"/>
    </sheetView>
  </sheetViews>
  <sheetFormatPr defaultRowHeight="12.75" x14ac:dyDescent="0.2"/>
  <cols>
    <col min="1" max="1" width="14.42578125" customWidth="1"/>
    <col min="2" max="2" width="20.5703125" customWidth="1"/>
    <col min="3" max="18" width="3.7109375" customWidth="1"/>
    <col min="19" max="19" width="7.28515625" customWidth="1"/>
    <col min="20" max="20" width="10.7109375" customWidth="1"/>
    <col min="21" max="21" width="14.42578125" customWidth="1"/>
    <col min="22" max="22" width="20.5703125" customWidth="1"/>
    <col min="23" max="38" width="3.7109375" customWidth="1"/>
    <col min="39" max="39" width="7.28515625" customWidth="1"/>
    <col min="40" max="40" width="8.85546875" customWidth="1"/>
  </cols>
  <sheetData>
    <row r="1" spans="1:39" ht="27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49"/>
      <c r="M1" s="249"/>
      <c r="N1" s="249"/>
      <c r="O1" s="249"/>
      <c r="P1" s="249"/>
      <c r="Q1" s="249"/>
      <c r="R1" s="249"/>
      <c r="S1" s="249"/>
      <c r="T1" s="34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249"/>
      <c r="AG1" s="249"/>
      <c r="AH1" s="249"/>
      <c r="AI1" s="249"/>
      <c r="AJ1" s="249"/>
      <c r="AK1" s="249"/>
      <c r="AL1" s="249"/>
      <c r="AM1" s="249"/>
    </row>
    <row r="2" spans="1:39" s="2" customFormat="1" ht="17.45" customHeight="1" x14ac:dyDescent="0.2">
      <c r="A2" s="250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35"/>
      <c r="U2" s="250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</row>
    <row r="3" spans="1:39" s="2" customFormat="1" ht="21.6" customHeight="1" x14ac:dyDescent="0.2">
      <c r="A3" s="252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36"/>
      <c r="U3" s="252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</row>
    <row r="4" spans="1:39" ht="16.149999999999999" customHeight="1" x14ac:dyDescent="0.25">
      <c r="A4" s="254"/>
      <c r="B4" s="255"/>
      <c r="C4" s="255"/>
      <c r="D4" s="255"/>
      <c r="E4" s="256"/>
      <c r="F4" s="255"/>
      <c r="G4" s="255"/>
      <c r="H4" s="255"/>
      <c r="I4" s="255"/>
      <c r="J4" s="257"/>
      <c r="K4" s="19"/>
      <c r="L4" s="19"/>
      <c r="M4" s="19"/>
      <c r="N4" s="19"/>
      <c r="O4" s="19"/>
      <c r="P4" s="19"/>
      <c r="Q4" s="19"/>
      <c r="R4" s="19"/>
      <c r="S4" s="18"/>
      <c r="T4" s="37"/>
      <c r="U4" s="254"/>
      <c r="V4" s="255"/>
      <c r="W4" s="255"/>
      <c r="X4" s="255"/>
      <c r="Y4" s="256"/>
      <c r="Z4" s="255"/>
      <c r="AA4" s="255"/>
      <c r="AB4" s="255"/>
      <c r="AC4" s="255"/>
      <c r="AD4" s="257"/>
      <c r="AE4" s="19"/>
      <c r="AF4" s="19"/>
      <c r="AG4" s="19"/>
      <c r="AH4" s="19"/>
      <c r="AI4" s="19"/>
      <c r="AJ4" s="19"/>
      <c r="AK4" s="19"/>
      <c r="AL4" s="19"/>
      <c r="AM4" s="18"/>
    </row>
    <row r="5" spans="1:39" ht="16.149999999999999" customHeight="1" x14ac:dyDescent="0.25">
      <c r="A5" s="57"/>
      <c r="B5" s="58"/>
      <c r="C5" s="58"/>
      <c r="D5" s="58"/>
      <c r="E5" s="59"/>
      <c r="F5" s="58"/>
      <c r="G5" s="58"/>
      <c r="H5" s="58"/>
      <c r="I5" s="58"/>
      <c r="J5" s="59"/>
      <c r="K5" s="105"/>
      <c r="L5" s="105"/>
      <c r="M5" s="105"/>
      <c r="N5" s="105"/>
      <c r="O5" s="105"/>
      <c r="P5" s="105"/>
      <c r="Q5" s="105"/>
      <c r="R5" s="105"/>
      <c r="S5" s="18"/>
      <c r="T5" s="37"/>
      <c r="U5" s="57"/>
      <c r="V5" s="58"/>
      <c r="W5" s="58"/>
      <c r="X5" s="58"/>
      <c r="Y5" s="59"/>
      <c r="Z5" s="58"/>
      <c r="AA5" s="58"/>
      <c r="AB5" s="58"/>
      <c r="AC5" s="58"/>
      <c r="AD5" s="59"/>
      <c r="AE5" s="105"/>
      <c r="AF5" s="105"/>
      <c r="AG5" s="105"/>
      <c r="AH5" s="105"/>
      <c r="AI5" s="105"/>
      <c r="AJ5" s="105"/>
      <c r="AK5" s="105"/>
      <c r="AL5" s="105"/>
      <c r="AM5" s="18"/>
    </row>
    <row r="6" spans="1:39" ht="16.149999999999999" customHeight="1" x14ac:dyDescent="0.25">
      <c r="A6" s="57"/>
      <c r="B6" s="58"/>
      <c r="C6" s="58"/>
      <c r="D6" s="58"/>
      <c r="E6" s="59"/>
      <c r="F6" s="58"/>
      <c r="G6" s="58"/>
      <c r="H6" s="58"/>
      <c r="I6" s="58"/>
      <c r="J6" s="59"/>
      <c r="K6" s="105"/>
      <c r="L6" s="105"/>
      <c r="M6" s="105"/>
      <c r="N6" s="105"/>
      <c r="O6" s="105"/>
      <c r="P6" s="105"/>
      <c r="Q6" s="105"/>
      <c r="R6" s="105"/>
      <c r="S6" s="18"/>
      <c r="T6" s="37"/>
      <c r="U6" s="57"/>
      <c r="V6" s="58"/>
      <c r="W6" s="58"/>
      <c r="X6" s="58"/>
      <c r="Y6" s="59"/>
      <c r="Z6" s="58"/>
      <c r="AA6" s="58"/>
      <c r="AB6" s="58"/>
      <c r="AC6" s="58"/>
      <c r="AD6" s="59"/>
      <c r="AE6" s="105"/>
      <c r="AF6" s="105"/>
      <c r="AG6" s="105"/>
      <c r="AH6" s="105"/>
      <c r="AI6" s="105"/>
      <c r="AJ6" s="105"/>
      <c r="AK6" s="105"/>
      <c r="AL6" s="105"/>
      <c r="AM6" s="18"/>
    </row>
    <row r="7" spans="1:39" ht="35.450000000000003" customHeight="1" x14ac:dyDescent="0.2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3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</row>
    <row r="8" spans="1:39" s="4" customFormat="1" ht="22.15" customHeight="1" x14ac:dyDescent="0.25">
      <c r="A8" s="107" t="s">
        <v>1</v>
      </c>
      <c r="B8" s="242" t="str">
        <f>Главная!B4</f>
        <v>_</v>
      </c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40"/>
      <c r="U8" s="20" t="str">
        <f t="shared" ref="U8:V10" si="0">A8</f>
        <v>Фамилия</v>
      </c>
      <c r="V8" s="242" t="str">
        <f t="shared" si="0"/>
        <v>_</v>
      </c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</row>
    <row r="9" spans="1:39" s="4" customFormat="1" ht="22.9" customHeight="1" x14ac:dyDescent="0.25">
      <c r="A9" s="107" t="s">
        <v>3</v>
      </c>
      <c r="B9" s="242" t="str">
        <f>Главная!B5</f>
        <v>_</v>
      </c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40"/>
      <c r="U9" s="20" t="str">
        <f t="shared" si="0"/>
        <v>Имя</v>
      </c>
      <c r="V9" s="242" t="str">
        <f t="shared" si="0"/>
        <v>_</v>
      </c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</row>
    <row r="10" spans="1:39" s="4" customFormat="1" ht="22.9" customHeight="1" x14ac:dyDescent="0.25">
      <c r="A10" s="107" t="s">
        <v>4</v>
      </c>
      <c r="B10" s="242" t="str">
        <f>Главная!B6</f>
        <v>_</v>
      </c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40"/>
      <c r="U10" s="20" t="str">
        <f t="shared" si="0"/>
        <v>Отчество</v>
      </c>
      <c r="V10" s="242" t="str">
        <f t="shared" si="0"/>
        <v>_</v>
      </c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</row>
    <row r="11" spans="1:39" s="4" customFormat="1" ht="22.9" customHeight="1" x14ac:dyDescent="0.25">
      <c r="A11" s="283" t="s">
        <v>5</v>
      </c>
      <c r="B11" s="283"/>
      <c r="C11" s="284">
        <f>Главная!$B$7</f>
        <v>23326</v>
      </c>
      <c r="D11" s="285"/>
      <c r="E11" s="285"/>
      <c r="F11" s="285"/>
      <c r="G11" s="285"/>
      <c r="H11" s="285"/>
      <c r="I11" s="285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40"/>
      <c r="U11" s="140">
        <f ca="1">IF(YEAR(TODAY())-YEAR(C11)-1,YEAR(TODAY())-YEAR(C11))</f>
        <v>51</v>
      </c>
      <c r="V11" s="286" t="s">
        <v>158</v>
      </c>
      <c r="W11" s="287"/>
      <c r="X11" s="287"/>
      <c r="Y11" s="287"/>
      <c r="Z11" s="287"/>
      <c r="AA11" s="287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</row>
    <row r="12" spans="1:39" s="4" customFormat="1" ht="22.9" customHeight="1" x14ac:dyDescent="0.25">
      <c r="A12" s="20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40"/>
      <c r="U12" s="292" t="s">
        <v>104</v>
      </c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</row>
    <row r="13" spans="1:39" s="4" customFormat="1" ht="22.9" customHeight="1" x14ac:dyDescent="0.25">
      <c r="A13" s="20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40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</row>
    <row r="14" spans="1:39" s="4" customFormat="1" ht="20.45" customHeight="1" x14ac:dyDescent="0.25">
      <c r="A14" s="93" t="s">
        <v>73</v>
      </c>
      <c r="B14" s="108">
        <f>Главная!B41</f>
        <v>1.65</v>
      </c>
      <c r="C14" s="316" t="s">
        <v>74</v>
      </c>
      <c r="D14" s="291"/>
      <c r="E14" s="317">
        <f>Главная!B42</f>
        <v>85</v>
      </c>
      <c r="F14" s="315"/>
      <c r="G14" s="315"/>
      <c r="H14" s="316" t="s">
        <v>75</v>
      </c>
      <c r="I14" s="287"/>
      <c r="J14" s="287"/>
      <c r="K14" s="287"/>
      <c r="L14" s="287"/>
      <c r="M14" s="287"/>
      <c r="N14" s="287"/>
      <c r="O14" s="287"/>
      <c r="P14" s="318">
        <f>SUM(E14/SUMSQ(B14))</f>
        <v>31.221303948576679</v>
      </c>
      <c r="Q14" s="318"/>
      <c r="R14" s="318"/>
      <c r="S14" s="91" t="s">
        <v>76</v>
      </c>
      <c r="T14" s="41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</row>
    <row r="15" spans="1:39" s="4" customFormat="1" ht="30.6" customHeight="1" x14ac:dyDescent="0.35">
      <c r="A15" s="319" t="s">
        <v>77</v>
      </c>
      <c r="B15" s="320"/>
      <c r="C15" s="298">
        <f>Главная!J42</f>
        <v>110</v>
      </c>
      <c r="D15" s="299"/>
      <c r="E15" s="94" t="s">
        <v>71</v>
      </c>
      <c r="F15" s="300">
        <f>Главная!L42</f>
        <v>70</v>
      </c>
      <c r="G15" s="301"/>
      <c r="H15" s="302" t="s">
        <v>72</v>
      </c>
      <c r="I15" s="303"/>
      <c r="J15" s="303"/>
      <c r="K15" s="303"/>
      <c r="L15" s="307" t="s">
        <v>78</v>
      </c>
      <c r="M15" s="308"/>
      <c r="N15" s="308"/>
      <c r="O15" s="308"/>
      <c r="P15" s="308"/>
      <c r="Q15" s="308"/>
      <c r="R15" s="308"/>
      <c r="S15" s="308"/>
      <c r="T15" s="21"/>
      <c r="U15" s="413" t="s">
        <v>112</v>
      </c>
      <c r="V15" s="414"/>
      <c r="W15" s="414"/>
      <c r="X15" s="414"/>
      <c r="Y15" s="414"/>
      <c r="Z15" s="415"/>
      <c r="AA15" s="429" t="s">
        <v>110</v>
      </c>
      <c r="AB15" s="430"/>
      <c r="AC15" s="430"/>
      <c r="AD15" s="430"/>
      <c r="AE15" s="430"/>
      <c r="AF15" s="430"/>
      <c r="AG15" s="430"/>
      <c r="AH15" s="430"/>
      <c r="AI15" s="430"/>
      <c r="AJ15" s="430"/>
      <c r="AK15" s="430"/>
      <c r="AL15" s="430"/>
      <c r="AM15" s="430"/>
    </row>
    <row r="16" spans="1:39" s="4" customFormat="1" ht="19.149999999999999" customHeight="1" x14ac:dyDescent="0.25">
      <c r="A16" s="95" t="s">
        <v>79</v>
      </c>
      <c r="B16" s="309" t="s">
        <v>80</v>
      </c>
      <c r="C16" s="310"/>
      <c r="D16" s="311">
        <f>Главная!B72</f>
        <v>5.41</v>
      </c>
      <c r="E16" s="312"/>
      <c r="F16" s="96"/>
      <c r="G16" s="313" t="s">
        <v>82</v>
      </c>
      <c r="H16" s="310"/>
      <c r="I16" s="310"/>
      <c r="J16" s="309" t="s">
        <v>83</v>
      </c>
      <c r="K16" s="310"/>
      <c r="L16" s="287"/>
      <c r="M16" s="287"/>
      <c r="N16" s="287"/>
      <c r="O16" s="287"/>
      <c r="P16" s="287"/>
      <c r="Q16" s="314">
        <f>Главная!B70</f>
        <v>5.0999999999999996</v>
      </c>
      <c r="R16" s="315"/>
      <c r="S16" s="90"/>
      <c r="T16" s="21"/>
      <c r="U16" s="416" t="str">
        <f>J28</f>
        <v>Изменения сосудистой стенки</v>
      </c>
      <c r="V16" s="417"/>
      <c r="W16" s="417"/>
      <c r="X16" s="417"/>
      <c r="Y16" s="417"/>
      <c r="Z16" s="418"/>
      <c r="AA16" s="431" t="s">
        <v>105</v>
      </c>
      <c r="AB16" s="432"/>
      <c r="AC16" s="432"/>
      <c r="AD16" s="432"/>
      <c r="AE16" s="432"/>
      <c r="AF16" s="432"/>
      <c r="AG16" s="432"/>
      <c r="AH16" s="432"/>
      <c r="AI16" s="432"/>
      <c r="AJ16" s="432"/>
      <c r="AK16" s="432"/>
      <c r="AL16" s="432"/>
      <c r="AM16" s="137" t="str">
        <f>IF(AND(Главная!J65&gt;0),"+",IF(AND(Главная!D65&gt;0),"+","-"))</f>
        <v>-</v>
      </c>
    </row>
    <row r="17" spans="1:39" s="4" customFormat="1" ht="20.45" customHeight="1" x14ac:dyDescent="0.2">
      <c r="A17" s="95"/>
      <c r="B17" s="41"/>
      <c r="C17" s="99"/>
      <c r="D17" s="96"/>
      <c r="E17" s="100"/>
      <c r="F17" s="96"/>
      <c r="G17" s="98"/>
      <c r="H17" s="99"/>
      <c r="I17" s="99"/>
      <c r="J17" s="41"/>
      <c r="K17" s="99"/>
      <c r="L17" s="70"/>
      <c r="M17" s="70"/>
      <c r="N17" s="70"/>
      <c r="O17" s="70"/>
      <c r="P17" s="70"/>
      <c r="Q17" s="97"/>
      <c r="R17" s="69"/>
      <c r="S17" s="90"/>
      <c r="T17" s="21"/>
      <c r="U17" s="417"/>
      <c r="V17" s="417"/>
      <c r="W17" s="417"/>
      <c r="X17" s="417"/>
      <c r="Y17" s="417"/>
      <c r="Z17" s="418"/>
      <c r="AA17" s="431" t="s">
        <v>106</v>
      </c>
      <c r="AB17" s="432"/>
      <c r="AC17" s="432"/>
      <c r="AD17" s="432"/>
      <c r="AE17" s="432"/>
      <c r="AF17" s="432"/>
      <c r="AG17" s="432"/>
      <c r="AH17" s="432"/>
      <c r="AI17" s="432"/>
      <c r="AJ17" s="432"/>
      <c r="AK17" s="432"/>
      <c r="AL17" s="432"/>
      <c r="AM17" s="119" t="s">
        <v>157</v>
      </c>
    </row>
    <row r="18" spans="1:39" s="4" customFormat="1" ht="20.45" customHeight="1" x14ac:dyDescent="0.25">
      <c r="A18" s="294" t="s">
        <v>84</v>
      </c>
      <c r="B18" s="287"/>
      <c r="C18" s="295" t="s">
        <v>56</v>
      </c>
      <c r="D18" s="291"/>
      <c r="E18" s="296">
        <f>Главная!C44</f>
        <v>1.5</v>
      </c>
      <c r="F18" s="297"/>
      <c r="G18" s="295" t="s">
        <v>57</v>
      </c>
      <c r="H18" s="291"/>
      <c r="I18" s="296">
        <f>Главная!E44</f>
        <v>1.93</v>
      </c>
      <c r="J18" s="297"/>
      <c r="K18" s="295" t="s">
        <v>58</v>
      </c>
      <c r="L18" s="291"/>
      <c r="M18" s="296">
        <f>Главная!G44</f>
        <v>2.2999999999999998</v>
      </c>
      <c r="N18" s="321"/>
      <c r="O18" s="322" t="s">
        <v>85</v>
      </c>
      <c r="P18" s="323"/>
      <c r="Q18" s="323"/>
      <c r="R18" s="323"/>
      <c r="S18" s="109">
        <f>Главная!J44</f>
        <v>100</v>
      </c>
      <c r="T18" s="41"/>
      <c r="U18" s="419" t="s">
        <v>113</v>
      </c>
      <c r="V18" s="420"/>
      <c r="W18" s="420"/>
      <c r="X18" s="420"/>
      <c r="Y18" s="420"/>
      <c r="Z18" s="421"/>
      <c r="AA18" s="433" t="s">
        <v>107</v>
      </c>
      <c r="AB18" s="434"/>
      <c r="AC18" s="434"/>
      <c r="AD18" s="434"/>
      <c r="AE18" s="434"/>
      <c r="AF18" s="434"/>
      <c r="AG18" s="434"/>
      <c r="AH18" s="434"/>
      <c r="AI18" s="434"/>
      <c r="AJ18" s="434"/>
      <c r="AK18" s="434"/>
      <c r="AL18" s="434"/>
      <c r="AM18" s="119" t="str">
        <f>IF(C15&gt;139,"+",IF(C15&lt;139,"-"))</f>
        <v>-</v>
      </c>
    </row>
    <row r="19" spans="1:39" s="4" customFormat="1" ht="19.899999999999999" customHeight="1" x14ac:dyDescent="0.2">
      <c r="A19" s="324" t="str">
        <f>Главная!B45</f>
        <v>Легкая рестрикция</v>
      </c>
      <c r="B19" s="325"/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42"/>
      <c r="U19" s="422" t="s">
        <v>116</v>
      </c>
      <c r="V19" s="423"/>
      <c r="W19" s="423"/>
      <c r="X19" s="423"/>
      <c r="Y19" s="423"/>
      <c r="Z19" s="362"/>
      <c r="AA19" s="431" t="s">
        <v>108</v>
      </c>
      <c r="AB19" s="434"/>
      <c r="AC19" s="434"/>
      <c r="AD19" s="434"/>
      <c r="AE19" s="434"/>
      <c r="AF19" s="434"/>
      <c r="AG19" s="434"/>
      <c r="AH19" s="434"/>
      <c r="AI19" s="434"/>
      <c r="AJ19" s="434"/>
      <c r="AK19" s="434"/>
      <c r="AL19" s="434"/>
      <c r="AM19" s="119" t="str">
        <f>IF(D16&gt;4.9,"+",IF(D16&lt;=4.9,"-"))</f>
        <v>+</v>
      </c>
    </row>
    <row r="20" spans="1:39" s="4" customFormat="1" ht="20.45" customHeight="1" x14ac:dyDescent="0.2">
      <c r="A20" s="304" t="s">
        <v>103</v>
      </c>
      <c r="B20" s="305"/>
      <c r="C20" s="306"/>
      <c r="D20" s="306"/>
      <c r="E20" s="306"/>
      <c r="F20" s="306"/>
      <c r="G20" s="171"/>
      <c r="H20" s="171"/>
      <c r="I20" s="171"/>
      <c r="J20" s="327" t="s">
        <v>86</v>
      </c>
      <c r="K20" s="328"/>
      <c r="L20" s="328"/>
      <c r="M20" s="328"/>
      <c r="N20" s="328"/>
      <c r="O20" s="328"/>
      <c r="P20" s="328"/>
      <c r="Q20" s="328"/>
      <c r="R20" s="328"/>
      <c r="S20" s="328"/>
      <c r="T20" s="43"/>
      <c r="U20" s="423"/>
      <c r="V20" s="423"/>
      <c r="W20" s="423"/>
      <c r="X20" s="423"/>
      <c r="Y20" s="423"/>
      <c r="Z20" s="362"/>
      <c r="AA20" s="431" t="s">
        <v>111</v>
      </c>
      <c r="AB20" s="432"/>
      <c r="AC20" s="432"/>
      <c r="AD20" s="432"/>
      <c r="AE20" s="432"/>
      <c r="AF20" s="432"/>
      <c r="AG20" s="432"/>
      <c r="AH20" s="432"/>
      <c r="AI20" s="432"/>
      <c r="AJ20" s="432"/>
      <c r="AK20" s="432"/>
      <c r="AL20" s="432"/>
      <c r="AM20" s="119" t="str">
        <f>IF(Q16&gt;=6.5,"+",IF(Q16&lt;6.5,"-"))</f>
        <v>-</v>
      </c>
    </row>
    <row r="21" spans="1:39" s="4" customFormat="1" ht="18" customHeight="1" x14ac:dyDescent="0.2">
      <c r="A21" s="336" t="s">
        <v>62</v>
      </c>
      <c r="B21" s="337"/>
      <c r="C21" s="337"/>
      <c r="D21" s="337"/>
      <c r="E21" s="337"/>
      <c r="F21" s="337"/>
      <c r="G21" s="337"/>
      <c r="H21" s="337"/>
      <c r="I21" s="337"/>
      <c r="J21" s="370" t="s">
        <v>63</v>
      </c>
      <c r="K21" s="355"/>
      <c r="L21" s="355"/>
      <c r="M21" s="356" t="str">
        <f>Главная!C48</f>
        <v>16%-14%</v>
      </c>
      <c r="N21" s="357"/>
      <c r="O21" s="358"/>
      <c r="P21" s="354" t="s">
        <v>87</v>
      </c>
      <c r="Q21" s="355"/>
      <c r="R21" s="355"/>
      <c r="S21" s="114">
        <f>Главная!H48</f>
        <v>72</v>
      </c>
      <c r="T21" s="48"/>
      <c r="U21" s="424" t="s">
        <v>106</v>
      </c>
      <c r="V21" s="425"/>
      <c r="W21" s="425"/>
      <c r="X21" s="425"/>
      <c r="Y21" s="425"/>
      <c r="Z21" s="426"/>
      <c r="AA21" s="431" t="s">
        <v>109</v>
      </c>
      <c r="AB21" s="432"/>
      <c r="AC21" s="432"/>
      <c r="AD21" s="432"/>
      <c r="AE21" s="432"/>
      <c r="AF21" s="432"/>
      <c r="AG21" s="432"/>
      <c r="AH21" s="432"/>
      <c r="AI21" s="432"/>
      <c r="AJ21" s="432"/>
      <c r="AK21" s="432"/>
      <c r="AL21" s="432"/>
      <c r="AM21" s="119" t="str">
        <f>IF(P14&gt;26,"+",IF(P14&lt;=26,"-"))</f>
        <v>+</v>
      </c>
    </row>
    <row r="22" spans="1:39" s="4" customFormat="1" ht="16.149999999999999" customHeight="1" x14ac:dyDescent="0.2">
      <c r="A22" s="338"/>
      <c r="B22" s="339"/>
      <c r="C22" s="339"/>
      <c r="D22" s="339"/>
      <c r="E22" s="339"/>
      <c r="F22" s="339"/>
      <c r="G22" s="339"/>
      <c r="H22" s="339"/>
      <c r="I22" s="339"/>
      <c r="J22" s="329" t="str">
        <f>Главная!B50</f>
        <v>Изменение процесса деполяризации желудочков</v>
      </c>
      <c r="K22" s="330"/>
      <c r="L22" s="330"/>
      <c r="M22" s="330"/>
      <c r="N22" s="330"/>
      <c r="O22" s="330"/>
      <c r="P22" s="330"/>
      <c r="Q22" s="330"/>
      <c r="R22" s="330"/>
      <c r="S22" s="331"/>
      <c r="T22" s="44"/>
      <c r="U22" s="427" t="str">
        <f>J22</f>
        <v>Изменение процесса деполяризации желудочков</v>
      </c>
      <c r="V22" s="428"/>
      <c r="W22" s="428"/>
      <c r="X22" s="428"/>
      <c r="Y22" s="428"/>
      <c r="Z22" s="428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</row>
    <row r="23" spans="1:39" s="4" customFormat="1" ht="19.899999999999999" customHeight="1" x14ac:dyDescent="0.2">
      <c r="A23" s="340"/>
      <c r="B23" s="341"/>
      <c r="C23" s="341"/>
      <c r="D23" s="341"/>
      <c r="E23" s="341"/>
      <c r="F23" s="341"/>
      <c r="G23" s="341"/>
      <c r="H23" s="341"/>
      <c r="I23" s="341"/>
      <c r="J23" s="332"/>
      <c r="K23" s="330"/>
      <c r="L23" s="330"/>
      <c r="M23" s="330"/>
      <c r="N23" s="330"/>
      <c r="O23" s="330"/>
      <c r="P23" s="330"/>
      <c r="Q23" s="330"/>
      <c r="R23" s="330"/>
      <c r="S23" s="331"/>
      <c r="T23" s="44"/>
      <c r="U23" s="428"/>
      <c r="V23" s="428"/>
      <c r="W23" s="428"/>
      <c r="X23" s="428"/>
      <c r="Y23" s="428"/>
      <c r="Z23" s="428"/>
      <c r="AA23" s="407" t="s">
        <v>117</v>
      </c>
      <c r="AB23" s="408"/>
      <c r="AC23" s="408"/>
      <c r="AD23" s="408"/>
      <c r="AE23" s="408"/>
      <c r="AF23" s="409"/>
      <c r="AG23" s="208" t="str">
        <f>IF(AND(AM18="+",AM19="+"),"II","I")</f>
        <v>I</v>
      </c>
      <c r="AH23" s="410"/>
      <c r="AI23" s="407" t="s">
        <v>118</v>
      </c>
      <c r="AJ23" s="409"/>
      <c r="AK23" s="409"/>
      <c r="AL23" s="141">
        <f ca="1">INDEX(Лист4!B18:X37,MATCH(U11,Лист4!G18:G37,-1)+MATCH(C15,Лист4!A18:A21,-1)-1,MATCH(--(AM16&amp;Главная!J9),Лист4!B16:X16,)+MATCH(D16,Лист4!B38:F38)-1)</f>
        <v>8</v>
      </c>
      <c r="AM23" s="121" t="s">
        <v>98</v>
      </c>
    </row>
    <row r="24" spans="1:39" s="4" customFormat="1" ht="19.149999999999999" customHeight="1" x14ac:dyDescent="0.25">
      <c r="A24" s="340"/>
      <c r="B24" s="341"/>
      <c r="C24" s="341"/>
      <c r="D24" s="341"/>
      <c r="E24" s="341"/>
      <c r="F24" s="341"/>
      <c r="G24" s="341"/>
      <c r="H24" s="341"/>
      <c r="I24" s="341"/>
      <c r="J24" s="333"/>
      <c r="K24" s="334"/>
      <c r="L24" s="334"/>
      <c r="M24" s="334"/>
      <c r="N24" s="334"/>
      <c r="O24" s="334"/>
      <c r="P24" s="334"/>
      <c r="Q24" s="334"/>
      <c r="R24" s="334"/>
      <c r="S24" s="335"/>
      <c r="T24" s="47"/>
      <c r="U24" s="440" t="s">
        <v>119</v>
      </c>
      <c r="V24" s="441"/>
      <c r="W24" s="280" t="str">
        <f>IF(AND(Главная!J9=2,W25="E 66.9"),"E 07.9",IF(AND(Главная!J9=1,U11&gt;33),"М 54.2"," "))</f>
        <v>E 07.9</v>
      </c>
      <c r="X24" s="280"/>
      <c r="Y24" s="280"/>
      <c r="Z24" s="278" t="str">
        <f ca="1">IF(AND(U11&lt;=55,W25="K 29.9"),"M 54.6",IF(AND(U11&gt;65),"I 67.9"," "))</f>
        <v xml:space="preserve"> </v>
      </c>
      <c r="AA24" s="288"/>
      <c r="AB24" s="288"/>
      <c r="AC24" s="281" t="str">
        <f>IF(AND(AM16="+",Главная!C44&lt;=2),"J 42.9"," ")</f>
        <v xml:space="preserve"> </v>
      </c>
      <c r="AD24" s="282"/>
      <c r="AE24" s="282"/>
      <c r="AF24" s="290"/>
      <c r="AG24" s="291"/>
      <c r="AH24" s="291"/>
      <c r="AI24" s="290"/>
      <c r="AJ24" s="291"/>
      <c r="AK24" s="291"/>
      <c r="AL24" s="120"/>
      <c r="AM24" s="120"/>
    </row>
    <row r="25" spans="1:39" s="4" customFormat="1" ht="22.9" customHeight="1" x14ac:dyDescent="0.25">
      <c r="A25" s="342" t="s">
        <v>88</v>
      </c>
      <c r="B25" s="343"/>
      <c r="C25" s="343"/>
      <c r="D25" s="343"/>
      <c r="E25" s="343"/>
      <c r="F25" s="343"/>
      <c r="G25" s="343"/>
      <c r="H25" s="343"/>
      <c r="I25" s="344"/>
      <c r="J25" s="348" t="str">
        <f>Главная!B53</f>
        <v>средний</v>
      </c>
      <c r="K25" s="349"/>
      <c r="L25" s="349"/>
      <c r="M25" s="349"/>
      <c r="N25" s="349"/>
      <c r="O25" s="349"/>
      <c r="P25" s="349"/>
      <c r="Q25" s="349"/>
      <c r="R25" s="349"/>
      <c r="S25" s="350"/>
      <c r="T25" s="27"/>
      <c r="U25" s="425"/>
      <c r="V25" s="441"/>
      <c r="W25" s="278" t="str">
        <f>IF(AM21="+","E 66.9",IF(AM21="-","K 29.9"))</f>
        <v>E 66.9</v>
      </c>
      <c r="X25" s="279"/>
      <c r="Y25" s="279"/>
      <c r="Z25" s="278" t="str">
        <f>IF(AM19="+","E 78.9",IF(AM19="-","K 81.9"))</f>
        <v>E 78.9</v>
      </c>
      <c r="AA25" s="279"/>
      <c r="AB25" s="279"/>
      <c r="AC25" s="280" t="str">
        <f>IF(AM18="+","I 11.9",IF(AM18="-","G 90.8"))</f>
        <v>G 90.8</v>
      </c>
      <c r="AD25" s="280"/>
      <c r="AE25" s="280"/>
      <c r="AF25" s="278" t="str">
        <f ca="1">LOOKUP(U11,{18,45,60,66,69},{"M 42.1","N 11.9","N 30.9","K 31.4","М 17.0"})</f>
        <v>N 11.9</v>
      </c>
      <c r="AG25" s="289"/>
      <c r="AH25" s="289"/>
      <c r="AI25" s="281" t="str">
        <f>IF(S21&gt;85,"I 20.9",IF(S21&lt;70,"I 25.9", IF(S21&gt;=70," ", IF(S21&lt;=85," "))))</f>
        <v xml:space="preserve"> </v>
      </c>
      <c r="AJ25" s="282"/>
      <c r="AK25" s="282"/>
      <c r="AL25" s="281" t="str">
        <f>IF(AM20="+","R 73.9",IF(AM20="-"," "))</f>
        <v xml:space="preserve"> </v>
      </c>
      <c r="AM25" s="282"/>
    </row>
    <row r="26" spans="1:39" s="4" customFormat="1" ht="21.6" customHeight="1" x14ac:dyDescent="0.25">
      <c r="A26" s="345"/>
      <c r="B26" s="346"/>
      <c r="C26" s="346"/>
      <c r="D26" s="346"/>
      <c r="E26" s="346"/>
      <c r="F26" s="346"/>
      <c r="G26" s="346"/>
      <c r="H26" s="346"/>
      <c r="I26" s="347"/>
      <c r="J26" s="351"/>
      <c r="K26" s="352"/>
      <c r="L26" s="352"/>
      <c r="M26" s="352"/>
      <c r="N26" s="352"/>
      <c r="O26" s="352"/>
      <c r="P26" s="352"/>
      <c r="Q26" s="352"/>
      <c r="R26" s="352"/>
      <c r="S26" s="353"/>
      <c r="T26" s="29"/>
      <c r="U26" s="411" t="s">
        <v>120</v>
      </c>
      <c r="V26" s="412"/>
      <c r="W26" s="451" t="s">
        <v>154</v>
      </c>
      <c r="X26" s="417"/>
      <c r="Y26" s="417"/>
      <c r="Z26" s="417"/>
      <c r="AA26" s="417"/>
      <c r="AB26" s="417"/>
      <c r="AC26" s="417"/>
      <c r="AD26" s="417"/>
      <c r="AE26" s="60"/>
      <c r="AF26" s="60"/>
      <c r="AG26" s="60"/>
      <c r="AH26" s="60"/>
      <c r="AI26" s="60"/>
      <c r="AJ26" s="60"/>
      <c r="AK26" s="60"/>
      <c r="AL26" s="60"/>
      <c r="AM26" s="60"/>
    </row>
    <row r="27" spans="1:39" s="4" customFormat="1" ht="19.149999999999999" customHeight="1" x14ac:dyDescent="0.2">
      <c r="A27" s="359" t="s">
        <v>66</v>
      </c>
      <c r="B27" s="343"/>
      <c r="C27" s="343"/>
      <c r="D27" s="343"/>
      <c r="E27" s="343"/>
      <c r="F27" s="343"/>
      <c r="G27" s="343"/>
      <c r="H27" s="343"/>
      <c r="I27" s="344"/>
      <c r="J27" s="397" t="s">
        <v>114</v>
      </c>
      <c r="K27" s="343"/>
      <c r="L27" s="343"/>
      <c r="M27" s="398">
        <v>0.89</v>
      </c>
      <c r="N27" s="399"/>
      <c r="O27" s="343"/>
      <c r="P27" s="343"/>
      <c r="Q27" s="343"/>
      <c r="R27" s="343"/>
      <c r="S27" s="344"/>
      <c r="T27" s="28"/>
      <c r="U27" s="206" t="str">
        <f ca="1">IF(AND(U11&gt;=35,W25="E 66.9",AC25="G 90.8"),Лист4!I2,IF(AND(AM18="+",U11&lt;=40),Лист4!F2,IF(AND(AL25="R 73.9",AM18="-"),Лист4!D2,IF(AND(AM18="+",U11&gt;=65,AI25="I 25.9"),Лист4!H2,IF(AND(Z24="M 54.6"),Лист4!C2,IF(AND(AM18="+",U11&gt;=65,AI25="I 20.9"),Лист4!E2,IF(AND(AL25="R 73.9",AM18="+",U11&gt;=65,AM16="+"),Лист4!B2,IF(AND(AL25="R 73.9",AM18="+",U11&gt;=65,AM16="-"),Лист4!G2,IF(AND(Z24="I 67.9",AC25="G 90.8",W25="K 29.9"),Лист4!A2,Лист4!J2)))))))))</f>
        <v xml:space="preserve">В плановом порядке: ЭКГ, дуплекс каротид, по результатам – консультация специалиста. Консультация невролога
</v>
      </c>
      <c r="V27" s="456"/>
      <c r="W27" s="456"/>
      <c r="X27" s="456"/>
      <c r="Y27" s="456"/>
      <c r="Z27" s="456"/>
      <c r="AA27" s="456"/>
      <c r="AB27" s="456"/>
      <c r="AC27" s="456"/>
      <c r="AD27" s="456"/>
      <c r="AE27" s="456"/>
      <c r="AF27" s="456"/>
      <c r="AG27" s="456"/>
      <c r="AH27" s="456"/>
      <c r="AI27" s="456"/>
      <c r="AJ27" s="456"/>
      <c r="AK27" s="456"/>
      <c r="AL27" s="456"/>
      <c r="AM27" s="456"/>
    </row>
    <row r="28" spans="1:39" s="4" customFormat="1" ht="24" customHeight="1" x14ac:dyDescent="0.2">
      <c r="A28" s="360"/>
      <c r="B28" s="361"/>
      <c r="C28" s="361"/>
      <c r="D28" s="361"/>
      <c r="E28" s="361"/>
      <c r="F28" s="361"/>
      <c r="G28" s="361"/>
      <c r="H28" s="361"/>
      <c r="I28" s="362"/>
      <c r="J28" s="329" t="str">
        <f>Главная!B57</f>
        <v>Изменения сосудистой стенки</v>
      </c>
      <c r="K28" s="363"/>
      <c r="L28" s="363"/>
      <c r="M28" s="363"/>
      <c r="N28" s="363"/>
      <c r="O28" s="363"/>
      <c r="P28" s="363"/>
      <c r="Q28" s="363"/>
      <c r="R28" s="363"/>
      <c r="S28" s="364"/>
      <c r="T28" s="60"/>
      <c r="U28" s="456"/>
      <c r="V28" s="456"/>
      <c r="W28" s="456"/>
      <c r="X28" s="456"/>
      <c r="Y28" s="456"/>
      <c r="Z28" s="456"/>
      <c r="AA28" s="456"/>
      <c r="AB28" s="456"/>
      <c r="AC28" s="456"/>
      <c r="AD28" s="456"/>
      <c r="AE28" s="456"/>
      <c r="AF28" s="456"/>
      <c r="AG28" s="456"/>
      <c r="AH28" s="456"/>
      <c r="AI28" s="456"/>
      <c r="AJ28" s="456"/>
      <c r="AK28" s="456"/>
      <c r="AL28" s="456"/>
      <c r="AM28" s="456"/>
    </row>
    <row r="29" spans="1:39" s="4" customFormat="1" ht="24" customHeight="1" x14ac:dyDescent="0.2">
      <c r="A29" s="345"/>
      <c r="B29" s="346"/>
      <c r="C29" s="346"/>
      <c r="D29" s="346"/>
      <c r="E29" s="346"/>
      <c r="F29" s="346"/>
      <c r="G29" s="346"/>
      <c r="H29" s="346"/>
      <c r="I29" s="347"/>
      <c r="J29" s="365"/>
      <c r="K29" s="366"/>
      <c r="L29" s="366"/>
      <c r="M29" s="366"/>
      <c r="N29" s="366"/>
      <c r="O29" s="366"/>
      <c r="P29" s="366"/>
      <c r="Q29" s="366"/>
      <c r="R29" s="366"/>
      <c r="S29" s="367"/>
      <c r="T29" s="60"/>
      <c r="U29" s="457" t="str">
        <f>IF(AND(W24="E 07.9"),Лист4!K2,IF(AND(U11&lt;35,AM21="+"),Лист4!K2,Лист4!C13))</f>
        <v>Комплексное обследование щитовидной железы (УЗИ+горм.фон+АТ), консультация эндокринолога</v>
      </c>
      <c r="V29" s="457"/>
      <c r="W29" s="457"/>
      <c r="X29" s="457"/>
      <c r="Y29" s="457"/>
      <c r="Z29" s="457"/>
      <c r="AA29" s="457"/>
      <c r="AB29" s="457"/>
      <c r="AC29" s="457"/>
      <c r="AD29" s="457"/>
      <c r="AE29" s="457"/>
      <c r="AF29" s="457"/>
      <c r="AG29" s="457"/>
      <c r="AH29" s="457"/>
      <c r="AI29" s="457"/>
      <c r="AJ29" s="457"/>
      <c r="AK29" s="457"/>
      <c r="AL29" s="457"/>
      <c r="AM29" s="457"/>
    </row>
    <row r="30" spans="1:39" s="4" customFormat="1" ht="19.149999999999999" customHeight="1" x14ac:dyDescent="0.25">
      <c r="A30" s="388" t="s">
        <v>68</v>
      </c>
      <c r="B30" s="389"/>
      <c r="C30" s="389"/>
      <c r="D30" s="389"/>
      <c r="E30" s="389"/>
      <c r="F30" s="389"/>
      <c r="G30" s="389"/>
      <c r="H30" s="389"/>
      <c r="I30" s="390"/>
      <c r="J30" s="368" t="s">
        <v>153</v>
      </c>
      <c r="K30" s="369"/>
      <c r="L30" s="369"/>
      <c r="M30" s="276">
        <f>Главная!D65</f>
        <v>0</v>
      </c>
      <c r="N30" s="277"/>
      <c r="O30" s="277"/>
      <c r="P30" s="111"/>
      <c r="Q30" s="111"/>
      <c r="R30" s="111"/>
      <c r="S30" s="112"/>
      <c r="T30" s="45"/>
      <c r="U30" s="61"/>
      <c r="V30" s="115"/>
      <c r="W30" s="451" t="s">
        <v>123</v>
      </c>
      <c r="X30" s="452"/>
      <c r="Y30" s="452"/>
      <c r="Z30" s="452"/>
      <c r="AA30" s="452"/>
      <c r="AB30" s="452"/>
      <c r="AC30" s="452"/>
      <c r="AD30" s="452"/>
      <c r="AE30" s="68"/>
      <c r="AF30" s="68"/>
      <c r="AG30" s="68"/>
      <c r="AH30" s="68"/>
      <c r="AI30" s="68"/>
      <c r="AJ30" s="68"/>
      <c r="AK30" s="68"/>
      <c r="AL30" s="68"/>
      <c r="AM30" s="68"/>
    </row>
    <row r="31" spans="1:39" s="4" customFormat="1" ht="13.9" customHeight="1" x14ac:dyDescent="0.2">
      <c r="A31" s="391"/>
      <c r="B31" s="392"/>
      <c r="C31" s="392"/>
      <c r="D31" s="392"/>
      <c r="E31" s="392"/>
      <c r="F31" s="392"/>
      <c r="G31" s="392"/>
      <c r="H31" s="392"/>
      <c r="I31" s="393"/>
      <c r="J31" s="405" t="s">
        <v>152</v>
      </c>
      <c r="K31" s="406"/>
      <c r="L31" s="406"/>
      <c r="M31" s="275">
        <f>Главная!J65</f>
        <v>0</v>
      </c>
      <c r="N31" s="176"/>
      <c r="O31" s="176"/>
      <c r="P31" s="117"/>
      <c r="Q31" s="117"/>
      <c r="R31" s="117"/>
      <c r="S31" s="118"/>
      <c r="T31" s="46"/>
      <c r="U31" s="453" t="str">
        <f>IF(AND(AM18="+",AI25="I20.9"),Лист4!A4,IF(AND(AM18="+",AI25="I25.9"),Лист4!B4,IF(AND(AM18="+",AI25=" "),Лист4!C4,Лист4!D4)))</f>
        <v>1 раз в полгода/год -ведение дневника контроля артериального давления с измерениями минимум 2 раза в день (утро/вечер) в течение 5-7 дней. При неоднократной регистрации АД свыше 140/90 мм.рт.ст. – консультация лечащего врача.</v>
      </c>
      <c r="V31" s="454"/>
      <c r="W31" s="454"/>
      <c r="X31" s="454"/>
      <c r="Y31" s="454"/>
      <c r="Z31" s="454"/>
      <c r="AA31" s="454"/>
      <c r="AB31" s="454"/>
      <c r="AC31" s="454"/>
      <c r="AD31" s="454"/>
      <c r="AE31" s="454"/>
      <c r="AF31" s="454"/>
      <c r="AG31" s="454"/>
      <c r="AH31" s="454"/>
      <c r="AI31" s="454"/>
      <c r="AJ31" s="454"/>
      <c r="AK31" s="454"/>
      <c r="AL31" s="454"/>
      <c r="AM31" s="454"/>
    </row>
    <row r="32" spans="1:39" s="4" customFormat="1" ht="19.149999999999999" customHeight="1" x14ac:dyDescent="0.2">
      <c r="A32" s="394" t="s">
        <v>69</v>
      </c>
      <c r="B32" s="395"/>
      <c r="C32" s="395"/>
      <c r="D32" s="395"/>
      <c r="E32" s="395"/>
      <c r="F32" s="395"/>
      <c r="G32" s="395"/>
      <c r="H32" s="395"/>
      <c r="I32" s="396"/>
      <c r="J32" s="400" t="s">
        <v>97</v>
      </c>
      <c r="K32" s="401"/>
      <c r="L32" s="401"/>
      <c r="M32" s="402">
        <f>Главная!C68</f>
        <v>0.01</v>
      </c>
      <c r="N32" s="403"/>
      <c r="O32" s="103"/>
      <c r="P32" s="403" t="str">
        <f>Главная!E68</f>
        <v>_</v>
      </c>
      <c r="Q32" s="403"/>
      <c r="R32" s="403"/>
      <c r="S32" s="404"/>
      <c r="T32" s="24"/>
      <c r="U32" s="454"/>
      <c r="V32" s="454"/>
      <c r="W32" s="454"/>
      <c r="X32" s="454"/>
      <c r="Y32" s="454"/>
      <c r="Z32" s="454"/>
      <c r="AA32" s="454"/>
      <c r="AB32" s="454"/>
      <c r="AC32" s="454"/>
      <c r="AD32" s="454"/>
      <c r="AE32" s="454"/>
      <c r="AF32" s="454"/>
      <c r="AG32" s="454"/>
      <c r="AH32" s="454"/>
      <c r="AI32" s="454"/>
      <c r="AJ32" s="454"/>
      <c r="AK32" s="454"/>
      <c r="AL32" s="454"/>
      <c r="AM32" s="454"/>
    </row>
    <row r="33" spans="1:39" s="4" customFormat="1" ht="17.45" customHeight="1" x14ac:dyDescent="0.25">
      <c r="A33" s="381" t="s">
        <v>89</v>
      </c>
      <c r="B33" s="382"/>
      <c r="C33" s="382"/>
      <c r="D33" s="382"/>
      <c r="E33" s="382"/>
      <c r="F33" s="382"/>
      <c r="G33" s="382"/>
      <c r="H33" s="382"/>
      <c r="I33" s="383"/>
      <c r="J33" s="460" t="s">
        <v>115</v>
      </c>
      <c r="K33" s="461"/>
      <c r="L33" s="461"/>
      <c r="M33" s="461"/>
      <c r="N33" s="461"/>
      <c r="O33" s="461"/>
      <c r="P33" s="461"/>
      <c r="Q33" s="461"/>
      <c r="R33" s="461"/>
      <c r="S33" s="462"/>
      <c r="T33" s="46"/>
      <c r="U33" s="448"/>
      <c r="V33" s="449"/>
      <c r="W33" s="451" t="s">
        <v>155</v>
      </c>
      <c r="X33" s="455"/>
      <c r="Y33" s="455"/>
      <c r="Z33" s="455"/>
      <c r="AA33" s="455"/>
      <c r="AB33" s="455"/>
      <c r="AC33" s="455"/>
      <c r="AD33" s="455"/>
      <c r="AE33" s="455"/>
      <c r="AF33" s="455"/>
      <c r="AG33" s="455"/>
      <c r="AH33" s="455"/>
      <c r="AI33" s="455"/>
      <c r="AJ33" s="455"/>
      <c r="AK33" s="455"/>
      <c r="AL33" s="455"/>
      <c r="AM33" s="455"/>
    </row>
    <row r="34" spans="1:39" s="4" customFormat="1" ht="22.9" customHeight="1" x14ac:dyDescent="0.2">
      <c r="A34" s="384"/>
      <c r="B34" s="385"/>
      <c r="C34" s="385"/>
      <c r="D34" s="385"/>
      <c r="E34" s="385"/>
      <c r="F34" s="385"/>
      <c r="G34" s="385"/>
      <c r="H34" s="385"/>
      <c r="I34" s="386"/>
      <c r="J34" s="463"/>
      <c r="K34" s="464"/>
      <c r="L34" s="464"/>
      <c r="M34" s="464"/>
      <c r="N34" s="464"/>
      <c r="O34" s="464"/>
      <c r="P34" s="464"/>
      <c r="Q34" s="464"/>
      <c r="R34" s="464"/>
      <c r="S34" s="465"/>
      <c r="T34" s="64"/>
      <c r="U34" s="450" t="str">
        <f>IF(AND(AM18="+",AI25="I20.9"),Лист4!A8,IF(AND(AM18="+",AI25="I25.9"),Лист4!D8,IF(AND(AM18="+",AI25=" "),Лист4!E8,Лист4!B8)))</f>
        <v xml:space="preserve">Утренняя гимнастика с элементами дыхательной гимнастики по Стрельниковой, регулярные занятия физической культурой, лечебное плавание. Санаторно-курортное лечение.Консультация травматолога-ортопеда по поводу ношения ортопедической обуви.
</v>
      </c>
      <c r="V34" s="425"/>
      <c r="W34" s="425"/>
      <c r="X34" s="425"/>
      <c r="Y34" s="425"/>
      <c r="Z34" s="425"/>
      <c r="AA34" s="425"/>
      <c r="AB34" s="425"/>
      <c r="AC34" s="425"/>
      <c r="AD34" s="425"/>
      <c r="AE34" s="425"/>
      <c r="AF34" s="425"/>
      <c r="AG34" s="425"/>
      <c r="AH34" s="425"/>
      <c r="AI34" s="425"/>
      <c r="AJ34" s="425"/>
      <c r="AK34" s="425"/>
      <c r="AL34" s="425"/>
      <c r="AM34" s="425"/>
    </row>
    <row r="35" spans="1:39" s="4" customFormat="1" ht="19.149999999999999" customHeight="1" x14ac:dyDescent="0.2">
      <c r="A35" s="466" t="s">
        <v>90</v>
      </c>
      <c r="B35" s="372"/>
      <c r="C35" s="372"/>
      <c r="D35" s="372"/>
      <c r="E35" s="372"/>
      <c r="F35" s="372"/>
      <c r="G35" s="372"/>
      <c r="H35" s="372"/>
      <c r="I35" s="373"/>
      <c r="J35" s="371" t="s">
        <v>102</v>
      </c>
      <c r="K35" s="372"/>
      <c r="L35" s="372"/>
      <c r="M35" s="372"/>
      <c r="N35" s="372"/>
      <c r="O35" s="372"/>
      <c r="P35" s="372"/>
      <c r="Q35" s="372"/>
      <c r="R35" s="372"/>
      <c r="S35" s="373"/>
      <c r="T35" s="62"/>
      <c r="U35" s="425"/>
      <c r="V35" s="425"/>
      <c r="W35" s="425"/>
      <c r="X35" s="425"/>
      <c r="Y35" s="425"/>
      <c r="Z35" s="425"/>
      <c r="AA35" s="425"/>
      <c r="AB35" s="425"/>
      <c r="AC35" s="425"/>
      <c r="AD35" s="425"/>
      <c r="AE35" s="425"/>
      <c r="AF35" s="425"/>
      <c r="AG35" s="425"/>
      <c r="AH35" s="425"/>
      <c r="AI35" s="425"/>
      <c r="AJ35" s="425"/>
      <c r="AK35" s="425"/>
      <c r="AL35" s="425"/>
      <c r="AM35" s="425"/>
    </row>
    <row r="36" spans="1:39" s="4" customFormat="1" ht="16.899999999999999" customHeight="1" x14ac:dyDescent="0.25">
      <c r="A36" s="374"/>
      <c r="B36" s="375"/>
      <c r="C36" s="375"/>
      <c r="D36" s="375"/>
      <c r="E36" s="375"/>
      <c r="F36" s="375"/>
      <c r="G36" s="375"/>
      <c r="H36" s="375"/>
      <c r="I36" s="376"/>
      <c r="J36" s="374"/>
      <c r="K36" s="375"/>
      <c r="L36" s="375"/>
      <c r="M36" s="375"/>
      <c r="N36" s="375"/>
      <c r="O36" s="375"/>
      <c r="P36" s="375"/>
      <c r="Q36" s="375"/>
      <c r="R36" s="375"/>
      <c r="S36" s="376"/>
      <c r="T36" s="66"/>
      <c r="U36" s="65"/>
      <c r="V36" s="442" t="s">
        <v>156</v>
      </c>
      <c r="W36" s="443"/>
      <c r="X36" s="443"/>
      <c r="Y36" s="443"/>
      <c r="Z36" s="443"/>
      <c r="AA36" s="443"/>
      <c r="AB36" s="443"/>
      <c r="AC36" s="443"/>
      <c r="AD36" s="443"/>
      <c r="AE36" s="443"/>
      <c r="AF36" s="443"/>
      <c r="AG36" s="443"/>
      <c r="AH36" s="443"/>
      <c r="AI36" s="443"/>
      <c r="AJ36" s="443"/>
      <c r="AK36" s="443"/>
      <c r="AL36" s="443"/>
      <c r="AM36" s="443"/>
    </row>
    <row r="37" spans="1:39" s="4" customFormat="1" ht="17.45" customHeight="1" x14ac:dyDescent="0.2">
      <c r="A37" s="377" t="s">
        <v>91</v>
      </c>
      <c r="B37" s="378"/>
      <c r="C37" s="378"/>
      <c r="D37" s="378"/>
      <c r="E37" s="378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63"/>
      <c r="U37" s="424" t="str">
        <f ca="1">IF(AND(AF25="M 17.0"),Лист4!F10,IF(AND(AC25="I 11.9"),Лист4!A10,IF(AND(AC25="I 11.9",AI25="I 25.9"),Лист4!D10,IF(AND(Z24="M 54.6",W24="M 54.2"),Лист4!C10,IF(AND(AC25="I 11.9",Z24="I 67.9",AI25="I 20.9"),Лист4!E10,Лист4!B10)))))</f>
        <v xml:space="preserve">Регулярный курс (1-2 р. в год) лечебного массажа. Галотерапия.
</v>
      </c>
      <c r="V37" s="444"/>
      <c r="W37" s="444"/>
      <c r="X37" s="444"/>
      <c r="Y37" s="444"/>
      <c r="Z37" s="444"/>
      <c r="AA37" s="444"/>
      <c r="AB37" s="444"/>
      <c r="AC37" s="444"/>
      <c r="AD37" s="444"/>
      <c r="AE37" s="444"/>
      <c r="AF37" s="444"/>
      <c r="AG37" s="444"/>
      <c r="AH37" s="444"/>
      <c r="AI37" s="444"/>
      <c r="AJ37" s="444"/>
      <c r="AK37" s="444"/>
      <c r="AL37" s="444"/>
      <c r="AM37" s="444"/>
    </row>
    <row r="38" spans="1:39" x14ac:dyDescent="0.2">
      <c r="A38" s="378"/>
      <c r="B38" s="378"/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63"/>
      <c r="U38" s="444"/>
      <c r="V38" s="444"/>
      <c r="W38" s="444"/>
      <c r="X38" s="444"/>
      <c r="Y38" s="444"/>
      <c r="Z38" s="444"/>
      <c r="AA38" s="444"/>
      <c r="AB38" s="444"/>
      <c r="AC38" s="444"/>
      <c r="AD38" s="444"/>
      <c r="AE38" s="444"/>
      <c r="AF38" s="444"/>
      <c r="AG38" s="444"/>
      <c r="AH38" s="444"/>
      <c r="AI38" s="444"/>
      <c r="AJ38" s="444"/>
      <c r="AK38" s="444"/>
      <c r="AL38" s="444"/>
      <c r="AM38" s="444"/>
    </row>
    <row r="39" spans="1:39" ht="15.75" x14ac:dyDescent="0.25">
      <c r="A39" s="379"/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63"/>
      <c r="U39" s="116" t="s">
        <v>125</v>
      </c>
      <c r="V39" s="445" t="str">
        <f>IF(AND(AL25="R 73.9"),Лист4!C6,IF(AND(AM19="+"),Лист4!B6,IF(AND(Z25="K 81.9"),Лист4!A6,Лист4!B6)))</f>
        <v>Стол №15 по Певзнеру. Регулярное питание.</v>
      </c>
      <c r="W39" s="446"/>
      <c r="X39" s="446"/>
      <c r="Y39" s="446"/>
      <c r="Z39" s="446"/>
      <c r="AA39" s="446"/>
      <c r="AB39" s="446"/>
      <c r="AC39" s="446"/>
      <c r="AD39" s="446"/>
      <c r="AE39" s="446"/>
      <c r="AF39" s="446"/>
      <c r="AG39" s="446"/>
      <c r="AH39" s="446"/>
      <c r="AI39" s="446"/>
      <c r="AJ39" s="446"/>
      <c r="AK39" s="446"/>
      <c r="AL39" s="446"/>
      <c r="AM39" s="446"/>
    </row>
    <row r="40" spans="1:39" ht="15.75" x14ac:dyDescent="0.25">
      <c r="A40" s="379"/>
      <c r="B40" s="379"/>
      <c r="C40" s="379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U40" s="67"/>
      <c r="V40" s="442" t="s">
        <v>130</v>
      </c>
      <c r="W40" s="447"/>
      <c r="X40" s="447"/>
      <c r="Y40" s="447"/>
      <c r="Z40" s="447"/>
      <c r="AA40" s="447"/>
      <c r="AB40" s="447"/>
      <c r="AC40" s="447"/>
      <c r="AD40" s="447"/>
      <c r="AE40" s="447"/>
      <c r="AF40" s="447"/>
      <c r="AG40" s="447"/>
      <c r="AH40" s="447"/>
      <c r="AI40" s="447"/>
      <c r="AJ40" s="447"/>
      <c r="AK40" s="447"/>
      <c r="AL40" s="447"/>
      <c r="AM40" s="447"/>
    </row>
    <row r="41" spans="1:39" x14ac:dyDescent="0.2">
      <c r="A41" s="379"/>
      <c r="B41" s="379"/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U41" s="363" t="str">
        <f>IF(AND(AM18="+",AI25="I20.9"),Лист4!A12,IF(AND(AM18="+",AI25="I25.9"),Лист4!D12,IF(AND(AM18="+",AI25=" "),Лист4!B12,Лист4!E12)))</f>
        <v xml:space="preserve">1 раз в год контроль показателей крови: глюкоза крови, общий холестерин, при повышении – консультации специалистов для коррекции. Нормальный режим труда/отдыха. Отказ от курения. Динамическое наблюдение в Центре Здоровья. Регулярная диспансеризация.
</v>
      </c>
      <c r="V41" s="444"/>
      <c r="W41" s="444"/>
      <c r="X41" s="444"/>
      <c r="Y41" s="444"/>
      <c r="Z41" s="444"/>
      <c r="AA41" s="444"/>
      <c r="AB41" s="444"/>
      <c r="AC41" s="444"/>
      <c r="AD41" s="444"/>
      <c r="AE41" s="444"/>
      <c r="AF41" s="444"/>
      <c r="AG41" s="444"/>
      <c r="AH41" s="444"/>
      <c r="AI41" s="444"/>
      <c r="AJ41" s="444"/>
      <c r="AK41" s="444"/>
      <c r="AL41" s="444"/>
      <c r="AM41" s="444"/>
    </row>
    <row r="42" spans="1:39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U42" s="444"/>
      <c r="V42" s="444"/>
      <c r="W42" s="444"/>
      <c r="X42" s="444"/>
      <c r="Y42" s="444"/>
      <c r="Z42" s="444"/>
      <c r="AA42" s="444"/>
      <c r="AB42" s="444"/>
      <c r="AC42" s="444"/>
      <c r="AD42" s="444"/>
      <c r="AE42" s="444"/>
      <c r="AF42" s="444"/>
      <c r="AG42" s="444"/>
      <c r="AH42" s="444"/>
      <c r="AI42" s="444"/>
      <c r="AJ42" s="444"/>
      <c r="AK42" s="444"/>
      <c r="AL42" s="444"/>
      <c r="AM42" s="444"/>
    </row>
    <row r="43" spans="1:39" x14ac:dyDescent="0.2">
      <c r="A43" s="101"/>
      <c r="B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U43" s="444"/>
      <c r="V43" s="444"/>
      <c r="W43" s="444"/>
      <c r="X43" s="444"/>
      <c r="Y43" s="444"/>
      <c r="Z43" s="444"/>
      <c r="AA43" s="444"/>
      <c r="AB43" s="444"/>
      <c r="AC43" s="444"/>
      <c r="AD43" s="444"/>
      <c r="AE43" s="444"/>
      <c r="AF43" s="444"/>
      <c r="AG43" s="444"/>
      <c r="AH43" s="444"/>
      <c r="AI43" s="444"/>
      <c r="AJ43" s="444"/>
      <c r="AK43" s="444"/>
      <c r="AL43" s="444"/>
      <c r="AM43" s="444"/>
    </row>
    <row r="44" spans="1:39" x14ac:dyDescent="0.2">
      <c r="A44" s="380" t="s">
        <v>43</v>
      </c>
      <c r="B44" s="380"/>
      <c r="C44" s="380" t="s">
        <v>45</v>
      </c>
      <c r="D44" s="380"/>
      <c r="E44" s="380"/>
      <c r="F44" s="380"/>
      <c r="G44" s="380"/>
      <c r="H44" s="380"/>
      <c r="I44" s="380"/>
      <c r="J44" s="380"/>
      <c r="K44" s="380"/>
      <c r="L44" s="380"/>
      <c r="M44" s="380"/>
      <c r="N44" s="380"/>
      <c r="O44" s="380"/>
      <c r="P44" s="380"/>
      <c r="Q44" s="380"/>
      <c r="R44" s="380"/>
      <c r="S44" s="380"/>
      <c r="U44" s="444"/>
      <c r="V44" s="444"/>
      <c r="W44" s="444"/>
      <c r="X44" s="444"/>
      <c r="Y44" s="444"/>
      <c r="Z44" s="444"/>
      <c r="AA44" s="444"/>
      <c r="AB44" s="444"/>
      <c r="AC44" s="444"/>
      <c r="AD44" s="444"/>
      <c r="AE44" s="444"/>
      <c r="AF44" s="444"/>
      <c r="AG44" s="444"/>
      <c r="AH44" s="444"/>
      <c r="AI44" s="444"/>
      <c r="AJ44" s="444"/>
      <c r="AK44" s="444"/>
      <c r="AL44" s="444"/>
      <c r="AM44" s="444"/>
    </row>
    <row r="45" spans="1:39" ht="15" x14ac:dyDescent="0.2">
      <c r="A45" s="387" t="s">
        <v>46</v>
      </c>
      <c r="B45" s="303"/>
      <c r="C45" s="458">
        <f ca="1">Главная!B2</f>
        <v>41817</v>
      </c>
      <c r="D45" s="459"/>
      <c r="E45" s="459"/>
      <c r="F45" s="459"/>
      <c r="G45" s="459"/>
      <c r="H45" s="459"/>
      <c r="U45" s="438" t="s">
        <v>46</v>
      </c>
      <c r="V45" s="260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</row>
    <row r="46" spans="1:39" ht="18" x14ac:dyDescent="0.25">
      <c r="A46" s="74"/>
      <c r="B46" s="92"/>
      <c r="V46" t="str">
        <f>Главная!B28</f>
        <v>________</v>
      </c>
      <c r="AA46" s="439" t="s">
        <v>53</v>
      </c>
      <c r="AB46" s="439"/>
      <c r="AC46" s="439"/>
      <c r="AD46" s="439"/>
      <c r="AE46" s="101"/>
      <c r="AF46" s="101"/>
      <c r="AG46" s="101"/>
      <c r="AH46" s="101"/>
      <c r="AI46" s="101"/>
      <c r="AJ46" s="101"/>
      <c r="AK46" s="101"/>
      <c r="AL46" s="101"/>
      <c r="AM46" s="101"/>
    </row>
    <row r="47" spans="1:39" ht="34.15" customHeight="1" x14ac:dyDescent="0.2">
      <c r="A47" s="467" t="s">
        <v>186</v>
      </c>
      <c r="B47" s="468"/>
      <c r="C47" s="468"/>
      <c r="D47" s="468"/>
      <c r="E47" s="468"/>
      <c r="F47" s="468"/>
      <c r="G47" s="468"/>
      <c r="H47" s="468"/>
      <c r="I47" s="468"/>
      <c r="J47" s="468"/>
      <c r="K47" s="468"/>
      <c r="L47" s="468"/>
      <c r="M47" s="468"/>
      <c r="N47" s="468"/>
      <c r="O47" s="468"/>
      <c r="P47" s="468"/>
      <c r="Q47" s="468"/>
      <c r="R47" s="468"/>
      <c r="S47" s="468"/>
      <c r="U47" s="502" t="s">
        <v>220</v>
      </c>
      <c r="V47" s="503"/>
      <c r="W47" s="503"/>
      <c r="X47" s="503"/>
      <c r="Y47" s="503"/>
      <c r="Z47" s="503"/>
      <c r="AA47" s="503"/>
      <c r="AB47" s="503"/>
      <c r="AC47" s="503"/>
      <c r="AD47" s="503"/>
      <c r="AE47" s="503"/>
      <c r="AF47" s="503"/>
      <c r="AG47" s="503"/>
      <c r="AH47" s="503"/>
      <c r="AI47" s="503"/>
      <c r="AJ47" s="503"/>
      <c r="AK47" s="503"/>
      <c r="AL47" s="503"/>
      <c r="AM47" s="503"/>
    </row>
    <row r="48" spans="1:39" x14ac:dyDescent="0.2">
      <c r="A48" s="436" t="s">
        <v>171</v>
      </c>
      <c r="B48" s="436"/>
      <c r="C48" s="436"/>
      <c r="D48" s="436"/>
      <c r="E48" s="437"/>
      <c r="F48" s="437"/>
      <c r="G48" s="437"/>
      <c r="H48" s="437"/>
      <c r="I48" s="437"/>
      <c r="J48" s="437"/>
      <c r="K48" s="437" t="s">
        <v>172</v>
      </c>
      <c r="L48" s="182"/>
      <c r="M48" s="182"/>
      <c r="N48" s="477" t="s">
        <v>173</v>
      </c>
      <c r="O48" s="478"/>
      <c r="P48" s="182"/>
      <c r="Q48" s="475" t="s">
        <v>187</v>
      </c>
      <c r="R48" s="476"/>
      <c r="S48" s="476"/>
      <c r="T48" s="18"/>
      <c r="U48" s="505" t="s">
        <v>221</v>
      </c>
      <c r="V48" s="505"/>
      <c r="W48" s="505"/>
      <c r="X48" s="505"/>
      <c r="Y48" s="505"/>
      <c r="Z48" s="505"/>
      <c r="AA48" s="505"/>
      <c r="AB48" s="505"/>
      <c r="AC48" s="505"/>
      <c r="AD48" s="505"/>
      <c r="AE48" s="505"/>
      <c r="AF48" s="505"/>
      <c r="AG48" s="505"/>
      <c r="AH48" s="505"/>
      <c r="AI48" s="505"/>
      <c r="AJ48" s="505" t="s">
        <v>222</v>
      </c>
      <c r="AK48" s="505"/>
      <c r="AL48" s="504" t="s">
        <v>223</v>
      </c>
      <c r="AM48" s="504"/>
    </row>
    <row r="49" spans="1:39" x14ac:dyDescent="0.2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476"/>
      <c r="R49" s="476"/>
      <c r="S49" s="476"/>
      <c r="T49" s="18"/>
      <c r="U49" s="435" t="s">
        <v>224</v>
      </c>
      <c r="V49" s="435"/>
      <c r="W49" s="435"/>
      <c r="X49" s="435"/>
      <c r="Y49" s="435"/>
      <c r="Z49" s="435"/>
      <c r="AA49" s="435"/>
      <c r="AB49" s="435"/>
      <c r="AC49" s="435"/>
      <c r="AD49" s="435"/>
      <c r="AE49" s="435"/>
      <c r="AF49" s="435"/>
      <c r="AG49" s="435"/>
      <c r="AH49" s="435"/>
      <c r="AI49" s="435"/>
      <c r="AJ49" s="437">
        <v>1</v>
      </c>
      <c r="AK49" s="437"/>
      <c r="AL49" s="471" t="str">
        <f>AM18</f>
        <v>-</v>
      </c>
      <c r="AM49" s="471"/>
    </row>
    <row r="50" spans="1:39" ht="15" x14ac:dyDescent="0.25">
      <c r="A50" s="473">
        <v>1</v>
      </c>
      <c r="B50" s="473"/>
      <c r="C50" s="473"/>
      <c r="D50" s="473"/>
      <c r="E50" s="469"/>
      <c r="F50" s="469"/>
      <c r="G50" s="469"/>
      <c r="H50" s="469"/>
      <c r="I50" s="469"/>
      <c r="J50" s="469"/>
      <c r="K50" s="469">
        <v>2</v>
      </c>
      <c r="L50" s="470"/>
      <c r="M50" s="470"/>
      <c r="N50" s="469">
        <v>3</v>
      </c>
      <c r="O50" s="470"/>
      <c r="P50" s="470"/>
      <c r="Q50" s="469">
        <v>4</v>
      </c>
      <c r="R50" s="470"/>
      <c r="S50" s="470"/>
      <c r="T50" s="18"/>
      <c r="U50" s="506" t="s">
        <v>225</v>
      </c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507"/>
      <c r="AJ50" s="508">
        <v>2</v>
      </c>
      <c r="AK50" s="509"/>
      <c r="AL50" s="510" t="str">
        <f>AM19</f>
        <v>+</v>
      </c>
      <c r="AM50" s="511"/>
    </row>
    <row r="51" spans="1:39" x14ac:dyDescent="0.2">
      <c r="A51" s="435" t="s">
        <v>174</v>
      </c>
      <c r="B51" s="435"/>
      <c r="C51" s="435"/>
      <c r="D51" s="435"/>
      <c r="E51" s="435"/>
      <c r="F51" s="435"/>
      <c r="G51" s="435"/>
      <c r="H51" s="435"/>
      <c r="I51" s="435"/>
      <c r="J51" s="435"/>
      <c r="K51" s="437">
        <v>1</v>
      </c>
      <c r="L51" s="182"/>
      <c r="M51" s="182"/>
      <c r="N51" s="471" t="s">
        <v>14</v>
      </c>
      <c r="O51" s="472"/>
      <c r="P51" s="472"/>
      <c r="Q51" s="471" t="s">
        <v>14</v>
      </c>
      <c r="R51" s="472"/>
      <c r="S51" s="472"/>
      <c r="T51" s="18"/>
      <c r="U51" s="506" t="s">
        <v>226</v>
      </c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507"/>
      <c r="AJ51" s="508">
        <v>3</v>
      </c>
      <c r="AK51" s="509"/>
      <c r="AL51" s="510" t="str">
        <f>AM20</f>
        <v>-</v>
      </c>
      <c r="AM51" s="511"/>
    </row>
    <row r="52" spans="1:39" x14ac:dyDescent="0.2">
      <c r="A52" s="435" t="s">
        <v>176</v>
      </c>
      <c r="B52" s="435"/>
      <c r="C52" s="435"/>
      <c r="D52" s="435"/>
      <c r="E52" s="435"/>
      <c r="F52" s="435"/>
      <c r="G52" s="435"/>
      <c r="H52" s="435"/>
      <c r="I52" s="435"/>
      <c r="J52" s="435"/>
      <c r="K52" s="437">
        <v>2</v>
      </c>
      <c r="L52" s="182"/>
      <c r="M52" s="182"/>
      <c r="N52" s="471" t="str">
        <f>IF(AND(Главная!J9=2),"да","нет")</f>
        <v>да</v>
      </c>
      <c r="O52" s="472"/>
      <c r="P52" s="472"/>
      <c r="Q52" s="471" t="str">
        <f ca="1">IF(AND(N52="да",U11&gt;45),"да","нет")</f>
        <v>да</v>
      </c>
      <c r="R52" s="472"/>
      <c r="S52" s="472"/>
      <c r="T52" s="18"/>
      <c r="U52" s="506" t="s">
        <v>227</v>
      </c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507"/>
      <c r="AJ52" s="508">
        <v>4</v>
      </c>
      <c r="AK52" s="509"/>
      <c r="AL52" s="510" t="str">
        <f>AM16</f>
        <v>-</v>
      </c>
      <c r="AM52" s="511"/>
    </row>
    <row r="53" spans="1:39" x14ac:dyDescent="0.2">
      <c r="A53" s="435" t="s">
        <v>177</v>
      </c>
      <c r="B53" s="435"/>
      <c r="C53" s="435"/>
      <c r="D53" s="435"/>
      <c r="E53" s="435"/>
      <c r="F53" s="435"/>
      <c r="G53" s="435"/>
      <c r="H53" s="435"/>
      <c r="I53" s="435"/>
      <c r="J53" s="435"/>
      <c r="K53" s="437">
        <v>3</v>
      </c>
      <c r="L53" s="182"/>
      <c r="M53" s="182"/>
      <c r="N53" s="471" t="str">
        <f ca="1">IF(AND(U11=51),"да",IF(AND(U11=57),"да",IF(AND(U11=63),"да",IF(AND(U11=69),"да",IF(AND(U11=75),"да",IF(AND(U11=81),"да",IF(AND(U11=87),"да",IF(AND(U11=93),"да",IF(AND(U11=99),"да","нет")))))))))</f>
        <v>да</v>
      </c>
      <c r="O53" s="472"/>
      <c r="P53" s="472"/>
      <c r="Q53" s="471" t="str">
        <f ca="1">IF(AND(N53="да"),"да","нет")</f>
        <v>да</v>
      </c>
      <c r="R53" s="472"/>
      <c r="S53" s="472"/>
      <c r="T53" s="18"/>
      <c r="U53" s="506" t="s">
        <v>228</v>
      </c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507"/>
      <c r="AJ53" s="508">
        <v>5</v>
      </c>
      <c r="AK53" s="509"/>
      <c r="AL53" s="510" t="str">
        <f ca="1">IF(AND(U11&lt;30),"+","-")</f>
        <v>-</v>
      </c>
      <c r="AM53" s="511"/>
    </row>
    <row r="54" spans="1:39" x14ac:dyDescent="0.2">
      <c r="A54" s="435" t="s">
        <v>178</v>
      </c>
      <c r="B54" s="435"/>
      <c r="C54" s="435"/>
      <c r="D54" s="435"/>
      <c r="E54" s="435"/>
      <c r="F54" s="435"/>
      <c r="G54" s="435"/>
      <c r="H54" s="435"/>
      <c r="I54" s="435"/>
      <c r="J54" s="435"/>
      <c r="K54" s="437">
        <v>4</v>
      </c>
      <c r="L54" s="182"/>
      <c r="M54" s="182"/>
      <c r="N54" s="471" t="str">
        <f>N51</f>
        <v>да</v>
      </c>
      <c r="O54" s="472"/>
      <c r="P54" s="472"/>
      <c r="Q54" s="471" t="str">
        <f>Q51</f>
        <v>да</v>
      </c>
      <c r="R54" s="472"/>
      <c r="S54" s="472"/>
      <c r="T54" s="18"/>
      <c r="U54" s="506" t="s">
        <v>229</v>
      </c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507"/>
      <c r="AJ54" s="508">
        <v>6</v>
      </c>
      <c r="AK54" s="509"/>
      <c r="AL54" s="510" t="str">
        <f ca="1">IF(AND(U11&lt;25),"+","-")</f>
        <v>-</v>
      </c>
      <c r="AM54" s="511"/>
    </row>
    <row r="55" spans="1:39" x14ac:dyDescent="0.2">
      <c r="A55" s="512" t="s">
        <v>185</v>
      </c>
      <c r="B55" s="153"/>
      <c r="C55" s="153"/>
      <c r="D55" s="153"/>
      <c r="E55" s="153"/>
      <c r="F55" s="153"/>
      <c r="G55" s="153"/>
      <c r="H55" s="153"/>
      <c r="I55" s="153"/>
      <c r="J55" s="154"/>
      <c r="K55" s="491">
        <v>5</v>
      </c>
      <c r="L55" s="277"/>
      <c r="M55" s="492"/>
      <c r="N55" s="496" t="str">
        <f>N51</f>
        <v>да</v>
      </c>
      <c r="O55" s="497"/>
      <c r="P55" s="498"/>
      <c r="Q55" s="496" t="str">
        <f>Q51</f>
        <v>да</v>
      </c>
      <c r="R55" s="497"/>
      <c r="S55" s="498"/>
      <c r="T55" s="18"/>
      <c r="U55" s="506" t="s">
        <v>231</v>
      </c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507"/>
      <c r="AJ55" s="508">
        <v>7</v>
      </c>
      <c r="AK55" s="509"/>
      <c r="AL55" s="510" t="str">
        <f>AM17</f>
        <v>+</v>
      </c>
      <c r="AM55" s="511"/>
    </row>
    <row r="56" spans="1:39" x14ac:dyDescent="0.2">
      <c r="A56" s="513"/>
      <c r="B56" s="165"/>
      <c r="C56" s="165"/>
      <c r="D56" s="165"/>
      <c r="E56" s="165"/>
      <c r="F56" s="165"/>
      <c r="G56" s="165"/>
      <c r="H56" s="165"/>
      <c r="I56" s="165"/>
      <c r="J56" s="514"/>
      <c r="K56" s="518"/>
      <c r="L56" s="519"/>
      <c r="M56" s="520"/>
      <c r="N56" s="523"/>
      <c r="O56" s="524"/>
      <c r="P56" s="525"/>
      <c r="Q56" s="523"/>
      <c r="R56" s="524"/>
      <c r="S56" s="525"/>
      <c r="T56" s="18"/>
      <c r="U56" s="506" t="s">
        <v>232</v>
      </c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507"/>
      <c r="AJ56" s="508">
        <v>8</v>
      </c>
      <c r="AK56" s="509"/>
      <c r="AL56" s="510" t="str">
        <f>AM21</f>
        <v>+</v>
      </c>
      <c r="AM56" s="511"/>
    </row>
    <row r="57" spans="1:39" x14ac:dyDescent="0.2">
      <c r="A57" s="515"/>
      <c r="B57" s="287"/>
      <c r="C57" s="287"/>
      <c r="D57" s="287"/>
      <c r="E57" s="287"/>
      <c r="F57" s="287"/>
      <c r="G57" s="287"/>
      <c r="H57" s="287"/>
      <c r="I57" s="287"/>
      <c r="J57" s="514"/>
      <c r="K57" s="521"/>
      <c r="L57" s="522"/>
      <c r="M57" s="520"/>
      <c r="N57" s="526"/>
      <c r="O57" s="527"/>
      <c r="P57" s="525"/>
      <c r="Q57" s="526"/>
      <c r="R57" s="527"/>
      <c r="S57" s="525"/>
      <c r="T57" s="18"/>
      <c r="U57" s="506" t="s">
        <v>230</v>
      </c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  <c r="AI57" s="507"/>
      <c r="AJ57" s="508">
        <v>9</v>
      </c>
      <c r="AK57" s="509"/>
      <c r="AL57" s="510" t="str">
        <f>AM21</f>
        <v>+</v>
      </c>
      <c r="AM57" s="511"/>
    </row>
    <row r="58" spans="1:39" ht="12.6" customHeight="1" x14ac:dyDescent="0.2">
      <c r="A58" s="516"/>
      <c r="B58" s="488"/>
      <c r="C58" s="488"/>
      <c r="D58" s="488"/>
      <c r="E58" s="488"/>
      <c r="F58" s="488"/>
      <c r="G58" s="488"/>
      <c r="H58" s="488"/>
      <c r="I58" s="488"/>
      <c r="J58" s="517"/>
      <c r="K58" s="493"/>
      <c r="L58" s="494"/>
      <c r="M58" s="495"/>
      <c r="N58" s="499"/>
      <c r="O58" s="500"/>
      <c r="P58" s="501"/>
      <c r="Q58" s="499"/>
      <c r="R58" s="500"/>
      <c r="S58" s="501"/>
      <c r="T58" s="18"/>
      <c r="U58" s="506" t="s">
        <v>234</v>
      </c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507"/>
      <c r="AJ58" s="508">
        <v>10</v>
      </c>
      <c r="AK58" s="509"/>
      <c r="AL58" s="510" t="str">
        <f ca="1">IF(AND(U11&lt;55),"+","-")</f>
        <v>+</v>
      </c>
      <c r="AM58" s="511"/>
    </row>
    <row r="59" spans="1:39" x14ac:dyDescent="0.2">
      <c r="A59" s="474" t="s">
        <v>179</v>
      </c>
      <c r="B59" s="474"/>
      <c r="C59" s="474"/>
      <c r="D59" s="474"/>
      <c r="E59" s="474"/>
      <c r="F59" s="474"/>
      <c r="G59" s="474"/>
      <c r="H59" s="474"/>
      <c r="I59" s="474"/>
      <c r="J59" s="474"/>
      <c r="K59" s="437">
        <v>6</v>
      </c>
      <c r="L59" s="182"/>
      <c r="M59" s="182"/>
      <c r="N59" s="471" t="s">
        <v>15</v>
      </c>
      <c r="O59" s="472"/>
      <c r="P59" s="472"/>
      <c r="Q59" s="471" t="s">
        <v>15</v>
      </c>
      <c r="R59" s="472"/>
      <c r="S59" s="472"/>
      <c r="T59" s="18"/>
      <c r="U59" s="506" t="s">
        <v>235</v>
      </c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220"/>
      <c r="AI59" s="507"/>
      <c r="AJ59" s="508">
        <v>11</v>
      </c>
      <c r="AK59" s="509"/>
      <c r="AL59" s="510"/>
      <c r="AM59" s="511"/>
    </row>
    <row r="60" spans="1:39" x14ac:dyDescent="0.2">
      <c r="A60" s="435" t="s">
        <v>180</v>
      </c>
      <c r="B60" s="435"/>
      <c r="C60" s="435"/>
      <c r="D60" s="435"/>
      <c r="E60" s="435"/>
      <c r="F60" s="435"/>
      <c r="G60" s="435"/>
      <c r="H60" s="435"/>
      <c r="I60" s="435"/>
      <c r="J60" s="435"/>
      <c r="K60" s="437">
        <v>7</v>
      </c>
      <c r="L60" s="182"/>
      <c r="M60" s="182"/>
      <c r="N60" s="471" t="s">
        <v>15</v>
      </c>
      <c r="O60" s="472"/>
      <c r="P60" s="472"/>
      <c r="Q60" s="471" t="s">
        <v>15</v>
      </c>
      <c r="R60" s="472"/>
      <c r="S60" s="472"/>
      <c r="T60" s="18"/>
      <c r="U60" s="435" t="s">
        <v>236</v>
      </c>
      <c r="V60" s="435"/>
      <c r="W60" s="435"/>
      <c r="X60" s="435"/>
      <c r="Y60" s="435"/>
      <c r="Z60" s="435"/>
      <c r="AA60" s="435"/>
      <c r="AB60" s="435"/>
      <c r="AC60" s="435"/>
      <c r="AD60" s="435"/>
      <c r="AE60" s="435"/>
      <c r="AF60" s="435"/>
      <c r="AG60" s="435"/>
      <c r="AH60" s="435"/>
      <c r="AI60" s="435"/>
      <c r="AJ60" s="437">
        <v>12</v>
      </c>
      <c r="AK60" s="437"/>
      <c r="AL60" s="471"/>
      <c r="AM60" s="471"/>
    </row>
    <row r="61" spans="1:39" x14ac:dyDescent="0.2">
      <c r="A61" s="435" t="s">
        <v>181</v>
      </c>
      <c r="B61" s="435"/>
      <c r="C61" s="435"/>
      <c r="D61" s="435"/>
      <c r="E61" s="435"/>
      <c r="F61" s="435"/>
      <c r="G61" s="435"/>
      <c r="H61" s="435"/>
      <c r="I61" s="435"/>
      <c r="J61" s="435"/>
      <c r="K61" s="437">
        <v>8</v>
      </c>
      <c r="L61" s="182"/>
      <c r="M61" s="182"/>
      <c r="N61" s="471" t="s">
        <v>15</v>
      </c>
      <c r="O61" s="472"/>
      <c r="P61" s="472"/>
      <c r="Q61" s="471" t="s">
        <v>15</v>
      </c>
      <c r="R61" s="472"/>
      <c r="S61" s="472"/>
      <c r="T61" s="18"/>
      <c r="U61" s="435" t="s">
        <v>237</v>
      </c>
      <c r="V61" s="435"/>
      <c r="W61" s="435"/>
      <c r="X61" s="435"/>
      <c r="Y61" s="435"/>
      <c r="Z61" s="435"/>
      <c r="AA61" s="435"/>
      <c r="AB61" s="435"/>
      <c r="AC61" s="435"/>
      <c r="AD61" s="435"/>
      <c r="AE61" s="435"/>
      <c r="AF61" s="435"/>
      <c r="AG61" s="435"/>
      <c r="AH61" s="435"/>
      <c r="AI61" s="435"/>
      <c r="AJ61" s="437">
        <v>13</v>
      </c>
      <c r="AK61" s="437"/>
      <c r="AL61" s="471"/>
      <c r="AM61" s="471"/>
    </row>
    <row r="62" spans="1:39" x14ac:dyDescent="0.2">
      <c r="A62" s="435" t="s">
        <v>182</v>
      </c>
      <c r="B62" s="435"/>
      <c r="C62" s="435"/>
      <c r="D62" s="435"/>
      <c r="E62" s="435"/>
      <c r="F62" s="435"/>
      <c r="G62" s="435"/>
      <c r="H62" s="435"/>
      <c r="I62" s="435"/>
      <c r="J62" s="435"/>
      <c r="K62" s="437">
        <v>9</v>
      </c>
      <c r="L62" s="182"/>
      <c r="M62" s="182"/>
      <c r="N62" s="471" t="str">
        <f>N52</f>
        <v>да</v>
      </c>
      <c r="O62" s="472"/>
      <c r="P62" s="472"/>
      <c r="Q62" s="471" t="str">
        <f ca="1">Q52</f>
        <v>да</v>
      </c>
      <c r="R62" s="472"/>
      <c r="S62" s="472"/>
      <c r="T62" s="18"/>
      <c r="U62" s="435" t="s">
        <v>233</v>
      </c>
      <c r="V62" s="435"/>
      <c r="W62" s="435"/>
      <c r="X62" s="435"/>
      <c r="Y62" s="435"/>
      <c r="Z62" s="435"/>
      <c r="AA62" s="435"/>
      <c r="AB62" s="435"/>
      <c r="AC62" s="435"/>
      <c r="AD62" s="435"/>
      <c r="AE62" s="435"/>
      <c r="AF62" s="435"/>
      <c r="AG62" s="435"/>
      <c r="AH62" s="435"/>
      <c r="AI62" s="435"/>
      <c r="AJ62" s="437">
        <v>14</v>
      </c>
      <c r="AK62" s="437"/>
      <c r="AL62" s="471" t="s">
        <v>157</v>
      </c>
      <c r="AM62" s="471"/>
    </row>
    <row r="63" spans="1:39" x14ac:dyDescent="0.2">
      <c r="A63" s="435" t="s">
        <v>183</v>
      </c>
      <c r="B63" s="435"/>
      <c r="C63" s="435"/>
      <c r="D63" s="435"/>
      <c r="E63" s="435"/>
      <c r="F63" s="435"/>
      <c r="G63" s="435"/>
      <c r="H63" s="435"/>
      <c r="I63" s="435"/>
      <c r="J63" s="435"/>
      <c r="K63" s="437">
        <v>10</v>
      </c>
      <c r="L63" s="182"/>
      <c r="M63" s="182"/>
      <c r="N63" s="471" t="s">
        <v>14</v>
      </c>
      <c r="O63" s="472"/>
      <c r="P63" s="472"/>
      <c r="Q63" s="471" t="str">
        <f ca="1">IF(AND(U11&gt;26),"да","нет")</f>
        <v>да</v>
      </c>
      <c r="R63" s="472"/>
      <c r="S63" s="472"/>
      <c r="T63" s="18"/>
      <c r="U63" s="435" t="s">
        <v>238</v>
      </c>
      <c r="V63" s="435"/>
      <c r="W63" s="435"/>
      <c r="X63" s="435"/>
      <c r="Y63" s="435"/>
      <c r="Z63" s="435"/>
      <c r="AA63" s="435"/>
      <c r="AB63" s="435"/>
      <c r="AC63" s="435"/>
      <c r="AD63" s="435"/>
      <c r="AE63" s="435"/>
      <c r="AF63" s="435"/>
      <c r="AG63" s="435"/>
      <c r="AH63" s="435"/>
      <c r="AI63" s="435"/>
      <c r="AJ63" s="480"/>
      <c r="AK63" s="480"/>
      <c r="AL63" s="481"/>
      <c r="AM63" s="481"/>
    </row>
    <row r="64" spans="1:39" ht="13.15" customHeight="1" x14ac:dyDescent="0.2">
      <c r="A64" s="435" t="s">
        <v>332</v>
      </c>
      <c r="B64" s="435"/>
      <c r="C64" s="435"/>
      <c r="D64" s="435"/>
      <c r="E64" s="435"/>
      <c r="F64" s="435"/>
      <c r="G64" s="435"/>
      <c r="H64" s="435"/>
      <c r="I64" s="435"/>
      <c r="J64" s="435"/>
      <c r="K64" s="437">
        <v>11</v>
      </c>
      <c r="L64" s="182"/>
      <c r="M64" s="182"/>
      <c r="N64" s="471" t="s">
        <v>15</v>
      </c>
      <c r="O64" s="472"/>
      <c r="P64" s="472"/>
      <c r="Q64" s="471" t="s">
        <v>15</v>
      </c>
      <c r="R64" s="472"/>
      <c r="S64" s="472"/>
      <c r="T64" s="18"/>
      <c r="U64" s="436" t="s">
        <v>311</v>
      </c>
      <c r="V64" s="436"/>
      <c r="W64" s="436"/>
      <c r="X64" s="436"/>
      <c r="Y64" s="437"/>
      <c r="Z64" s="437"/>
      <c r="AA64" s="437"/>
      <c r="AB64" s="437"/>
      <c r="AC64" s="437"/>
      <c r="AD64" s="437"/>
      <c r="AE64" s="535" t="s">
        <v>310</v>
      </c>
      <c r="AF64" s="536"/>
      <c r="AG64" s="536"/>
      <c r="AH64" s="537" t="s">
        <v>333</v>
      </c>
      <c r="AI64" s="476"/>
      <c r="AJ64" s="476"/>
      <c r="AK64" s="475" t="s">
        <v>334</v>
      </c>
      <c r="AL64" s="476"/>
      <c r="AM64" s="476"/>
    </row>
    <row r="65" spans="1:39" x14ac:dyDescent="0.2">
      <c r="A65" s="512" t="s">
        <v>184</v>
      </c>
      <c r="B65" s="153"/>
      <c r="C65" s="153"/>
      <c r="D65" s="153"/>
      <c r="E65" s="153"/>
      <c r="F65" s="153"/>
      <c r="G65" s="153"/>
      <c r="H65" s="153"/>
      <c r="I65" s="153"/>
      <c r="J65" s="154"/>
      <c r="K65" s="491">
        <v>12</v>
      </c>
      <c r="L65" s="277"/>
      <c r="M65" s="492"/>
      <c r="N65" s="496" t="s">
        <v>15</v>
      </c>
      <c r="O65" s="528"/>
      <c r="P65" s="529"/>
      <c r="Q65" s="496" t="s">
        <v>15</v>
      </c>
      <c r="R65" s="528"/>
      <c r="S65" s="529"/>
      <c r="T65" s="18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536"/>
      <c r="AF65" s="536"/>
      <c r="AG65" s="536"/>
      <c r="AH65" s="476"/>
      <c r="AI65" s="476"/>
      <c r="AJ65" s="476"/>
      <c r="AK65" s="476"/>
      <c r="AL65" s="476"/>
      <c r="AM65" s="476"/>
    </row>
    <row r="66" spans="1:39" ht="15" x14ac:dyDescent="0.25">
      <c r="A66" s="513"/>
      <c r="B66" s="165"/>
      <c r="C66" s="165"/>
      <c r="D66" s="165"/>
      <c r="E66" s="165"/>
      <c r="F66" s="165"/>
      <c r="G66" s="165"/>
      <c r="H66" s="165"/>
      <c r="I66" s="165"/>
      <c r="J66" s="514"/>
      <c r="K66" s="518"/>
      <c r="L66" s="519"/>
      <c r="M66" s="520"/>
      <c r="N66" s="523"/>
      <c r="O66" s="530"/>
      <c r="P66" s="531"/>
      <c r="Q66" s="523"/>
      <c r="R66" s="530"/>
      <c r="S66" s="531"/>
      <c r="T66" s="18"/>
      <c r="U66" s="473">
        <v>1</v>
      </c>
      <c r="V66" s="473"/>
      <c r="W66" s="473"/>
      <c r="X66" s="473"/>
      <c r="Y66" s="469"/>
      <c r="Z66" s="469"/>
      <c r="AA66" s="469"/>
      <c r="AB66" s="469"/>
      <c r="AC66" s="469"/>
      <c r="AD66" s="469"/>
      <c r="AE66" s="469">
        <v>2</v>
      </c>
      <c r="AF66" s="470"/>
      <c r="AG66" s="470"/>
      <c r="AH66" s="469">
        <v>3</v>
      </c>
      <c r="AI66" s="470"/>
      <c r="AJ66" s="470"/>
      <c r="AK66" s="469">
        <v>4</v>
      </c>
      <c r="AL66" s="470"/>
      <c r="AM66" s="470"/>
    </row>
    <row r="67" spans="1:39" ht="13.15" customHeight="1" x14ac:dyDescent="0.2">
      <c r="A67" s="513"/>
      <c r="B67" s="165"/>
      <c r="C67" s="165"/>
      <c r="D67" s="165"/>
      <c r="E67" s="165"/>
      <c r="F67" s="165"/>
      <c r="G67" s="165"/>
      <c r="H67" s="165"/>
      <c r="I67" s="165"/>
      <c r="J67" s="514"/>
      <c r="K67" s="518"/>
      <c r="L67" s="519"/>
      <c r="M67" s="520"/>
      <c r="N67" s="523"/>
      <c r="O67" s="530"/>
      <c r="P67" s="531"/>
      <c r="Q67" s="523"/>
      <c r="R67" s="530"/>
      <c r="S67" s="531"/>
      <c r="T67" s="18"/>
      <c r="U67" s="435" t="s">
        <v>239</v>
      </c>
      <c r="V67" s="480"/>
      <c r="W67" s="480"/>
      <c r="X67" s="480"/>
      <c r="Y67" s="480"/>
      <c r="Z67" s="480"/>
      <c r="AA67" s="480"/>
      <c r="AB67" s="480"/>
      <c r="AC67" s="480"/>
      <c r="AD67" s="480"/>
      <c r="AE67" s="538" t="s">
        <v>274</v>
      </c>
      <c r="AF67" s="436"/>
      <c r="AG67" s="436"/>
      <c r="AH67" s="471" t="s">
        <v>15</v>
      </c>
      <c r="AI67" s="472"/>
      <c r="AJ67" s="472"/>
      <c r="AK67" s="471" t="s">
        <v>15</v>
      </c>
      <c r="AL67" s="472"/>
      <c r="AM67" s="472"/>
    </row>
    <row r="68" spans="1:39" ht="13.15" customHeight="1" x14ac:dyDescent="0.2">
      <c r="A68" s="516"/>
      <c r="B68" s="488"/>
      <c r="C68" s="488"/>
      <c r="D68" s="488"/>
      <c r="E68" s="488"/>
      <c r="F68" s="488"/>
      <c r="G68" s="488"/>
      <c r="H68" s="488"/>
      <c r="I68" s="488"/>
      <c r="J68" s="517"/>
      <c r="K68" s="493"/>
      <c r="L68" s="494"/>
      <c r="M68" s="495"/>
      <c r="N68" s="532"/>
      <c r="O68" s="533"/>
      <c r="P68" s="534"/>
      <c r="Q68" s="532"/>
      <c r="R68" s="533"/>
      <c r="S68" s="534"/>
      <c r="T68" s="18"/>
      <c r="U68" s="435" t="s">
        <v>240</v>
      </c>
      <c r="V68" s="480"/>
      <c r="W68" s="480"/>
      <c r="X68" s="480"/>
      <c r="Y68" s="480"/>
      <c r="Z68" s="480"/>
      <c r="AA68" s="480"/>
      <c r="AB68" s="480"/>
      <c r="AC68" s="480"/>
      <c r="AD68" s="480"/>
      <c r="AE68" s="538" t="s">
        <v>275</v>
      </c>
      <c r="AF68" s="436"/>
      <c r="AG68" s="436"/>
      <c r="AH68" s="471" t="s">
        <v>15</v>
      </c>
      <c r="AI68" s="472"/>
      <c r="AJ68" s="472"/>
      <c r="AK68" s="471" t="s">
        <v>15</v>
      </c>
      <c r="AL68" s="472"/>
      <c r="AM68" s="472"/>
    </row>
    <row r="69" spans="1:39" x14ac:dyDescent="0.2">
      <c r="A69" s="479" t="s">
        <v>188</v>
      </c>
      <c r="B69" s="479"/>
      <c r="C69" s="479"/>
      <c r="D69" s="479"/>
      <c r="E69" s="479"/>
      <c r="F69" s="479"/>
      <c r="G69" s="479"/>
      <c r="H69" s="479"/>
      <c r="I69" s="479"/>
      <c r="J69" s="479"/>
      <c r="K69" s="479"/>
      <c r="L69" s="479"/>
      <c r="M69" s="479"/>
      <c r="N69" s="479"/>
      <c r="O69" s="479"/>
      <c r="P69" s="479"/>
      <c r="Q69" s="479"/>
      <c r="R69" s="479"/>
      <c r="S69" s="479"/>
      <c r="U69" s="435" t="s">
        <v>241</v>
      </c>
      <c r="V69" s="480"/>
      <c r="W69" s="480"/>
      <c r="X69" s="480"/>
      <c r="Y69" s="480"/>
      <c r="Z69" s="480"/>
      <c r="AA69" s="480"/>
      <c r="AB69" s="480"/>
      <c r="AC69" s="480"/>
      <c r="AD69" s="480"/>
      <c r="AE69" s="538" t="s">
        <v>276</v>
      </c>
      <c r="AF69" s="436"/>
      <c r="AG69" s="436"/>
      <c r="AH69" s="471" t="s">
        <v>15</v>
      </c>
      <c r="AI69" s="472"/>
      <c r="AJ69" s="472"/>
      <c r="AK69" s="471" t="s">
        <v>15</v>
      </c>
      <c r="AL69" s="472"/>
      <c r="AM69" s="472"/>
    </row>
    <row r="70" spans="1:39" ht="13.15" customHeight="1" x14ac:dyDescent="0.2">
      <c r="A70" s="474" t="s">
        <v>312</v>
      </c>
      <c r="B70" s="480"/>
      <c r="C70" s="480"/>
      <c r="D70" s="480"/>
      <c r="E70" s="480"/>
      <c r="F70" s="480"/>
      <c r="G70" s="480"/>
      <c r="H70" s="480"/>
      <c r="I70" s="480"/>
      <c r="J70" s="480"/>
      <c r="K70" s="437">
        <v>1</v>
      </c>
      <c r="L70" s="480"/>
      <c r="M70" s="480"/>
      <c r="N70" s="471" t="str">
        <f>N51</f>
        <v>да</v>
      </c>
      <c r="O70" s="481"/>
      <c r="P70" s="481"/>
      <c r="Q70" s="471" t="str">
        <f>N70</f>
        <v>да</v>
      </c>
      <c r="R70" s="481"/>
      <c r="S70" s="481"/>
      <c r="U70" s="435" t="s">
        <v>315</v>
      </c>
      <c r="V70" s="480"/>
      <c r="W70" s="480"/>
      <c r="X70" s="480"/>
      <c r="Y70" s="480"/>
      <c r="Z70" s="480"/>
      <c r="AA70" s="480"/>
      <c r="AB70" s="480"/>
      <c r="AC70" s="480"/>
      <c r="AD70" s="480"/>
      <c r="AE70" s="538" t="s">
        <v>276</v>
      </c>
      <c r="AF70" s="436"/>
      <c r="AG70" s="436"/>
      <c r="AH70" s="471" t="s">
        <v>15</v>
      </c>
      <c r="AI70" s="472"/>
      <c r="AJ70" s="472"/>
      <c r="AK70" s="471" t="s">
        <v>15</v>
      </c>
      <c r="AL70" s="472"/>
      <c r="AM70" s="472"/>
    </row>
    <row r="71" spans="1:39" ht="13.15" customHeight="1" x14ac:dyDescent="0.2">
      <c r="A71" s="474"/>
      <c r="B71" s="480"/>
      <c r="C71" s="480"/>
      <c r="D71" s="480"/>
      <c r="E71" s="480"/>
      <c r="F71" s="480"/>
      <c r="G71" s="480"/>
      <c r="H71" s="480"/>
      <c r="I71" s="480"/>
      <c r="J71" s="480"/>
      <c r="K71" s="437"/>
      <c r="L71" s="480"/>
      <c r="M71" s="480"/>
      <c r="N71" s="471"/>
      <c r="O71" s="481"/>
      <c r="P71" s="481"/>
      <c r="Q71" s="471"/>
      <c r="R71" s="481"/>
      <c r="S71" s="481"/>
      <c r="U71" s="540" t="s">
        <v>314</v>
      </c>
      <c r="V71" s="541"/>
      <c r="W71" s="541"/>
      <c r="X71" s="541"/>
      <c r="Y71" s="541"/>
      <c r="Z71" s="541"/>
      <c r="AA71" s="541"/>
      <c r="AB71" s="541"/>
      <c r="AC71" s="541"/>
      <c r="AD71" s="541"/>
      <c r="AE71" s="538" t="s">
        <v>313</v>
      </c>
      <c r="AF71" s="436"/>
      <c r="AG71" s="436"/>
      <c r="AH71" s="471" t="s">
        <v>15</v>
      </c>
      <c r="AI71" s="472"/>
      <c r="AJ71" s="472"/>
      <c r="AK71" s="471" t="s">
        <v>15</v>
      </c>
      <c r="AL71" s="472"/>
      <c r="AM71" s="472"/>
    </row>
    <row r="72" spans="1:39" ht="12.6" customHeight="1" x14ac:dyDescent="0.2">
      <c r="A72" s="474"/>
      <c r="B72" s="480"/>
      <c r="C72" s="480"/>
      <c r="D72" s="480"/>
      <c r="E72" s="480"/>
      <c r="F72" s="480"/>
      <c r="G72" s="480"/>
      <c r="H72" s="480"/>
      <c r="I72" s="480"/>
      <c r="J72" s="480"/>
      <c r="K72" s="437"/>
      <c r="L72" s="480"/>
      <c r="M72" s="480"/>
      <c r="N72" s="471"/>
      <c r="O72" s="481"/>
      <c r="P72" s="481"/>
      <c r="Q72" s="471"/>
      <c r="R72" s="481"/>
      <c r="S72" s="481"/>
      <c r="U72" s="539" t="s">
        <v>242</v>
      </c>
      <c r="V72" s="435"/>
      <c r="W72" s="435"/>
      <c r="X72" s="435"/>
      <c r="Y72" s="435"/>
      <c r="Z72" s="435"/>
      <c r="AA72" s="435"/>
      <c r="AB72" s="435"/>
      <c r="AC72" s="435"/>
      <c r="AD72" s="435"/>
      <c r="AE72" s="538" t="s">
        <v>278</v>
      </c>
      <c r="AF72" s="436"/>
      <c r="AG72" s="436"/>
      <c r="AH72" s="471" t="s">
        <v>15</v>
      </c>
      <c r="AI72" s="472"/>
      <c r="AJ72" s="472"/>
      <c r="AK72" s="471" t="s">
        <v>15</v>
      </c>
      <c r="AL72" s="472"/>
      <c r="AM72" s="472"/>
    </row>
    <row r="73" spans="1:39" ht="12.6" hidden="1" customHeight="1" x14ac:dyDescent="0.2">
      <c r="A73" s="480"/>
      <c r="B73" s="480"/>
      <c r="C73" s="480"/>
      <c r="D73" s="480"/>
      <c r="E73" s="480"/>
      <c r="F73" s="480"/>
      <c r="G73" s="480"/>
      <c r="H73" s="480"/>
      <c r="I73" s="480"/>
      <c r="J73" s="480"/>
      <c r="K73" s="480"/>
      <c r="L73" s="480"/>
      <c r="M73" s="480"/>
      <c r="N73" s="481"/>
      <c r="O73" s="481"/>
      <c r="P73" s="481"/>
      <c r="Q73" s="481"/>
      <c r="R73" s="481"/>
      <c r="S73" s="481"/>
      <c r="U73" s="132" t="s">
        <v>241</v>
      </c>
      <c r="V73" s="131"/>
      <c r="W73" s="131" t="s">
        <v>276</v>
      </c>
      <c r="X73" s="126"/>
      <c r="Y73" s="126"/>
      <c r="Z73" s="126"/>
      <c r="AA73" s="126"/>
      <c r="AB73" s="126"/>
      <c r="AC73" s="126"/>
      <c r="AD73" s="126"/>
      <c r="AE73" s="131" t="s">
        <v>277</v>
      </c>
      <c r="AF73" s="131" t="s">
        <v>277</v>
      </c>
      <c r="AG73" s="131" t="s">
        <v>277</v>
      </c>
      <c r="AH73" s="471" t="s">
        <v>15</v>
      </c>
      <c r="AI73" s="472"/>
      <c r="AJ73" s="472"/>
      <c r="AK73" s="471" t="s">
        <v>15</v>
      </c>
      <c r="AL73" s="472"/>
      <c r="AM73" s="472"/>
    </row>
    <row r="74" spans="1:39" ht="12.6" customHeight="1" x14ac:dyDescent="0.2">
      <c r="A74" s="474" t="s">
        <v>189</v>
      </c>
      <c r="B74" s="480"/>
      <c r="C74" s="480"/>
      <c r="D74" s="480"/>
      <c r="E74" s="480"/>
      <c r="F74" s="480"/>
      <c r="G74" s="480"/>
      <c r="H74" s="480"/>
      <c r="I74" s="480"/>
      <c r="J74" s="480"/>
      <c r="K74" s="437">
        <v>2</v>
      </c>
      <c r="L74" s="480"/>
      <c r="M74" s="480"/>
      <c r="N74" s="471" t="str">
        <f>N70</f>
        <v>да</v>
      </c>
      <c r="O74" s="481"/>
      <c r="P74" s="481"/>
      <c r="Q74" s="471" t="str">
        <f>Q51</f>
        <v>да</v>
      </c>
      <c r="R74" s="481"/>
      <c r="S74" s="481"/>
      <c r="U74" s="539" t="s">
        <v>243</v>
      </c>
      <c r="V74" s="435"/>
      <c r="W74" s="435"/>
      <c r="X74" s="435"/>
      <c r="Y74" s="435"/>
      <c r="Z74" s="435"/>
      <c r="AA74" s="435"/>
      <c r="AB74" s="435"/>
      <c r="AC74" s="435"/>
      <c r="AD74" s="435"/>
      <c r="AE74" s="538" t="s">
        <v>316</v>
      </c>
      <c r="AF74" s="436"/>
      <c r="AG74" s="436"/>
      <c r="AH74" s="471" t="s">
        <v>15</v>
      </c>
      <c r="AI74" s="472"/>
      <c r="AJ74" s="472"/>
      <c r="AK74" s="471" t="s">
        <v>15</v>
      </c>
      <c r="AL74" s="472"/>
      <c r="AM74" s="472"/>
    </row>
    <row r="75" spans="1:39" ht="13.9" customHeight="1" x14ac:dyDescent="0.2">
      <c r="A75" s="480"/>
      <c r="B75" s="480"/>
      <c r="C75" s="480"/>
      <c r="D75" s="480"/>
      <c r="E75" s="480"/>
      <c r="F75" s="480"/>
      <c r="G75" s="480"/>
      <c r="H75" s="480"/>
      <c r="I75" s="480"/>
      <c r="J75" s="480"/>
      <c r="K75" s="480"/>
      <c r="L75" s="480"/>
      <c r="M75" s="480"/>
      <c r="N75" s="481"/>
      <c r="O75" s="481"/>
      <c r="P75" s="481"/>
      <c r="Q75" s="481"/>
      <c r="R75" s="481"/>
      <c r="S75" s="481"/>
      <c r="U75" s="539" t="s">
        <v>244</v>
      </c>
      <c r="V75" s="435"/>
      <c r="W75" s="435"/>
      <c r="X75" s="435"/>
      <c r="Y75" s="435"/>
      <c r="Z75" s="435"/>
      <c r="AA75" s="435"/>
      <c r="AB75" s="435"/>
      <c r="AC75" s="435"/>
      <c r="AD75" s="435"/>
      <c r="AE75" s="538" t="s">
        <v>317</v>
      </c>
      <c r="AF75" s="436"/>
      <c r="AG75" s="436"/>
      <c r="AH75" s="471" t="s">
        <v>15</v>
      </c>
      <c r="AI75" s="472"/>
      <c r="AJ75" s="472"/>
      <c r="AK75" s="471" t="s">
        <v>15</v>
      </c>
      <c r="AL75" s="472"/>
      <c r="AM75" s="472"/>
    </row>
    <row r="76" spans="1:39" ht="13.15" customHeight="1" x14ac:dyDescent="0.2">
      <c r="A76" s="474" t="s">
        <v>190</v>
      </c>
      <c r="B76" s="474"/>
      <c r="C76" s="474"/>
      <c r="D76" s="474"/>
      <c r="E76" s="474"/>
      <c r="F76" s="474"/>
      <c r="G76" s="474"/>
      <c r="H76" s="474"/>
      <c r="I76" s="474"/>
      <c r="J76" s="474"/>
      <c r="K76" s="437">
        <v>3</v>
      </c>
      <c r="L76" s="182"/>
      <c r="M76" s="182"/>
      <c r="N76" s="471" t="str">
        <f>N74</f>
        <v>да</v>
      </c>
      <c r="O76" s="472"/>
      <c r="P76" s="472"/>
      <c r="Q76" s="471" t="str">
        <f>IF(AND(AM18="+"),"да","нет")</f>
        <v>нет</v>
      </c>
      <c r="R76" s="472"/>
      <c r="S76" s="472"/>
      <c r="U76" s="539" t="s">
        <v>318</v>
      </c>
      <c r="V76" s="435"/>
      <c r="W76" s="435"/>
      <c r="X76" s="435"/>
      <c r="Y76" s="435"/>
      <c r="Z76" s="435"/>
      <c r="AA76" s="435"/>
      <c r="AB76" s="435"/>
      <c r="AC76" s="435"/>
      <c r="AD76" s="435"/>
      <c r="AE76" s="538" t="s">
        <v>319</v>
      </c>
      <c r="AF76" s="436"/>
      <c r="AG76" s="436"/>
      <c r="AH76" s="471" t="s">
        <v>15</v>
      </c>
      <c r="AI76" s="472"/>
      <c r="AJ76" s="472"/>
      <c r="AK76" s="471" t="s">
        <v>15</v>
      </c>
      <c r="AL76" s="472"/>
      <c r="AM76" s="472"/>
    </row>
    <row r="77" spans="1:39" ht="13.15" customHeight="1" x14ac:dyDescent="0.2">
      <c r="A77" s="474" t="s">
        <v>206</v>
      </c>
      <c r="B77" s="474"/>
      <c r="C77" s="474"/>
      <c r="D77" s="474"/>
      <c r="E77" s="474"/>
      <c r="F77" s="474"/>
      <c r="G77" s="474"/>
      <c r="H77" s="474"/>
      <c r="I77" s="474"/>
      <c r="J77" s="474"/>
      <c r="K77" s="437">
        <v>4</v>
      </c>
      <c r="L77" s="182"/>
      <c r="M77" s="182"/>
      <c r="N77" s="482" t="str">
        <f ca="1">IF(AND(U11=51),"нет",IF(AND(U11=57),"нет",IF(AND(U11=63),"нет",IF(AND(U11=69),"нет",IF(AND(U11=75),"нет",IF(AND(U11=81),"нет",IF(AND(U11=87),"нет",IF(AND(U11=93),"нет",IF(AND(U11=99),"нет",IF(AND(U11=45),"нет",IF(AND(U11=39),"нет","да")))))))))))</f>
        <v>нет</v>
      </c>
      <c r="O77" s="483"/>
      <c r="P77" s="483"/>
      <c r="Q77" s="471" t="str">
        <f ca="1">IF(AND(N77="да",AM19="+"),"да","нет")</f>
        <v>нет</v>
      </c>
      <c r="R77" s="472"/>
      <c r="S77" s="472"/>
      <c r="U77" s="539" t="s">
        <v>245</v>
      </c>
      <c r="V77" s="435"/>
      <c r="W77" s="435"/>
      <c r="X77" s="435"/>
      <c r="Y77" s="435"/>
      <c r="Z77" s="435"/>
      <c r="AA77" s="435"/>
      <c r="AB77" s="435"/>
      <c r="AC77" s="435"/>
      <c r="AD77" s="435"/>
      <c r="AE77" s="538" t="s">
        <v>320</v>
      </c>
      <c r="AF77" s="436"/>
      <c r="AG77" s="436"/>
      <c r="AH77" s="471" t="s">
        <v>15</v>
      </c>
      <c r="AI77" s="472"/>
      <c r="AJ77" s="472"/>
      <c r="AK77" s="471" t="s">
        <v>15</v>
      </c>
      <c r="AL77" s="472"/>
      <c r="AM77" s="472"/>
    </row>
    <row r="78" spans="1:39" ht="13.15" customHeight="1" x14ac:dyDescent="0.2">
      <c r="A78" s="474" t="s">
        <v>207</v>
      </c>
      <c r="B78" s="474"/>
      <c r="C78" s="474"/>
      <c r="D78" s="474"/>
      <c r="E78" s="474"/>
      <c r="F78" s="474"/>
      <c r="G78" s="474"/>
      <c r="H78" s="474"/>
      <c r="I78" s="474"/>
      <c r="J78" s="474"/>
      <c r="K78" s="437">
        <v>5</v>
      </c>
      <c r="L78" s="182"/>
      <c r="M78" s="182"/>
      <c r="N78" s="482" t="str">
        <f ca="1">IF(AND(U11=51),"нет",IF(AND(U11=57),"нет",IF(AND(U11=63),"нет",IF(AND(U11=69),"нет",IF(AND(U11=75),"нет",IF(AND(U11=81),"нет",IF(AND(U11=87),"нет",IF(AND(U11=93),"нет",IF(AND(U11=99),"нет",IF(AND(U11=45),"нет",IF(AND(U11=39),"нет","да")))))))))))</f>
        <v>нет</v>
      </c>
      <c r="O78" s="483"/>
      <c r="P78" s="483"/>
      <c r="Q78" s="471" t="str">
        <f ca="1">IF(AND(N78="да",AM20="+"),"да","нет")</f>
        <v>нет</v>
      </c>
      <c r="R78" s="472"/>
      <c r="S78" s="472"/>
      <c r="U78" s="539" t="s">
        <v>246</v>
      </c>
      <c r="V78" s="435"/>
      <c r="W78" s="435"/>
      <c r="X78" s="435"/>
      <c r="Y78" s="435"/>
      <c r="Z78" s="435"/>
      <c r="AA78" s="435"/>
      <c r="AB78" s="435"/>
      <c r="AC78" s="435"/>
      <c r="AD78" s="435"/>
      <c r="AE78" s="538" t="s">
        <v>321</v>
      </c>
      <c r="AF78" s="436"/>
      <c r="AG78" s="436"/>
      <c r="AH78" s="471" t="s">
        <v>15</v>
      </c>
      <c r="AI78" s="472"/>
      <c r="AJ78" s="472"/>
      <c r="AK78" s="471" t="str">
        <f>Q89</f>
        <v>нет</v>
      </c>
      <c r="AL78" s="472"/>
      <c r="AM78" s="472"/>
    </row>
    <row r="79" spans="1:39" ht="13.15" customHeight="1" x14ac:dyDescent="0.2">
      <c r="A79" s="474" t="s">
        <v>208</v>
      </c>
      <c r="B79" s="474"/>
      <c r="C79" s="474"/>
      <c r="D79" s="474"/>
      <c r="E79" s="474"/>
      <c r="F79" s="474"/>
      <c r="G79" s="474"/>
      <c r="H79" s="474"/>
      <c r="I79" s="474"/>
      <c r="J79" s="474"/>
      <c r="K79" s="437">
        <v>6</v>
      </c>
      <c r="L79" s="182"/>
      <c r="M79" s="182"/>
      <c r="N79" s="471" t="str">
        <f ca="1">IF(AND(U11&gt;=66),"нет","да")</f>
        <v>да</v>
      </c>
      <c r="O79" s="472"/>
      <c r="P79" s="472"/>
      <c r="Q79" s="471" t="s">
        <v>175</v>
      </c>
      <c r="R79" s="472"/>
      <c r="S79" s="472"/>
      <c r="U79" s="539" t="s">
        <v>247</v>
      </c>
      <c r="V79" s="435"/>
      <c r="W79" s="435"/>
      <c r="X79" s="435"/>
      <c r="Y79" s="435"/>
      <c r="Z79" s="435"/>
      <c r="AA79" s="435"/>
      <c r="AB79" s="435"/>
      <c r="AC79" s="435"/>
      <c r="AD79" s="435"/>
      <c r="AE79" s="538" t="s">
        <v>279</v>
      </c>
      <c r="AF79" s="436"/>
      <c r="AG79" s="436"/>
      <c r="AH79" s="471" t="s">
        <v>15</v>
      </c>
      <c r="AI79" s="472"/>
      <c r="AJ79" s="472"/>
      <c r="AK79" s="471" t="s">
        <v>15</v>
      </c>
      <c r="AL79" s="472"/>
      <c r="AM79" s="472"/>
    </row>
    <row r="80" spans="1:39" ht="13.15" customHeight="1" x14ac:dyDescent="0.2">
      <c r="A80" s="474" t="s">
        <v>191</v>
      </c>
      <c r="B80" s="474"/>
      <c r="C80" s="474"/>
      <c r="D80" s="474"/>
      <c r="E80" s="474"/>
      <c r="F80" s="474"/>
      <c r="G80" s="474"/>
      <c r="H80" s="474"/>
      <c r="I80" s="474"/>
      <c r="J80" s="474"/>
      <c r="K80" s="437">
        <v>7</v>
      </c>
      <c r="L80" s="182"/>
      <c r="M80" s="182"/>
      <c r="N80" s="471" t="str">
        <f ca="1">IF(AND(U11&gt;=45),"да","нет")</f>
        <v>да</v>
      </c>
      <c r="O80" s="472"/>
      <c r="P80" s="472"/>
      <c r="Q80" s="471" t="str">
        <f ca="1">IF(AND(N80="да",AI25="I 20.9",AI25="I 25.9"),"да","нет")</f>
        <v>нет</v>
      </c>
      <c r="R80" s="472"/>
      <c r="S80" s="472"/>
      <c r="U80" s="539" t="s">
        <v>322</v>
      </c>
      <c r="V80" s="435"/>
      <c r="W80" s="435"/>
      <c r="X80" s="435"/>
      <c r="Y80" s="435"/>
      <c r="Z80" s="435"/>
      <c r="AA80" s="435"/>
      <c r="AB80" s="435"/>
      <c r="AC80" s="435"/>
      <c r="AD80" s="435"/>
      <c r="AE80" s="538" t="s">
        <v>323</v>
      </c>
      <c r="AF80" s="436"/>
      <c r="AG80" s="436"/>
      <c r="AH80" s="471" t="s">
        <v>15</v>
      </c>
      <c r="AI80" s="472"/>
      <c r="AJ80" s="472"/>
      <c r="AK80" s="471" t="str">
        <f>AH80</f>
        <v>нет</v>
      </c>
      <c r="AL80" s="472"/>
      <c r="AM80" s="472"/>
    </row>
    <row r="81" spans="1:39" ht="13.15" customHeight="1" x14ac:dyDescent="0.2">
      <c r="A81" s="474" t="s">
        <v>209</v>
      </c>
      <c r="B81" s="474"/>
      <c r="C81" s="474"/>
      <c r="D81" s="474"/>
      <c r="E81" s="474"/>
      <c r="F81" s="474"/>
      <c r="G81" s="474"/>
      <c r="H81" s="474"/>
      <c r="I81" s="474"/>
      <c r="J81" s="474"/>
      <c r="K81" s="437">
        <v>8</v>
      </c>
      <c r="L81" s="182"/>
      <c r="M81" s="182"/>
      <c r="N81" s="471" t="str">
        <f>IF(AND(Главная!J9=2),"да","нет")</f>
        <v>да</v>
      </c>
      <c r="O81" s="472"/>
      <c r="P81" s="472"/>
      <c r="Q81" s="471" t="s">
        <v>15</v>
      </c>
      <c r="R81" s="472"/>
      <c r="S81" s="472"/>
      <c r="U81" s="539" t="s">
        <v>248</v>
      </c>
      <c r="V81" s="435"/>
      <c r="W81" s="435"/>
      <c r="X81" s="435"/>
      <c r="Y81" s="435"/>
      <c r="Z81" s="435"/>
      <c r="AA81" s="435"/>
      <c r="AB81" s="435"/>
      <c r="AC81" s="435"/>
      <c r="AD81" s="435"/>
      <c r="AE81" s="538" t="s">
        <v>280</v>
      </c>
      <c r="AF81" s="436"/>
      <c r="AG81" s="436"/>
      <c r="AH81" s="471" t="s">
        <v>15</v>
      </c>
      <c r="AI81" s="472"/>
      <c r="AJ81" s="472"/>
      <c r="AK81" s="471" t="s">
        <v>15</v>
      </c>
      <c r="AL81" s="472"/>
      <c r="AM81" s="472"/>
    </row>
    <row r="82" spans="1:39" ht="13.15" customHeight="1" x14ac:dyDescent="0.2">
      <c r="A82" s="474" t="s">
        <v>192</v>
      </c>
      <c r="B82" s="474"/>
      <c r="C82" s="474"/>
      <c r="D82" s="474"/>
      <c r="E82" s="474"/>
      <c r="F82" s="474"/>
      <c r="G82" s="474"/>
      <c r="H82" s="474"/>
      <c r="I82" s="474"/>
      <c r="J82" s="474"/>
      <c r="K82" s="437">
        <v>9</v>
      </c>
      <c r="L82" s="182"/>
      <c r="M82" s="182"/>
      <c r="N82" s="471" t="s">
        <v>14</v>
      </c>
      <c r="O82" s="472"/>
      <c r="P82" s="472"/>
      <c r="Q82" s="471" t="str">
        <f>IF(AND(N82="да",AC24="J 42.9"),"да","нет")</f>
        <v>нет</v>
      </c>
      <c r="R82" s="472"/>
      <c r="S82" s="472"/>
      <c r="U82" s="539" t="s">
        <v>249</v>
      </c>
      <c r="V82" s="435"/>
      <c r="W82" s="435"/>
      <c r="X82" s="435"/>
      <c r="Y82" s="435"/>
      <c r="Z82" s="435"/>
      <c r="AA82" s="435"/>
      <c r="AB82" s="435"/>
      <c r="AC82" s="435"/>
      <c r="AD82" s="435"/>
      <c r="AE82" s="538" t="s">
        <v>281</v>
      </c>
      <c r="AF82" s="436"/>
      <c r="AG82" s="436"/>
      <c r="AH82" s="471" t="str">
        <f>IF(AND(W24="E 07.9"),"да",IF(AND(AH83="да"),"да",IF(AND(AH84="да"),"да","нет")))</f>
        <v>да</v>
      </c>
      <c r="AI82" s="472"/>
      <c r="AJ82" s="472"/>
      <c r="AK82" s="471" t="str">
        <f>IF(AND(W24="E 07.9"),"да",IF(AND(AK83="да"),"да",IF(AND(AK84="да"),"да","нет")))</f>
        <v>да</v>
      </c>
      <c r="AL82" s="472"/>
      <c r="AM82" s="472"/>
    </row>
    <row r="83" spans="1:39" ht="13.15" customHeight="1" x14ac:dyDescent="0.2">
      <c r="A83" s="474" t="s">
        <v>193</v>
      </c>
      <c r="B83" s="474"/>
      <c r="C83" s="474"/>
      <c r="D83" s="474"/>
      <c r="E83" s="474"/>
      <c r="F83" s="474"/>
      <c r="G83" s="474"/>
      <c r="H83" s="474"/>
      <c r="I83" s="474"/>
      <c r="J83" s="474"/>
      <c r="K83" s="437">
        <v>10</v>
      </c>
      <c r="L83" s="182"/>
      <c r="M83" s="182"/>
      <c r="N83" s="471" t="str">
        <f ca="1">IF(AND(U11&gt;=39,Главная!J9=2),"да","нет")</f>
        <v>да</v>
      </c>
      <c r="O83" s="472"/>
      <c r="P83" s="472"/>
      <c r="Q83" s="471" t="str">
        <f ca="1">IF(AND(N83="да",U11&gt;=45),"да","нет")</f>
        <v>да</v>
      </c>
      <c r="R83" s="472"/>
      <c r="S83" s="472"/>
      <c r="U83" s="539" t="s">
        <v>250</v>
      </c>
      <c r="V83" s="435"/>
      <c r="W83" s="435"/>
      <c r="X83" s="435"/>
      <c r="Y83" s="435"/>
      <c r="Z83" s="435"/>
      <c r="AA83" s="435"/>
      <c r="AB83" s="435"/>
      <c r="AC83" s="435"/>
      <c r="AD83" s="435"/>
      <c r="AE83" s="538" t="s">
        <v>282</v>
      </c>
      <c r="AF83" s="436"/>
      <c r="AG83" s="436"/>
      <c r="AH83" s="471" t="s">
        <v>15</v>
      </c>
      <c r="AI83" s="472"/>
      <c r="AJ83" s="472"/>
      <c r="AK83" s="471" t="str">
        <f>IF(AND(AM20="+"),"да","нет")</f>
        <v>нет</v>
      </c>
      <c r="AL83" s="472"/>
      <c r="AM83" s="472"/>
    </row>
    <row r="84" spans="1:39" ht="13.15" customHeight="1" x14ac:dyDescent="0.2">
      <c r="A84" s="474" t="s">
        <v>194</v>
      </c>
      <c r="B84" s="474"/>
      <c r="C84" s="474"/>
      <c r="D84" s="474"/>
      <c r="E84" s="474"/>
      <c r="F84" s="474"/>
      <c r="G84" s="474"/>
      <c r="H84" s="474"/>
      <c r="I84" s="474"/>
      <c r="J84" s="474"/>
      <c r="K84" s="437">
        <v>11</v>
      </c>
      <c r="L84" s="182"/>
      <c r="M84" s="182"/>
      <c r="N84" s="471" t="str">
        <f ca="1">IF(AND(U11=51),"нет",IF(AND(U11=57),"нет",IF(AND(U11=63),"нет",IF(AND(U11=69),"нет",IF(AND(U11=75),"нет",IF(AND(U11=81),"нет",IF(AND(U11=87),"нет",IF(AND(U11=93),"нет",IF(AND(U11=99),"нет",IF(AND(U11=45),"нет",IF(AND(U11=39),"нет","да")))))))))))</f>
        <v>нет</v>
      </c>
      <c r="O84" s="472"/>
      <c r="P84" s="472"/>
      <c r="Q84" s="471" t="s">
        <v>15</v>
      </c>
      <c r="R84" s="472"/>
      <c r="S84" s="472"/>
      <c r="U84" s="539" t="s">
        <v>251</v>
      </c>
      <c r="V84" s="435"/>
      <c r="W84" s="435"/>
      <c r="X84" s="435"/>
      <c r="Y84" s="435"/>
      <c r="Z84" s="435"/>
      <c r="AA84" s="435"/>
      <c r="AB84" s="435"/>
      <c r="AC84" s="435"/>
      <c r="AD84" s="435"/>
      <c r="AE84" s="538" t="s">
        <v>283</v>
      </c>
      <c r="AF84" s="436"/>
      <c r="AG84" s="436"/>
      <c r="AH84" s="471" t="str">
        <f>IF(AND(W25="E 66.9"),"да","нет")</f>
        <v>да</v>
      </c>
      <c r="AI84" s="472"/>
      <c r="AJ84" s="472"/>
      <c r="AK84" s="471" t="s">
        <v>14</v>
      </c>
      <c r="AL84" s="472"/>
      <c r="AM84" s="472"/>
    </row>
    <row r="85" spans="1:39" ht="13.15" customHeight="1" x14ac:dyDescent="0.2">
      <c r="A85" s="474" t="s">
        <v>195</v>
      </c>
      <c r="B85" s="474"/>
      <c r="C85" s="474"/>
      <c r="D85" s="474"/>
      <c r="E85" s="474"/>
      <c r="F85" s="474"/>
      <c r="G85" s="474"/>
      <c r="H85" s="474"/>
      <c r="I85" s="474"/>
      <c r="J85" s="474"/>
      <c r="K85" s="437">
        <v>12</v>
      </c>
      <c r="L85" s="182"/>
      <c r="M85" s="182"/>
      <c r="N85" s="471" t="str">
        <f ca="1">IF(AND(U11=51),"да",IF(AND(U11=57),"да",IF(AND(U11=63),"да",IF(AND(U11=69),"да",IF(AND(U11=75),"да",IF(AND(U11=81),"да",IF(AND(U11=87),"да",IF(AND(U11=93),"да",IF(AND(U11=99),"да",IF(AND(U11=45),"да",IF(AND(U11=39),"да","нет")))))))))))</f>
        <v>да</v>
      </c>
      <c r="O85" s="472"/>
      <c r="P85" s="472"/>
      <c r="Q85" s="471" t="s">
        <v>15</v>
      </c>
      <c r="R85" s="472"/>
      <c r="S85" s="472"/>
      <c r="U85" s="539" t="s">
        <v>252</v>
      </c>
      <c r="V85" s="435"/>
      <c r="W85" s="435"/>
      <c r="X85" s="435"/>
      <c r="Y85" s="435"/>
      <c r="Z85" s="435"/>
      <c r="AA85" s="435"/>
      <c r="AB85" s="435"/>
      <c r="AC85" s="435"/>
      <c r="AD85" s="435"/>
      <c r="AE85" s="538" t="s">
        <v>284</v>
      </c>
      <c r="AF85" s="436"/>
      <c r="AG85" s="436"/>
      <c r="AH85" s="471" t="str">
        <f>IF(AND(AC25="G 90.8"),"да","нет")</f>
        <v>да</v>
      </c>
      <c r="AI85" s="472"/>
      <c r="AJ85" s="472"/>
      <c r="AK85" s="471" t="s">
        <v>14</v>
      </c>
      <c r="AL85" s="472"/>
      <c r="AM85" s="472"/>
    </row>
    <row r="86" spans="1:39" ht="13.15" customHeight="1" x14ac:dyDescent="0.2">
      <c r="A86" s="474" t="s">
        <v>196</v>
      </c>
      <c r="B86" s="474"/>
      <c r="C86" s="474"/>
      <c r="D86" s="474"/>
      <c r="E86" s="474"/>
      <c r="F86" s="474"/>
      <c r="G86" s="474"/>
      <c r="H86" s="474"/>
      <c r="I86" s="474"/>
      <c r="J86" s="474"/>
      <c r="K86" s="437">
        <v>13</v>
      </c>
      <c r="L86" s="182"/>
      <c r="M86" s="182"/>
      <c r="N86" s="471" t="str">
        <f ca="1">IF(AND(U11=51),"да",IF(AND(U11=57),"да",IF(AND(U11=63),"да",IF(AND(U11=69),"да",IF(AND(U11=75),"да",IF(AND(U11=81),"да",IF(AND(U11=87),"да",IF(AND(U11=93),"да",IF(AND(U11=99),"да",IF(AND(U11=45),"да",IF(AND(U11=39),"да","нет")))))))))))</f>
        <v>да</v>
      </c>
      <c r="O86" s="472"/>
      <c r="P86" s="472"/>
      <c r="Q86" s="471" t="str">
        <f ca="1">IF(AND(N86="да",AM20="+"),"да",IF(AND(N86="да",AM19="+"),"да","нет"))</f>
        <v>да</v>
      </c>
      <c r="R86" s="472"/>
      <c r="S86" s="472"/>
      <c r="U86" s="539" t="s">
        <v>324</v>
      </c>
      <c r="V86" s="435"/>
      <c r="W86" s="435"/>
      <c r="X86" s="435"/>
      <c r="Y86" s="435"/>
      <c r="Z86" s="435"/>
      <c r="AA86" s="435"/>
      <c r="AB86" s="435"/>
      <c r="AC86" s="435"/>
      <c r="AD86" s="435"/>
      <c r="AE86" s="538" t="s">
        <v>285</v>
      </c>
      <c r="AF86" s="436"/>
      <c r="AG86" s="436"/>
      <c r="AH86" s="471" t="s">
        <v>15</v>
      </c>
      <c r="AI86" s="472"/>
      <c r="AJ86" s="472"/>
      <c r="AK86" s="471" t="s">
        <v>15</v>
      </c>
      <c r="AL86" s="472"/>
      <c r="AM86" s="472"/>
    </row>
    <row r="87" spans="1:39" ht="13.15" customHeight="1" x14ac:dyDescent="0.2">
      <c r="A87" s="474" t="s">
        <v>51</v>
      </c>
      <c r="B87" s="474"/>
      <c r="C87" s="474"/>
      <c r="D87" s="474"/>
      <c r="E87" s="474"/>
      <c r="F87" s="474"/>
      <c r="G87" s="474"/>
      <c r="H87" s="474"/>
      <c r="I87" s="474"/>
      <c r="J87" s="474"/>
      <c r="K87" s="437">
        <v>14</v>
      </c>
      <c r="L87" s="182"/>
      <c r="M87" s="182"/>
      <c r="N87" s="471" t="str">
        <f ca="1">IF(AND(Результаты!U11=21),"да",IF(AND(Результаты!U11=24),"да",IF(AND(Результаты!U11=27),"да",IF(AND(Результаты!U11=30),"да",IF(AND(Результаты!U11=33),"да",IF(AND(Результаты!U11=36),"да",IF(AND(Результаты!U11=39),"да",IF(AND(Результаты!U11=42),"да",IF(AND(Результаты!U11=45),"да",IF(AND(Результаты!U11=48),"да",IF(AND(Результаты!U11=51),"да",IF(AND(Результаты!U11=54),"да",IF(AND(Результаты!U11=57),"да",IF(AND(Результаты!U11=60),"да",IF(AND(Результаты!U11=63),"да",IF(AND(Результаты!U11=66),"да",IF(AND(Результаты!U11=69),"да",IF(AND(Результаты!U11=72),"да",IF(AND(Результаты!U11=75),"да",IF(AND(Результаты!U11=78),"да",IF(AND(Результаты!U11=81),"да",IF(AND(Результаты!U11=84),"да",IF(AND(Результаты!U11=87),"да",IF(AND(Результаты!U11=90),"да",IF(AND(Результаты!U11=93),"да",IF(AND(Результаты!U11=96),"да",IF(AND(Результаты!U11=99),"да","нет")))))))))))))))))))))))))))</f>
        <v>да</v>
      </c>
      <c r="O87" s="472"/>
      <c r="P87" s="472"/>
      <c r="Q87" s="471" t="s">
        <v>15</v>
      </c>
      <c r="R87" s="472"/>
      <c r="S87" s="472"/>
      <c r="U87" s="539" t="s">
        <v>253</v>
      </c>
      <c r="V87" s="435"/>
      <c r="W87" s="435"/>
      <c r="X87" s="435"/>
      <c r="Y87" s="435"/>
      <c r="Z87" s="435"/>
      <c r="AA87" s="435"/>
      <c r="AB87" s="435"/>
      <c r="AC87" s="435"/>
      <c r="AD87" s="435"/>
      <c r="AE87" s="538" t="s">
        <v>286</v>
      </c>
      <c r="AF87" s="436"/>
      <c r="AG87" s="436"/>
      <c r="AH87" s="471" t="str">
        <f ca="1">Q91</f>
        <v>нет</v>
      </c>
      <c r="AI87" s="472"/>
      <c r="AJ87" s="472"/>
      <c r="AK87" s="471" t="str">
        <f ca="1">AK90</f>
        <v>да</v>
      </c>
      <c r="AL87" s="472"/>
      <c r="AM87" s="472"/>
    </row>
    <row r="88" spans="1:39" ht="13.15" customHeight="1" x14ac:dyDescent="0.2">
      <c r="A88" s="474" t="s">
        <v>197</v>
      </c>
      <c r="B88" s="474"/>
      <c r="C88" s="474"/>
      <c r="D88" s="474"/>
      <c r="E88" s="474"/>
      <c r="F88" s="474"/>
      <c r="G88" s="474"/>
      <c r="H88" s="474"/>
      <c r="I88" s="474"/>
      <c r="J88" s="474"/>
      <c r="K88" s="437">
        <v>15</v>
      </c>
      <c r="L88" s="182"/>
      <c r="M88" s="182"/>
      <c r="N88" s="471" t="str">
        <f ca="1">IF(AND(U11&gt;45),"да","нет")</f>
        <v>да</v>
      </c>
      <c r="O88" s="472"/>
      <c r="P88" s="472"/>
      <c r="Q88" s="471" t="s">
        <v>15</v>
      </c>
      <c r="R88" s="472"/>
      <c r="S88" s="472"/>
      <c r="U88" s="539" t="s">
        <v>254</v>
      </c>
      <c r="V88" s="435"/>
      <c r="W88" s="435"/>
      <c r="X88" s="435"/>
      <c r="Y88" s="435"/>
      <c r="Z88" s="435"/>
      <c r="AA88" s="435"/>
      <c r="AB88" s="435"/>
      <c r="AC88" s="435"/>
      <c r="AD88" s="435"/>
      <c r="AE88" s="538" t="s">
        <v>287</v>
      </c>
      <c r="AF88" s="436"/>
      <c r="AG88" s="436"/>
      <c r="AH88" s="471" t="s">
        <v>15</v>
      </c>
      <c r="AI88" s="472"/>
      <c r="AJ88" s="472"/>
      <c r="AK88" s="471" t="str">
        <f ca="1">IF(AND(U11&gt;59),"да","нет")</f>
        <v>нет</v>
      </c>
      <c r="AL88" s="472"/>
      <c r="AM88" s="472"/>
    </row>
    <row r="89" spans="1:39" ht="13.15" customHeight="1" x14ac:dyDescent="0.2">
      <c r="A89" s="474" t="s">
        <v>198</v>
      </c>
      <c r="B89" s="474"/>
      <c r="C89" s="474"/>
      <c r="D89" s="474"/>
      <c r="E89" s="474"/>
      <c r="F89" s="474"/>
      <c r="G89" s="474"/>
      <c r="H89" s="474"/>
      <c r="I89" s="474"/>
      <c r="J89" s="474"/>
      <c r="K89" s="437">
        <v>16</v>
      </c>
      <c r="L89" s="182"/>
      <c r="M89" s="182"/>
      <c r="N89" s="471" t="str">
        <f ca="1">IF(AND(U11&gt;51,Главная!J9=1),"да","нет")</f>
        <v>нет</v>
      </c>
      <c r="O89" s="472"/>
      <c r="P89" s="472"/>
      <c r="Q89" s="471" t="s">
        <v>15</v>
      </c>
      <c r="R89" s="472"/>
      <c r="S89" s="472"/>
      <c r="U89" s="539" t="s">
        <v>255</v>
      </c>
      <c r="V89" s="435"/>
      <c r="W89" s="435"/>
      <c r="X89" s="435"/>
      <c r="Y89" s="435"/>
      <c r="Z89" s="435"/>
      <c r="AA89" s="435"/>
      <c r="AB89" s="435"/>
      <c r="AC89" s="435"/>
      <c r="AD89" s="435"/>
      <c r="AE89" s="538" t="s">
        <v>288</v>
      </c>
      <c r="AF89" s="436"/>
      <c r="AG89" s="436"/>
      <c r="AH89" s="471" t="s">
        <v>15</v>
      </c>
      <c r="AI89" s="472"/>
      <c r="AJ89" s="472"/>
      <c r="AK89" s="471" t="str">
        <f ca="1">Q91</f>
        <v>нет</v>
      </c>
      <c r="AL89" s="472"/>
      <c r="AM89" s="472"/>
    </row>
    <row r="90" spans="1:39" ht="13.15" customHeight="1" x14ac:dyDescent="0.2">
      <c r="A90" s="474" t="s">
        <v>199</v>
      </c>
      <c r="B90" s="474"/>
      <c r="C90" s="474"/>
      <c r="D90" s="474"/>
      <c r="E90" s="474"/>
      <c r="F90" s="474"/>
      <c r="G90" s="474"/>
      <c r="H90" s="474"/>
      <c r="I90" s="474"/>
      <c r="J90" s="474"/>
      <c r="K90" s="437">
        <v>17</v>
      </c>
      <c r="L90" s="182"/>
      <c r="M90" s="182"/>
      <c r="N90" s="471" t="str">
        <f ca="1">IF(AND(U11=51),"да",IF(AND(U11=57),"да",IF(AND(U11=63),"да",IF(AND(U11=69),"да",IF(AND(U11=75),"да",IF(AND(U11=81),"да",IF(AND(U11=87),"да",IF(AND(U11=93),"да",IF(AND(U11=99),"да",IF(AND(U11=45),"да",IF(AND(U11=39),"да","нет")))))))))))</f>
        <v>да</v>
      </c>
      <c r="O90" s="472"/>
      <c r="P90" s="472"/>
      <c r="Q90" s="471" t="str">
        <f ca="1">IF(AND(N90="да",Z25="K 81.9"),"да","нет")</f>
        <v>нет</v>
      </c>
      <c r="R90" s="472"/>
      <c r="S90" s="472"/>
      <c r="U90" s="539" t="s">
        <v>256</v>
      </c>
      <c r="V90" s="435"/>
      <c r="W90" s="435"/>
      <c r="X90" s="435"/>
      <c r="Y90" s="435"/>
      <c r="Z90" s="435"/>
      <c r="AA90" s="435"/>
      <c r="AB90" s="435"/>
      <c r="AC90" s="435"/>
      <c r="AD90" s="435"/>
      <c r="AE90" s="538" t="s">
        <v>289</v>
      </c>
      <c r="AF90" s="436"/>
      <c r="AG90" s="436"/>
      <c r="AH90" s="471" t="s">
        <v>15</v>
      </c>
      <c r="AI90" s="472"/>
      <c r="AJ90" s="472"/>
      <c r="AK90" s="471" t="str">
        <f ca="1">Q63</f>
        <v>да</v>
      </c>
      <c r="AL90" s="472"/>
      <c r="AM90" s="472"/>
    </row>
    <row r="91" spans="1:39" ht="13.15" customHeight="1" x14ac:dyDescent="0.2">
      <c r="A91" s="474" t="s">
        <v>200</v>
      </c>
      <c r="B91" s="474"/>
      <c r="C91" s="474"/>
      <c r="D91" s="474"/>
      <c r="E91" s="474"/>
      <c r="F91" s="474"/>
      <c r="G91" s="474"/>
      <c r="H91" s="474"/>
      <c r="I91" s="474"/>
      <c r="J91" s="474"/>
      <c r="K91" s="437">
        <v>18</v>
      </c>
      <c r="L91" s="182"/>
      <c r="M91" s="182"/>
      <c r="N91" s="471" t="str">
        <f ca="1">IF(AND(U11=51),"да",IF(AND(U11=57),"да",IF(AND(U11=63),"да",IF(AND(U11=69),"да",IF(AND(U11=75),"да",IF(AND(U11=81),"да",IF(AND(U11=87),"да",IF(AND(U11=93),"да",IF(AND(U11=99),"да",IF(AND(U11=45),"да",IF(AND(U11=39),"да","нет")))))))))))</f>
        <v>да</v>
      </c>
      <c r="O91" s="472"/>
      <c r="P91" s="472"/>
      <c r="Q91" s="471" t="str">
        <f ca="1">IF(AND(N91="да",U11&gt;75),"да","нет")</f>
        <v>нет</v>
      </c>
      <c r="R91" s="472"/>
      <c r="S91" s="472"/>
      <c r="U91" s="539" t="s">
        <v>257</v>
      </c>
      <c r="V91" s="435"/>
      <c r="W91" s="435"/>
      <c r="X91" s="435"/>
      <c r="Y91" s="435"/>
      <c r="Z91" s="435"/>
      <c r="AA91" s="435"/>
      <c r="AB91" s="435"/>
      <c r="AC91" s="435"/>
      <c r="AD91" s="435"/>
      <c r="AE91" s="538" t="s">
        <v>290</v>
      </c>
      <c r="AF91" s="436"/>
      <c r="AG91" s="436"/>
      <c r="AH91" s="471" t="str">
        <f ca="1">IF(AND(AC25="I 11.9"),"да",IF(AND(Z24="I 67.9"),"да",IF(AND(AI25="I 20.9"),"да",IF(AND(AI25="I 25.9"),"да","нет"))))</f>
        <v>нет</v>
      </c>
      <c r="AI91" s="472"/>
      <c r="AJ91" s="472"/>
      <c r="AK91" s="471" t="str">
        <f>IF(AND(AM18="+"),"да",IF(AND(AM21="+"),"да","нет"))</f>
        <v>да</v>
      </c>
      <c r="AL91" s="472"/>
      <c r="AM91" s="472"/>
    </row>
    <row r="92" spans="1:39" ht="13.15" customHeight="1" x14ac:dyDescent="0.2">
      <c r="A92" s="474" t="s">
        <v>201</v>
      </c>
      <c r="B92" s="474"/>
      <c r="C92" s="474"/>
      <c r="D92" s="474"/>
      <c r="E92" s="474"/>
      <c r="F92" s="474"/>
      <c r="G92" s="474"/>
      <c r="H92" s="474"/>
      <c r="I92" s="474"/>
      <c r="J92" s="474"/>
      <c r="K92" s="437">
        <v>19</v>
      </c>
      <c r="L92" s="182"/>
      <c r="M92" s="182"/>
      <c r="N92" s="471" t="s">
        <v>15</v>
      </c>
      <c r="O92" s="472"/>
      <c r="P92" s="472"/>
      <c r="Q92" s="471" t="s">
        <v>15</v>
      </c>
      <c r="R92" s="472"/>
      <c r="S92" s="472"/>
      <c r="U92" s="539" t="s">
        <v>326</v>
      </c>
      <c r="V92" s="435"/>
      <c r="W92" s="435"/>
      <c r="X92" s="435"/>
      <c r="Y92" s="435"/>
      <c r="Z92" s="435"/>
      <c r="AA92" s="435"/>
      <c r="AB92" s="435"/>
      <c r="AC92" s="435"/>
      <c r="AD92" s="435"/>
      <c r="AE92" s="538" t="s">
        <v>291</v>
      </c>
      <c r="AF92" s="436"/>
      <c r="AG92" s="436"/>
      <c r="AH92" s="471" t="str">
        <f ca="1">IF(AND(AC25="I 11.9"),"да",IF(AND(Z24="I 67.9"),"да","нет"))</f>
        <v>нет</v>
      </c>
      <c r="AI92" s="472"/>
      <c r="AJ92" s="472"/>
      <c r="AK92" s="471" t="str">
        <f>IF(AND(AM18="+"),"да",IF(AND(AM21="+"),"да","нет"))</f>
        <v>да</v>
      </c>
      <c r="AL92" s="472"/>
      <c r="AM92" s="472"/>
    </row>
    <row r="93" spans="1:39" ht="13.15" customHeight="1" x14ac:dyDescent="0.2">
      <c r="A93" s="474" t="s">
        <v>202</v>
      </c>
      <c r="B93" s="474"/>
      <c r="C93" s="474"/>
      <c r="D93" s="474"/>
      <c r="E93" s="474"/>
      <c r="F93" s="474"/>
      <c r="G93" s="474"/>
      <c r="H93" s="474"/>
      <c r="I93" s="474"/>
      <c r="J93" s="474"/>
      <c r="K93" s="437">
        <v>20</v>
      </c>
      <c r="L93" s="182"/>
      <c r="M93" s="182"/>
      <c r="N93" s="471" t="s">
        <v>15</v>
      </c>
      <c r="O93" s="472"/>
      <c r="P93" s="472"/>
      <c r="Q93" s="471" t="s">
        <v>15</v>
      </c>
      <c r="R93" s="472"/>
      <c r="S93" s="472"/>
      <c r="U93" s="539" t="s">
        <v>258</v>
      </c>
      <c r="V93" s="539"/>
      <c r="W93" s="539"/>
      <c r="X93" s="539"/>
      <c r="Y93" s="539"/>
      <c r="Z93" s="539"/>
      <c r="AA93" s="539"/>
      <c r="AB93" s="539"/>
      <c r="AC93" s="539"/>
      <c r="AD93" s="539"/>
      <c r="AE93" s="538" t="s">
        <v>292</v>
      </c>
      <c r="AF93" s="436"/>
      <c r="AG93" s="436"/>
      <c r="AH93" s="471" t="str">
        <f>IF(AND(AI25="I 20.9"),"да",IF(AND(AI25="I 25.9"),"да","нет"))</f>
        <v>нет</v>
      </c>
      <c r="AI93" s="472"/>
      <c r="AJ93" s="472"/>
      <c r="AK93" s="471" t="str">
        <f>AK91</f>
        <v>да</v>
      </c>
      <c r="AL93" s="472"/>
      <c r="AM93" s="472"/>
    </row>
    <row r="94" spans="1:39" ht="13.15" customHeight="1" x14ac:dyDescent="0.2">
      <c r="A94" s="474" t="s">
        <v>203</v>
      </c>
      <c r="B94" s="474"/>
      <c r="C94" s="474"/>
      <c r="D94" s="474"/>
      <c r="E94" s="474"/>
      <c r="F94" s="474"/>
      <c r="G94" s="474"/>
      <c r="H94" s="474"/>
      <c r="I94" s="474"/>
      <c r="J94" s="474"/>
      <c r="K94" s="437">
        <v>21</v>
      </c>
      <c r="L94" s="182"/>
      <c r="M94" s="182"/>
      <c r="N94" s="471" t="s">
        <v>15</v>
      </c>
      <c r="O94" s="472"/>
      <c r="P94" s="472"/>
      <c r="Q94" s="471" t="s">
        <v>15</v>
      </c>
      <c r="R94" s="472"/>
      <c r="S94" s="472"/>
      <c r="U94" s="539" t="s">
        <v>325</v>
      </c>
      <c r="V94" s="480"/>
      <c r="W94" s="480"/>
      <c r="X94" s="480"/>
      <c r="Y94" s="480"/>
      <c r="Z94" s="480"/>
      <c r="AA94" s="480"/>
      <c r="AB94" s="480"/>
      <c r="AC94" s="480"/>
      <c r="AD94" s="480"/>
      <c r="AE94" s="538" t="s">
        <v>293</v>
      </c>
      <c r="AF94" s="436"/>
      <c r="AG94" s="436"/>
      <c r="AH94" s="471" t="str">
        <f>IF(AND(AI25="I 20.9"),"да","нет")</f>
        <v>нет</v>
      </c>
      <c r="AI94" s="472"/>
      <c r="AJ94" s="472"/>
      <c r="AK94" s="471" t="s">
        <v>15</v>
      </c>
      <c r="AL94" s="472"/>
      <c r="AM94" s="472"/>
    </row>
    <row r="95" spans="1:39" ht="13.15" customHeight="1" x14ac:dyDescent="0.2">
      <c r="A95" s="474" t="s">
        <v>204</v>
      </c>
      <c r="B95" s="474"/>
      <c r="C95" s="474"/>
      <c r="D95" s="474"/>
      <c r="E95" s="474"/>
      <c r="F95" s="474"/>
      <c r="G95" s="474"/>
      <c r="H95" s="474"/>
      <c r="I95" s="474"/>
      <c r="J95" s="474"/>
      <c r="K95" s="437">
        <v>22</v>
      </c>
      <c r="L95" s="182"/>
      <c r="M95" s="182"/>
      <c r="N95" s="471" t="s">
        <v>15</v>
      </c>
      <c r="O95" s="472"/>
      <c r="P95" s="472"/>
      <c r="Q95" s="471" t="s">
        <v>15</v>
      </c>
      <c r="R95" s="472"/>
      <c r="S95" s="472"/>
      <c r="U95" s="539" t="s">
        <v>259</v>
      </c>
      <c r="V95" s="480"/>
      <c r="W95" s="480"/>
      <c r="X95" s="480"/>
      <c r="Y95" s="480"/>
      <c r="Z95" s="480"/>
      <c r="AA95" s="480"/>
      <c r="AB95" s="480"/>
      <c r="AC95" s="480"/>
      <c r="AD95" s="480"/>
      <c r="AE95" s="538" t="s">
        <v>294</v>
      </c>
      <c r="AF95" s="436"/>
      <c r="AG95" s="436"/>
      <c r="AH95" s="471" t="s">
        <v>15</v>
      </c>
      <c r="AI95" s="472"/>
      <c r="AJ95" s="472"/>
      <c r="AK95" s="471" t="s">
        <v>15</v>
      </c>
      <c r="AL95" s="472"/>
      <c r="AM95" s="472"/>
    </row>
    <row r="96" spans="1:39" ht="13.15" customHeight="1" x14ac:dyDescent="0.2">
      <c r="A96" s="474" t="s">
        <v>210</v>
      </c>
      <c r="B96" s="474"/>
      <c r="C96" s="474"/>
      <c r="D96" s="474"/>
      <c r="E96" s="474"/>
      <c r="F96" s="474"/>
      <c r="G96" s="474"/>
      <c r="H96" s="474"/>
      <c r="I96" s="474"/>
      <c r="J96" s="474"/>
      <c r="K96" s="437">
        <v>23</v>
      </c>
      <c r="L96" s="182"/>
      <c r="M96" s="182"/>
      <c r="N96" s="471" t="s">
        <v>15</v>
      </c>
      <c r="O96" s="472"/>
      <c r="P96" s="472"/>
      <c r="Q96" s="471" t="s">
        <v>15</v>
      </c>
      <c r="R96" s="472"/>
      <c r="S96" s="472"/>
      <c r="U96" s="539" t="s">
        <v>260</v>
      </c>
      <c r="V96" s="480"/>
      <c r="W96" s="480"/>
      <c r="X96" s="480"/>
      <c r="Y96" s="480"/>
      <c r="Z96" s="480"/>
      <c r="AA96" s="480"/>
      <c r="AB96" s="480"/>
      <c r="AC96" s="480"/>
      <c r="AD96" s="480"/>
      <c r="AE96" s="538" t="s">
        <v>295</v>
      </c>
      <c r="AF96" s="436"/>
      <c r="AG96" s="436"/>
      <c r="AH96" s="471" t="str">
        <f>IF(AND(AI25="I 25.9"),"да","нет")</f>
        <v>нет</v>
      </c>
      <c r="AI96" s="472"/>
      <c r="AJ96" s="472"/>
      <c r="AK96" s="471" t="str">
        <f>AH93</f>
        <v>нет</v>
      </c>
      <c r="AL96" s="472"/>
      <c r="AM96" s="472"/>
    </row>
    <row r="97" spans="1:39" ht="13.15" customHeight="1" x14ac:dyDescent="0.2">
      <c r="A97" s="487" t="s">
        <v>211</v>
      </c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U97" s="539" t="s">
        <v>261</v>
      </c>
      <c r="V97" s="480"/>
      <c r="W97" s="480"/>
      <c r="X97" s="480"/>
      <c r="Y97" s="480"/>
      <c r="Z97" s="480"/>
      <c r="AA97" s="480"/>
      <c r="AB97" s="480"/>
      <c r="AC97" s="480"/>
      <c r="AD97" s="480"/>
      <c r="AE97" s="538" t="s">
        <v>296</v>
      </c>
      <c r="AF97" s="436"/>
      <c r="AG97" s="436"/>
      <c r="AH97" s="471" t="s">
        <v>15</v>
      </c>
      <c r="AI97" s="472"/>
      <c r="AJ97" s="472"/>
      <c r="AK97" s="471" t="s">
        <v>15</v>
      </c>
      <c r="AL97" s="472"/>
      <c r="AM97" s="472"/>
    </row>
    <row r="98" spans="1:39" ht="13.15" customHeight="1" x14ac:dyDescent="0.2">
      <c r="A98" s="488"/>
      <c r="B98" s="488"/>
      <c r="C98" s="488"/>
      <c r="D98" s="488"/>
      <c r="E98" s="488"/>
      <c r="F98" s="488"/>
      <c r="G98" s="488"/>
      <c r="H98" s="488"/>
      <c r="I98" s="488"/>
      <c r="J98" s="488"/>
      <c r="K98" s="488"/>
      <c r="L98" s="488"/>
      <c r="M98" s="488"/>
      <c r="N98" s="488"/>
      <c r="O98" s="488"/>
      <c r="P98" s="488"/>
      <c r="Q98" s="488"/>
      <c r="R98" s="488"/>
      <c r="S98" s="488"/>
      <c r="U98" s="539" t="s">
        <v>262</v>
      </c>
      <c r="V98" s="480"/>
      <c r="W98" s="480"/>
      <c r="X98" s="480"/>
      <c r="Y98" s="480"/>
      <c r="Z98" s="480"/>
      <c r="AA98" s="480"/>
      <c r="AB98" s="480"/>
      <c r="AC98" s="480"/>
      <c r="AD98" s="480"/>
      <c r="AE98" s="538" t="s">
        <v>297</v>
      </c>
      <c r="AF98" s="436"/>
      <c r="AG98" s="436"/>
      <c r="AH98" s="471" t="str">
        <f ca="1">IF(AND(Z24="I 67.9"),"да","нет")</f>
        <v>нет</v>
      </c>
      <c r="AI98" s="472"/>
      <c r="AJ98" s="472"/>
      <c r="AK98" s="471" t="str">
        <f>AK91</f>
        <v>да</v>
      </c>
      <c r="AL98" s="472"/>
      <c r="AM98" s="472"/>
    </row>
    <row r="99" spans="1:39" ht="13.15" customHeight="1" x14ac:dyDescent="0.2">
      <c r="A99" s="474" t="s">
        <v>212</v>
      </c>
      <c r="B99" s="474"/>
      <c r="C99" s="474"/>
      <c r="D99" s="474"/>
      <c r="E99" s="474"/>
      <c r="F99" s="474"/>
      <c r="G99" s="474"/>
      <c r="H99" s="474"/>
      <c r="I99" s="474"/>
      <c r="J99" s="474"/>
      <c r="K99" s="437">
        <v>1</v>
      </c>
      <c r="L99" s="182"/>
      <c r="M99" s="182"/>
      <c r="N99" s="471" t="s">
        <v>15</v>
      </c>
      <c r="O99" s="472"/>
      <c r="P99" s="472"/>
      <c r="Q99" s="471" t="str">
        <f ca="1">IF(AND(Z24="I 67.9"),"да","нет")</f>
        <v>нет</v>
      </c>
      <c r="R99" s="472"/>
      <c r="S99" s="472"/>
      <c r="U99" s="539" t="s">
        <v>327</v>
      </c>
      <c r="V99" s="480"/>
      <c r="W99" s="480"/>
      <c r="X99" s="480"/>
      <c r="Y99" s="480"/>
      <c r="Z99" s="480"/>
      <c r="AA99" s="480"/>
      <c r="AB99" s="480"/>
      <c r="AC99" s="480"/>
      <c r="AD99" s="480"/>
      <c r="AE99" s="538" t="s">
        <v>298</v>
      </c>
      <c r="AF99" s="436"/>
      <c r="AG99" s="436"/>
      <c r="AH99" s="471" t="s">
        <v>15</v>
      </c>
      <c r="AI99" s="472"/>
      <c r="AJ99" s="472"/>
      <c r="AK99" s="471" t="str">
        <f ca="1">AH98</f>
        <v>нет</v>
      </c>
      <c r="AL99" s="472"/>
      <c r="AM99" s="472"/>
    </row>
    <row r="100" spans="1:39" ht="13.15" customHeight="1" x14ac:dyDescent="0.2">
      <c r="A100" s="484" t="s">
        <v>202</v>
      </c>
      <c r="B100" s="485"/>
      <c r="C100" s="485"/>
      <c r="D100" s="485"/>
      <c r="E100" s="485"/>
      <c r="F100" s="485"/>
      <c r="G100" s="485"/>
      <c r="H100" s="485"/>
      <c r="I100" s="485"/>
      <c r="J100" s="486"/>
      <c r="K100" s="437">
        <v>2</v>
      </c>
      <c r="L100" s="182"/>
      <c r="M100" s="182"/>
      <c r="N100" s="471" t="s">
        <v>15</v>
      </c>
      <c r="O100" s="472"/>
      <c r="P100" s="472"/>
      <c r="Q100" s="471" t="str">
        <f>IF(AND(W25="K 29.9"),"да","нет")</f>
        <v>нет</v>
      </c>
      <c r="R100" s="472"/>
      <c r="S100" s="472"/>
      <c r="U100" s="539" t="s">
        <v>263</v>
      </c>
      <c r="V100" s="480"/>
      <c r="W100" s="480"/>
      <c r="X100" s="480"/>
      <c r="Y100" s="480"/>
      <c r="Z100" s="480"/>
      <c r="AA100" s="480"/>
      <c r="AB100" s="480"/>
      <c r="AC100" s="480"/>
      <c r="AD100" s="480"/>
      <c r="AE100" s="538" t="s">
        <v>299</v>
      </c>
      <c r="AF100" s="436"/>
      <c r="AG100" s="436"/>
      <c r="AH100" s="471" t="s">
        <v>15</v>
      </c>
      <c r="AI100" s="472"/>
      <c r="AJ100" s="472"/>
      <c r="AK100" s="471" t="s">
        <v>15</v>
      </c>
      <c r="AL100" s="472"/>
      <c r="AM100" s="472"/>
    </row>
    <row r="101" spans="1:39" ht="13.15" customHeight="1" x14ac:dyDescent="0.2">
      <c r="A101" s="484" t="s">
        <v>213</v>
      </c>
      <c r="B101" s="485"/>
      <c r="C101" s="485"/>
      <c r="D101" s="485"/>
      <c r="E101" s="485"/>
      <c r="F101" s="485"/>
      <c r="G101" s="485"/>
      <c r="H101" s="485"/>
      <c r="I101" s="485"/>
      <c r="J101" s="486"/>
      <c r="K101" s="437">
        <v>3</v>
      </c>
      <c r="L101" s="182"/>
      <c r="M101" s="182"/>
      <c r="N101" s="471" t="s">
        <v>15</v>
      </c>
      <c r="O101" s="472"/>
      <c r="P101" s="472"/>
      <c r="Q101" s="471" t="str">
        <f ca="1">IF(AND(W24="M 54.2"),"да",IF(AND(Z24="M 54.6"),"да","нет"))</f>
        <v>нет</v>
      </c>
      <c r="R101" s="472"/>
      <c r="S101" s="472"/>
      <c r="U101" s="539" t="s">
        <v>264</v>
      </c>
      <c r="V101" s="480"/>
      <c r="W101" s="480"/>
      <c r="X101" s="480"/>
      <c r="Y101" s="480"/>
      <c r="Z101" s="480"/>
      <c r="AA101" s="480"/>
      <c r="AB101" s="480"/>
      <c r="AC101" s="480"/>
      <c r="AD101" s="480"/>
      <c r="AE101" s="538" t="s">
        <v>300</v>
      </c>
      <c r="AF101" s="436"/>
      <c r="AG101" s="436"/>
      <c r="AH101" s="471" t="str">
        <f>IF(AND(AC24="J 42.9"),"да","нет")</f>
        <v>нет</v>
      </c>
      <c r="AI101" s="472"/>
      <c r="AJ101" s="472"/>
      <c r="AK101" s="471" t="str">
        <f>IF(AND(AM16="+"),"да","нет")</f>
        <v>нет</v>
      </c>
      <c r="AL101" s="472"/>
      <c r="AM101" s="472"/>
    </row>
    <row r="102" spans="1:39" ht="13.15" customHeight="1" x14ac:dyDescent="0.2">
      <c r="A102" s="484" t="s">
        <v>214</v>
      </c>
      <c r="B102" s="485"/>
      <c r="C102" s="485"/>
      <c r="D102" s="485"/>
      <c r="E102" s="485"/>
      <c r="F102" s="485"/>
      <c r="G102" s="485"/>
      <c r="H102" s="485"/>
      <c r="I102" s="485"/>
      <c r="J102" s="486"/>
      <c r="K102" s="437">
        <v>4</v>
      </c>
      <c r="L102" s="182"/>
      <c r="M102" s="182"/>
      <c r="N102" s="471" t="s">
        <v>15</v>
      </c>
      <c r="O102" s="472"/>
      <c r="P102" s="472"/>
      <c r="Q102" s="471" t="str">
        <f>Q89</f>
        <v>нет</v>
      </c>
      <c r="R102" s="472"/>
      <c r="S102" s="472"/>
      <c r="U102" s="539" t="s">
        <v>328</v>
      </c>
      <c r="V102" s="480"/>
      <c r="W102" s="480"/>
      <c r="X102" s="480"/>
      <c r="Y102" s="480"/>
      <c r="Z102" s="480"/>
      <c r="AA102" s="480"/>
      <c r="AB102" s="480"/>
      <c r="AC102" s="480"/>
      <c r="AD102" s="480"/>
      <c r="AE102" s="538" t="s">
        <v>301</v>
      </c>
      <c r="AF102" s="436"/>
      <c r="AG102" s="436"/>
      <c r="AH102" s="471" t="str">
        <f>AH101</f>
        <v>нет</v>
      </c>
      <c r="AI102" s="472"/>
      <c r="AJ102" s="472"/>
      <c r="AK102" s="471" t="s">
        <v>15</v>
      </c>
      <c r="AL102" s="472"/>
      <c r="AM102" s="472"/>
    </row>
    <row r="103" spans="1:39" ht="13.15" customHeight="1" x14ac:dyDescent="0.2">
      <c r="A103" s="484" t="s">
        <v>215</v>
      </c>
      <c r="B103" s="485"/>
      <c r="C103" s="485"/>
      <c r="D103" s="485"/>
      <c r="E103" s="485"/>
      <c r="F103" s="485"/>
      <c r="G103" s="485"/>
      <c r="H103" s="485"/>
      <c r="I103" s="485"/>
      <c r="J103" s="486"/>
      <c r="K103" s="437">
        <v>5</v>
      </c>
      <c r="L103" s="182"/>
      <c r="M103" s="182"/>
      <c r="N103" s="471" t="s">
        <v>15</v>
      </c>
      <c r="O103" s="472"/>
      <c r="P103" s="472"/>
      <c r="Q103" s="471" t="str">
        <f>Q88</f>
        <v>нет</v>
      </c>
      <c r="R103" s="472"/>
      <c r="S103" s="472"/>
      <c r="U103" s="539" t="s">
        <v>265</v>
      </c>
      <c r="V103" s="480"/>
      <c r="W103" s="480"/>
      <c r="X103" s="480"/>
      <c r="Y103" s="480"/>
      <c r="Z103" s="480"/>
      <c r="AA103" s="480"/>
      <c r="AB103" s="480"/>
      <c r="AC103" s="480"/>
      <c r="AD103" s="480"/>
      <c r="AE103" s="538" t="s">
        <v>302</v>
      </c>
      <c r="AF103" s="436"/>
      <c r="AG103" s="436"/>
      <c r="AH103" s="471" t="s">
        <v>15</v>
      </c>
      <c r="AI103" s="472"/>
      <c r="AJ103" s="472"/>
      <c r="AK103" s="471" t="str">
        <f>AK101</f>
        <v>нет</v>
      </c>
      <c r="AL103" s="472"/>
      <c r="AM103" s="472"/>
    </row>
    <row r="104" spans="1:39" ht="13.15" customHeight="1" x14ac:dyDescent="0.2">
      <c r="A104" s="484" t="s">
        <v>203</v>
      </c>
      <c r="B104" s="485"/>
      <c r="C104" s="485"/>
      <c r="D104" s="485"/>
      <c r="E104" s="485"/>
      <c r="F104" s="485"/>
      <c r="G104" s="485"/>
      <c r="H104" s="485"/>
      <c r="I104" s="485"/>
      <c r="J104" s="486"/>
      <c r="K104" s="437">
        <v>6</v>
      </c>
      <c r="L104" s="182"/>
      <c r="M104" s="182"/>
      <c r="N104" s="471" t="s">
        <v>15</v>
      </c>
      <c r="O104" s="472"/>
      <c r="P104" s="472"/>
      <c r="Q104" s="471" t="str">
        <f>Q88</f>
        <v>нет</v>
      </c>
      <c r="R104" s="472"/>
      <c r="S104" s="472"/>
      <c r="U104" s="539" t="s">
        <v>266</v>
      </c>
      <c r="V104" s="480"/>
      <c r="W104" s="480"/>
      <c r="X104" s="480"/>
      <c r="Y104" s="480"/>
      <c r="Z104" s="480"/>
      <c r="AA104" s="480"/>
      <c r="AB104" s="480"/>
      <c r="AC104" s="480"/>
      <c r="AD104" s="480"/>
      <c r="AE104" s="538" t="s">
        <v>303</v>
      </c>
      <c r="AF104" s="436"/>
      <c r="AG104" s="436"/>
      <c r="AH104" s="471" t="str">
        <f ca="1">IF(AND(Z24="K 29.9"),"да",IF(AND(Z25="K 81.9"),"да",IF(AND(AF25="K 31.4"),"да","нет")))</f>
        <v>нет</v>
      </c>
      <c r="AI104" s="472"/>
      <c r="AJ104" s="472"/>
      <c r="AK104" s="471" t="s">
        <v>14</v>
      </c>
      <c r="AL104" s="472"/>
      <c r="AM104" s="472"/>
    </row>
    <row r="105" spans="1:39" ht="13.15" customHeight="1" x14ac:dyDescent="0.2">
      <c r="A105" s="484" t="s">
        <v>204</v>
      </c>
      <c r="B105" s="485"/>
      <c r="C105" s="485"/>
      <c r="D105" s="485"/>
      <c r="E105" s="485"/>
      <c r="F105" s="485"/>
      <c r="G105" s="485"/>
      <c r="H105" s="485"/>
      <c r="I105" s="485"/>
      <c r="J105" s="486"/>
      <c r="K105" s="437">
        <v>7</v>
      </c>
      <c r="L105" s="182"/>
      <c r="M105" s="182"/>
      <c r="N105" s="471" t="s">
        <v>15</v>
      </c>
      <c r="O105" s="472"/>
      <c r="P105" s="472"/>
      <c r="Q105" s="471" t="str">
        <f>IF(AND(AM19="+"),"да","нет")</f>
        <v>да</v>
      </c>
      <c r="R105" s="472"/>
      <c r="S105" s="472"/>
      <c r="U105" s="539" t="s">
        <v>267</v>
      </c>
      <c r="V105" s="480"/>
      <c r="W105" s="480"/>
      <c r="X105" s="480"/>
      <c r="Y105" s="480"/>
      <c r="Z105" s="480"/>
      <c r="AA105" s="480"/>
      <c r="AB105" s="480"/>
      <c r="AC105" s="480"/>
      <c r="AD105" s="480"/>
      <c r="AE105" s="538" t="s">
        <v>304</v>
      </c>
      <c r="AF105" s="436"/>
      <c r="AG105" s="436"/>
      <c r="AH105" s="471" t="str">
        <f ca="1">IF(AND(Z24="K 29.9"),"да",IF(AND(AF25="K 31.4"),"да","нет"))</f>
        <v>нет</v>
      </c>
      <c r="AI105" s="472"/>
      <c r="AJ105" s="472"/>
      <c r="AK105" s="471" t="str">
        <f>AK104</f>
        <v>да</v>
      </c>
      <c r="AL105" s="472"/>
      <c r="AM105" s="472"/>
    </row>
    <row r="106" spans="1:39" ht="13.15" customHeight="1" x14ac:dyDescent="0.2">
      <c r="A106" s="484" t="s">
        <v>216</v>
      </c>
      <c r="B106" s="485"/>
      <c r="C106" s="485"/>
      <c r="D106" s="485"/>
      <c r="E106" s="485"/>
      <c r="F106" s="485"/>
      <c r="G106" s="485"/>
      <c r="H106" s="485"/>
      <c r="I106" s="485"/>
      <c r="J106" s="486"/>
      <c r="K106" s="437">
        <v>8</v>
      </c>
      <c r="L106" s="182"/>
      <c r="M106" s="182"/>
      <c r="N106" s="471" t="s">
        <v>15</v>
      </c>
      <c r="O106" s="472"/>
      <c r="P106" s="472"/>
      <c r="Q106" s="471" t="str">
        <f>Q81</f>
        <v>нет</v>
      </c>
      <c r="R106" s="472"/>
      <c r="S106" s="472"/>
      <c r="U106" s="539" t="s">
        <v>268</v>
      </c>
      <c r="V106" s="480"/>
      <c r="W106" s="480"/>
      <c r="X106" s="480"/>
      <c r="Y106" s="480"/>
      <c r="Z106" s="480"/>
      <c r="AA106" s="480"/>
      <c r="AB106" s="480"/>
      <c r="AC106" s="480"/>
      <c r="AD106" s="480"/>
      <c r="AE106" s="538" t="s">
        <v>305</v>
      </c>
      <c r="AF106" s="436"/>
      <c r="AG106" s="436"/>
      <c r="AH106" s="471" t="s">
        <v>15</v>
      </c>
      <c r="AI106" s="472"/>
      <c r="AJ106" s="472"/>
      <c r="AK106" s="471" t="s">
        <v>15</v>
      </c>
      <c r="AL106" s="472"/>
      <c r="AM106" s="472"/>
    </row>
    <row r="107" spans="1:39" ht="13.15" customHeight="1" x14ac:dyDescent="0.2">
      <c r="A107" s="484" t="s">
        <v>205</v>
      </c>
      <c r="B107" s="485"/>
      <c r="C107" s="485"/>
      <c r="D107" s="485"/>
      <c r="E107" s="485"/>
      <c r="F107" s="485"/>
      <c r="G107" s="485"/>
      <c r="H107" s="485"/>
      <c r="I107" s="485"/>
      <c r="J107" s="486"/>
      <c r="K107" s="437">
        <v>9</v>
      </c>
      <c r="L107" s="182"/>
      <c r="M107" s="182"/>
      <c r="N107" s="471" t="s">
        <v>15</v>
      </c>
      <c r="O107" s="472"/>
      <c r="P107" s="472"/>
      <c r="Q107" s="471" t="str">
        <f>IF(AND(AM20="+"),"да","нет")</f>
        <v>нет</v>
      </c>
      <c r="R107" s="472"/>
      <c r="S107" s="472"/>
      <c r="U107" s="539" t="s">
        <v>270</v>
      </c>
      <c r="V107" s="480"/>
      <c r="W107" s="480"/>
      <c r="X107" s="480"/>
      <c r="Y107" s="480"/>
      <c r="Z107" s="480"/>
      <c r="AA107" s="480"/>
      <c r="AB107" s="480"/>
      <c r="AC107" s="480"/>
      <c r="AD107" s="480"/>
      <c r="AE107" s="538" t="s">
        <v>306</v>
      </c>
      <c r="AF107" s="436"/>
      <c r="AG107" s="436"/>
      <c r="AH107" s="471" t="str">
        <f ca="1">IF(AND(AF25="N 30.9"),"да",IF(AND(AF25="N 11.9"),"да","нет"))</f>
        <v>да</v>
      </c>
      <c r="AI107" s="472"/>
      <c r="AJ107" s="472"/>
      <c r="AK107" s="471" t="s">
        <v>14</v>
      </c>
      <c r="AL107" s="472"/>
      <c r="AM107" s="472"/>
    </row>
    <row r="108" spans="1:39" ht="13.15" customHeight="1" x14ac:dyDescent="0.2">
      <c r="A108" s="484" t="s">
        <v>217</v>
      </c>
      <c r="B108" s="485"/>
      <c r="C108" s="485"/>
      <c r="D108" s="485"/>
      <c r="E108" s="485"/>
      <c r="F108" s="485"/>
      <c r="G108" s="485"/>
      <c r="H108" s="485"/>
      <c r="I108" s="485"/>
      <c r="J108" s="486"/>
      <c r="K108" s="437">
        <v>10</v>
      </c>
      <c r="L108" s="182"/>
      <c r="M108" s="182"/>
      <c r="N108" s="471" t="s">
        <v>15</v>
      </c>
      <c r="O108" s="472"/>
      <c r="P108" s="472"/>
      <c r="Q108" s="471" t="str">
        <f ca="1">Q91</f>
        <v>нет</v>
      </c>
      <c r="R108" s="472"/>
      <c r="S108" s="472"/>
      <c r="U108" s="539" t="s">
        <v>329</v>
      </c>
      <c r="V108" s="480"/>
      <c r="W108" s="480"/>
      <c r="X108" s="480"/>
      <c r="Y108" s="480"/>
      <c r="Z108" s="480"/>
      <c r="AA108" s="480"/>
      <c r="AB108" s="480"/>
      <c r="AC108" s="480"/>
      <c r="AD108" s="480"/>
      <c r="AE108" s="538" t="s">
        <v>307</v>
      </c>
      <c r="AF108" s="436"/>
      <c r="AG108" s="436"/>
      <c r="AH108" s="471" t="s">
        <v>15</v>
      </c>
      <c r="AI108" s="472"/>
      <c r="AJ108" s="472"/>
      <c r="AK108" s="471" t="str">
        <f ca="1">N89</f>
        <v>нет</v>
      </c>
      <c r="AL108" s="472"/>
      <c r="AM108" s="472"/>
    </row>
    <row r="109" spans="1:39" ht="13.15" customHeight="1" x14ac:dyDescent="0.2">
      <c r="A109" s="489" t="s">
        <v>269</v>
      </c>
      <c r="B109" s="358"/>
      <c r="C109" s="358"/>
      <c r="D109" s="358"/>
      <c r="E109" s="358"/>
      <c r="F109" s="358"/>
      <c r="G109" s="358"/>
      <c r="H109" s="358"/>
      <c r="I109" s="358"/>
      <c r="J109" s="490"/>
      <c r="K109" s="491">
        <v>11</v>
      </c>
      <c r="L109" s="277"/>
      <c r="M109" s="492"/>
      <c r="N109" s="496" t="s">
        <v>15</v>
      </c>
      <c r="O109" s="497"/>
      <c r="P109" s="498"/>
      <c r="Q109" s="496" t="s">
        <v>15</v>
      </c>
      <c r="R109" s="497"/>
      <c r="S109" s="498"/>
      <c r="U109" s="539" t="s">
        <v>271</v>
      </c>
      <c r="V109" s="480"/>
      <c r="W109" s="480"/>
      <c r="X109" s="480"/>
      <c r="Y109" s="480"/>
      <c r="Z109" s="480"/>
      <c r="AA109" s="480"/>
      <c r="AB109" s="480"/>
      <c r="AC109" s="480"/>
      <c r="AD109" s="480"/>
      <c r="AE109" s="538" t="s">
        <v>308</v>
      </c>
      <c r="AF109" s="436"/>
      <c r="AG109" s="436"/>
      <c r="AH109" s="471" t="s">
        <v>15</v>
      </c>
      <c r="AI109" s="472"/>
      <c r="AJ109" s="472"/>
      <c r="AK109" s="471" t="str">
        <f ca="1">Q83</f>
        <v>да</v>
      </c>
      <c r="AL109" s="472"/>
      <c r="AM109" s="472"/>
    </row>
    <row r="110" spans="1:39" ht="13.15" customHeight="1" x14ac:dyDescent="0.2">
      <c r="A110" s="374"/>
      <c r="B110" s="375"/>
      <c r="C110" s="375"/>
      <c r="D110" s="375"/>
      <c r="E110" s="375"/>
      <c r="F110" s="375"/>
      <c r="G110" s="375"/>
      <c r="H110" s="375"/>
      <c r="I110" s="375"/>
      <c r="J110" s="376"/>
      <c r="K110" s="493"/>
      <c r="L110" s="494"/>
      <c r="M110" s="495"/>
      <c r="N110" s="493"/>
      <c r="O110" s="494"/>
      <c r="P110" s="495"/>
      <c r="Q110" s="499"/>
      <c r="R110" s="500"/>
      <c r="S110" s="501"/>
      <c r="U110" s="539" t="s">
        <v>272</v>
      </c>
      <c r="V110" s="480"/>
      <c r="W110" s="480"/>
      <c r="X110" s="480"/>
      <c r="Y110" s="480"/>
      <c r="Z110" s="480"/>
      <c r="AA110" s="480"/>
      <c r="AB110" s="480"/>
      <c r="AC110" s="480"/>
      <c r="AD110" s="480"/>
      <c r="AE110" s="538" t="s">
        <v>309</v>
      </c>
      <c r="AF110" s="436"/>
      <c r="AG110" s="436"/>
      <c r="AH110" s="471" t="s">
        <v>15</v>
      </c>
      <c r="AI110" s="472"/>
      <c r="AJ110" s="472"/>
      <c r="AK110" s="471" t="str">
        <f>N81</f>
        <v>да</v>
      </c>
      <c r="AL110" s="472"/>
      <c r="AM110" s="472"/>
    </row>
    <row r="111" spans="1:39" ht="13.15" customHeight="1" x14ac:dyDescent="0.2">
      <c r="A111" s="484" t="s">
        <v>218</v>
      </c>
      <c r="B111" s="485"/>
      <c r="C111" s="485"/>
      <c r="D111" s="485"/>
      <c r="E111" s="485"/>
      <c r="F111" s="485"/>
      <c r="G111" s="485"/>
      <c r="H111" s="485"/>
      <c r="I111" s="485"/>
      <c r="J111" s="486"/>
      <c r="K111" s="437">
        <v>12</v>
      </c>
      <c r="L111" s="182"/>
      <c r="M111" s="182"/>
      <c r="N111" s="471" t="s">
        <v>15</v>
      </c>
      <c r="O111" s="472"/>
      <c r="P111" s="472"/>
      <c r="Q111" s="471" t="str">
        <f>IF(AND(AG23="II"),"да","нет")</f>
        <v>нет</v>
      </c>
      <c r="R111" s="472"/>
      <c r="S111" s="472"/>
      <c r="U111" s="539" t="s">
        <v>273</v>
      </c>
      <c r="V111" s="480"/>
      <c r="W111" s="480"/>
      <c r="X111" s="480"/>
      <c r="Y111" s="480"/>
      <c r="Z111" s="480"/>
      <c r="AA111" s="480"/>
      <c r="AB111" s="480"/>
      <c r="AC111" s="480"/>
      <c r="AD111" s="480"/>
      <c r="AE111" s="538"/>
      <c r="AF111" s="436"/>
      <c r="AG111" s="436"/>
      <c r="AH111" s="471" t="s">
        <v>15</v>
      </c>
      <c r="AI111" s="472"/>
      <c r="AJ111" s="472"/>
      <c r="AK111" s="471" t="s">
        <v>15</v>
      </c>
      <c r="AL111" s="472"/>
      <c r="AM111" s="472"/>
    </row>
    <row r="112" spans="1:39" ht="13.15" customHeight="1" x14ac:dyDescent="0.2">
      <c r="A112" s="484" t="s">
        <v>219</v>
      </c>
      <c r="B112" s="485"/>
      <c r="C112" s="485"/>
      <c r="D112" s="485"/>
      <c r="E112" s="485"/>
      <c r="F112" s="485"/>
      <c r="G112" s="485"/>
      <c r="H112" s="485"/>
      <c r="I112" s="485"/>
      <c r="J112" s="486"/>
      <c r="K112" s="437">
        <v>13</v>
      </c>
      <c r="L112" s="182"/>
      <c r="M112" s="182"/>
      <c r="N112" s="471" t="s">
        <v>15</v>
      </c>
      <c r="O112" s="472"/>
      <c r="P112" s="472"/>
      <c r="Q112" s="471" t="str">
        <f>IF(AND(AM16="+"),"да","нет")</f>
        <v>нет</v>
      </c>
      <c r="R112" s="472"/>
      <c r="S112" s="472"/>
      <c r="U112" s="542" t="s">
        <v>330</v>
      </c>
      <c r="V112" s="543"/>
      <c r="W112" s="128"/>
      <c r="X112" s="545" t="s">
        <v>331</v>
      </c>
      <c r="Y112" s="153"/>
      <c r="Z112" s="153"/>
      <c r="AA112" s="153"/>
      <c r="AB112" s="153"/>
      <c r="AC112" s="153"/>
      <c r="AD112" s="153"/>
      <c r="AE112" s="153"/>
      <c r="AF112" s="153"/>
      <c r="AG112" s="153"/>
      <c r="AH112" s="153"/>
      <c r="AI112" s="153"/>
      <c r="AJ112" s="153"/>
    </row>
    <row r="113" spans="14:39" ht="13.5" thickBot="1" x14ac:dyDescent="0.25">
      <c r="N113" s="530"/>
      <c r="O113" s="524"/>
      <c r="P113" s="524"/>
      <c r="U113" s="544"/>
      <c r="V113" s="544"/>
      <c r="W113" s="128"/>
      <c r="X113" s="1"/>
      <c r="Y113" s="3"/>
      <c r="Z113" s="3"/>
      <c r="AA113" s="3"/>
      <c r="AB113" s="3"/>
      <c r="AC113" s="3"/>
      <c r="AD113" s="3"/>
      <c r="AE113" s="130"/>
      <c r="AF113" s="130"/>
      <c r="AG113" s="130"/>
      <c r="AH113" s="3"/>
      <c r="AI113" s="3"/>
      <c r="AJ113" s="3"/>
      <c r="AK113" s="3"/>
      <c r="AL113" s="3"/>
      <c r="AM113" s="3"/>
    </row>
    <row r="114" spans="14:39" x14ac:dyDescent="0.2">
      <c r="U114" s="129"/>
      <c r="V114" s="128"/>
      <c r="W114" s="128"/>
      <c r="X114" s="1"/>
      <c r="Y114" s="1"/>
      <c r="Z114" s="1"/>
      <c r="AA114" s="1"/>
      <c r="AB114" s="1"/>
      <c r="AC114" s="1"/>
      <c r="AD114" s="1"/>
      <c r="AE114" s="128"/>
      <c r="AF114" s="128"/>
      <c r="AG114" s="128"/>
      <c r="AH114" s="1"/>
      <c r="AI114" s="1"/>
    </row>
    <row r="115" spans="14:39" x14ac:dyDescent="0.2">
      <c r="U115" s="129"/>
      <c r="V115" s="128"/>
      <c r="W115" s="128"/>
      <c r="X115" s="1"/>
      <c r="Y115" s="1"/>
      <c r="Z115" s="1"/>
      <c r="AA115" s="1"/>
      <c r="AB115" s="1"/>
      <c r="AC115" s="1"/>
      <c r="AD115" s="1"/>
      <c r="AE115" s="128"/>
      <c r="AF115" s="128"/>
      <c r="AG115" s="128"/>
      <c r="AH115" s="1"/>
      <c r="AI115" s="1"/>
    </row>
    <row r="116" spans="14:39" ht="13.15" customHeight="1" x14ac:dyDescent="0.2">
      <c r="U116" s="129"/>
      <c r="V116" s="128"/>
      <c r="W116" s="128"/>
      <c r="X116" s="1"/>
      <c r="Y116" s="1"/>
      <c r="Z116" s="1"/>
      <c r="AA116" s="1"/>
      <c r="AB116" s="1"/>
      <c r="AC116" s="1"/>
      <c r="AD116" s="1"/>
      <c r="AE116" s="128"/>
      <c r="AF116" s="128"/>
      <c r="AG116" s="128"/>
      <c r="AH116" s="1"/>
      <c r="AI116" s="1"/>
    </row>
    <row r="117" spans="14:39" x14ac:dyDescent="0.2">
      <c r="U117" s="127"/>
      <c r="V117" s="128"/>
      <c r="W117" s="128"/>
      <c r="X117" s="1"/>
      <c r="Y117" s="1"/>
      <c r="Z117" s="1"/>
      <c r="AA117" s="1"/>
      <c r="AB117" s="1"/>
      <c r="AC117" s="1"/>
      <c r="AD117" s="1"/>
      <c r="AE117" s="128"/>
      <c r="AF117" s="128"/>
      <c r="AG117" s="128"/>
      <c r="AH117" s="1"/>
      <c r="AI117" s="1"/>
    </row>
    <row r="118" spans="14:39" x14ac:dyDescent="0.2">
      <c r="U118" s="129"/>
      <c r="V118" s="128"/>
      <c r="W118" s="128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4:39" x14ac:dyDescent="0.2">
      <c r="U119" s="129"/>
      <c r="V119" s="128"/>
      <c r="W119" s="128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4:39" x14ac:dyDescent="0.2">
      <c r="U120" s="129"/>
      <c r="V120" s="128"/>
      <c r="W120" s="128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4:39" x14ac:dyDescent="0.2">
      <c r="U121" s="133"/>
      <c r="V121" s="128"/>
      <c r="W121" s="128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4:39" x14ac:dyDescent="0.2"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4:39" x14ac:dyDescent="0.2"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4:39" x14ac:dyDescent="0.2"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4:39" x14ac:dyDescent="0.2"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4:39" x14ac:dyDescent="0.2"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4:39" x14ac:dyDescent="0.2"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4:39" x14ac:dyDescent="0.2"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</sheetData>
  <mergeCells count="560">
    <mergeCell ref="N113:P113"/>
    <mergeCell ref="AH107:AJ107"/>
    <mergeCell ref="AH109:AJ109"/>
    <mergeCell ref="AH110:AJ110"/>
    <mergeCell ref="AK100:AM100"/>
    <mergeCell ref="AK101:AM101"/>
    <mergeCell ref="AK103:AM103"/>
    <mergeCell ref="AK104:AM104"/>
    <mergeCell ref="AK106:AM106"/>
    <mergeCell ref="AK107:AM107"/>
    <mergeCell ref="AK109:AM109"/>
    <mergeCell ref="AK110:AM110"/>
    <mergeCell ref="AH100:AJ100"/>
    <mergeCell ref="AH101:AJ101"/>
    <mergeCell ref="AH103:AJ103"/>
    <mergeCell ref="AH104:AJ104"/>
    <mergeCell ref="AH106:AJ106"/>
    <mergeCell ref="U111:AD111"/>
    <mergeCell ref="AE111:AG111"/>
    <mergeCell ref="AH111:AJ111"/>
    <mergeCell ref="AK111:AM111"/>
    <mergeCell ref="U109:AD109"/>
    <mergeCell ref="U101:AD101"/>
    <mergeCell ref="AE101:AG101"/>
    <mergeCell ref="U94:AD94"/>
    <mergeCell ref="AE94:AG94"/>
    <mergeCell ref="U95:AD95"/>
    <mergeCell ref="AE95:AG95"/>
    <mergeCell ref="U97:AD97"/>
    <mergeCell ref="AE97:AG97"/>
    <mergeCell ref="U112:V113"/>
    <mergeCell ref="X112:AJ112"/>
    <mergeCell ref="U83:AD83"/>
    <mergeCell ref="AE83:AG83"/>
    <mergeCell ref="U74:AD74"/>
    <mergeCell ref="U76:AD76"/>
    <mergeCell ref="U77:AD77"/>
    <mergeCell ref="AE74:AG74"/>
    <mergeCell ref="AE76:AG76"/>
    <mergeCell ref="AE77:AG77"/>
    <mergeCell ref="AE89:AG89"/>
    <mergeCell ref="U85:AD85"/>
    <mergeCell ref="AE85:AG85"/>
    <mergeCell ref="U86:AD86"/>
    <mergeCell ref="AE86:AG86"/>
    <mergeCell ref="U88:AD88"/>
    <mergeCell ref="AE88:AG88"/>
    <mergeCell ref="AE68:AG68"/>
    <mergeCell ref="AE70:AG70"/>
    <mergeCell ref="AE71:AG71"/>
    <mergeCell ref="U71:AD71"/>
    <mergeCell ref="AH91:AJ91"/>
    <mergeCell ref="AH92:AJ92"/>
    <mergeCell ref="AH94:AJ94"/>
    <mergeCell ref="AH95:AJ95"/>
    <mergeCell ref="AH67:AJ67"/>
    <mergeCell ref="AH68:AJ68"/>
    <mergeCell ref="AH70:AJ70"/>
    <mergeCell ref="AH71:AJ71"/>
    <mergeCell ref="AH73:AJ73"/>
    <mergeCell ref="U93:AD93"/>
    <mergeCell ref="AE93:AG93"/>
    <mergeCell ref="U84:AD84"/>
    <mergeCell ref="AE84:AG84"/>
    <mergeCell ref="U75:AD75"/>
    <mergeCell ref="AE75:AG75"/>
    <mergeCell ref="U68:AD68"/>
    <mergeCell ref="U80:AD80"/>
    <mergeCell ref="AE80:AG80"/>
    <mergeCell ref="U82:AD82"/>
    <mergeCell ref="AE82:AG82"/>
    <mergeCell ref="AE109:AG109"/>
    <mergeCell ref="U110:AD110"/>
    <mergeCell ref="AE110:AG110"/>
    <mergeCell ref="U105:AD105"/>
    <mergeCell ref="AE105:AG105"/>
    <mergeCell ref="AH105:AJ105"/>
    <mergeCell ref="AK105:AM105"/>
    <mergeCell ref="U108:AD108"/>
    <mergeCell ref="AE108:AG108"/>
    <mergeCell ref="AH108:AJ108"/>
    <mergeCell ref="AK108:AM108"/>
    <mergeCell ref="U106:AD106"/>
    <mergeCell ref="AE106:AG106"/>
    <mergeCell ref="U107:AD107"/>
    <mergeCell ref="AE107:AG107"/>
    <mergeCell ref="U102:AD102"/>
    <mergeCell ref="AE102:AG102"/>
    <mergeCell ref="AH102:AJ102"/>
    <mergeCell ref="AK102:AM102"/>
    <mergeCell ref="U103:AD103"/>
    <mergeCell ref="AE103:AG103"/>
    <mergeCell ref="U104:AD104"/>
    <mergeCell ref="AE104:AG104"/>
    <mergeCell ref="U96:AD96"/>
    <mergeCell ref="AE96:AG96"/>
    <mergeCell ref="AH96:AJ96"/>
    <mergeCell ref="AK96:AM96"/>
    <mergeCell ref="U99:AD99"/>
    <mergeCell ref="AE99:AG99"/>
    <mergeCell ref="AH99:AJ99"/>
    <mergeCell ref="AK99:AM99"/>
    <mergeCell ref="AK97:AM97"/>
    <mergeCell ref="AK98:AM98"/>
    <mergeCell ref="AH98:AJ98"/>
    <mergeCell ref="U98:AD98"/>
    <mergeCell ref="AH97:AJ97"/>
    <mergeCell ref="AE98:AG98"/>
    <mergeCell ref="U100:AD100"/>
    <mergeCell ref="AE100:AG100"/>
    <mergeCell ref="AK93:AM93"/>
    <mergeCell ref="AK91:AM91"/>
    <mergeCell ref="AK92:AM92"/>
    <mergeCell ref="AK94:AM94"/>
    <mergeCell ref="AK95:AM95"/>
    <mergeCell ref="U87:AD87"/>
    <mergeCell ref="AE87:AG87"/>
    <mergeCell ref="AH87:AJ87"/>
    <mergeCell ref="AK87:AM87"/>
    <mergeCell ref="U90:AD90"/>
    <mergeCell ref="AE90:AG90"/>
    <mergeCell ref="AH90:AJ90"/>
    <mergeCell ref="AK90:AM90"/>
    <mergeCell ref="AK88:AM88"/>
    <mergeCell ref="AK89:AM89"/>
    <mergeCell ref="AH89:AJ89"/>
    <mergeCell ref="U89:AD89"/>
    <mergeCell ref="AH88:AJ88"/>
    <mergeCell ref="AH93:AJ93"/>
    <mergeCell ref="U91:AD91"/>
    <mergeCell ref="AE91:AG91"/>
    <mergeCell ref="U92:AD92"/>
    <mergeCell ref="AE92:AG92"/>
    <mergeCell ref="AK84:AM84"/>
    <mergeCell ref="AK82:AM82"/>
    <mergeCell ref="AK83:AM83"/>
    <mergeCell ref="AK85:AM85"/>
    <mergeCell ref="AK86:AM86"/>
    <mergeCell ref="U78:AD78"/>
    <mergeCell ref="AE78:AG78"/>
    <mergeCell ref="AH78:AJ78"/>
    <mergeCell ref="AK78:AM78"/>
    <mergeCell ref="U81:AD81"/>
    <mergeCell ref="AE81:AG81"/>
    <mergeCell ref="AH81:AJ81"/>
    <mergeCell ref="AK81:AM81"/>
    <mergeCell ref="AK79:AM79"/>
    <mergeCell ref="AK80:AM80"/>
    <mergeCell ref="U79:AD79"/>
    <mergeCell ref="AE79:AG79"/>
    <mergeCell ref="AH82:AJ82"/>
    <mergeCell ref="AH83:AJ83"/>
    <mergeCell ref="AH85:AJ85"/>
    <mergeCell ref="AH86:AJ86"/>
    <mergeCell ref="AH79:AJ79"/>
    <mergeCell ref="AH80:AJ80"/>
    <mergeCell ref="AH84:AJ84"/>
    <mergeCell ref="AK75:AM75"/>
    <mergeCell ref="AK73:AM73"/>
    <mergeCell ref="AK74:AM74"/>
    <mergeCell ref="AK76:AM76"/>
    <mergeCell ref="AK77:AM77"/>
    <mergeCell ref="U69:AD69"/>
    <mergeCell ref="AE69:AG69"/>
    <mergeCell ref="AH69:AJ69"/>
    <mergeCell ref="AK69:AM69"/>
    <mergeCell ref="U72:AD72"/>
    <mergeCell ref="AE72:AG72"/>
    <mergeCell ref="AH72:AJ72"/>
    <mergeCell ref="AK72:AM72"/>
    <mergeCell ref="U70:AD70"/>
    <mergeCell ref="AK70:AM70"/>
    <mergeCell ref="AK71:AM71"/>
    <mergeCell ref="AH74:AJ74"/>
    <mergeCell ref="AH76:AJ76"/>
    <mergeCell ref="AH77:AJ77"/>
    <mergeCell ref="AH75:AJ75"/>
    <mergeCell ref="U64:AD65"/>
    <mergeCell ref="AE64:AG65"/>
    <mergeCell ref="AH64:AJ65"/>
    <mergeCell ref="AK64:AM65"/>
    <mergeCell ref="U66:AD66"/>
    <mergeCell ref="AE66:AG66"/>
    <mergeCell ref="AH66:AJ66"/>
    <mergeCell ref="AK66:AM66"/>
    <mergeCell ref="U67:AD67"/>
    <mergeCell ref="AK67:AM67"/>
    <mergeCell ref="AE67:AG67"/>
    <mergeCell ref="AK68:AM68"/>
    <mergeCell ref="A55:J58"/>
    <mergeCell ref="K55:M58"/>
    <mergeCell ref="N55:P58"/>
    <mergeCell ref="Q55:S58"/>
    <mergeCell ref="U55:AI55"/>
    <mergeCell ref="AJ55:AK55"/>
    <mergeCell ref="AL55:AM55"/>
    <mergeCell ref="U56:AI56"/>
    <mergeCell ref="AJ56:AK56"/>
    <mergeCell ref="AL56:AM56"/>
    <mergeCell ref="U57:AI57"/>
    <mergeCell ref="AJ57:AK57"/>
    <mergeCell ref="AL57:AM57"/>
    <mergeCell ref="A65:J68"/>
    <mergeCell ref="K65:M68"/>
    <mergeCell ref="N65:P68"/>
    <mergeCell ref="Q65:S68"/>
    <mergeCell ref="U62:AI62"/>
    <mergeCell ref="AJ62:AK62"/>
    <mergeCell ref="AL62:AM62"/>
    <mergeCell ref="U63:AI63"/>
    <mergeCell ref="AJ63:AK63"/>
    <mergeCell ref="AL63:AM63"/>
    <mergeCell ref="U59:AI59"/>
    <mergeCell ref="AJ59:AK59"/>
    <mergeCell ref="AL59:AM59"/>
    <mergeCell ref="U60:AI60"/>
    <mergeCell ref="AJ60:AK60"/>
    <mergeCell ref="AL60:AM60"/>
    <mergeCell ref="U61:AI61"/>
    <mergeCell ref="AJ61:AK61"/>
    <mergeCell ref="AL61:AM61"/>
    <mergeCell ref="U53:AI53"/>
    <mergeCell ref="AJ53:AK53"/>
    <mergeCell ref="AL53:AM53"/>
    <mergeCell ref="U54:AI54"/>
    <mergeCell ref="AJ54:AK54"/>
    <mergeCell ref="AL54:AM54"/>
    <mergeCell ref="U58:AI58"/>
    <mergeCell ref="AJ58:AK58"/>
    <mergeCell ref="AL58:AM58"/>
    <mergeCell ref="A111:J111"/>
    <mergeCell ref="K111:M111"/>
    <mergeCell ref="N111:P111"/>
    <mergeCell ref="Q111:S111"/>
    <mergeCell ref="A112:J112"/>
    <mergeCell ref="K112:M112"/>
    <mergeCell ref="N112:P112"/>
    <mergeCell ref="Q112:S112"/>
    <mergeCell ref="U47:AM47"/>
    <mergeCell ref="AL48:AM48"/>
    <mergeCell ref="U48:AI48"/>
    <mergeCell ref="AJ48:AK48"/>
    <mergeCell ref="U49:AI49"/>
    <mergeCell ref="AJ49:AK49"/>
    <mergeCell ref="AL49:AM49"/>
    <mergeCell ref="U50:AI50"/>
    <mergeCell ref="AJ50:AK50"/>
    <mergeCell ref="AL50:AM50"/>
    <mergeCell ref="U51:AI51"/>
    <mergeCell ref="AJ51:AK51"/>
    <mergeCell ref="AL51:AM51"/>
    <mergeCell ref="U52:AI52"/>
    <mergeCell ref="AJ52:AK52"/>
    <mergeCell ref="AL52:AM52"/>
    <mergeCell ref="A107:J107"/>
    <mergeCell ref="K107:M107"/>
    <mergeCell ref="N107:P107"/>
    <mergeCell ref="Q107:S107"/>
    <mergeCell ref="A108:J108"/>
    <mergeCell ref="K108:M108"/>
    <mergeCell ref="N108:P108"/>
    <mergeCell ref="Q108:S108"/>
    <mergeCell ref="A109:J110"/>
    <mergeCell ref="K109:M110"/>
    <mergeCell ref="N109:P110"/>
    <mergeCell ref="Q109:S110"/>
    <mergeCell ref="A104:J104"/>
    <mergeCell ref="K104:M104"/>
    <mergeCell ref="N104:P104"/>
    <mergeCell ref="Q104:S104"/>
    <mergeCell ref="A105:J105"/>
    <mergeCell ref="K105:M105"/>
    <mergeCell ref="N105:P105"/>
    <mergeCell ref="Q105:S105"/>
    <mergeCell ref="A106:J106"/>
    <mergeCell ref="K106:M106"/>
    <mergeCell ref="N106:P106"/>
    <mergeCell ref="Q106:S106"/>
    <mergeCell ref="A101:J101"/>
    <mergeCell ref="K101:M101"/>
    <mergeCell ref="N101:P101"/>
    <mergeCell ref="Q101:S101"/>
    <mergeCell ref="A102:J102"/>
    <mergeCell ref="K102:M102"/>
    <mergeCell ref="N102:P102"/>
    <mergeCell ref="Q102:S102"/>
    <mergeCell ref="A103:J103"/>
    <mergeCell ref="K103:M103"/>
    <mergeCell ref="N103:P103"/>
    <mergeCell ref="Q103:S103"/>
    <mergeCell ref="A99:J99"/>
    <mergeCell ref="K99:M99"/>
    <mergeCell ref="N99:P99"/>
    <mergeCell ref="Q99:S99"/>
    <mergeCell ref="A100:J100"/>
    <mergeCell ref="K100:M100"/>
    <mergeCell ref="N100:P100"/>
    <mergeCell ref="Q100:S100"/>
    <mergeCell ref="A97:S98"/>
    <mergeCell ref="A94:J94"/>
    <mergeCell ref="K94:M94"/>
    <mergeCell ref="N94:P94"/>
    <mergeCell ref="Q94:S94"/>
    <mergeCell ref="A95:J95"/>
    <mergeCell ref="K95:M95"/>
    <mergeCell ref="N95:P95"/>
    <mergeCell ref="Q95:S95"/>
    <mergeCell ref="A96:J96"/>
    <mergeCell ref="K96:M96"/>
    <mergeCell ref="N96:P96"/>
    <mergeCell ref="Q96:S96"/>
    <mergeCell ref="A91:J91"/>
    <mergeCell ref="K91:M91"/>
    <mergeCell ref="N91:P91"/>
    <mergeCell ref="Q91:S91"/>
    <mergeCell ref="A92:J92"/>
    <mergeCell ref="K92:M92"/>
    <mergeCell ref="N92:P92"/>
    <mergeCell ref="Q92:S92"/>
    <mergeCell ref="A93:J93"/>
    <mergeCell ref="K93:M93"/>
    <mergeCell ref="N93:P93"/>
    <mergeCell ref="Q93:S93"/>
    <mergeCell ref="A88:J88"/>
    <mergeCell ref="K88:M88"/>
    <mergeCell ref="N88:P88"/>
    <mergeCell ref="Q88:S88"/>
    <mergeCell ref="A89:J89"/>
    <mergeCell ref="K89:M89"/>
    <mergeCell ref="N89:P89"/>
    <mergeCell ref="Q89:S89"/>
    <mergeCell ref="A90:J90"/>
    <mergeCell ref="K90:M90"/>
    <mergeCell ref="N90:P90"/>
    <mergeCell ref="Q90:S90"/>
    <mergeCell ref="A85:J85"/>
    <mergeCell ref="K85:M85"/>
    <mergeCell ref="N85:P85"/>
    <mergeCell ref="Q85:S85"/>
    <mergeCell ref="A86:J86"/>
    <mergeCell ref="K86:M86"/>
    <mergeCell ref="N86:P86"/>
    <mergeCell ref="Q86:S86"/>
    <mergeCell ref="A87:J87"/>
    <mergeCell ref="K87:M87"/>
    <mergeCell ref="N87:P87"/>
    <mergeCell ref="Q87:S87"/>
    <mergeCell ref="A82:J82"/>
    <mergeCell ref="K82:M82"/>
    <mergeCell ref="N82:P82"/>
    <mergeCell ref="Q82:S82"/>
    <mergeCell ref="A83:J83"/>
    <mergeCell ref="K83:M83"/>
    <mergeCell ref="N83:P83"/>
    <mergeCell ref="Q83:S83"/>
    <mergeCell ref="A84:J84"/>
    <mergeCell ref="K84:M84"/>
    <mergeCell ref="N84:P84"/>
    <mergeCell ref="Q84:S84"/>
    <mergeCell ref="A79:J79"/>
    <mergeCell ref="K79:M79"/>
    <mergeCell ref="N79:P79"/>
    <mergeCell ref="Q79:S79"/>
    <mergeCell ref="A80:J80"/>
    <mergeCell ref="K80:M80"/>
    <mergeCell ref="N80:P80"/>
    <mergeCell ref="Q80:S80"/>
    <mergeCell ref="A81:J81"/>
    <mergeCell ref="K81:M81"/>
    <mergeCell ref="N81:P81"/>
    <mergeCell ref="Q81:S81"/>
    <mergeCell ref="A76:J76"/>
    <mergeCell ref="K76:M76"/>
    <mergeCell ref="N76:P76"/>
    <mergeCell ref="Q76:S76"/>
    <mergeCell ref="A77:J77"/>
    <mergeCell ref="K77:M77"/>
    <mergeCell ref="N77:P77"/>
    <mergeCell ref="Q77:S77"/>
    <mergeCell ref="A78:J78"/>
    <mergeCell ref="K78:M78"/>
    <mergeCell ref="N78:P78"/>
    <mergeCell ref="Q78:S78"/>
    <mergeCell ref="A69:S69"/>
    <mergeCell ref="A70:J73"/>
    <mergeCell ref="K70:M73"/>
    <mergeCell ref="N70:P73"/>
    <mergeCell ref="Q70:S73"/>
    <mergeCell ref="A74:J75"/>
    <mergeCell ref="K74:M75"/>
    <mergeCell ref="N74:P75"/>
    <mergeCell ref="Q74:S75"/>
    <mergeCell ref="Q63:S63"/>
    <mergeCell ref="Q64:S64"/>
    <mergeCell ref="Q50:S50"/>
    <mergeCell ref="Q48:S49"/>
    <mergeCell ref="N48:P49"/>
    <mergeCell ref="K48:M49"/>
    <mergeCell ref="Q51:S51"/>
    <mergeCell ref="Q52:S52"/>
    <mergeCell ref="Q53:S53"/>
    <mergeCell ref="Q54:S54"/>
    <mergeCell ref="Q59:S59"/>
    <mergeCell ref="Q60:S60"/>
    <mergeCell ref="Q61:S61"/>
    <mergeCell ref="Q62:S62"/>
    <mergeCell ref="N54:P54"/>
    <mergeCell ref="N59:P59"/>
    <mergeCell ref="N60:P60"/>
    <mergeCell ref="N61:P61"/>
    <mergeCell ref="N62:P62"/>
    <mergeCell ref="N63:P63"/>
    <mergeCell ref="N64:P64"/>
    <mergeCell ref="K62:M62"/>
    <mergeCell ref="K63:M63"/>
    <mergeCell ref="K64:M64"/>
    <mergeCell ref="A47:S47"/>
    <mergeCell ref="K50:M50"/>
    <mergeCell ref="K51:M51"/>
    <mergeCell ref="K52:M52"/>
    <mergeCell ref="K53:M53"/>
    <mergeCell ref="K54:M54"/>
    <mergeCell ref="K59:M59"/>
    <mergeCell ref="K60:M60"/>
    <mergeCell ref="K61:M61"/>
    <mergeCell ref="N50:P50"/>
    <mergeCell ref="N51:P51"/>
    <mergeCell ref="N52:P52"/>
    <mergeCell ref="N53:P53"/>
    <mergeCell ref="A50:J50"/>
    <mergeCell ref="A51:J51"/>
    <mergeCell ref="A52:J52"/>
    <mergeCell ref="A53:J53"/>
    <mergeCell ref="A54:J54"/>
    <mergeCell ref="A59:J59"/>
    <mergeCell ref="A60:J60"/>
    <mergeCell ref="A61:J61"/>
    <mergeCell ref="A62:J62"/>
    <mergeCell ref="A63:J63"/>
    <mergeCell ref="A64:J64"/>
    <mergeCell ref="A48:J49"/>
    <mergeCell ref="U45:V45"/>
    <mergeCell ref="AA46:AD46"/>
    <mergeCell ref="U24:V25"/>
    <mergeCell ref="V36:AM36"/>
    <mergeCell ref="U37:AM38"/>
    <mergeCell ref="V39:AM39"/>
    <mergeCell ref="V40:AM40"/>
    <mergeCell ref="U41:AM44"/>
    <mergeCell ref="U33:V33"/>
    <mergeCell ref="U34:AM35"/>
    <mergeCell ref="W26:AD26"/>
    <mergeCell ref="W30:AD30"/>
    <mergeCell ref="U31:AM32"/>
    <mergeCell ref="W33:AM33"/>
    <mergeCell ref="AF24:AH24"/>
    <mergeCell ref="U27:AM28"/>
    <mergeCell ref="U29:AM29"/>
    <mergeCell ref="C45:H45"/>
    <mergeCell ref="J33:S34"/>
    <mergeCell ref="A35:I36"/>
    <mergeCell ref="AA23:AF23"/>
    <mergeCell ref="AG23:AH23"/>
    <mergeCell ref="U26:V26"/>
    <mergeCell ref="U15:Z15"/>
    <mergeCell ref="U16:Z17"/>
    <mergeCell ref="U18:Z18"/>
    <mergeCell ref="U19:Z20"/>
    <mergeCell ref="U21:Z21"/>
    <mergeCell ref="U22:Z23"/>
    <mergeCell ref="AA15:AM15"/>
    <mergeCell ref="AA16:AL16"/>
    <mergeCell ref="AA17:AL17"/>
    <mergeCell ref="AA18:AL18"/>
    <mergeCell ref="AA19:AL19"/>
    <mergeCell ref="AA20:AL20"/>
    <mergeCell ref="AA21:AL21"/>
    <mergeCell ref="AI23:AK23"/>
    <mergeCell ref="J35:S36"/>
    <mergeCell ref="A37:S41"/>
    <mergeCell ref="A44:B44"/>
    <mergeCell ref="C44:S44"/>
    <mergeCell ref="A33:I34"/>
    <mergeCell ref="A45:B45"/>
    <mergeCell ref="A30:I31"/>
    <mergeCell ref="A32:I32"/>
    <mergeCell ref="J27:L27"/>
    <mergeCell ref="M27:N27"/>
    <mergeCell ref="O27:S27"/>
    <mergeCell ref="J32:L32"/>
    <mergeCell ref="M32:N32"/>
    <mergeCell ref="P32:S32"/>
    <mergeCell ref="J31:L31"/>
    <mergeCell ref="J22:S24"/>
    <mergeCell ref="A21:I24"/>
    <mergeCell ref="A25:I26"/>
    <mergeCell ref="J25:S26"/>
    <mergeCell ref="P21:R21"/>
    <mergeCell ref="M21:O21"/>
    <mergeCell ref="A27:I29"/>
    <mergeCell ref="J28:S29"/>
    <mergeCell ref="J30:L30"/>
    <mergeCell ref="J21:L21"/>
    <mergeCell ref="A20:I20"/>
    <mergeCell ref="L15:S15"/>
    <mergeCell ref="B16:C16"/>
    <mergeCell ref="D16:E16"/>
    <mergeCell ref="G16:I16"/>
    <mergeCell ref="J16:P16"/>
    <mergeCell ref="Q16:R16"/>
    <mergeCell ref="C14:D14"/>
    <mergeCell ref="E14:G14"/>
    <mergeCell ref="H14:O14"/>
    <mergeCell ref="P14:R14"/>
    <mergeCell ref="A15:B15"/>
    <mergeCell ref="K18:L18"/>
    <mergeCell ref="M18:N18"/>
    <mergeCell ref="O18:R18"/>
    <mergeCell ref="A19:S19"/>
    <mergeCell ref="J20:S20"/>
    <mergeCell ref="V9:AM9"/>
    <mergeCell ref="B10:S10"/>
    <mergeCell ref="V10:AM10"/>
    <mergeCell ref="A4:J4"/>
    <mergeCell ref="U4:AD4"/>
    <mergeCell ref="A7:S7"/>
    <mergeCell ref="U7:AM7"/>
    <mergeCell ref="U12:AM14"/>
    <mergeCell ref="A18:B18"/>
    <mergeCell ref="C18:D18"/>
    <mergeCell ref="E18:F18"/>
    <mergeCell ref="G18:H18"/>
    <mergeCell ref="I18:J18"/>
    <mergeCell ref="C15:D15"/>
    <mergeCell ref="F15:G15"/>
    <mergeCell ref="H15:K15"/>
    <mergeCell ref="L1:S1"/>
    <mergeCell ref="AF1:AM1"/>
    <mergeCell ref="A2:S2"/>
    <mergeCell ref="U2:AM2"/>
    <mergeCell ref="A3:S3"/>
    <mergeCell ref="U3:AM3"/>
    <mergeCell ref="M31:O31"/>
    <mergeCell ref="M30:O30"/>
    <mergeCell ref="W25:Y25"/>
    <mergeCell ref="Z25:AB25"/>
    <mergeCell ref="AC25:AE25"/>
    <mergeCell ref="AC24:AE24"/>
    <mergeCell ref="AI25:AK25"/>
    <mergeCell ref="AL25:AM25"/>
    <mergeCell ref="A11:B11"/>
    <mergeCell ref="C11:I11"/>
    <mergeCell ref="V11:AA11"/>
    <mergeCell ref="Z24:AB24"/>
    <mergeCell ref="AF25:AH25"/>
    <mergeCell ref="W24:Y24"/>
    <mergeCell ref="AI24:AK24"/>
    <mergeCell ref="B8:S8"/>
    <mergeCell ref="V8:AM8"/>
    <mergeCell ref="B9:S9"/>
  </mergeCells>
  <pageMargins left="0.23622047244094491" right="0.23622047244094491" top="0.15748031496062992" bottom="0.15748031496062992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zoomScale="90" zoomScaleNormal="90" workbookViewId="0">
      <selection activeCell="F46" sqref="F46"/>
    </sheetView>
  </sheetViews>
  <sheetFormatPr defaultColWidth="8.85546875" defaultRowHeight="12" x14ac:dyDescent="0.2"/>
  <cols>
    <col min="1" max="16384" width="8.85546875" style="2"/>
  </cols>
  <sheetData>
    <row r="1" spans="1:24" x14ac:dyDescent="0.2">
      <c r="A1" s="123" t="s">
        <v>121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24" x14ac:dyDescent="0.2">
      <c r="A2" s="124" t="s">
        <v>122</v>
      </c>
      <c r="B2" s="122" t="s">
        <v>132</v>
      </c>
      <c r="C2" s="124" t="s">
        <v>166</v>
      </c>
      <c r="D2" s="124" t="s">
        <v>139</v>
      </c>
      <c r="E2" s="122" t="s">
        <v>141</v>
      </c>
      <c r="F2" s="122" t="s">
        <v>161</v>
      </c>
      <c r="G2" s="124" t="s">
        <v>167</v>
      </c>
      <c r="H2" s="124" t="s">
        <v>165</v>
      </c>
      <c r="I2" s="122" t="s">
        <v>163</v>
      </c>
      <c r="J2" s="124" t="s">
        <v>160</v>
      </c>
      <c r="K2" s="124" t="s">
        <v>162</v>
      </c>
    </row>
    <row r="3" spans="1:24" x14ac:dyDescent="0.2">
      <c r="A3" s="123" t="s">
        <v>123</v>
      </c>
      <c r="B3" s="124"/>
      <c r="C3" s="124"/>
      <c r="D3" s="124"/>
      <c r="E3" s="124"/>
      <c r="F3" s="122"/>
      <c r="G3" s="124"/>
      <c r="H3" s="124"/>
      <c r="I3" s="124"/>
      <c r="J3" s="124"/>
      <c r="K3" s="124"/>
    </row>
    <row r="4" spans="1:24" x14ac:dyDescent="0.2">
      <c r="A4" s="124" t="s">
        <v>124</v>
      </c>
      <c r="B4" s="124" t="s">
        <v>142</v>
      </c>
      <c r="C4" s="124" t="s">
        <v>146</v>
      </c>
      <c r="D4" s="124" t="s">
        <v>147</v>
      </c>
      <c r="E4" s="124"/>
      <c r="F4" s="122"/>
      <c r="G4" s="124"/>
      <c r="H4" s="124"/>
      <c r="I4" s="124"/>
      <c r="J4" s="124"/>
      <c r="K4" s="124"/>
    </row>
    <row r="5" spans="1:24" x14ac:dyDescent="0.2">
      <c r="A5" s="123" t="s">
        <v>125</v>
      </c>
      <c r="B5" s="124"/>
      <c r="C5" s="124"/>
      <c r="D5" s="124"/>
      <c r="E5" s="124"/>
      <c r="F5" s="122"/>
      <c r="G5" s="124"/>
      <c r="H5" s="124"/>
      <c r="I5" s="124"/>
      <c r="J5" s="124"/>
      <c r="K5" s="124"/>
    </row>
    <row r="6" spans="1:24" x14ac:dyDescent="0.2">
      <c r="A6" s="124" t="s">
        <v>133</v>
      </c>
      <c r="B6" s="124" t="s">
        <v>135</v>
      </c>
      <c r="C6" s="124" t="s">
        <v>148</v>
      </c>
      <c r="D6" s="124"/>
      <c r="E6" s="124"/>
      <c r="F6" s="124"/>
      <c r="G6" s="124"/>
      <c r="H6" s="124"/>
      <c r="I6" s="124"/>
      <c r="J6" s="124"/>
      <c r="K6" s="124"/>
    </row>
    <row r="7" spans="1:24" x14ac:dyDescent="0.2">
      <c r="A7" s="123" t="s">
        <v>126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24" x14ac:dyDescent="0.2">
      <c r="A8" s="122" t="s">
        <v>127</v>
      </c>
      <c r="B8" s="122" t="s">
        <v>168</v>
      </c>
      <c r="C8" s="122" t="s">
        <v>138</v>
      </c>
      <c r="D8" s="122" t="s">
        <v>144</v>
      </c>
      <c r="E8" s="122" t="s">
        <v>149</v>
      </c>
      <c r="F8" s="122" t="s">
        <v>150</v>
      </c>
      <c r="G8" s="124"/>
      <c r="H8" s="124"/>
      <c r="I8" s="124"/>
      <c r="J8" s="124"/>
      <c r="K8" s="124"/>
    </row>
    <row r="9" spans="1:24" x14ac:dyDescent="0.2">
      <c r="A9" s="123" t="s">
        <v>128</v>
      </c>
      <c r="B9" s="122"/>
      <c r="C9" s="124"/>
      <c r="D9" s="124"/>
      <c r="E9" s="124"/>
      <c r="F9" s="124"/>
      <c r="G9" s="124"/>
      <c r="H9" s="124"/>
      <c r="I9" s="124"/>
      <c r="J9" s="124"/>
      <c r="K9" s="124"/>
    </row>
    <row r="10" spans="1:24" ht="12.6" customHeight="1" x14ac:dyDescent="0.2">
      <c r="A10" s="122" t="s">
        <v>129</v>
      </c>
      <c r="B10" s="125" t="s">
        <v>134</v>
      </c>
      <c r="C10" s="125" t="s">
        <v>136</v>
      </c>
      <c r="D10" s="125" t="s">
        <v>137</v>
      </c>
      <c r="E10" s="125" t="s">
        <v>164</v>
      </c>
      <c r="F10" s="125" t="s">
        <v>140</v>
      </c>
      <c r="G10" s="124"/>
      <c r="H10" s="124"/>
      <c r="I10" s="124"/>
      <c r="J10" s="124"/>
      <c r="K10" s="124"/>
    </row>
    <row r="11" spans="1:24" x14ac:dyDescent="0.2">
      <c r="A11" s="123" t="s">
        <v>130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24" x14ac:dyDescent="0.2">
      <c r="A12" s="122" t="s">
        <v>131</v>
      </c>
      <c r="B12" s="122" t="s">
        <v>170</v>
      </c>
      <c r="C12" s="122" t="s">
        <v>143</v>
      </c>
      <c r="D12" s="122" t="s">
        <v>145</v>
      </c>
      <c r="E12" s="122" t="s">
        <v>169</v>
      </c>
      <c r="F12" s="124"/>
      <c r="G12" s="124"/>
      <c r="H12" s="124"/>
      <c r="I12" s="124"/>
      <c r="J12" s="124"/>
      <c r="K12" s="124"/>
    </row>
    <row r="13" spans="1:24" x14ac:dyDescent="0.2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</row>
    <row r="14" spans="1:24" x14ac:dyDescent="0.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24" x14ac:dyDescent="0.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</row>
    <row r="16" spans="1:24" x14ac:dyDescent="0.2">
      <c r="A16" s="124"/>
      <c r="B16" s="124">
        <v>-2</v>
      </c>
      <c r="C16" s="124">
        <v>-2</v>
      </c>
      <c r="D16" s="124">
        <v>-2</v>
      </c>
      <c r="E16" s="124">
        <v>-2</v>
      </c>
      <c r="F16" s="124">
        <v>-2</v>
      </c>
      <c r="G16" s="124"/>
      <c r="H16" s="124">
        <v>2</v>
      </c>
      <c r="I16" s="124">
        <v>2</v>
      </c>
      <c r="J16" s="124">
        <v>2</v>
      </c>
      <c r="K16" s="124">
        <v>2</v>
      </c>
      <c r="L16" s="2">
        <v>2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T16" s="2">
        <v>-1</v>
      </c>
      <c r="U16" s="2">
        <v>-1</v>
      </c>
      <c r="V16" s="2">
        <v>-1</v>
      </c>
      <c r="W16" s="2">
        <v>-1</v>
      </c>
      <c r="X16" s="2">
        <v>-1</v>
      </c>
    </row>
    <row r="17" spans="1:25" ht="12.75" x14ac:dyDescent="0.2">
      <c r="A17" s="124"/>
      <c r="B17" s="547" t="s">
        <v>346</v>
      </c>
      <c r="C17" s="522"/>
      <c r="D17" s="522"/>
      <c r="E17" s="522"/>
      <c r="F17" s="522"/>
      <c r="G17" s="124"/>
      <c r="H17" s="547" t="s">
        <v>343</v>
      </c>
      <c r="I17" s="522"/>
      <c r="J17" s="522"/>
      <c r="K17" s="522"/>
      <c r="L17" s="522"/>
      <c r="N17" s="547" t="s">
        <v>344</v>
      </c>
      <c r="O17" s="522"/>
      <c r="P17" s="522"/>
      <c r="Q17" s="522"/>
      <c r="R17" s="522"/>
      <c r="T17" s="547" t="s">
        <v>345</v>
      </c>
      <c r="U17" s="522"/>
      <c r="V17" s="522"/>
      <c r="W17" s="522"/>
      <c r="X17" s="522"/>
    </row>
    <row r="18" spans="1:25" x14ac:dyDescent="0.2">
      <c r="A18" s="138">
        <v>999</v>
      </c>
      <c r="B18" s="134">
        <v>7</v>
      </c>
      <c r="C18" s="134">
        <v>8</v>
      </c>
      <c r="D18" s="134">
        <v>9</v>
      </c>
      <c r="E18" s="134">
        <v>10</v>
      </c>
      <c r="F18" s="134">
        <v>12</v>
      </c>
      <c r="G18" s="546">
        <v>200</v>
      </c>
      <c r="H18" s="134">
        <v>13</v>
      </c>
      <c r="I18" s="134">
        <v>15</v>
      </c>
      <c r="J18" s="134">
        <v>17</v>
      </c>
      <c r="K18" s="134">
        <v>19</v>
      </c>
      <c r="L18" s="135">
        <v>22</v>
      </c>
      <c r="M18" s="138" t="s">
        <v>341</v>
      </c>
      <c r="N18" s="135">
        <v>14</v>
      </c>
      <c r="O18" s="135">
        <v>16</v>
      </c>
      <c r="P18" s="135">
        <v>19</v>
      </c>
      <c r="Q18" s="135">
        <v>22</v>
      </c>
      <c r="R18" s="135">
        <v>26</v>
      </c>
      <c r="S18" s="546" t="s">
        <v>342</v>
      </c>
      <c r="T18" s="135">
        <v>26</v>
      </c>
      <c r="U18" s="135">
        <v>30</v>
      </c>
      <c r="V18" s="135">
        <v>35</v>
      </c>
      <c r="W18" s="135">
        <v>41</v>
      </c>
      <c r="X18" s="135">
        <v>47</v>
      </c>
      <c r="Y18" s="138" t="s">
        <v>341</v>
      </c>
    </row>
    <row r="19" spans="1:25" x14ac:dyDescent="0.2">
      <c r="A19" s="138">
        <v>179</v>
      </c>
      <c r="B19" s="134">
        <v>5</v>
      </c>
      <c r="C19" s="134">
        <v>5</v>
      </c>
      <c r="D19" s="134">
        <v>6</v>
      </c>
      <c r="E19" s="134">
        <v>7</v>
      </c>
      <c r="F19" s="134">
        <v>8</v>
      </c>
      <c r="G19" s="546"/>
      <c r="H19" s="134">
        <v>9</v>
      </c>
      <c r="I19" s="134">
        <v>10</v>
      </c>
      <c r="J19" s="134">
        <v>12</v>
      </c>
      <c r="K19" s="134">
        <v>13</v>
      </c>
      <c r="L19" s="135">
        <v>16</v>
      </c>
      <c r="M19" s="138" t="s">
        <v>340</v>
      </c>
      <c r="N19" s="135">
        <v>9</v>
      </c>
      <c r="O19" s="135">
        <v>11</v>
      </c>
      <c r="P19" s="135">
        <v>13</v>
      </c>
      <c r="Q19" s="135">
        <v>15</v>
      </c>
      <c r="R19" s="135">
        <v>16</v>
      </c>
      <c r="S19" s="546"/>
      <c r="T19" s="135">
        <v>18</v>
      </c>
      <c r="U19" s="135">
        <v>21</v>
      </c>
      <c r="V19" s="135">
        <v>25</v>
      </c>
      <c r="W19" s="135">
        <v>29</v>
      </c>
      <c r="X19" s="135">
        <v>34</v>
      </c>
      <c r="Y19" s="138" t="s">
        <v>340</v>
      </c>
    </row>
    <row r="20" spans="1:25" x14ac:dyDescent="0.2">
      <c r="A20" s="138">
        <v>159</v>
      </c>
      <c r="B20" s="135">
        <v>3</v>
      </c>
      <c r="C20" s="135">
        <v>3</v>
      </c>
      <c r="D20" s="135">
        <v>4</v>
      </c>
      <c r="E20" s="135">
        <v>5</v>
      </c>
      <c r="F20" s="135">
        <v>6</v>
      </c>
      <c r="G20" s="546"/>
      <c r="H20" s="135">
        <v>6</v>
      </c>
      <c r="I20" s="135">
        <v>7</v>
      </c>
      <c r="J20" s="135">
        <v>8</v>
      </c>
      <c r="K20" s="135">
        <v>9</v>
      </c>
      <c r="L20" s="135">
        <v>11</v>
      </c>
      <c r="M20" s="138" t="s">
        <v>339</v>
      </c>
      <c r="N20" s="135">
        <v>6</v>
      </c>
      <c r="O20" s="135">
        <v>8</v>
      </c>
      <c r="P20" s="135">
        <v>9</v>
      </c>
      <c r="Q20" s="135">
        <v>11</v>
      </c>
      <c r="R20" s="135">
        <v>13</v>
      </c>
      <c r="S20" s="546"/>
      <c r="T20" s="135">
        <v>13</v>
      </c>
      <c r="U20" s="135">
        <v>15</v>
      </c>
      <c r="V20" s="135">
        <v>17</v>
      </c>
      <c r="W20" s="135">
        <v>20</v>
      </c>
      <c r="X20" s="135">
        <v>24</v>
      </c>
      <c r="Y20" s="138" t="s">
        <v>339</v>
      </c>
    </row>
    <row r="21" spans="1:25" x14ac:dyDescent="0.2">
      <c r="A21" s="138">
        <v>139</v>
      </c>
      <c r="B21" s="135">
        <v>2</v>
      </c>
      <c r="C21" s="135">
        <v>2</v>
      </c>
      <c r="D21" s="135">
        <v>3</v>
      </c>
      <c r="E21" s="135">
        <v>3</v>
      </c>
      <c r="F21" s="135">
        <v>4</v>
      </c>
      <c r="G21" s="546"/>
      <c r="H21" s="135">
        <v>4</v>
      </c>
      <c r="I21" s="135">
        <v>5</v>
      </c>
      <c r="J21" s="135">
        <v>5</v>
      </c>
      <c r="K21" s="135">
        <v>6</v>
      </c>
      <c r="L21" s="135">
        <v>7</v>
      </c>
      <c r="M21" s="138" t="s">
        <v>338</v>
      </c>
      <c r="N21" s="135">
        <v>4</v>
      </c>
      <c r="O21" s="135">
        <v>5</v>
      </c>
      <c r="P21" s="135">
        <v>6</v>
      </c>
      <c r="Q21" s="135">
        <v>7</v>
      </c>
      <c r="R21" s="135">
        <v>9</v>
      </c>
      <c r="S21" s="546"/>
      <c r="T21" s="135">
        <v>9</v>
      </c>
      <c r="U21" s="135">
        <v>10</v>
      </c>
      <c r="V21" s="135">
        <v>12</v>
      </c>
      <c r="W21" s="135">
        <v>14</v>
      </c>
      <c r="X21" s="135">
        <v>17</v>
      </c>
      <c r="Y21" s="138" t="s">
        <v>338</v>
      </c>
    </row>
    <row r="22" spans="1:25" ht="11.45" customHeight="1" x14ac:dyDescent="0.2">
      <c r="A22" s="138">
        <f>A18</f>
        <v>999</v>
      </c>
      <c r="B22" s="135">
        <v>4</v>
      </c>
      <c r="C22" s="135">
        <v>4</v>
      </c>
      <c r="D22" s="135">
        <v>5</v>
      </c>
      <c r="E22" s="135">
        <v>6</v>
      </c>
      <c r="F22" s="135">
        <v>7</v>
      </c>
      <c r="G22" s="546">
        <v>55</v>
      </c>
      <c r="H22" s="135">
        <v>8</v>
      </c>
      <c r="I22" s="135">
        <v>9</v>
      </c>
      <c r="J22" s="135">
        <v>10</v>
      </c>
      <c r="K22" s="135">
        <v>11</v>
      </c>
      <c r="L22" s="135">
        <v>13</v>
      </c>
      <c r="M22" s="138" t="s">
        <v>341</v>
      </c>
      <c r="N22" s="135">
        <v>9</v>
      </c>
      <c r="O22" s="135">
        <v>11</v>
      </c>
      <c r="P22" s="135">
        <v>13</v>
      </c>
      <c r="Q22" s="135">
        <v>15</v>
      </c>
      <c r="R22" s="135">
        <v>18</v>
      </c>
      <c r="S22" s="546" t="s">
        <v>337</v>
      </c>
      <c r="T22" s="135">
        <v>18</v>
      </c>
      <c r="U22" s="135">
        <v>21</v>
      </c>
      <c r="V22" s="135">
        <v>24</v>
      </c>
      <c r="W22" s="135">
        <v>28</v>
      </c>
      <c r="X22" s="135">
        <v>33</v>
      </c>
      <c r="Y22" s="138" t="s">
        <v>341</v>
      </c>
    </row>
    <row r="23" spans="1:25" x14ac:dyDescent="0.2">
      <c r="A23" s="138">
        <f t="shared" ref="A23:A37" si="0">A19</f>
        <v>179</v>
      </c>
      <c r="B23" s="135">
        <v>3</v>
      </c>
      <c r="C23" s="135">
        <v>3</v>
      </c>
      <c r="D23" s="135">
        <v>3</v>
      </c>
      <c r="E23" s="135">
        <v>4</v>
      </c>
      <c r="F23" s="135">
        <v>5</v>
      </c>
      <c r="G23" s="546"/>
      <c r="H23" s="135">
        <v>5</v>
      </c>
      <c r="I23" s="135">
        <v>6</v>
      </c>
      <c r="J23" s="135">
        <v>7</v>
      </c>
      <c r="K23" s="135">
        <v>8</v>
      </c>
      <c r="L23" s="135">
        <v>9</v>
      </c>
      <c r="M23" s="138" t="s">
        <v>340</v>
      </c>
      <c r="N23" s="135">
        <v>6</v>
      </c>
      <c r="O23" s="135">
        <v>7</v>
      </c>
      <c r="P23" s="135">
        <v>9</v>
      </c>
      <c r="Q23" s="135">
        <v>10</v>
      </c>
      <c r="R23" s="135">
        <v>12</v>
      </c>
      <c r="S23" s="546"/>
      <c r="T23" s="135">
        <v>12</v>
      </c>
      <c r="U23" s="135">
        <v>14</v>
      </c>
      <c r="V23" s="135">
        <v>17</v>
      </c>
      <c r="W23" s="135">
        <v>20</v>
      </c>
      <c r="X23" s="135">
        <v>24</v>
      </c>
      <c r="Y23" s="138" t="s">
        <v>340</v>
      </c>
    </row>
    <row r="24" spans="1:25" x14ac:dyDescent="0.2">
      <c r="A24" s="138">
        <f t="shared" si="0"/>
        <v>159</v>
      </c>
      <c r="B24" s="135">
        <v>2</v>
      </c>
      <c r="C24" s="135">
        <v>2</v>
      </c>
      <c r="D24" s="135">
        <v>2</v>
      </c>
      <c r="E24" s="135">
        <v>3</v>
      </c>
      <c r="F24" s="135">
        <v>3</v>
      </c>
      <c r="G24" s="546"/>
      <c r="H24" s="135">
        <v>3</v>
      </c>
      <c r="I24" s="135">
        <v>4</v>
      </c>
      <c r="J24" s="135">
        <v>5</v>
      </c>
      <c r="K24" s="135">
        <v>5</v>
      </c>
      <c r="L24" s="135">
        <v>6</v>
      </c>
      <c r="M24" s="138" t="s">
        <v>339</v>
      </c>
      <c r="N24" s="135">
        <v>4</v>
      </c>
      <c r="O24" s="135">
        <v>5</v>
      </c>
      <c r="P24" s="135">
        <v>6</v>
      </c>
      <c r="Q24" s="135">
        <v>7</v>
      </c>
      <c r="R24" s="135">
        <v>9</v>
      </c>
      <c r="S24" s="546"/>
      <c r="T24" s="135">
        <v>8</v>
      </c>
      <c r="U24" s="135">
        <v>10</v>
      </c>
      <c r="V24" s="135">
        <v>12</v>
      </c>
      <c r="W24" s="135">
        <v>14</v>
      </c>
      <c r="X24" s="135">
        <v>17</v>
      </c>
      <c r="Y24" s="138" t="s">
        <v>339</v>
      </c>
    </row>
    <row r="25" spans="1:25" x14ac:dyDescent="0.2">
      <c r="A25" s="138">
        <f t="shared" si="0"/>
        <v>139</v>
      </c>
      <c r="B25" s="135">
        <v>1</v>
      </c>
      <c r="C25" s="548">
        <v>8</v>
      </c>
      <c r="D25" s="135">
        <v>2</v>
      </c>
      <c r="E25" s="135">
        <v>2</v>
      </c>
      <c r="F25" s="135">
        <v>2</v>
      </c>
      <c r="G25" s="546"/>
      <c r="H25" s="135">
        <v>2</v>
      </c>
      <c r="I25" s="135">
        <v>3</v>
      </c>
      <c r="J25" s="135">
        <v>3</v>
      </c>
      <c r="K25" s="135">
        <v>4</v>
      </c>
      <c r="L25" s="135">
        <v>4</v>
      </c>
      <c r="M25" s="138" t="s">
        <v>338</v>
      </c>
      <c r="N25" s="135">
        <v>3</v>
      </c>
      <c r="O25" s="135">
        <v>3</v>
      </c>
      <c r="P25" s="135">
        <v>4</v>
      </c>
      <c r="Q25" s="135">
        <v>5</v>
      </c>
      <c r="R25" s="135">
        <v>6</v>
      </c>
      <c r="S25" s="546"/>
      <c r="T25" s="135">
        <v>6</v>
      </c>
      <c r="U25" s="135">
        <v>7</v>
      </c>
      <c r="V25" s="135">
        <v>8</v>
      </c>
      <c r="W25" s="135">
        <v>10</v>
      </c>
      <c r="X25" s="135">
        <v>12</v>
      </c>
      <c r="Y25" s="138" t="s">
        <v>338</v>
      </c>
    </row>
    <row r="26" spans="1:25" x14ac:dyDescent="0.2">
      <c r="A26" s="138">
        <f t="shared" si="0"/>
        <v>999</v>
      </c>
      <c r="B26" s="135">
        <v>2</v>
      </c>
      <c r="C26" s="135">
        <v>2</v>
      </c>
      <c r="D26" s="135">
        <v>3</v>
      </c>
      <c r="E26" s="135">
        <v>3</v>
      </c>
      <c r="F26" s="135">
        <v>4</v>
      </c>
      <c r="G26" s="546">
        <v>50</v>
      </c>
      <c r="H26" s="135">
        <v>4</v>
      </c>
      <c r="I26" s="135">
        <v>5</v>
      </c>
      <c r="J26" s="135">
        <v>5</v>
      </c>
      <c r="K26" s="135">
        <v>6</v>
      </c>
      <c r="L26" s="135">
        <v>7</v>
      </c>
      <c r="M26" s="138" t="s">
        <v>341</v>
      </c>
      <c r="N26" s="135">
        <v>6</v>
      </c>
      <c r="O26" s="135">
        <v>7</v>
      </c>
      <c r="P26" s="135">
        <v>8</v>
      </c>
      <c r="Q26" s="135">
        <v>10</v>
      </c>
      <c r="R26" s="135">
        <v>12</v>
      </c>
      <c r="S26" s="546" t="s">
        <v>337</v>
      </c>
      <c r="T26" s="135">
        <v>12</v>
      </c>
      <c r="U26" s="135">
        <v>13</v>
      </c>
      <c r="V26" s="135">
        <v>16</v>
      </c>
      <c r="W26" s="135">
        <v>19</v>
      </c>
      <c r="X26" s="135">
        <v>22</v>
      </c>
      <c r="Y26" s="138" t="s">
        <v>341</v>
      </c>
    </row>
    <row r="27" spans="1:25" x14ac:dyDescent="0.2">
      <c r="A27" s="138">
        <f t="shared" si="0"/>
        <v>179</v>
      </c>
      <c r="B27" s="135">
        <v>1</v>
      </c>
      <c r="C27" s="135">
        <v>2</v>
      </c>
      <c r="D27" s="135">
        <v>2</v>
      </c>
      <c r="E27" s="135">
        <v>2</v>
      </c>
      <c r="F27" s="135">
        <v>3</v>
      </c>
      <c r="G27" s="546"/>
      <c r="H27" s="135">
        <v>3</v>
      </c>
      <c r="I27" s="135">
        <v>3</v>
      </c>
      <c r="J27" s="135">
        <v>4</v>
      </c>
      <c r="K27" s="135">
        <v>4</v>
      </c>
      <c r="L27" s="135">
        <v>5</v>
      </c>
      <c r="M27" s="138" t="s">
        <v>340</v>
      </c>
      <c r="N27" s="135">
        <v>4</v>
      </c>
      <c r="O27" s="135">
        <v>5</v>
      </c>
      <c r="P27" s="135">
        <v>6</v>
      </c>
      <c r="Q27" s="135">
        <v>7</v>
      </c>
      <c r="R27" s="135">
        <v>8</v>
      </c>
      <c r="S27" s="546"/>
      <c r="T27" s="135">
        <v>8</v>
      </c>
      <c r="U27" s="135">
        <v>9</v>
      </c>
      <c r="V27" s="135">
        <v>11</v>
      </c>
      <c r="W27" s="135">
        <v>13</v>
      </c>
      <c r="X27" s="135">
        <v>16</v>
      </c>
      <c r="Y27" s="138" t="s">
        <v>340</v>
      </c>
    </row>
    <row r="28" spans="1:25" x14ac:dyDescent="0.2">
      <c r="A28" s="138">
        <f t="shared" si="0"/>
        <v>159</v>
      </c>
      <c r="B28" s="135">
        <v>1</v>
      </c>
      <c r="C28" s="135">
        <v>1</v>
      </c>
      <c r="D28" s="135">
        <v>1</v>
      </c>
      <c r="E28" s="135">
        <v>1</v>
      </c>
      <c r="F28" s="135">
        <v>2</v>
      </c>
      <c r="G28" s="546"/>
      <c r="H28" s="135">
        <v>2</v>
      </c>
      <c r="I28" s="135">
        <v>2</v>
      </c>
      <c r="J28" s="135">
        <v>2</v>
      </c>
      <c r="K28" s="135">
        <v>3</v>
      </c>
      <c r="L28" s="135">
        <v>3</v>
      </c>
      <c r="M28" s="138" t="s">
        <v>339</v>
      </c>
      <c r="N28" s="135">
        <v>3</v>
      </c>
      <c r="O28" s="135">
        <v>3</v>
      </c>
      <c r="P28" s="135">
        <v>4</v>
      </c>
      <c r="Q28" s="135">
        <v>5</v>
      </c>
      <c r="R28" s="135">
        <v>6</v>
      </c>
      <c r="S28" s="546"/>
      <c r="T28" s="135">
        <v>5</v>
      </c>
      <c r="U28" s="135">
        <v>6</v>
      </c>
      <c r="V28" s="135">
        <v>8</v>
      </c>
      <c r="W28" s="135">
        <v>9</v>
      </c>
      <c r="X28" s="135">
        <v>11</v>
      </c>
      <c r="Y28" s="138" t="s">
        <v>339</v>
      </c>
    </row>
    <row r="29" spans="1:25" x14ac:dyDescent="0.2">
      <c r="A29" s="138">
        <f t="shared" si="0"/>
        <v>139</v>
      </c>
      <c r="B29" s="135">
        <v>1</v>
      </c>
      <c r="C29" s="135">
        <v>1</v>
      </c>
      <c r="D29" s="135">
        <v>1</v>
      </c>
      <c r="E29" s="135">
        <v>1</v>
      </c>
      <c r="F29" s="135">
        <v>1</v>
      </c>
      <c r="G29" s="546"/>
      <c r="H29" s="135">
        <v>1</v>
      </c>
      <c r="I29" s="135">
        <v>1</v>
      </c>
      <c r="J29" s="135">
        <v>2</v>
      </c>
      <c r="K29" s="135">
        <v>2</v>
      </c>
      <c r="L29" s="135">
        <v>2</v>
      </c>
      <c r="M29" s="138" t="s">
        <v>338</v>
      </c>
      <c r="N29" s="135">
        <v>2</v>
      </c>
      <c r="O29" s="135">
        <v>2</v>
      </c>
      <c r="P29" s="135">
        <v>3</v>
      </c>
      <c r="Q29" s="135">
        <v>3</v>
      </c>
      <c r="R29" s="135">
        <v>4</v>
      </c>
      <c r="S29" s="546"/>
      <c r="T29" s="135">
        <v>4</v>
      </c>
      <c r="U29" s="135">
        <v>4</v>
      </c>
      <c r="V29" s="135">
        <v>5</v>
      </c>
      <c r="W29" s="135">
        <v>6</v>
      </c>
      <c r="X29" s="135">
        <v>8</v>
      </c>
      <c r="Y29" s="138" t="s">
        <v>338</v>
      </c>
    </row>
    <row r="30" spans="1:25" ht="11.45" customHeight="1" x14ac:dyDescent="0.2">
      <c r="A30" s="138">
        <f t="shared" si="0"/>
        <v>999</v>
      </c>
      <c r="B30" s="135">
        <v>1</v>
      </c>
      <c r="C30" s="135">
        <v>1</v>
      </c>
      <c r="D30" s="135">
        <v>1</v>
      </c>
      <c r="E30" s="135">
        <v>1</v>
      </c>
      <c r="F30" s="135">
        <v>1</v>
      </c>
      <c r="G30" s="546">
        <v>45</v>
      </c>
      <c r="H30" s="135">
        <v>2</v>
      </c>
      <c r="I30" s="135">
        <v>2</v>
      </c>
      <c r="J30" s="135">
        <v>3</v>
      </c>
      <c r="K30" s="135">
        <v>3</v>
      </c>
      <c r="L30" s="135">
        <v>4</v>
      </c>
      <c r="M30" s="138" t="s">
        <v>341</v>
      </c>
      <c r="N30" s="135">
        <v>4</v>
      </c>
      <c r="O30" s="135">
        <v>4</v>
      </c>
      <c r="P30" s="135">
        <v>5</v>
      </c>
      <c r="Q30" s="135">
        <v>6</v>
      </c>
      <c r="R30" s="135">
        <v>7</v>
      </c>
      <c r="S30" s="546" t="s">
        <v>336</v>
      </c>
      <c r="T30" s="135">
        <v>7</v>
      </c>
      <c r="U30" s="135">
        <v>8</v>
      </c>
      <c r="V30" s="135">
        <v>10</v>
      </c>
      <c r="W30" s="135">
        <v>12</v>
      </c>
      <c r="X30" s="135">
        <v>14</v>
      </c>
      <c r="Y30" s="138" t="s">
        <v>341</v>
      </c>
    </row>
    <row r="31" spans="1:25" x14ac:dyDescent="0.2">
      <c r="A31" s="138">
        <f t="shared" si="0"/>
        <v>179</v>
      </c>
      <c r="B31" s="135">
        <v>1</v>
      </c>
      <c r="C31" s="135">
        <v>1</v>
      </c>
      <c r="D31" s="135">
        <v>1</v>
      </c>
      <c r="E31" s="135">
        <v>1</v>
      </c>
      <c r="F31" s="135">
        <v>1</v>
      </c>
      <c r="G31" s="546"/>
      <c r="H31" s="135">
        <v>1</v>
      </c>
      <c r="I31" s="135">
        <v>2</v>
      </c>
      <c r="J31" s="135">
        <v>2</v>
      </c>
      <c r="K31" s="135">
        <v>2</v>
      </c>
      <c r="L31" s="135">
        <v>3</v>
      </c>
      <c r="M31" s="138" t="s">
        <v>340</v>
      </c>
      <c r="N31" s="135">
        <v>2</v>
      </c>
      <c r="O31" s="135">
        <v>3</v>
      </c>
      <c r="P31" s="135">
        <v>3</v>
      </c>
      <c r="Q31" s="135">
        <v>4</v>
      </c>
      <c r="R31" s="135">
        <v>5</v>
      </c>
      <c r="S31" s="546"/>
      <c r="T31" s="135">
        <v>5</v>
      </c>
      <c r="U31" s="135">
        <v>6</v>
      </c>
      <c r="V31" s="135">
        <v>7</v>
      </c>
      <c r="W31" s="135">
        <v>8</v>
      </c>
      <c r="X31" s="135">
        <v>10</v>
      </c>
      <c r="Y31" s="138" t="s">
        <v>340</v>
      </c>
    </row>
    <row r="32" spans="1:25" x14ac:dyDescent="0.2">
      <c r="A32" s="138">
        <f t="shared" si="0"/>
        <v>159</v>
      </c>
      <c r="B32" s="135">
        <v>0</v>
      </c>
      <c r="C32" s="135">
        <v>1</v>
      </c>
      <c r="D32" s="135">
        <v>1</v>
      </c>
      <c r="E32" s="135">
        <v>1</v>
      </c>
      <c r="F32" s="135">
        <v>1</v>
      </c>
      <c r="G32" s="546"/>
      <c r="H32" s="135">
        <v>1</v>
      </c>
      <c r="I32" s="135">
        <v>1</v>
      </c>
      <c r="J32" s="135">
        <v>1</v>
      </c>
      <c r="K32" s="135">
        <v>1</v>
      </c>
      <c r="L32" s="135">
        <v>2</v>
      </c>
      <c r="M32" s="138" t="s">
        <v>339</v>
      </c>
      <c r="N32" s="135">
        <v>2</v>
      </c>
      <c r="O32" s="135">
        <v>2</v>
      </c>
      <c r="P32" s="135">
        <v>2</v>
      </c>
      <c r="Q32" s="135">
        <v>3</v>
      </c>
      <c r="R32" s="135">
        <v>3</v>
      </c>
      <c r="S32" s="546"/>
      <c r="T32" s="135">
        <v>3</v>
      </c>
      <c r="U32" s="135">
        <v>4</v>
      </c>
      <c r="V32" s="135">
        <v>5</v>
      </c>
      <c r="W32" s="135">
        <v>6</v>
      </c>
      <c r="X32" s="135">
        <v>7</v>
      </c>
      <c r="Y32" s="138" t="s">
        <v>339</v>
      </c>
    </row>
    <row r="33" spans="1:25" x14ac:dyDescent="0.2">
      <c r="A33" s="138">
        <f t="shared" si="0"/>
        <v>139</v>
      </c>
      <c r="B33" s="135">
        <v>0</v>
      </c>
      <c r="C33" s="135">
        <v>0</v>
      </c>
      <c r="D33" s="135">
        <v>1</v>
      </c>
      <c r="E33" s="135">
        <v>1</v>
      </c>
      <c r="F33" s="135">
        <v>1</v>
      </c>
      <c r="G33" s="546"/>
      <c r="H33" s="135">
        <v>1</v>
      </c>
      <c r="I33" s="135">
        <v>1</v>
      </c>
      <c r="J33" s="135">
        <v>1</v>
      </c>
      <c r="K33" s="135">
        <v>1</v>
      </c>
      <c r="L33" s="135">
        <v>1</v>
      </c>
      <c r="M33" s="138" t="s">
        <v>338</v>
      </c>
      <c r="N33" s="135">
        <v>1</v>
      </c>
      <c r="O33" s="135">
        <v>1</v>
      </c>
      <c r="P33" s="135">
        <v>2</v>
      </c>
      <c r="Q33" s="135">
        <v>2</v>
      </c>
      <c r="R33" s="135">
        <v>2</v>
      </c>
      <c r="S33" s="546"/>
      <c r="T33" s="135">
        <v>2</v>
      </c>
      <c r="U33" s="135">
        <v>3</v>
      </c>
      <c r="V33" s="135">
        <v>3</v>
      </c>
      <c r="W33" s="135">
        <v>4</v>
      </c>
      <c r="X33" s="135">
        <v>5</v>
      </c>
      <c r="Y33" s="138" t="s">
        <v>338</v>
      </c>
    </row>
    <row r="34" spans="1:25" ht="11.45" customHeight="1" x14ac:dyDescent="0.2">
      <c r="A34" s="138">
        <f t="shared" si="0"/>
        <v>999</v>
      </c>
      <c r="B34" s="135">
        <v>0</v>
      </c>
      <c r="C34" s="135">
        <v>0</v>
      </c>
      <c r="D34" s="135">
        <v>0</v>
      </c>
      <c r="E34" s="135">
        <v>0</v>
      </c>
      <c r="F34" s="135">
        <v>0</v>
      </c>
      <c r="G34" s="546">
        <v>40</v>
      </c>
      <c r="H34" s="135">
        <v>0</v>
      </c>
      <c r="I34" s="135">
        <v>0</v>
      </c>
      <c r="J34" s="135">
        <v>0</v>
      </c>
      <c r="K34" s="135">
        <v>1</v>
      </c>
      <c r="L34" s="135">
        <v>1</v>
      </c>
      <c r="M34" s="138" t="s">
        <v>341</v>
      </c>
      <c r="N34" s="135">
        <v>1</v>
      </c>
      <c r="O34" s="135">
        <v>1</v>
      </c>
      <c r="P34" s="135">
        <v>1</v>
      </c>
      <c r="Q34" s="135">
        <v>2</v>
      </c>
      <c r="R34" s="135">
        <v>2</v>
      </c>
      <c r="S34" s="546" t="s">
        <v>335</v>
      </c>
      <c r="T34" s="135">
        <v>2</v>
      </c>
      <c r="U34" s="135">
        <v>2</v>
      </c>
      <c r="V34" s="135">
        <v>3</v>
      </c>
      <c r="W34" s="135">
        <v>3</v>
      </c>
      <c r="X34" s="135">
        <v>4</v>
      </c>
      <c r="Y34" s="138" t="s">
        <v>341</v>
      </c>
    </row>
    <row r="35" spans="1:25" ht="11.45" customHeight="1" x14ac:dyDescent="0.2">
      <c r="A35" s="138">
        <f t="shared" si="0"/>
        <v>179</v>
      </c>
      <c r="B35" s="135">
        <v>0</v>
      </c>
      <c r="C35" s="135">
        <v>0</v>
      </c>
      <c r="D35" s="135">
        <v>0</v>
      </c>
      <c r="E35" s="135">
        <v>0</v>
      </c>
      <c r="F35" s="135">
        <v>0</v>
      </c>
      <c r="G35" s="546"/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8" t="s">
        <v>340</v>
      </c>
      <c r="N35" s="135">
        <v>1</v>
      </c>
      <c r="O35" s="135">
        <v>1</v>
      </c>
      <c r="P35" s="135">
        <v>1</v>
      </c>
      <c r="Q35" s="135">
        <v>1</v>
      </c>
      <c r="R35" s="135">
        <v>2</v>
      </c>
      <c r="S35" s="546"/>
      <c r="T35" s="135">
        <v>1</v>
      </c>
      <c r="U35" s="135">
        <v>2</v>
      </c>
      <c r="V35" s="135">
        <v>2</v>
      </c>
      <c r="W35" s="135">
        <v>2</v>
      </c>
      <c r="X35" s="135">
        <v>3</v>
      </c>
      <c r="Y35" s="138" t="s">
        <v>340</v>
      </c>
    </row>
    <row r="36" spans="1:25" ht="11.45" customHeight="1" x14ac:dyDescent="0.2">
      <c r="A36" s="138">
        <f t="shared" si="0"/>
        <v>159</v>
      </c>
      <c r="B36" s="135">
        <v>0</v>
      </c>
      <c r="C36" s="135">
        <v>0</v>
      </c>
      <c r="D36" s="135">
        <v>0</v>
      </c>
      <c r="E36" s="135">
        <v>0</v>
      </c>
      <c r="F36" s="135">
        <v>0</v>
      </c>
      <c r="G36" s="546"/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8" t="s">
        <v>339</v>
      </c>
      <c r="N36" s="135">
        <v>0</v>
      </c>
      <c r="O36" s="135">
        <v>1</v>
      </c>
      <c r="P36" s="135">
        <v>1</v>
      </c>
      <c r="Q36" s="135">
        <v>1</v>
      </c>
      <c r="R36" s="135">
        <v>1</v>
      </c>
      <c r="S36" s="546"/>
      <c r="T36" s="135">
        <v>1</v>
      </c>
      <c r="U36" s="135">
        <v>1</v>
      </c>
      <c r="V36" s="135">
        <v>1</v>
      </c>
      <c r="W36" s="135">
        <v>2</v>
      </c>
      <c r="X36" s="135">
        <v>2</v>
      </c>
      <c r="Y36" s="138" t="s">
        <v>339</v>
      </c>
    </row>
    <row r="37" spans="1:25" ht="11.45" customHeight="1" x14ac:dyDescent="0.2">
      <c r="A37" s="138">
        <f t="shared" si="0"/>
        <v>139</v>
      </c>
      <c r="B37" s="135">
        <v>0</v>
      </c>
      <c r="C37" s="135">
        <v>0</v>
      </c>
      <c r="D37" s="135">
        <v>0</v>
      </c>
      <c r="E37" s="135">
        <v>0</v>
      </c>
      <c r="F37" s="135">
        <v>0</v>
      </c>
      <c r="G37" s="546"/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8" t="s">
        <v>338</v>
      </c>
      <c r="N37" s="135">
        <v>0</v>
      </c>
      <c r="O37" s="135">
        <v>1</v>
      </c>
      <c r="P37" s="135">
        <v>1</v>
      </c>
      <c r="Q37" s="135">
        <v>1</v>
      </c>
      <c r="R37" s="135">
        <v>1</v>
      </c>
      <c r="S37" s="546"/>
      <c r="T37" s="135">
        <v>1</v>
      </c>
      <c r="U37" s="135">
        <v>1</v>
      </c>
      <c r="V37" s="135">
        <v>1</v>
      </c>
      <c r="W37" s="135">
        <v>1</v>
      </c>
      <c r="X37" s="135">
        <v>1</v>
      </c>
      <c r="Y37" s="138" t="s">
        <v>338</v>
      </c>
    </row>
    <row r="38" spans="1:25" x14ac:dyDescent="0.2">
      <c r="B38" s="139">
        <v>0</v>
      </c>
      <c r="C38" s="139">
        <v>4.5999999999999996</v>
      </c>
      <c r="D38" s="139">
        <v>5.6</v>
      </c>
      <c r="E38" s="139">
        <v>6.6</v>
      </c>
      <c r="F38" s="139">
        <v>7.6</v>
      </c>
      <c r="H38" s="139">
        <f>B38</f>
        <v>0</v>
      </c>
      <c r="I38" s="139">
        <f t="shared" ref="I38:L38" si="1">C38</f>
        <v>4.5999999999999996</v>
      </c>
      <c r="J38" s="139">
        <f t="shared" si="1"/>
        <v>5.6</v>
      </c>
      <c r="K38" s="139">
        <f t="shared" si="1"/>
        <v>6.6</v>
      </c>
      <c r="L38" s="139">
        <f t="shared" si="1"/>
        <v>7.6</v>
      </c>
      <c r="N38" s="139">
        <f>H38</f>
        <v>0</v>
      </c>
      <c r="O38" s="139">
        <f t="shared" ref="O38" si="2">I38</f>
        <v>4.5999999999999996</v>
      </c>
      <c r="P38" s="139">
        <f t="shared" ref="P38" si="3">J38</f>
        <v>5.6</v>
      </c>
      <c r="Q38" s="139">
        <f t="shared" ref="Q38" si="4">K38</f>
        <v>6.6</v>
      </c>
      <c r="R38" s="139">
        <f t="shared" ref="R38" si="5">L38</f>
        <v>7.6</v>
      </c>
      <c r="T38" s="139">
        <f>N38</f>
        <v>0</v>
      </c>
      <c r="U38" s="139">
        <f t="shared" ref="U38" si="6">O38</f>
        <v>4.5999999999999996</v>
      </c>
      <c r="V38" s="139">
        <f t="shared" ref="V38" si="7">P38</f>
        <v>5.6</v>
      </c>
      <c r="W38" s="139">
        <f t="shared" ref="W38" si="8">Q38</f>
        <v>6.6</v>
      </c>
      <c r="X38" s="139">
        <f t="shared" ref="X38" si="9">R38</f>
        <v>7.6</v>
      </c>
    </row>
  </sheetData>
  <mergeCells count="14">
    <mergeCell ref="T17:X17"/>
    <mergeCell ref="G34:G37"/>
    <mergeCell ref="G18:G21"/>
    <mergeCell ref="S18:S21"/>
    <mergeCell ref="S22:S25"/>
    <mergeCell ref="S26:S29"/>
    <mergeCell ref="B17:F17"/>
    <mergeCell ref="H17:L17"/>
    <mergeCell ref="N17:R17"/>
    <mergeCell ref="S34:S37"/>
    <mergeCell ref="G30:G33"/>
    <mergeCell ref="S30:S33"/>
    <mergeCell ref="G26:G29"/>
    <mergeCell ref="G22:G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Главная</vt:lpstr>
      <vt:lpstr>Согласие</vt:lpstr>
      <vt:lpstr>Результаты</vt:lpstr>
      <vt:lpstr>Лист4</vt:lpstr>
    </vt:vector>
  </TitlesOfParts>
  <Company>Investintech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Н</dc:creator>
  <cp:lastModifiedBy>_Boroda_</cp:lastModifiedBy>
  <cp:lastPrinted>2014-06-26T13:00:40Z</cp:lastPrinted>
  <dcterms:created xsi:type="dcterms:W3CDTF">2014-01-29T02:52:51Z</dcterms:created>
  <dcterms:modified xsi:type="dcterms:W3CDTF">2014-06-27T11:28:12Z</dcterms:modified>
</cp:coreProperties>
</file>