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785" windowWidth="18780" windowHeight="72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Лист1!$A$4:$AL$24</definedName>
  </definedNames>
  <calcPr calcId="145621"/>
</workbook>
</file>

<file path=xl/calcChain.xml><?xml version="1.0" encoding="utf-8"?>
<calcChain xmlns="http://schemas.openxmlformats.org/spreadsheetml/2006/main">
  <c r="AM6" i="1" l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5" i="1"/>
  <c r="U24" i="1"/>
  <c r="S24" i="1"/>
  <c r="R24" i="1"/>
  <c r="E24" i="1"/>
  <c r="F24" i="1"/>
  <c r="G24" i="1"/>
  <c r="H24" i="1"/>
  <c r="I24" i="1"/>
  <c r="J24" i="1"/>
  <c r="K24" i="1"/>
  <c r="L24" i="1"/>
  <c r="M24" i="1"/>
  <c r="N24" i="1"/>
  <c r="O24" i="1"/>
  <c r="P24" i="1"/>
  <c r="D24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5" i="1"/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5" i="1"/>
  <c r="AA5" i="1"/>
  <c r="AE5" i="1" s="1"/>
  <c r="AA6" i="1"/>
  <c r="AE6" i="1" s="1"/>
  <c r="AA7" i="1"/>
  <c r="AE7" i="1" s="1"/>
  <c r="AA8" i="1"/>
  <c r="AE8" i="1" s="1"/>
  <c r="AA9" i="1"/>
  <c r="AE9" i="1" s="1"/>
  <c r="AA10" i="1"/>
  <c r="AE10" i="1" s="1"/>
  <c r="AA11" i="1"/>
  <c r="AE11" i="1" s="1"/>
  <c r="AA12" i="1"/>
  <c r="AE12" i="1" s="1"/>
  <c r="AA13" i="1"/>
  <c r="AE13" i="1" s="1"/>
  <c r="AF13" i="1" s="1"/>
  <c r="AA14" i="1"/>
  <c r="AE14" i="1" s="1"/>
  <c r="AA15" i="1"/>
  <c r="AE15" i="1" s="1"/>
  <c r="AA16" i="1"/>
  <c r="AE16" i="1" s="1"/>
  <c r="AA17" i="1"/>
  <c r="AE17" i="1" s="1"/>
  <c r="AA18" i="1"/>
  <c r="AE18" i="1" s="1"/>
  <c r="AA19" i="1"/>
  <c r="AE19" i="1" s="1"/>
  <c r="AA20" i="1"/>
  <c r="AE20" i="1" s="1"/>
  <c r="AA21" i="1"/>
  <c r="AE21" i="1" s="1"/>
  <c r="AF21" i="1" s="1"/>
  <c r="AA22" i="1"/>
  <c r="AE22" i="1" s="1"/>
  <c r="AA23" i="1"/>
  <c r="AE23" i="1" s="1"/>
  <c r="AB7" i="1"/>
  <c r="AB8" i="1"/>
  <c r="AB9" i="1"/>
  <c r="AB10" i="1"/>
  <c r="AB11" i="1"/>
  <c r="AB12" i="1"/>
  <c r="AB5" i="1"/>
  <c r="AB6" i="1"/>
  <c r="AB13" i="1"/>
  <c r="AB14" i="1"/>
  <c r="AB15" i="1"/>
  <c r="AB16" i="1"/>
  <c r="AB17" i="1"/>
  <c r="AB18" i="1"/>
  <c r="AB19" i="1"/>
  <c r="AB20" i="1"/>
  <c r="AB21" i="1"/>
  <c r="AB22" i="1"/>
  <c r="AB23" i="1"/>
  <c r="X23" i="1"/>
  <c r="T23" i="1"/>
  <c r="Q23" i="1"/>
  <c r="X22" i="1"/>
  <c r="T22" i="1"/>
  <c r="Q22" i="1"/>
  <c r="X21" i="1"/>
  <c r="T21" i="1"/>
  <c r="Q21" i="1"/>
  <c r="X20" i="1"/>
  <c r="T20" i="1"/>
  <c r="Q20" i="1"/>
  <c r="X19" i="1"/>
  <c r="T19" i="1"/>
  <c r="Q19" i="1"/>
  <c r="X18" i="1"/>
  <c r="T18" i="1"/>
  <c r="Q18" i="1"/>
  <c r="X17" i="1"/>
  <c r="T17" i="1"/>
  <c r="Q17" i="1"/>
  <c r="X16" i="1"/>
  <c r="T16" i="1"/>
  <c r="Q16" i="1"/>
  <c r="X15" i="1"/>
  <c r="T15" i="1"/>
  <c r="Q15" i="1"/>
  <c r="X14" i="1"/>
  <c r="T14" i="1"/>
  <c r="Q14" i="1"/>
  <c r="X13" i="1"/>
  <c r="T13" i="1"/>
  <c r="Q13" i="1"/>
  <c r="X12" i="1"/>
  <c r="T12" i="1"/>
  <c r="Q12" i="1"/>
  <c r="X11" i="1"/>
  <c r="T11" i="1"/>
  <c r="Q11" i="1"/>
  <c r="X10" i="1"/>
  <c r="T10" i="1"/>
  <c r="Q10" i="1"/>
  <c r="X9" i="1"/>
  <c r="T9" i="1"/>
  <c r="Q9" i="1"/>
  <c r="X8" i="1"/>
  <c r="T8" i="1"/>
  <c r="Q8" i="1"/>
  <c r="X7" i="1"/>
  <c r="T7" i="1"/>
  <c r="Q7" i="1"/>
  <c r="X6" i="1"/>
  <c r="T6" i="1"/>
  <c r="Q6" i="1"/>
  <c r="X5" i="1"/>
  <c r="T5" i="1"/>
  <c r="Q5" i="1"/>
  <c r="Q24" i="1" l="1"/>
  <c r="T24" i="1"/>
  <c r="AC19" i="1"/>
  <c r="AC7" i="1"/>
  <c r="AC23" i="1"/>
  <c r="AC15" i="1"/>
  <c r="AF22" i="1"/>
  <c r="AG22" i="1" s="1"/>
  <c r="AF14" i="1"/>
  <c r="AG14" i="1" s="1"/>
  <c r="AF6" i="1"/>
  <c r="AG6" i="1" s="1"/>
  <c r="AF23" i="1"/>
  <c r="AG23" i="1" s="1"/>
  <c r="AF15" i="1"/>
  <c r="AG15" i="1" s="1"/>
  <c r="AF7" i="1"/>
  <c r="AG7" i="1" s="1"/>
  <c r="AF16" i="1"/>
  <c r="AG16" i="1" s="1"/>
  <c r="AF8" i="1"/>
  <c r="AG8" i="1" s="1"/>
  <c r="AF17" i="1"/>
  <c r="AG17" i="1" s="1"/>
  <c r="AF9" i="1"/>
  <c r="AG9" i="1" s="1"/>
  <c r="AF18" i="1"/>
  <c r="AG18" i="1" s="1"/>
  <c r="AF10" i="1"/>
  <c r="AG10" i="1" s="1"/>
  <c r="AF11" i="1"/>
  <c r="AG11" i="1" s="1"/>
  <c r="AF20" i="1"/>
  <c r="AG20" i="1" s="1"/>
  <c r="AF12" i="1"/>
  <c r="AG12" i="1" s="1"/>
  <c r="AF19" i="1"/>
  <c r="AG19" i="1" s="1"/>
  <c r="AF5" i="1"/>
  <c r="AG5" i="1" s="1"/>
  <c r="AG21" i="1"/>
  <c r="AG13" i="1"/>
  <c r="AC10" i="1"/>
  <c r="AC11" i="1"/>
  <c r="AC18" i="1"/>
  <c r="AC9" i="1"/>
  <c r="AC17" i="1"/>
  <c r="AC20" i="1"/>
  <c r="AC5" i="1"/>
  <c r="AC21" i="1"/>
  <c r="AC13" i="1"/>
  <c r="AC16" i="1"/>
  <c r="AC12" i="1"/>
  <c r="AC8" i="1"/>
  <c r="AC6" i="1"/>
  <c r="AC22" i="1"/>
  <c r="AC14" i="1"/>
  <c r="X24" i="1"/>
  <c r="V5" i="1" l="1"/>
  <c r="V7" i="1"/>
  <c r="V20" i="1"/>
  <c r="V19" i="1"/>
  <c r="V11" i="1"/>
  <c r="V12" i="1"/>
  <c r="V15" i="1"/>
  <c r="V8" i="1"/>
  <c r="V9" i="1"/>
  <c r="V6" i="1"/>
  <c r="V23" i="1"/>
  <c r="V13" i="1"/>
  <c r="V16" i="1"/>
  <c r="V14" i="1"/>
  <c r="V21" i="1"/>
  <c r="V22" i="1"/>
  <c r="V10" i="1"/>
  <c r="V18" i="1"/>
  <c r="V17" i="1"/>
  <c r="V24" i="1" l="1"/>
</calcChain>
</file>

<file path=xl/comments1.xml><?xml version="1.0" encoding="utf-8"?>
<comments xmlns="http://schemas.openxmlformats.org/spreadsheetml/2006/main">
  <authors>
    <author>sochinets</author>
  </authors>
  <commentList>
    <comment ref="AF2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G2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время на заказ и поставку
</t>
        </r>
      </text>
    </comment>
    <comment ref="W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A1-50%;A2-30%
B1-15%;B2-10%
C1-3%;C2-2%</t>
        </r>
      </text>
    </comment>
    <comment ref="Y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A-80%
B-15%
C-5%
</t>
        </r>
      </text>
    </comment>
    <comment ref="Z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от  5 периодов</t>
        </r>
      </text>
    </comment>
    <comment ref="AD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X1-до 30%: X2-от30% до 60%;Y-от 60% до 120%:Z-от 120
0-НУЛЕВЫЕ ЗНАЧЕНИЯ</t>
        </r>
      </text>
    </comment>
    <comment ref="AE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дневной спрос= срзнач/кол-во раб дней ( коэф дней выставляется выше) округ в больш сторону
</t>
        </r>
      </text>
    </comment>
    <comment ref="AF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Страховой запас=время задержки*дневной спрос</t>
        </r>
      </text>
    </comment>
    <comment ref="AG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точка заказа=дневной спрос*подготовительный период+страховой запас</t>
        </r>
      </text>
    </comment>
    <comment ref="AH4" authorId="0">
      <text>
        <r>
          <rPr>
            <b/>
            <sz val="8"/>
            <color indexed="81"/>
            <rFont val="Tahoma"/>
            <family val="2"/>
            <charset val="204"/>
          </rPr>
          <t>sochinets:</t>
        </r>
        <r>
          <rPr>
            <sz val="8"/>
            <color indexed="81"/>
            <rFont val="Tahoma"/>
            <family val="2"/>
            <charset val="204"/>
          </rPr>
          <t xml:space="preserve">
например число 3 значит что заказ раз в три дня</t>
        </r>
      </text>
    </comment>
  </commentList>
</comments>
</file>

<file path=xl/sharedStrings.xml><?xml version="1.0" encoding="utf-8"?>
<sst xmlns="http://schemas.openxmlformats.org/spreadsheetml/2006/main" count="132" uniqueCount="90">
  <si>
    <t>№</t>
  </si>
  <si>
    <t>Артикул</t>
  </si>
  <si>
    <t>Номенклатура</t>
  </si>
  <si>
    <t>Июль 2013 г.</t>
  </si>
  <si>
    <t>Август 2013 г.</t>
  </si>
  <si>
    <t>Сентябрь 2013 г.</t>
  </si>
  <si>
    <t>Октябрь 2013 г.</t>
  </si>
  <si>
    <t>Ноябрь 2013 г.</t>
  </si>
  <si>
    <t>Декабрь 2013 г.</t>
  </si>
  <si>
    <t>Январь 2014 г.</t>
  </si>
  <si>
    <t>Февраль 2014 г.</t>
  </si>
  <si>
    <t>Март 2014 г.</t>
  </si>
  <si>
    <t>Апрель 2014 г.</t>
  </si>
  <si>
    <t>Май 2014 г.</t>
  </si>
  <si>
    <t>Июнь 2014 г.</t>
  </si>
  <si>
    <t>Июль 2014 г.</t>
  </si>
  <si>
    <t>Количество ИТОГО</t>
  </si>
  <si>
    <t>Стоимость продажи (руб.)</t>
  </si>
  <si>
    <t>Себестоимость  (руб.)</t>
  </si>
  <si>
    <t>Валовая прибыль (руб.)</t>
  </si>
  <si>
    <t>Рентабельность, %</t>
  </si>
  <si>
    <t>ABC валовая прибыль</t>
  </si>
  <si>
    <t>AA1BB1CC1 валовая прибыль</t>
  </si>
  <si>
    <t>ABC Оборот( по стоимости продажи)</t>
  </si>
  <si>
    <t>_LAN-EP19-8P/S</t>
  </si>
  <si>
    <t>_Блок розеток 8 шт. с заземлением, 19", без шнура питания</t>
  </si>
  <si>
    <t>B2</t>
  </si>
  <si>
    <t>_TWT-BO-6.0-WH</t>
  </si>
  <si>
    <t>_Защитные колпачки для кабеля 6,0мм cat.5, на соединение коннектора с кабелем, белый</t>
  </si>
  <si>
    <t>C2</t>
  </si>
  <si>
    <t>_T WT-BO-6.0-BR</t>
  </si>
  <si>
    <t>_Защитные колпачки для кабеля 6,0мм cat.5, на соединение коннектора с кабелем, коричневый</t>
  </si>
  <si>
    <t>_TWT-BO-6.0-RD</t>
  </si>
  <si>
    <t>_Защитные колпачки для кабеля 6,0мм cat.5, на соединение коннектора с кабелем, красный</t>
  </si>
  <si>
    <t>_TWT-BO-6.0-OR</t>
  </si>
  <si>
    <t>_Защитные колпачки для кабеля 6,0мм cat.5, на соединение коннектора с кабелем, оранжевый</t>
  </si>
  <si>
    <t>_T WT-BO-6.0-GY</t>
  </si>
  <si>
    <t>_Защитные колпачки для кабеля 6,0мм cat.5, на соединение коннектора с кабелем, серый</t>
  </si>
  <si>
    <t>_TWT-BO-6.0-BL</t>
  </si>
  <si>
    <t>_Защитные колпачки для кабеля 6,0мм cat.5, на соединение коннектора с кабелем, синий</t>
  </si>
  <si>
    <t>_TWT-BO-6.0-BK</t>
  </si>
  <si>
    <t>_Защитные колпачки для кабеля 6,0мм cat.5, на соединение коннектора с кабелем, черный</t>
  </si>
  <si>
    <t>_TWT-CBB-DR-6x-SET-P1</t>
  </si>
  <si>
    <t>_Комплект дверей 42U, 600 мм, черный, передняя - перфорированная, задняя - распашная перфорированная</t>
  </si>
  <si>
    <t>_TWT-PL11-4P4C</t>
  </si>
  <si>
    <t>_Коннектор телефонный RJ-10 4P4C для телефонной трубки</t>
  </si>
  <si>
    <t>_TWT-PL12-6P2C</t>
  </si>
  <si>
    <t>_Коннектор телефонный RJ-11 6P2C для кабеля 2-х контактный</t>
  </si>
  <si>
    <t>_TWT-PL12-6P4C</t>
  </si>
  <si>
    <t>_Коннектор телефонный RJ-11 6P4C для кабеля 4-х контактный</t>
  </si>
  <si>
    <t>C1</t>
  </si>
  <si>
    <t>_TWT-SB1-WH</t>
  </si>
  <si>
    <t>_Настенная коробка 1 порт. для Keystone</t>
  </si>
  <si>
    <t>_L AN-PP24UTP5E</t>
  </si>
  <si>
    <t>_Патч-панель 19", 24 порта RJ-45, категория 5e, UTP, 1U, LANMASTER</t>
  </si>
  <si>
    <t>_TWT-FR45x45</t>
  </si>
  <si>
    <t>_Пластиковая накладка на цоколь, 45х45, белая</t>
  </si>
  <si>
    <t>_LAN-PND-110</t>
  </si>
  <si>
    <t>_Ударный инструмент для разделки контактов со 110-ми ножами</t>
  </si>
  <si>
    <t>_LAN-VCM310-GN</t>
  </si>
  <si>
    <t>_Хомут-липучка 310мм, 20 шт., зеленый</t>
  </si>
  <si>
    <t>_LAN-VCM310-BL</t>
  </si>
  <si>
    <t>_Хомут-липучка 310мм, 20 шт., синий</t>
  </si>
  <si>
    <t>_TWT-CBB-37U-6x8-00</t>
  </si>
  <si>
    <t>_Шкаф 19" Business, 37U 600x800, без дверей, с боковыми стенками, черный</t>
  </si>
  <si>
    <t>B1</t>
  </si>
  <si>
    <t>Итог</t>
  </si>
  <si>
    <t>B</t>
  </si>
  <si>
    <t>C</t>
  </si>
  <si>
    <t>Стандат откл</t>
  </si>
  <si>
    <t>СРЗНАЧ</t>
  </si>
  <si>
    <t>Коэфицент Вариации</t>
  </si>
  <si>
    <t>Y</t>
  </si>
  <si>
    <t>X1</t>
  </si>
  <si>
    <t>X2</t>
  </si>
  <si>
    <t>Точка заказа классика</t>
  </si>
  <si>
    <t>коэфицент кол-ва раб дней</t>
  </si>
  <si>
    <t xml:space="preserve">Дневной спрос </t>
  </si>
  <si>
    <t>Страховой запас</t>
  </si>
  <si>
    <t>время задержки</t>
  </si>
  <si>
    <t>подготовительный периуд</t>
  </si>
  <si>
    <t>Периодичность заказа, дней</t>
  </si>
  <si>
    <t>Срок поставки (от заказа до прихода товара), дней</t>
  </si>
  <si>
    <t>Точка заказа товара (0.8 Персентиль)</t>
  </si>
  <si>
    <t>Уровень обеспеченности продаж</t>
  </si>
  <si>
    <t>Точка заказа ЭКСПЕРТ  (Александр)</t>
  </si>
  <si>
    <t>Точка заказа ЭКСПЕРТ  (Валентин)</t>
  </si>
  <si>
    <t>XX1YZ</t>
  </si>
  <si>
    <t>СЧЕТЗ()-количество активных месяцев из 13 периодов</t>
  </si>
  <si>
    <t>Остатки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</si>
</sst>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8"/>
      <color rgb="FF594304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textRotation="90" wrapText="1"/>
    </xf>
    <xf numFmtId="3" fontId="1" fillId="2" borderId="1" xfId="0" applyNumberFormat="1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10" fontId="0" fillId="0" borderId="0" xfId="0" applyNumberFormat="1"/>
    <xf numFmtId="3" fontId="1" fillId="2" borderId="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" fontId="0" fillId="0" borderId="0" xfId="0" applyNumberFormat="1"/>
    <xf numFmtId="0" fontId="5" fillId="0" borderId="0" xfId="0" applyFont="1"/>
    <xf numFmtId="0" fontId="2" fillId="2" borderId="2" xfId="0" applyFont="1" applyFill="1" applyBorder="1" applyAlignment="1">
      <alignment horizontal="center" vertical="top" textRotation="90" wrapText="1"/>
    </xf>
    <xf numFmtId="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4" fontId="8" fillId="3" borderId="1" xfId="0" applyNumberFormat="1" applyFont="1" applyFill="1" applyBorder="1" applyAlignment="1">
      <alignment horizontal="right" vertical="top" wrapText="1"/>
    </xf>
    <xf numFmtId="2" fontId="8" fillId="3" borderId="1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wrapText="1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 vertical="top" textRotation="90" wrapText="1"/>
    </xf>
    <xf numFmtId="0" fontId="0" fillId="5" borderId="0" xfId="0" applyFill="1"/>
    <xf numFmtId="0" fontId="9" fillId="5" borderId="0" xfId="0" applyFont="1" applyFill="1" applyAlignment="1">
      <alignment horizontal="center" wrapText="1"/>
    </xf>
    <xf numFmtId="9" fontId="0" fillId="5" borderId="0" xfId="0" applyNumberFormat="1" applyFill="1"/>
    <xf numFmtId="0" fontId="2" fillId="5" borderId="2" xfId="0" applyFont="1" applyFill="1" applyBorder="1" applyAlignment="1">
      <alignment horizontal="center" vertical="top" textRotation="90" wrapText="1"/>
    </xf>
    <xf numFmtId="0" fontId="0" fillId="6" borderId="0" xfId="0" applyFill="1" applyAlignment="1">
      <alignment horizontal="center"/>
    </xf>
    <xf numFmtId="0" fontId="2" fillId="6" borderId="2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 val="0"/>
        <color theme="4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122/59857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B2" t="str">
            <v>Патч-корд RJ45 - RJ45, 4 пары, FTP, категория 6, 1 м, серый, LANMASTER</v>
          </cell>
          <cell r="C2" t="str">
            <v>LAN6-S45-45-1.0-GY</v>
          </cell>
          <cell r="D2" t="str">
            <v>шт</v>
          </cell>
          <cell r="F2">
            <v>1</v>
          </cell>
          <cell r="J2">
            <v>1</v>
          </cell>
        </row>
        <row r="3">
          <cell r="B3" t="str">
            <v>Запасные пластиковые кольца для  кабельного органайзера 2U</v>
          </cell>
          <cell r="C3" t="str">
            <v>LAN-RING-2U</v>
          </cell>
          <cell r="D3" t="str">
            <v>шт</v>
          </cell>
        </row>
        <row r="4">
          <cell r="B4" t="str">
            <v>_Блок розеток 8 шт. с заземлением, 19", 10А, шнур питания 1.8 м</v>
          </cell>
          <cell r="C4" t="str">
            <v>_LAN-EP19-8P/10A-1.8</v>
          </cell>
          <cell r="D4" t="str">
            <v>шт</v>
          </cell>
        </row>
        <row r="5">
          <cell r="B5" t="str">
            <v>_Адаптерная панель на 6 LC дуплексных адаптеров</v>
          </cell>
          <cell r="C5" t="str">
            <v>_LAN-FP-LC</v>
          </cell>
          <cell r="D5" t="str">
            <v>шт</v>
          </cell>
        </row>
        <row r="6">
          <cell r="B6" t="str">
            <v>Внешний угол 100х40</v>
          </cell>
          <cell r="C6" t="str">
            <v>TWT-CT100x40-EC-WH</v>
          </cell>
          <cell r="D6" t="str">
            <v>шт</v>
          </cell>
          <cell r="F6">
            <v>10</v>
          </cell>
          <cell r="J6">
            <v>10</v>
          </cell>
        </row>
        <row r="7">
          <cell r="B7" t="str">
            <v>Патч-корд симплексный Lanmaster FC-FC одномодовый 1м</v>
          </cell>
          <cell r="C7" t="str">
            <v>LAN-FC-FC/1-S</v>
          </cell>
          <cell r="D7" t="str">
            <v>шт</v>
          </cell>
          <cell r="F7">
            <v>16</v>
          </cell>
          <cell r="J7">
            <v>16</v>
          </cell>
        </row>
        <row r="8">
          <cell r="B8" t="str">
            <v>Блок 6-ти вентиляторов 19", с подшипниками, без термостата, 1U</v>
          </cell>
          <cell r="C8" t="str">
            <v>TWT-CBB-FANB6-RACK</v>
          </cell>
          <cell r="D8" t="str">
            <v>шт</v>
          </cell>
          <cell r="E8">
            <v>1</v>
          </cell>
          <cell r="J8">
            <v>1</v>
          </cell>
        </row>
        <row r="9">
          <cell r="B9" t="str">
            <v>Металлическая скоба-органайзер для установки на 19" профиль, 40х40 мм</v>
          </cell>
          <cell r="C9" t="str">
            <v>TWT-RING-M40x40</v>
          </cell>
          <cell r="D9" t="str">
            <v>шт</v>
          </cell>
        </row>
        <row r="10">
          <cell r="B10" t="str">
            <v>Металлическая скоба-органайзер для установки на 19" профиль, 80х40 мм</v>
          </cell>
          <cell r="C10" t="str">
            <v>TWT-RING-M80x40</v>
          </cell>
          <cell r="D10" t="str">
            <v>шт</v>
          </cell>
        </row>
        <row r="11">
          <cell r="B11" t="str">
            <v>Металлическая скоба-органайзер для установки на 19" профиль, 80х80 мм</v>
          </cell>
          <cell r="C11" t="str">
            <v>TWT-RING-M80x80</v>
          </cell>
          <cell r="D11" t="str">
            <v>шт</v>
          </cell>
          <cell r="F11">
            <v>4</v>
          </cell>
          <cell r="J11">
            <v>4</v>
          </cell>
        </row>
        <row r="12">
          <cell r="B12" t="str">
            <v>Кабель FTP LANMASTER 4 пары, Кат. 6A, 500Mhz, с перегородкой, LSZH, оранжевый, 305м</v>
          </cell>
          <cell r="C12" t="str">
            <v>LAN-6AFTP-LSZH</v>
          </cell>
          <cell r="D12" t="str">
            <v>м</v>
          </cell>
          <cell r="E12">
            <v>1525</v>
          </cell>
          <cell r="J12">
            <v>1525</v>
          </cell>
        </row>
        <row r="13">
          <cell r="B13" t="str">
            <v>Задняя фальш панель для шкафа Lite, 4U</v>
          </cell>
          <cell r="C13" t="str">
            <v>TWT-CBWL-FPB-4U</v>
          </cell>
          <cell r="D13" t="str">
            <v>шт</v>
          </cell>
          <cell r="F13">
            <v>9</v>
          </cell>
          <cell r="J13">
            <v>9</v>
          </cell>
        </row>
        <row r="14">
          <cell r="B14" t="str">
            <v>Патч-корд оптический LANMASTER, дуплексный, LC/PC-LC/PC, MM 50/125, 2.0 м</v>
          </cell>
          <cell r="C14" t="str">
            <v>LAN-2LC-2LC/M5-2.0</v>
          </cell>
          <cell r="D14" t="str">
            <v>шт</v>
          </cell>
          <cell r="J14">
            <v>0</v>
          </cell>
        </row>
        <row r="15">
          <cell r="B15" t="str">
            <v>Патч-панель 19", 24 порта RJ-45, категория 5e, UTP, 1U, TWT</v>
          </cell>
          <cell r="C15" t="str">
            <v>TWT-PP24UTP</v>
          </cell>
          <cell r="D15" t="str">
            <v>шт</v>
          </cell>
          <cell r="E15">
            <v>114</v>
          </cell>
          <cell r="F15">
            <v>8</v>
          </cell>
          <cell r="J15">
            <v>122</v>
          </cell>
        </row>
        <row r="16">
          <cell r="B16" t="str">
            <v>_Патчкорд дуплексный Lanmaster MTRJ(f)-ST 62.5/125 2м</v>
          </cell>
          <cell r="C16" t="str">
            <v>_LAN-MTF-2ST/2-M62</v>
          </cell>
          <cell r="D16" t="str">
            <v>шт</v>
          </cell>
        </row>
        <row r="17">
          <cell r="B17" t="str">
            <v>_Патчкорд дуплексный Lanmaster MTRJ(f)-LC 62.5/125 3м</v>
          </cell>
          <cell r="C17" t="str">
            <v>_LAN-MTF-2LC/3-M62</v>
          </cell>
          <cell r="D17" t="str">
            <v>шт</v>
          </cell>
        </row>
        <row r="18">
          <cell r="B18" t="str">
            <v>_Патч-корд дуплексный Lanmaster LC-SC одномодовый 5м</v>
          </cell>
          <cell r="C18" t="str">
            <v>_LAN-2LC-2SC/5-S</v>
          </cell>
          <cell r="D18" t="str">
            <v>шт</v>
          </cell>
        </row>
        <row r="19">
          <cell r="B19" t="str">
            <v>Кабель UTP патч-кордовый LANMASTER 4 пары, Кат. 5e, 200Mhz, черный, 305м</v>
          </cell>
          <cell r="C19" t="str">
            <v>LAN-5EUTP-PT-BK</v>
          </cell>
          <cell r="D19" t="str">
            <v>м</v>
          </cell>
        </row>
        <row r="20">
          <cell r="B20" t="str">
            <v>Т-подвод с 24x14 на 39x18</v>
          </cell>
          <cell r="C20" t="str">
            <v>TWT-CT24/39-UT-WH</v>
          </cell>
          <cell r="D20" t="str">
            <v>шт</v>
          </cell>
        </row>
        <row r="21">
          <cell r="B21" t="str">
            <v>Кабель UTP TWT 4 пары, Кат. 5e, внешний, черный, 305м</v>
          </cell>
          <cell r="C21" t="str">
            <v>TWT-5EUTP-OUT</v>
          </cell>
          <cell r="D21" t="str">
            <v>м</v>
          </cell>
          <cell r="E21">
            <v>8235</v>
          </cell>
          <cell r="J21">
            <v>8235</v>
          </cell>
        </row>
        <row r="22">
          <cell r="B22" t="str">
            <v>Кабель UTP LANMASTER 4 пары, Кат. 5e,  350Mhz, LSZH, оранжевый, 305м</v>
          </cell>
          <cell r="C22" t="str">
            <v>LAN-5EUTP-LSZH</v>
          </cell>
          <cell r="D22" t="str">
            <v>м</v>
          </cell>
          <cell r="E22">
            <v>6405</v>
          </cell>
          <cell r="J22">
            <v>6405</v>
          </cell>
        </row>
        <row r="23">
          <cell r="B23" t="str">
            <v>_Шкаф напольный LANMASTER   47U, 600x800</v>
          </cell>
          <cell r="C23" t="str">
            <v>_LAN-CAB-47-8x8</v>
          </cell>
          <cell r="D23" t="str">
            <v>шт</v>
          </cell>
        </row>
        <row r="24">
          <cell r="B24" t="str">
            <v>Вставка 45х45, со шторкой, черный</v>
          </cell>
          <cell r="C24" t="str">
            <v>LAN-SIP-23N-BK</v>
          </cell>
          <cell r="D24" t="str">
            <v>шт</v>
          </cell>
        </row>
        <row r="25">
          <cell r="B25" t="str">
            <v>_Блок розеток 8 шт. с заземлением, 19", без шнура питания</v>
          </cell>
          <cell r="C25" t="str">
            <v>_LAN-EP19-8P/S</v>
          </cell>
          <cell r="D25" t="str">
            <v>шт</v>
          </cell>
        </row>
        <row r="26">
          <cell r="B26" t="str">
            <v>_Защитные колпачки для кабеля 6,0мм cat.5, на соединение коннектора с кабелем, белый</v>
          </cell>
          <cell r="C26" t="str">
            <v>_TWT-BO-6.0-WH</v>
          </cell>
          <cell r="D26" t="str">
            <v>шт</v>
          </cell>
          <cell r="E26">
            <v>150</v>
          </cell>
          <cell r="G26">
            <v>300</v>
          </cell>
          <cell r="J26">
            <v>450</v>
          </cell>
        </row>
        <row r="27">
          <cell r="B27" t="str">
            <v>_Защитные колпачки для кабеля 6,0мм cat.5, на соединение коннектора с кабелем, коричневый</v>
          </cell>
          <cell r="C27" t="str">
            <v>_T WT-BO-6.0-BR</v>
          </cell>
          <cell r="D27" t="str">
            <v>шт</v>
          </cell>
        </row>
        <row r="28">
          <cell r="B28" t="str">
            <v>_Защитные колпачки для кабеля 6,0мм cat.5, на соединение коннектора с кабелем, красный</v>
          </cell>
          <cell r="C28" t="str">
            <v>_TWT-BO-6.0-RD</v>
          </cell>
          <cell r="D28" t="str">
            <v>шт</v>
          </cell>
          <cell r="E28">
            <v>600</v>
          </cell>
          <cell r="G28">
            <v>420</v>
          </cell>
          <cell r="J28">
            <v>1020</v>
          </cell>
        </row>
        <row r="29">
          <cell r="B29" t="str">
            <v>_Защитные колпачки для кабеля 6,0мм cat.5, на соединение коннектора с кабелем, оранжевый</v>
          </cell>
          <cell r="C29" t="str">
            <v>_TWT-BO-6.0-OR</v>
          </cell>
          <cell r="D29" t="str">
            <v>шт</v>
          </cell>
          <cell r="E29">
            <v>1000</v>
          </cell>
          <cell r="J29">
            <v>1000</v>
          </cell>
        </row>
        <row r="30">
          <cell r="B30" t="str">
            <v>_Защитные колпачки для кабеля 6,0мм cat.5, на соединение коннектора с кабелем, серый</v>
          </cell>
          <cell r="C30" t="str">
            <v>_T WT-BO-6.0-GY</v>
          </cell>
          <cell r="D30" t="str">
            <v>шт</v>
          </cell>
          <cell r="H30">
            <v>320</v>
          </cell>
          <cell r="J30">
            <v>320</v>
          </cell>
        </row>
        <row r="31">
          <cell r="B31" t="str">
            <v>_Защитные колпачки для кабеля 6,0мм cat.5, на соединение коннектора с кабелем, синий</v>
          </cell>
          <cell r="C31" t="str">
            <v>_TWT-BO-6.0-BL</v>
          </cell>
          <cell r="D31" t="str">
            <v>шт</v>
          </cell>
          <cell r="E31">
            <v>400</v>
          </cell>
          <cell r="H31">
            <v>600</v>
          </cell>
          <cell r="J31">
            <v>1000</v>
          </cell>
        </row>
        <row r="32">
          <cell r="B32" t="str">
            <v>_Защитные колпачки для кабеля 6,0мм cat.5, на соединение коннектора с кабелем, черный</v>
          </cell>
          <cell r="C32" t="str">
            <v>_TWT-BO-6.0-BK</v>
          </cell>
          <cell r="D32" t="str">
            <v>шт</v>
          </cell>
          <cell r="E32">
            <v>10</v>
          </cell>
          <cell r="J32">
            <v>10</v>
          </cell>
        </row>
        <row r="33">
          <cell r="B33" t="str">
            <v>_Комплект дверей 42U, 600 мм, черный, передняя - перфорированная, задняя - распашная перфорированная</v>
          </cell>
          <cell r="C33" t="str">
            <v>_TWT-CBB-DR-6x-SET-P1</v>
          </cell>
          <cell r="D33" t="str">
            <v>шт</v>
          </cell>
          <cell r="E33">
            <v>500</v>
          </cell>
          <cell r="H33">
            <v>750</v>
          </cell>
          <cell r="J33">
            <v>1250</v>
          </cell>
        </row>
        <row r="34">
          <cell r="B34" t="str">
            <v>_Коннектор телефонный RJ-10 4P4C для телефонной трубки</v>
          </cell>
          <cell r="C34" t="str">
            <v>_TWT-PL11-4P4C</v>
          </cell>
          <cell r="D34" t="str">
            <v>шт</v>
          </cell>
          <cell r="E34">
            <v>1</v>
          </cell>
          <cell r="J34">
            <v>1</v>
          </cell>
        </row>
        <row r="35">
          <cell r="B35" t="str">
            <v>_Коннектор телефонный RJ-11 6P2C для кабеля 2-х контактный</v>
          </cell>
          <cell r="C35" t="str">
            <v>_TWT-PL12-6P2C</v>
          </cell>
          <cell r="D35" t="str">
            <v>шт</v>
          </cell>
          <cell r="E35">
            <v>320</v>
          </cell>
          <cell r="J35">
            <v>320</v>
          </cell>
        </row>
        <row r="36">
          <cell r="B36" t="str">
            <v>_Коннектор телефонный RJ-11 6P4C для кабеля 4-х контактный</v>
          </cell>
          <cell r="C36" t="str">
            <v>_TWT-PL12-6P4C</v>
          </cell>
          <cell r="D36" t="str">
            <v>шт</v>
          </cell>
          <cell r="F36">
            <v>150</v>
          </cell>
          <cell r="J36">
            <v>150</v>
          </cell>
        </row>
        <row r="37">
          <cell r="B37" t="str">
            <v>_Настенная коробка 1 порт. для Keystone</v>
          </cell>
          <cell r="C37" t="str">
            <v>_TWT-SB1-WH</v>
          </cell>
          <cell r="D37" t="str">
            <v>шт</v>
          </cell>
        </row>
        <row r="38">
          <cell r="B38" t="str">
            <v>_Патч-панель 19", 24 порта RJ-45, категория 5e, UTP, 1U, LANMASTER</v>
          </cell>
          <cell r="C38" t="str">
            <v>_L AN-PP24UTP5E</v>
          </cell>
          <cell r="D38" t="str">
            <v>шт</v>
          </cell>
          <cell r="E38">
            <v>96</v>
          </cell>
          <cell r="H38">
            <v>112</v>
          </cell>
          <cell r="J38">
            <v>208</v>
          </cell>
        </row>
        <row r="39">
          <cell r="B39" t="str">
            <v>_Пластиковая накладка на цоколь, 45х45, белая</v>
          </cell>
          <cell r="C39" t="str">
            <v>_TWT-FR45x45</v>
          </cell>
          <cell r="D39" t="str">
            <v>шт</v>
          </cell>
        </row>
        <row r="40">
          <cell r="B40" t="str">
            <v>_Ударный инструмент для разделки контактов со 110-ми ножами</v>
          </cell>
          <cell r="C40" t="str">
            <v>_LAN-PND-110</v>
          </cell>
          <cell r="D40" t="str">
            <v>шт</v>
          </cell>
          <cell r="E40">
            <v>1500</v>
          </cell>
          <cell r="F40">
            <v>25</v>
          </cell>
          <cell r="G40">
            <v>40</v>
          </cell>
          <cell r="H40">
            <v>50</v>
          </cell>
          <cell r="J40">
            <v>1615</v>
          </cell>
        </row>
        <row r="41">
          <cell r="B41" t="str">
            <v>_Хомут-липучка 310мм, 20 шт., зеленый</v>
          </cell>
          <cell r="C41" t="str">
            <v>_LAN-VCM310-GN</v>
          </cell>
          <cell r="D41" t="str">
            <v>шт</v>
          </cell>
          <cell r="E41">
            <v>100</v>
          </cell>
          <cell r="H41">
            <v>300</v>
          </cell>
          <cell r="J41">
            <v>400</v>
          </cell>
        </row>
        <row r="42">
          <cell r="B42" t="str">
            <v>_Хомут-липучка 310мм, 20 шт., синий</v>
          </cell>
          <cell r="C42" t="str">
            <v>_LAN-VCM310-BL</v>
          </cell>
          <cell r="D42" t="str">
            <v>шт</v>
          </cell>
        </row>
        <row r="43">
          <cell r="B43" t="str">
            <v>_Шкаф 19" Business, 37U 600x800, без дверей, с боковыми стенками, черный</v>
          </cell>
          <cell r="C43" t="str">
            <v>_TWT-CBB-37U-6x8-00</v>
          </cell>
          <cell r="D43" t="str">
            <v>шт</v>
          </cell>
          <cell r="F43">
            <v>100</v>
          </cell>
          <cell r="H43">
            <v>200</v>
          </cell>
          <cell r="J43">
            <v>300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24"/>
  <sheetViews>
    <sheetView tabSelected="1" workbookViewId="0">
      <pane xSplit="3" ySplit="4" topLeftCell="R5" activePane="bottomRight" state="frozen"/>
      <selection pane="topRight" activeCell="D1" sqref="D1"/>
      <selection pane="bottomLeft" activeCell="A3" sqref="A3"/>
      <selection pane="bottomRight" activeCell="AM5" sqref="AM5"/>
    </sheetView>
  </sheetViews>
  <sheetFormatPr defaultRowHeight="15" x14ac:dyDescent="0.25"/>
  <cols>
    <col min="1" max="1" width="4" bestFit="1" customWidth="1"/>
    <col min="2" max="2" width="15.140625" customWidth="1"/>
    <col min="3" max="3" width="29.140625" customWidth="1"/>
    <col min="4" max="16" width="5.7109375" bestFit="1" customWidth="1"/>
    <col min="18" max="20" width="10.85546875" customWidth="1"/>
    <col min="21" max="21" width="6.28515625" bestFit="1" customWidth="1"/>
    <col min="22" max="22" width="9.140625" customWidth="1"/>
    <col min="23" max="23" width="4.5703125" customWidth="1"/>
    <col min="24" max="24" width="9.140625" hidden="1" customWidth="1"/>
    <col min="25" max="25" width="4.5703125" hidden="1" customWidth="1"/>
    <col min="26" max="26" width="6.140625" style="32" customWidth="1"/>
    <col min="27" max="27" width="9.42578125" customWidth="1"/>
    <col min="28" max="28" width="9.140625" hidden="1" customWidth="1"/>
    <col min="29" max="29" width="0" hidden="1" customWidth="1"/>
    <col min="30" max="30" width="3.5703125" style="21" customWidth="1"/>
    <col min="31" max="31" width="6.28515625" style="21" hidden="1" customWidth="1"/>
    <col min="32" max="32" width="7.42578125" style="21" hidden="1" customWidth="1"/>
    <col min="33" max="33" width="6.42578125" style="25" customWidth="1"/>
    <col min="34" max="35" width="0" hidden="1" customWidth="1"/>
    <col min="36" max="36" width="6.28515625" style="28" customWidth="1"/>
    <col min="37" max="37" width="6.5703125" customWidth="1"/>
  </cols>
  <sheetData>
    <row r="2" spans="1:39" ht="45.75" customHeight="1" x14ac:dyDescent="0.25">
      <c r="AE2" s="24" t="s">
        <v>76</v>
      </c>
      <c r="AF2" s="24" t="s">
        <v>79</v>
      </c>
      <c r="AG2" s="26" t="s">
        <v>80</v>
      </c>
      <c r="AJ2" s="29" t="s">
        <v>84</v>
      </c>
    </row>
    <row r="3" spans="1:39" ht="14.25" customHeight="1" x14ac:dyDescent="0.25">
      <c r="A3" s="1"/>
      <c r="B3" s="1"/>
      <c r="C3" s="1"/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2"/>
      <c r="R3" s="1"/>
      <c r="S3" s="1"/>
      <c r="T3" s="1"/>
      <c r="U3" s="1"/>
      <c r="AE3" s="21">
        <v>22</v>
      </c>
      <c r="AF3" s="21">
        <v>2</v>
      </c>
      <c r="AG3" s="25">
        <v>4</v>
      </c>
      <c r="AJ3" s="30">
        <v>0.7</v>
      </c>
    </row>
    <row r="4" spans="1:39" ht="81" customHeight="1" x14ac:dyDescent="0.25">
      <c r="A4" s="3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" t="s">
        <v>16</v>
      </c>
      <c r="R4" s="6" t="s">
        <v>17</v>
      </c>
      <c r="S4" s="6" t="s">
        <v>18</v>
      </c>
      <c r="T4" s="6" t="s">
        <v>19</v>
      </c>
      <c r="U4" s="7" t="s">
        <v>20</v>
      </c>
      <c r="V4" s="8" t="s">
        <v>21</v>
      </c>
      <c r="W4" s="8" t="s">
        <v>22</v>
      </c>
      <c r="X4" s="8" t="s">
        <v>23</v>
      </c>
      <c r="Y4" s="8" t="s">
        <v>23</v>
      </c>
      <c r="Z4" s="33" t="s">
        <v>88</v>
      </c>
      <c r="AA4" s="18" t="s">
        <v>70</v>
      </c>
      <c r="AB4" s="18" t="s">
        <v>69</v>
      </c>
      <c r="AC4" s="18" t="s">
        <v>71</v>
      </c>
      <c r="AD4" s="18" t="s">
        <v>87</v>
      </c>
      <c r="AE4" s="18" t="s">
        <v>77</v>
      </c>
      <c r="AF4" s="18" t="s">
        <v>78</v>
      </c>
      <c r="AG4" s="27" t="s">
        <v>75</v>
      </c>
      <c r="AH4" s="18" t="s">
        <v>81</v>
      </c>
      <c r="AI4" s="18" t="s">
        <v>82</v>
      </c>
      <c r="AJ4" s="31" t="s">
        <v>83</v>
      </c>
      <c r="AK4" s="18" t="s">
        <v>85</v>
      </c>
      <c r="AL4" s="18" t="s">
        <v>86</v>
      </c>
      <c r="AM4" s="18" t="s">
        <v>89</v>
      </c>
    </row>
    <row r="5" spans="1:39" ht="22.5" x14ac:dyDescent="0.25">
      <c r="A5" s="1">
        <v>1</v>
      </c>
      <c r="B5" s="9" t="s">
        <v>24</v>
      </c>
      <c r="C5" s="9" t="s">
        <v>25</v>
      </c>
      <c r="D5" s="10">
        <v>6</v>
      </c>
      <c r="E5" s="10">
        <v>5</v>
      </c>
      <c r="F5" s="10">
        <v>26</v>
      </c>
      <c r="G5" s="10"/>
      <c r="H5" s="10">
        <v>2</v>
      </c>
      <c r="I5" s="10"/>
      <c r="J5" s="10">
        <v>1</v>
      </c>
      <c r="K5" s="10"/>
      <c r="L5" s="10"/>
      <c r="M5" s="10"/>
      <c r="N5" s="10"/>
      <c r="O5" s="10"/>
      <c r="P5" s="10"/>
      <c r="Q5" s="10">
        <f t="shared" ref="Q5:Q23" si="0">SUM(D5:P5)</f>
        <v>40</v>
      </c>
      <c r="R5" s="22">
        <v>32676.18</v>
      </c>
      <c r="S5" s="22">
        <v>25709.42</v>
      </c>
      <c r="T5" s="22">
        <f t="shared" ref="T5:T23" si="1">R5-S5</f>
        <v>6966.760000000002</v>
      </c>
      <c r="U5" s="11">
        <v>21.32</v>
      </c>
      <c r="V5" s="12">
        <f t="shared" ref="V5:V23" si="2">T5/$T$24</f>
        <v>0.26691309183513579</v>
      </c>
      <c r="W5" t="s">
        <v>26</v>
      </c>
      <c r="X5" s="12">
        <f t="shared" ref="X5:X23" si="3">R5/$R$24</f>
        <v>0.27597022517597058</v>
      </c>
      <c r="Y5" t="s">
        <v>67</v>
      </c>
      <c r="Z5" s="32">
        <f t="shared" ref="Z5:Z23" si="4">COUNTA(D5:P5)</f>
        <v>5</v>
      </c>
      <c r="AA5" s="19">
        <f t="shared" ref="AA5:AA23" si="5">AVERAGE(D5:P5)</f>
        <v>8</v>
      </c>
      <c r="AB5" s="19">
        <f t="shared" ref="AB5:AB23" si="6">STDEVP(D5:P5)</f>
        <v>9.1869472622846811</v>
      </c>
      <c r="AC5" s="20">
        <f t="shared" ref="AC5:AC23" si="7">AB5/AA5</f>
        <v>1.1483684077855851</v>
      </c>
      <c r="AD5" s="21" t="s">
        <v>72</v>
      </c>
      <c r="AE5" s="21">
        <f>ROUNDUP(AA5/$AE$3,0)</f>
        <v>1</v>
      </c>
      <c r="AF5" s="21">
        <f>AE5*$AF$3</f>
        <v>2</v>
      </c>
      <c r="AG5" s="25">
        <f>AE5*$AG$3+AF5</f>
        <v>6</v>
      </c>
      <c r="AH5">
        <v>7</v>
      </c>
      <c r="AI5">
        <v>3</v>
      </c>
      <c r="AJ5" s="28">
        <f>ROUND(PERCENTILE(D5:P5,$AJ$3)/7*(AH5+AI5),0)</f>
        <v>8</v>
      </c>
      <c r="AL5">
        <v>0</v>
      </c>
      <c r="AM5">
        <f>INDEX([1]Лист1!$B$2:$J$43,MATCH(B5,[1]Лист1!$C$2:$C$43,0),9)</f>
        <v>0</v>
      </c>
    </row>
    <row r="6" spans="1:39" ht="33.75" x14ac:dyDescent="0.25">
      <c r="A6" s="1">
        <v>2</v>
      </c>
      <c r="B6" s="9" t="s">
        <v>27</v>
      </c>
      <c r="C6" s="9" t="s">
        <v>28</v>
      </c>
      <c r="D6" s="10"/>
      <c r="E6" s="10">
        <v>36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>
        <f t="shared" si="0"/>
        <v>36</v>
      </c>
      <c r="R6" s="23">
        <v>73.44</v>
      </c>
      <c r="S6" s="23">
        <v>51.12</v>
      </c>
      <c r="T6" s="22">
        <f t="shared" si="1"/>
        <v>22.32</v>
      </c>
      <c r="U6" s="11">
        <v>30.39</v>
      </c>
      <c r="V6" s="12">
        <f t="shared" si="2"/>
        <v>8.551321144635712E-4</v>
      </c>
      <c r="W6" t="s">
        <v>29</v>
      </c>
      <c r="X6" s="12">
        <f t="shared" si="3"/>
        <v>6.2024549188195439E-4</v>
      </c>
      <c r="Y6" t="s">
        <v>68</v>
      </c>
      <c r="Z6" s="32">
        <f t="shared" si="4"/>
        <v>1</v>
      </c>
      <c r="AA6" s="19">
        <f t="shared" si="5"/>
        <v>36</v>
      </c>
      <c r="AB6" s="19">
        <f t="shared" si="6"/>
        <v>0</v>
      </c>
      <c r="AC6" s="20">
        <f t="shared" si="7"/>
        <v>0</v>
      </c>
      <c r="AD6" s="21">
        <v>0</v>
      </c>
      <c r="AE6" s="21">
        <f t="shared" ref="AE6:AE23" si="8">ROUNDUP(AA6/$AE$3,0)</f>
        <v>2</v>
      </c>
      <c r="AF6" s="21">
        <f t="shared" ref="AF6:AF23" si="9">AE6*$AF$3</f>
        <v>4</v>
      </c>
      <c r="AG6" s="25">
        <f t="shared" ref="AG6:AG23" si="10">AE6*$AG$3+AF6</f>
        <v>12</v>
      </c>
      <c r="AH6">
        <v>7</v>
      </c>
      <c r="AI6">
        <v>3</v>
      </c>
      <c r="AJ6" s="28">
        <f t="shared" ref="AJ6:AJ23" si="11">ROUND(PERCENTILE(D6:P6,$AJ$3)/7*(AH6+AI6),0)</f>
        <v>51</v>
      </c>
      <c r="AL6">
        <v>0</v>
      </c>
      <c r="AM6">
        <f>INDEX([1]Лист1!$B$2:$J$43,MATCH(B6,[1]Лист1!$C$2:$C$43,0),9)</f>
        <v>450</v>
      </c>
    </row>
    <row r="7" spans="1:39" ht="33.75" x14ac:dyDescent="0.25">
      <c r="A7" s="1">
        <v>3</v>
      </c>
      <c r="B7" s="9" t="s">
        <v>30</v>
      </c>
      <c r="C7" s="9" t="s">
        <v>31</v>
      </c>
      <c r="D7" s="10"/>
      <c r="E7" s="10"/>
      <c r="F7" s="10"/>
      <c r="G7" s="10"/>
      <c r="H7" s="10"/>
      <c r="I7" s="10"/>
      <c r="J7" s="10"/>
      <c r="K7" s="10">
        <v>100</v>
      </c>
      <c r="L7" s="10"/>
      <c r="M7" s="10"/>
      <c r="N7" s="10"/>
      <c r="O7" s="10"/>
      <c r="P7" s="10"/>
      <c r="Q7" s="10">
        <f t="shared" si="0"/>
        <v>100</v>
      </c>
      <c r="R7" s="23">
        <v>222</v>
      </c>
      <c r="S7" s="23">
        <v>132</v>
      </c>
      <c r="T7" s="22">
        <f t="shared" si="1"/>
        <v>90</v>
      </c>
      <c r="U7" s="11">
        <v>40.54</v>
      </c>
      <c r="V7" s="12">
        <f t="shared" si="2"/>
        <v>3.4481133647724645E-3</v>
      </c>
      <c r="W7" t="s">
        <v>29</v>
      </c>
      <c r="X7" s="12">
        <f t="shared" si="3"/>
        <v>1.8749250980091758E-3</v>
      </c>
      <c r="Y7" t="s">
        <v>68</v>
      </c>
      <c r="Z7" s="32">
        <f t="shared" si="4"/>
        <v>1</v>
      </c>
      <c r="AA7" s="19">
        <f t="shared" si="5"/>
        <v>100</v>
      </c>
      <c r="AB7" s="19">
        <f t="shared" si="6"/>
        <v>0</v>
      </c>
      <c r="AC7" s="20">
        <f t="shared" si="7"/>
        <v>0</v>
      </c>
      <c r="AD7" s="21">
        <v>0</v>
      </c>
      <c r="AE7" s="21">
        <f t="shared" si="8"/>
        <v>5</v>
      </c>
      <c r="AF7" s="21">
        <f t="shared" si="9"/>
        <v>10</v>
      </c>
      <c r="AG7" s="25">
        <f t="shared" si="10"/>
        <v>30</v>
      </c>
      <c r="AH7">
        <v>7</v>
      </c>
      <c r="AI7">
        <v>3</v>
      </c>
      <c r="AJ7" s="28">
        <f t="shared" si="11"/>
        <v>143</v>
      </c>
      <c r="AL7">
        <v>0</v>
      </c>
      <c r="AM7">
        <f>INDEX([1]Лист1!$B$2:$J$43,MATCH(B7,[1]Лист1!$C$2:$C$43,0),9)</f>
        <v>0</v>
      </c>
    </row>
    <row r="8" spans="1:39" ht="33.75" x14ac:dyDescent="0.25">
      <c r="A8" s="1">
        <v>4</v>
      </c>
      <c r="B8" s="9" t="s">
        <v>32</v>
      </c>
      <c r="C8" s="9" t="s">
        <v>33</v>
      </c>
      <c r="D8" s="10"/>
      <c r="E8" s="10">
        <v>42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>
        <f t="shared" si="0"/>
        <v>42</v>
      </c>
      <c r="R8" s="23">
        <v>85.68</v>
      </c>
      <c r="S8" s="23">
        <v>51.24</v>
      </c>
      <c r="T8" s="22">
        <f t="shared" si="1"/>
        <v>34.440000000000005</v>
      </c>
      <c r="U8" s="11">
        <v>40.200000000000003</v>
      </c>
      <c r="V8" s="12">
        <f t="shared" si="2"/>
        <v>1.3194780475862633E-3</v>
      </c>
      <c r="W8" t="s">
        <v>29</v>
      </c>
      <c r="X8" s="12">
        <f t="shared" si="3"/>
        <v>7.2361974052894686E-4</v>
      </c>
      <c r="Y8" t="s">
        <v>68</v>
      </c>
      <c r="Z8" s="32">
        <f t="shared" si="4"/>
        <v>1</v>
      </c>
      <c r="AA8" s="19">
        <f t="shared" si="5"/>
        <v>42</v>
      </c>
      <c r="AB8" s="19">
        <f t="shared" si="6"/>
        <v>0</v>
      </c>
      <c r="AC8" s="20">
        <f t="shared" si="7"/>
        <v>0</v>
      </c>
      <c r="AD8" s="21">
        <v>0</v>
      </c>
      <c r="AE8" s="21">
        <f t="shared" si="8"/>
        <v>2</v>
      </c>
      <c r="AF8" s="21">
        <f t="shared" si="9"/>
        <v>4</v>
      </c>
      <c r="AG8" s="25">
        <f t="shared" si="10"/>
        <v>12</v>
      </c>
      <c r="AH8">
        <v>7</v>
      </c>
      <c r="AI8">
        <v>3</v>
      </c>
      <c r="AJ8" s="28">
        <f t="shared" si="11"/>
        <v>60</v>
      </c>
      <c r="AL8">
        <v>0</v>
      </c>
      <c r="AM8">
        <f>INDEX([1]Лист1!$B$2:$J$43,MATCH(B8,[1]Лист1!$C$2:$C$43,0),9)</f>
        <v>1020</v>
      </c>
    </row>
    <row r="9" spans="1:39" ht="33.75" x14ac:dyDescent="0.25">
      <c r="A9" s="1">
        <v>5</v>
      </c>
      <c r="B9" s="9" t="s">
        <v>34</v>
      </c>
      <c r="C9" s="9" t="s">
        <v>35</v>
      </c>
      <c r="D9" s="10">
        <v>40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f t="shared" si="0"/>
        <v>40</v>
      </c>
      <c r="R9" s="23">
        <v>54</v>
      </c>
      <c r="S9" s="23">
        <v>52.8</v>
      </c>
      <c r="T9" s="22">
        <f t="shared" si="1"/>
        <v>1.2000000000000028</v>
      </c>
      <c r="U9" s="11">
        <v>2.2200000000000002</v>
      </c>
      <c r="V9" s="12">
        <f t="shared" si="2"/>
        <v>4.597484486363297E-5</v>
      </c>
      <c r="W9" t="s">
        <v>29</v>
      </c>
      <c r="X9" s="12">
        <f t="shared" si="3"/>
        <v>4.5606286167790765E-4</v>
      </c>
      <c r="Y9" t="s">
        <v>68</v>
      </c>
      <c r="Z9" s="32">
        <f t="shared" si="4"/>
        <v>1</v>
      </c>
      <c r="AA9" s="19">
        <f t="shared" si="5"/>
        <v>40</v>
      </c>
      <c r="AB9" s="19">
        <f t="shared" si="6"/>
        <v>0</v>
      </c>
      <c r="AC9" s="20">
        <f t="shared" si="7"/>
        <v>0</v>
      </c>
      <c r="AD9" s="21">
        <v>0</v>
      </c>
      <c r="AE9" s="21">
        <f t="shared" si="8"/>
        <v>2</v>
      </c>
      <c r="AF9" s="21">
        <f t="shared" si="9"/>
        <v>4</v>
      </c>
      <c r="AG9" s="25">
        <f t="shared" si="10"/>
        <v>12</v>
      </c>
      <c r="AH9">
        <v>7</v>
      </c>
      <c r="AI9">
        <v>3</v>
      </c>
      <c r="AJ9" s="28">
        <f t="shared" si="11"/>
        <v>57</v>
      </c>
      <c r="AL9">
        <v>0</v>
      </c>
      <c r="AM9">
        <f>INDEX([1]Лист1!$B$2:$J$43,MATCH(B9,[1]Лист1!$C$2:$C$43,0),9)</f>
        <v>1000</v>
      </c>
    </row>
    <row r="10" spans="1:39" ht="33.75" x14ac:dyDescent="0.25">
      <c r="A10" s="1">
        <v>6</v>
      </c>
      <c r="B10" s="9" t="s">
        <v>36</v>
      </c>
      <c r="C10" s="9" t="s">
        <v>37</v>
      </c>
      <c r="D10" s="10"/>
      <c r="E10" s="10">
        <v>90</v>
      </c>
      <c r="F10" s="10"/>
      <c r="G10" s="10"/>
      <c r="H10" s="10">
        <v>100</v>
      </c>
      <c r="I10" s="10"/>
      <c r="J10" s="10"/>
      <c r="K10" s="10"/>
      <c r="L10" s="10"/>
      <c r="M10" s="10"/>
      <c r="N10" s="10"/>
      <c r="O10" s="10"/>
      <c r="P10" s="10">
        <v>10</v>
      </c>
      <c r="Q10" s="10">
        <f t="shared" si="0"/>
        <v>200</v>
      </c>
      <c r="R10" s="23">
        <v>401.6</v>
      </c>
      <c r="S10" s="23">
        <v>268.33999999999997</v>
      </c>
      <c r="T10" s="22">
        <f t="shared" si="1"/>
        <v>133.26000000000005</v>
      </c>
      <c r="U10" s="11">
        <v>33.18</v>
      </c>
      <c r="V10" s="12">
        <f t="shared" si="2"/>
        <v>5.1055065221064302E-3</v>
      </c>
      <c r="W10" t="s">
        <v>29</v>
      </c>
      <c r="X10" s="12">
        <f t="shared" si="3"/>
        <v>3.3917563935156984E-3</v>
      </c>
      <c r="Y10" t="s">
        <v>68</v>
      </c>
      <c r="Z10" s="32">
        <f t="shared" si="4"/>
        <v>3</v>
      </c>
      <c r="AA10" s="19">
        <f t="shared" si="5"/>
        <v>66.666666666666671</v>
      </c>
      <c r="AB10" s="19">
        <f t="shared" si="6"/>
        <v>40.276819911981903</v>
      </c>
      <c r="AC10" s="20">
        <f t="shared" si="7"/>
        <v>0.60415229867972853</v>
      </c>
      <c r="AD10" s="21" t="s">
        <v>74</v>
      </c>
      <c r="AE10" s="21">
        <f t="shared" si="8"/>
        <v>4</v>
      </c>
      <c r="AF10" s="21">
        <f t="shared" si="9"/>
        <v>8</v>
      </c>
      <c r="AG10" s="25">
        <f t="shared" si="10"/>
        <v>24</v>
      </c>
      <c r="AH10">
        <v>7</v>
      </c>
      <c r="AI10">
        <v>3</v>
      </c>
      <c r="AJ10" s="28">
        <f t="shared" si="11"/>
        <v>134</v>
      </c>
      <c r="AL10">
        <v>10</v>
      </c>
      <c r="AM10">
        <f>INDEX([1]Лист1!$B$2:$J$43,MATCH(B10,[1]Лист1!$C$2:$C$43,0),9)</f>
        <v>320</v>
      </c>
    </row>
    <row r="11" spans="1:39" ht="33.75" x14ac:dyDescent="0.25">
      <c r="A11" s="1">
        <v>7</v>
      </c>
      <c r="B11" s="9" t="s">
        <v>38</v>
      </c>
      <c r="C11" s="9" t="s">
        <v>39</v>
      </c>
      <c r="D11" s="10">
        <v>30</v>
      </c>
      <c r="E11" s="10">
        <v>30</v>
      </c>
      <c r="F11" s="10"/>
      <c r="G11" s="10"/>
      <c r="H11" s="10"/>
      <c r="I11" s="10"/>
      <c r="J11" s="10">
        <v>40</v>
      </c>
      <c r="K11" s="10"/>
      <c r="L11" s="10"/>
      <c r="M11" s="10"/>
      <c r="N11" s="10"/>
      <c r="O11" s="10"/>
      <c r="P11" s="10"/>
      <c r="Q11" s="10">
        <f t="shared" si="0"/>
        <v>100</v>
      </c>
      <c r="R11" s="23">
        <v>179.7</v>
      </c>
      <c r="S11" s="23">
        <v>130.4</v>
      </c>
      <c r="T11" s="22">
        <f t="shared" si="1"/>
        <v>49.299999999999983</v>
      </c>
      <c r="U11" s="11">
        <v>27.43</v>
      </c>
      <c r="V11" s="12">
        <f t="shared" si="2"/>
        <v>1.8887998764809159E-3</v>
      </c>
      <c r="W11" t="s">
        <v>29</v>
      </c>
      <c r="X11" s="12">
        <f t="shared" si="3"/>
        <v>1.5176758563614815E-3</v>
      </c>
      <c r="Y11" t="s">
        <v>68</v>
      </c>
      <c r="Z11" s="32">
        <f t="shared" si="4"/>
        <v>3</v>
      </c>
      <c r="AA11" s="19">
        <f t="shared" si="5"/>
        <v>33.333333333333336</v>
      </c>
      <c r="AB11" s="19">
        <f t="shared" si="6"/>
        <v>4.714045207910317</v>
      </c>
      <c r="AC11" s="20">
        <f t="shared" si="7"/>
        <v>0.1414213562373095</v>
      </c>
      <c r="AD11" s="21" t="s">
        <v>73</v>
      </c>
      <c r="AE11" s="21">
        <f t="shared" si="8"/>
        <v>2</v>
      </c>
      <c r="AF11" s="21">
        <f t="shared" si="9"/>
        <v>4</v>
      </c>
      <c r="AG11" s="25">
        <f t="shared" si="10"/>
        <v>12</v>
      </c>
      <c r="AH11">
        <v>7</v>
      </c>
      <c r="AI11">
        <v>3</v>
      </c>
      <c r="AJ11" s="28">
        <f t="shared" si="11"/>
        <v>49</v>
      </c>
      <c r="AL11">
        <v>30</v>
      </c>
      <c r="AM11">
        <f>INDEX([1]Лист1!$B$2:$J$43,MATCH(B11,[1]Лист1!$C$2:$C$43,0),9)</f>
        <v>1000</v>
      </c>
    </row>
    <row r="12" spans="1:39" ht="33.75" x14ac:dyDescent="0.25">
      <c r="A12" s="1">
        <v>8</v>
      </c>
      <c r="B12" s="9" t="s">
        <v>40</v>
      </c>
      <c r="C12" s="9" t="s">
        <v>41</v>
      </c>
      <c r="D12" s="10">
        <v>30</v>
      </c>
      <c r="E12" s="10"/>
      <c r="F12" s="10"/>
      <c r="G12" s="10"/>
      <c r="H12" s="10"/>
      <c r="I12" s="10">
        <v>50</v>
      </c>
      <c r="J12" s="10"/>
      <c r="K12" s="10">
        <v>20</v>
      </c>
      <c r="L12" s="10"/>
      <c r="M12" s="10"/>
      <c r="N12" s="10"/>
      <c r="O12" s="10"/>
      <c r="P12" s="10"/>
      <c r="Q12" s="10">
        <f t="shared" si="0"/>
        <v>100</v>
      </c>
      <c r="R12" s="23">
        <v>174.5</v>
      </c>
      <c r="S12" s="23">
        <v>132</v>
      </c>
      <c r="T12" s="22">
        <f t="shared" si="1"/>
        <v>42.5</v>
      </c>
      <c r="U12" s="11">
        <v>24.36</v>
      </c>
      <c r="V12" s="12">
        <f t="shared" si="2"/>
        <v>1.628275755586997E-3</v>
      </c>
      <c r="W12" t="s">
        <v>29</v>
      </c>
      <c r="X12" s="12">
        <f t="shared" si="3"/>
        <v>1.473758691903609E-3</v>
      </c>
      <c r="Y12" t="s">
        <v>68</v>
      </c>
      <c r="Z12" s="32">
        <f t="shared" si="4"/>
        <v>3</v>
      </c>
      <c r="AA12" s="19">
        <f t="shared" si="5"/>
        <v>33.333333333333336</v>
      </c>
      <c r="AB12" s="19">
        <f t="shared" si="6"/>
        <v>12.472191289246471</v>
      </c>
      <c r="AC12" s="20">
        <f t="shared" si="7"/>
        <v>0.37416573867739411</v>
      </c>
      <c r="AD12" s="21" t="s">
        <v>74</v>
      </c>
      <c r="AE12" s="21">
        <f t="shared" si="8"/>
        <v>2</v>
      </c>
      <c r="AF12" s="21">
        <f t="shared" si="9"/>
        <v>4</v>
      </c>
      <c r="AG12" s="25">
        <f t="shared" si="10"/>
        <v>12</v>
      </c>
      <c r="AH12">
        <v>7</v>
      </c>
      <c r="AI12">
        <v>3</v>
      </c>
      <c r="AJ12" s="28">
        <f t="shared" si="11"/>
        <v>54</v>
      </c>
      <c r="AL12">
        <v>30</v>
      </c>
      <c r="AM12">
        <f>INDEX([1]Лист1!$B$2:$J$43,MATCH(B12,[1]Лист1!$C$2:$C$43,0),9)</f>
        <v>10</v>
      </c>
    </row>
    <row r="13" spans="1:39" ht="45" x14ac:dyDescent="0.25">
      <c r="A13" s="1">
        <v>9</v>
      </c>
      <c r="B13" s="9" t="s">
        <v>42</v>
      </c>
      <c r="C13" s="9" t="s">
        <v>43</v>
      </c>
      <c r="D13" s="10"/>
      <c r="E13" s="10"/>
      <c r="F13" s="10"/>
      <c r="G13" s="10"/>
      <c r="H13" s="10"/>
      <c r="I13" s="10">
        <v>1</v>
      </c>
      <c r="J13" s="10"/>
      <c r="K13" s="10"/>
      <c r="L13" s="10"/>
      <c r="M13" s="10"/>
      <c r="N13" s="10"/>
      <c r="O13" s="10"/>
      <c r="P13" s="10"/>
      <c r="Q13" s="10">
        <f t="shared" si="0"/>
        <v>1</v>
      </c>
      <c r="R13" s="22">
        <v>6250</v>
      </c>
      <c r="S13" s="22">
        <v>4767.33</v>
      </c>
      <c r="T13" s="22">
        <f t="shared" si="1"/>
        <v>1482.67</v>
      </c>
      <c r="U13" s="11">
        <v>23.72</v>
      </c>
      <c r="V13" s="12">
        <f t="shared" si="2"/>
        <v>5.680460269496878E-2</v>
      </c>
      <c r="W13" t="s">
        <v>29</v>
      </c>
      <c r="X13" s="12">
        <f t="shared" si="3"/>
        <v>5.2785053434943018E-2</v>
      </c>
      <c r="Y13" t="s">
        <v>68</v>
      </c>
      <c r="Z13" s="32">
        <f t="shared" si="4"/>
        <v>1</v>
      </c>
      <c r="AA13" s="19">
        <f t="shared" si="5"/>
        <v>1</v>
      </c>
      <c r="AB13" s="19">
        <f t="shared" si="6"/>
        <v>0</v>
      </c>
      <c r="AC13" s="20">
        <f t="shared" si="7"/>
        <v>0</v>
      </c>
      <c r="AD13" s="21">
        <v>0</v>
      </c>
      <c r="AE13" s="21">
        <f t="shared" si="8"/>
        <v>1</v>
      </c>
      <c r="AF13" s="21">
        <f t="shared" si="9"/>
        <v>2</v>
      </c>
      <c r="AG13" s="25">
        <f t="shared" si="10"/>
        <v>6</v>
      </c>
      <c r="AH13">
        <v>7</v>
      </c>
      <c r="AI13">
        <v>3</v>
      </c>
      <c r="AJ13" s="28">
        <f t="shared" si="11"/>
        <v>1</v>
      </c>
      <c r="AL13">
        <v>0</v>
      </c>
      <c r="AM13">
        <f>INDEX([1]Лист1!$B$2:$J$43,MATCH(B13,[1]Лист1!$C$2:$C$43,0),9)</f>
        <v>1250</v>
      </c>
    </row>
    <row r="14" spans="1:39" ht="22.5" x14ac:dyDescent="0.25">
      <c r="A14" s="1">
        <v>10</v>
      </c>
      <c r="B14" s="9" t="s">
        <v>44</v>
      </c>
      <c r="C14" s="9" t="s">
        <v>45</v>
      </c>
      <c r="D14" s="10">
        <v>20</v>
      </c>
      <c r="E14" s="10"/>
      <c r="F14" s="10">
        <v>400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f t="shared" si="0"/>
        <v>420</v>
      </c>
      <c r="R14" s="23">
        <v>397</v>
      </c>
      <c r="S14" s="23">
        <v>301.85000000000002</v>
      </c>
      <c r="T14" s="22">
        <f t="shared" si="1"/>
        <v>95.149999999999977</v>
      </c>
      <c r="U14" s="11">
        <v>23.97</v>
      </c>
      <c r="V14" s="12">
        <f t="shared" si="2"/>
        <v>3.6454220739788878E-3</v>
      </c>
      <c r="W14" t="s">
        <v>29</v>
      </c>
      <c r="X14" s="12">
        <f t="shared" si="3"/>
        <v>3.3529065941875803E-3</v>
      </c>
      <c r="Y14" t="s">
        <v>68</v>
      </c>
      <c r="Z14" s="32">
        <f t="shared" si="4"/>
        <v>2</v>
      </c>
      <c r="AA14" s="19">
        <f t="shared" si="5"/>
        <v>210</v>
      </c>
      <c r="AB14" s="19">
        <f t="shared" si="6"/>
        <v>190</v>
      </c>
      <c r="AC14" s="20">
        <f t="shared" si="7"/>
        <v>0.90476190476190477</v>
      </c>
      <c r="AD14" s="21" t="s">
        <v>72</v>
      </c>
      <c r="AE14" s="21">
        <f t="shared" si="8"/>
        <v>10</v>
      </c>
      <c r="AF14" s="21">
        <f t="shared" si="9"/>
        <v>20</v>
      </c>
      <c r="AG14" s="25">
        <f t="shared" si="10"/>
        <v>60</v>
      </c>
      <c r="AH14">
        <v>7</v>
      </c>
      <c r="AI14">
        <v>3</v>
      </c>
      <c r="AJ14" s="28">
        <f t="shared" si="11"/>
        <v>409</v>
      </c>
      <c r="AL14">
        <v>0</v>
      </c>
      <c r="AM14">
        <f>INDEX([1]Лист1!$B$2:$J$43,MATCH(B14,[1]Лист1!$C$2:$C$43,0),9)</f>
        <v>1</v>
      </c>
    </row>
    <row r="15" spans="1:39" ht="22.5" x14ac:dyDescent="0.25">
      <c r="A15" s="1">
        <v>11</v>
      </c>
      <c r="B15" s="9" t="s">
        <v>46</v>
      </c>
      <c r="C15" s="9" t="s">
        <v>47</v>
      </c>
      <c r="D15" s="10">
        <v>6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f t="shared" si="0"/>
        <v>6</v>
      </c>
      <c r="R15" s="23">
        <v>6</v>
      </c>
      <c r="S15" s="23">
        <v>3.96</v>
      </c>
      <c r="T15" s="22">
        <f t="shared" si="1"/>
        <v>2.04</v>
      </c>
      <c r="U15" s="11">
        <v>34</v>
      </c>
      <c r="V15" s="12">
        <f t="shared" si="2"/>
        <v>7.8157236268175859E-5</v>
      </c>
      <c r="W15" t="s">
        <v>29</v>
      </c>
      <c r="X15" s="12">
        <f t="shared" si="3"/>
        <v>5.0673651297545295E-5</v>
      </c>
      <c r="Y15" t="s">
        <v>68</v>
      </c>
      <c r="Z15" s="32">
        <f t="shared" si="4"/>
        <v>1</v>
      </c>
      <c r="AA15" s="19">
        <f t="shared" si="5"/>
        <v>6</v>
      </c>
      <c r="AB15" s="19">
        <f t="shared" si="6"/>
        <v>0</v>
      </c>
      <c r="AC15" s="20">
        <f t="shared" si="7"/>
        <v>0</v>
      </c>
      <c r="AD15" s="21">
        <v>0</v>
      </c>
      <c r="AE15" s="21">
        <f t="shared" si="8"/>
        <v>1</v>
      </c>
      <c r="AF15" s="21">
        <f t="shared" si="9"/>
        <v>2</v>
      </c>
      <c r="AG15" s="25">
        <f t="shared" si="10"/>
        <v>6</v>
      </c>
      <c r="AH15">
        <v>7</v>
      </c>
      <c r="AI15">
        <v>3</v>
      </c>
      <c r="AJ15" s="28">
        <f t="shared" si="11"/>
        <v>9</v>
      </c>
      <c r="AL15">
        <v>0</v>
      </c>
      <c r="AM15">
        <f>INDEX([1]Лист1!$B$2:$J$43,MATCH(B15,[1]Лист1!$C$2:$C$43,0),9)</f>
        <v>320</v>
      </c>
    </row>
    <row r="16" spans="1:39" ht="22.5" x14ac:dyDescent="0.25">
      <c r="A16" s="1">
        <v>12</v>
      </c>
      <c r="B16" s="9" t="s">
        <v>48</v>
      </c>
      <c r="C16" s="9" t="s">
        <v>49</v>
      </c>
      <c r="D16" s="10">
        <v>2500</v>
      </c>
      <c r="E16" s="10">
        <v>170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f t="shared" si="0"/>
        <v>2670</v>
      </c>
      <c r="R16" s="22">
        <v>4591</v>
      </c>
      <c r="S16" s="22">
        <v>2091.6799999999998</v>
      </c>
      <c r="T16" s="22">
        <f t="shared" si="1"/>
        <v>2499.3200000000002</v>
      </c>
      <c r="U16" s="11">
        <v>54.44</v>
      </c>
      <c r="V16" s="12">
        <f t="shared" si="2"/>
        <v>9.5754874387145736E-2</v>
      </c>
      <c r="W16" t="s">
        <v>50</v>
      </c>
      <c r="X16" s="12">
        <f t="shared" si="3"/>
        <v>3.8773788851171741E-2</v>
      </c>
      <c r="Y16" t="s">
        <v>68</v>
      </c>
      <c r="Z16" s="32">
        <f t="shared" si="4"/>
        <v>2</v>
      </c>
      <c r="AA16" s="19">
        <f t="shared" si="5"/>
        <v>1335</v>
      </c>
      <c r="AB16" s="19">
        <f t="shared" si="6"/>
        <v>1165</v>
      </c>
      <c r="AC16" s="20">
        <f t="shared" si="7"/>
        <v>0.87265917602996257</v>
      </c>
      <c r="AD16" s="21" t="s">
        <v>72</v>
      </c>
      <c r="AE16" s="21">
        <f t="shared" si="8"/>
        <v>61</v>
      </c>
      <c r="AF16" s="21">
        <f t="shared" si="9"/>
        <v>122</v>
      </c>
      <c r="AG16" s="25">
        <f t="shared" si="10"/>
        <v>366</v>
      </c>
      <c r="AH16">
        <v>7</v>
      </c>
      <c r="AI16">
        <v>3</v>
      </c>
      <c r="AJ16" s="28">
        <f t="shared" si="11"/>
        <v>2573</v>
      </c>
      <c r="AL16">
        <v>0</v>
      </c>
      <c r="AM16">
        <f>INDEX([1]Лист1!$B$2:$J$43,MATCH(B16,[1]Лист1!$C$2:$C$43,0),9)</f>
        <v>150</v>
      </c>
    </row>
    <row r="17" spans="1:39" ht="22.5" x14ac:dyDescent="0.25">
      <c r="A17" s="1">
        <v>13</v>
      </c>
      <c r="B17" s="9" t="s">
        <v>51</v>
      </c>
      <c r="C17" s="9" t="s">
        <v>52</v>
      </c>
      <c r="D17" s="10">
        <v>10</v>
      </c>
      <c r="E17" s="10"/>
      <c r="F17" s="10"/>
      <c r="G17" s="10">
        <v>29</v>
      </c>
      <c r="H17" s="10">
        <v>66</v>
      </c>
      <c r="I17" s="10"/>
      <c r="J17" s="10"/>
      <c r="K17" s="10"/>
      <c r="L17" s="10"/>
      <c r="M17" s="10"/>
      <c r="N17" s="10"/>
      <c r="O17" s="10"/>
      <c r="P17" s="10"/>
      <c r="Q17" s="10">
        <f t="shared" si="0"/>
        <v>105</v>
      </c>
      <c r="R17" s="22">
        <v>1266.5999999999999</v>
      </c>
      <c r="S17" s="22">
        <v>1178.6300000000001</v>
      </c>
      <c r="T17" s="22">
        <f t="shared" si="1"/>
        <v>87.9699999999998</v>
      </c>
      <c r="U17" s="11">
        <v>6.95</v>
      </c>
      <c r="V17" s="12">
        <f t="shared" si="2"/>
        <v>3.3703392522114778E-3</v>
      </c>
      <c r="W17" t="s">
        <v>29</v>
      </c>
      <c r="X17" s="12">
        <f t="shared" si="3"/>
        <v>1.0697207788911811E-2</v>
      </c>
      <c r="Y17" t="s">
        <v>68</v>
      </c>
      <c r="Z17" s="32">
        <f t="shared" si="4"/>
        <v>3</v>
      </c>
      <c r="AA17" s="19">
        <f t="shared" si="5"/>
        <v>35</v>
      </c>
      <c r="AB17" s="19">
        <f t="shared" si="6"/>
        <v>23.252240035460382</v>
      </c>
      <c r="AC17" s="20">
        <f t="shared" si="7"/>
        <v>0.6643497152988681</v>
      </c>
      <c r="AD17" s="21" t="s">
        <v>72</v>
      </c>
      <c r="AE17" s="21">
        <f t="shared" si="8"/>
        <v>2</v>
      </c>
      <c r="AF17" s="21">
        <f t="shared" si="9"/>
        <v>4</v>
      </c>
      <c r="AG17" s="25">
        <f t="shared" si="10"/>
        <v>12</v>
      </c>
      <c r="AH17">
        <v>7</v>
      </c>
      <c r="AI17">
        <v>3</v>
      </c>
      <c r="AJ17" s="28">
        <f t="shared" si="11"/>
        <v>63</v>
      </c>
      <c r="AL17">
        <v>0</v>
      </c>
      <c r="AM17">
        <f>INDEX([1]Лист1!$B$2:$J$43,MATCH(B17,[1]Лист1!$C$2:$C$43,0),9)</f>
        <v>0</v>
      </c>
    </row>
    <row r="18" spans="1:39" ht="22.5" x14ac:dyDescent="0.25">
      <c r="A18" s="1">
        <v>14</v>
      </c>
      <c r="B18" s="9" t="s">
        <v>53</v>
      </c>
      <c r="C18" s="9" t="s">
        <v>54</v>
      </c>
      <c r="D18" s="10"/>
      <c r="E18" s="10"/>
      <c r="F18" s="10">
        <v>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f t="shared" si="0"/>
        <v>1</v>
      </c>
      <c r="R18" s="22">
        <v>2835.5</v>
      </c>
      <c r="S18" s="22">
        <v>1533.63</v>
      </c>
      <c r="T18" s="22">
        <f t="shared" si="1"/>
        <v>1301.8699999999999</v>
      </c>
      <c r="U18" s="11">
        <v>45.91</v>
      </c>
      <c r="V18" s="12">
        <f t="shared" si="2"/>
        <v>4.9877726068848084E-2</v>
      </c>
      <c r="W18" t="s">
        <v>29</v>
      </c>
      <c r="X18" s="12">
        <f t="shared" si="3"/>
        <v>2.3947523042364947E-2</v>
      </c>
      <c r="Y18" t="s">
        <v>68</v>
      </c>
      <c r="Z18" s="32">
        <f t="shared" si="4"/>
        <v>1</v>
      </c>
      <c r="AA18" s="19">
        <f t="shared" si="5"/>
        <v>1</v>
      </c>
      <c r="AB18" s="19">
        <f t="shared" si="6"/>
        <v>0</v>
      </c>
      <c r="AC18" s="20">
        <f t="shared" si="7"/>
        <v>0</v>
      </c>
      <c r="AD18" s="21">
        <v>0</v>
      </c>
      <c r="AE18" s="21">
        <f t="shared" si="8"/>
        <v>1</v>
      </c>
      <c r="AF18" s="21">
        <f t="shared" si="9"/>
        <v>2</v>
      </c>
      <c r="AG18" s="25">
        <f t="shared" si="10"/>
        <v>6</v>
      </c>
      <c r="AH18">
        <v>7</v>
      </c>
      <c r="AI18">
        <v>3</v>
      </c>
      <c r="AJ18" s="28">
        <f t="shared" si="11"/>
        <v>1</v>
      </c>
      <c r="AL18">
        <v>0</v>
      </c>
      <c r="AM18">
        <f>INDEX([1]Лист1!$B$2:$J$43,MATCH(B18,[1]Лист1!$C$2:$C$43,0),9)</f>
        <v>208</v>
      </c>
    </row>
    <row r="19" spans="1:39" ht="22.5" x14ac:dyDescent="0.25">
      <c r="A19" s="1">
        <v>15</v>
      </c>
      <c r="B19" s="9" t="s">
        <v>55</v>
      </c>
      <c r="C19" s="9" t="s">
        <v>56</v>
      </c>
      <c r="D19" s="10"/>
      <c r="E19" s="10"/>
      <c r="F19" s="10"/>
      <c r="G19" s="10">
        <v>1</v>
      </c>
      <c r="H19" s="10"/>
      <c r="I19" s="10"/>
      <c r="J19" s="10"/>
      <c r="K19" s="10">
        <v>5</v>
      </c>
      <c r="L19" s="10"/>
      <c r="M19" s="10"/>
      <c r="N19" s="10"/>
      <c r="O19" s="10"/>
      <c r="P19" s="10"/>
      <c r="Q19" s="10">
        <f t="shared" si="0"/>
        <v>6</v>
      </c>
      <c r="R19" s="23">
        <v>88.2</v>
      </c>
      <c r="S19" s="23">
        <v>73.260000000000005</v>
      </c>
      <c r="T19" s="22">
        <f t="shared" si="1"/>
        <v>14.939999999999998</v>
      </c>
      <c r="U19" s="11">
        <v>16.940000000000001</v>
      </c>
      <c r="V19" s="12">
        <f t="shared" si="2"/>
        <v>5.7238681855222896E-4</v>
      </c>
      <c r="W19" t="s">
        <v>29</v>
      </c>
      <c r="X19" s="12">
        <f t="shared" si="3"/>
        <v>7.449026740739158E-4</v>
      </c>
      <c r="Y19" t="s">
        <v>68</v>
      </c>
      <c r="Z19" s="32">
        <f t="shared" si="4"/>
        <v>2</v>
      </c>
      <c r="AA19" s="19">
        <f t="shared" si="5"/>
        <v>3</v>
      </c>
      <c r="AB19" s="19">
        <f t="shared" si="6"/>
        <v>2</v>
      </c>
      <c r="AC19" s="20">
        <f t="shared" si="7"/>
        <v>0.66666666666666663</v>
      </c>
      <c r="AD19" s="21" t="s">
        <v>72</v>
      </c>
      <c r="AE19" s="21">
        <f t="shared" si="8"/>
        <v>1</v>
      </c>
      <c r="AF19" s="21">
        <f t="shared" si="9"/>
        <v>2</v>
      </c>
      <c r="AG19" s="25">
        <f t="shared" si="10"/>
        <v>6</v>
      </c>
      <c r="AH19">
        <v>7</v>
      </c>
      <c r="AI19">
        <v>3</v>
      </c>
      <c r="AJ19" s="28">
        <f t="shared" si="11"/>
        <v>5</v>
      </c>
      <c r="AL19">
        <v>0</v>
      </c>
      <c r="AM19">
        <f>INDEX([1]Лист1!$B$2:$J$43,MATCH(B19,[1]Лист1!$C$2:$C$43,0),9)</f>
        <v>0</v>
      </c>
    </row>
    <row r="20" spans="1:39" ht="22.5" x14ac:dyDescent="0.25">
      <c r="A20" s="1">
        <v>16</v>
      </c>
      <c r="B20" s="9" t="s">
        <v>57</v>
      </c>
      <c r="C20" s="9" t="s">
        <v>58</v>
      </c>
      <c r="D20" s="10"/>
      <c r="E20" s="10"/>
      <c r="F20" s="10"/>
      <c r="G20" s="10"/>
      <c r="H20" s="10"/>
      <c r="I20" s="10"/>
      <c r="J20" s="10"/>
      <c r="K20" s="10"/>
      <c r="L20" s="10"/>
      <c r="M20" s="10">
        <v>10</v>
      </c>
      <c r="N20" s="10"/>
      <c r="O20" s="10"/>
      <c r="P20" s="10"/>
      <c r="Q20" s="10">
        <f t="shared" si="0"/>
        <v>10</v>
      </c>
      <c r="R20" s="22">
        <v>8072.4</v>
      </c>
      <c r="S20" s="22">
        <v>5090.18</v>
      </c>
      <c r="T20" s="22">
        <f t="shared" si="1"/>
        <v>2982.2199999999993</v>
      </c>
      <c r="U20" s="11">
        <v>36.94</v>
      </c>
      <c r="V20" s="12">
        <f t="shared" si="2"/>
        <v>0.11425591820768596</v>
      </c>
      <c r="W20" t="s">
        <v>50</v>
      </c>
      <c r="X20" s="12">
        <f t="shared" si="3"/>
        <v>6.8176330455717429E-2</v>
      </c>
      <c r="Y20" t="s">
        <v>68</v>
      </c>
      <c r="Z20" s="32">
        <f t="shared" si="4"/>
        <v>1</v>
      </c>
      <c r="AA20" s="19">
        <f t="shared" si="5"/>
        <v>10</v>
      </c>
      <c r="AB20" s="19">
        <f t="shared" si="6"/>
        <v>0</v>
      </c>
      <c r="AC20" s="20">
        <f t="shared" si="7"/>
        <v>0</v>
      </c>
      <c r="AD20" s="21">
        <v>0</v>
      </c>
      <c r="AE20" s="21">
        <f t="shared" si="8"/>
        <v>1</v>
      </c>
      <c r="AF20" s="21">
        <f t="shared" si="9"/>
        <v>2</v>
      </c>
      <c r="AG20" s="25">
        <f t="shared" si="10"/>
        <v>6</v>
      </c>
      <c r="AH20">
        <v>7</v>
      </c>
      <c r="AI20">
        <v>3</v>
      </c>
      <c r="AJ20" s="28">
        <f t="shared" si="11"/>
        <v>14</v>
      </c>
      <c r="AL20">
        <v>0</v>
      </c>
      <c r="AM20">
        <f>INDEX([1]Лист1!$B$2:$J$43,MATCH(B20,[1]Лист1!$C$2:$C$43,0),9)</f>
        <v>1615</v>
      </c>
    </row>
    <row r="21" spans="1:39" ht="22.5" x14ac:dyDescent="0.25">
      <c r="A21" s="1">
        <v>17</v>
      </c>
      <c r="B21" s="9" t="s">
        <v>59</v>
      </c>
      <c r="C21" s="9" t="s">
        <v>60</v>
      </c>
      <c r="D21" s="10"/>
      <c r="E21" s="10"/>
      <c r="F21" s="10"/>
      <c r="G21" s="10">
        <v>1</v>
      </c>
      <c r="H21" s="10">
        <v>10</v>
      </c>
      <c r="I21" s="10"/>
      <c r="J21" s="10"/>
      <c r="K21" s="10"/>
      <c r="L21" s="10"/>
      <c r="M21" s="10"/>
      <c r="N21" s="10"/>
      <c r="O21" s="10"/>
      <c r="P21" s="10"/>
      <c r="Q21" s="10">
        <f t="shared" si="0"/>
        <v>11</v>
      </c>
      <c r="R21" s="22">
        <v>1740.55</v>
      </c>
      <c r="S21" s="22">
        <v>4536.6400000000003</v>
      </c>
      <c r="T21" s="22">
        <f t="shared" si="1"/>
        <v>-2796.09</v>
      </c>
      <c r="U21" s="11">
        <v>-160.63999999999999</v>
      </c>
      <c r="V21" s="12">
        <f t="shared" si="2"/>
        <v>-0.10712483664562934</v>
      </c>
      <c r="W21" t="s">
        <v>29</v>
      </c>
      <c r="X21" s="12">
        <f t="shared" si="3"/>
        <v>1.470000396099041E-2</v>
      </c>
      <c r="Y21" t="s">
        <v>68</v>
      </c>
      <c r="Z21" s="32">
        <f t="shared" si="4"/>
        <v>2</v>
      </c>
      <c r="AA21" s="19">
        <f t="shared" si="5"/>
        <v>5.5</v>
      </c>
      <c r="AB21" s="19">
        <f t="shared" si="6"/>
        <v>4.5</v>
      </c>
      <c r="AC21" s="20">
        <f t="shared" si="7"/>
        <v>0.81818181818181823</v>
      </c>
      <c r="AD21" s="21" t="s">
        <v>72</v>
      </c>
      <c r="AE21" s="21">
        <f t="shared" si="8"/>
        <v>1</v>
      </c>
      <c r="AF21" s="21">
        <f t="shared" si="9"/>
        <v>2</v>
      </c>
      <c r="AG21" s="25">
        <f t="shared" si="10"/>
        <v>6</v>
      </c>
      <c r="AH21">
        <v>7</v>
      </c>
      <c r="AI21">
        <v>3</v>
      </c>
      <c r="AJ21" s="28">
        <f t="shared" si="11"/>
        <v>10</v>
      </c>
      <c r="AL21">
        <v>0</v>
      </c>
      <c r="AM21">
        <f>INDEX([1]Лист1!$B$2:$J$43,MATCH(B21,[1]Лист1!$C$2:$C$43,0),9)</f>
        <v>400</v>
      </c>
    </row>
    <row r="22" spans="1:39" ht="22.5" x14ac:dyDescent="0.25">
      <c r="A22" s="1">
        <v>18</v>
      </c>
      <c r="B22" s="9" t="s">
        <v>61</v>
      </c>
      <c r="C22" s="9" t="s">
        <v>62</v>
      </c>
      <c r="D22" s="10"/>
      <c r="E22" s="10"/>
      <c r="F22" s="10">
        <v>5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f t="shared" si="0"/>
        <v>5</v>
      </c>
      <c r="R22" s="22">
        <v>2892.8</v>
      </c>
      <c r="S22" s="22">
        <v>2022.95</v>
      </c>
      <c r="T22" s="22">
        <f t="shared" si="1"/>
        <v>869.85000000000014</v>
      </c>
      <c r="U22" s="11">
        <v>30.07</v>
      </c>
      <c r="V22" s="12">
        <f t="shared" si="2"/>
        <v>3.3326015670525871E-2</v>
      </c>
      <c r="W22" t="s">
        <v>29</v>
      </c>
      <c r="X22" s="12">
        <f t="shared" si="3"/>
        <v>2.4431456412256507E-2</v>
      </c>
      <c r="Y22" t="s">
        <v>68</v>
      </c>
      <c r="Z22" s="32">
        <f t="shared" si="4"/>
        <v>1</v>
      </c>
      <c r="AA22" s="19">
        <f t="shared" si="5"/>
        <v>5</v>
      </c>
      <c r="AB22" s="19">
        <f t="shared" si="6"/>
        <v>0</v>
      </c>
      <c r="AC22" s="20">
        <f t="shared" si="7"/>
        <v>0</v>
      </c>
      <c r="AD22" s="21">
        <v>0</v>
      </c>
      <c r="AE22" s="21">
        <f t="shared" si="8"/>
        <v>1</v>
      </c>
      <c r="AF22" s="21">
        <f t="shared" si="9"/>
        <v>2</v>
      </c>
      <c r="AG22" s="25">
        <f t="shared" si="10"/>
        <v>6</v>
      </c>
      <c r="AH22">
        <v>7</v>
      </c>
      <c r="AI22">
        <v>3</v>
      </c>
      <c r="AJ22" s="28">
        <f t="shared" si="11"/>
        <v>7</v>
      </c>
      <c r="AL22">
        <v>0</v>
      </c>
      <c r="AM22">
        <f>INDEX([1]Лист1!$B$2:$J$43,MATCH(B22,[1]Лист1!$C$2:$C$43,0),9)</f>
        <v>0</v>
      </c>
    </row>
    <row r="23" spans="1:39" ht="33.75" x14ac:dyDescent="0.25">
      <c r="A23" s="1">
        <v>19</v>
      </c>
      <c r="B23" s="9" t="s">
        <v>63</v>
      </c>
      <c r="C23" s="9" t="s">
        <v>64</v>
      </c>
      <c r="D23" s="10"/>
      <c r="E23" s="10"/>
      <c r="F23" s="10"/>
      <c r="G23" s="10">
        <v>3</v>
      </c>
      <c r="H23" s="10"/>
      <c r="I23" s="10">
        <v>1</v>
      </c>
      <c r="J23" s="10"/>
      <c r="K23" s="10"/>
      <c r="L23" s="10"/>
      <c r="M23" s="10"/>
      <c r="N23" s="10"/>
      <c r="O23" s="10"/>
      <c r="P23" s="10"/>
      <c r="Q23" s="10">
        <f t="shared" si="0"/>
        <v>4</v>
      </c>
      <c r="R23" s="22">
        <v>56397.58</v>
      </c>
      <c r="S23" s="22">
        <v>44176.07</v>
      </c>
      <c r="T23" s="22">
        <f t="shared" si="1"/>
        <v>12221.510000000002</v>
      </c>
      <c r="U23" s="11">
        <v>21.67</v>
      </c>
      <c r="V23" s="12">
        <f t="shared" si="2"/>
        <v>0.4682350218744481</v>
      </c>
      <c r="W23" t="s">
        <v>65</v>
      </c>
      <c r="X23" s="12">
        <f t="shared" si="3"/>
        <v>0.47631188382423578</v>
      </c>
      <c r="Y23" t="s">
        <v>67</v>
      </c>
      <c r="Z23" s="32">
        <f t="shared" si="4"/>
        <v>2</v>
      </c>
      <c r="AA23" s="19">
        <f t="shared" si="5"/>
        <v>2</v>
      </c>
      <c r="AB23" s="19">
        <f t="shared" si="6"/>
        <v>1</v>
      </c>
      <c r="AC23" s="20">
        <f t="shared" si="7"/>
        <v>0.5</v>
      </c>
      <c r="AD23" s="21" t="s">
        <v>74</v>
      </c>
      <c r="AE23" s="21">
        <f t="shared" si="8"/>
        <v>1</v>
      </c>
      <c r="AF23" s="21">
        <f t="shared" si="9"/>
        <v>2</v>
      </c>
      <c r="AG23" s="25">
        <f t="shared" si="10"/>
        <v>6</v>
      </c>
      <c r="AH23">
        <v>7</v>
      </c>
      <c r="AI23">
        <v>3</v>
      </c>
      <c r="AJ23" s="28">
        <f t="shared" si="11"/>
        <v>3</v>
      </c>
      <c r="AL23">
        <v>0</v>
      </c>
      <c r="AM23">
        <f>INDEX([1]Лист1!$B$2:$J$43,MATCH(B23,[1]Лист1!$C$2:$C$43,0),9)</f>
        <v>300</v>
      </c>
    </row>
    <row r="24" spans="1:39" x14ac:dyDescent="0.25">
      <c r="A24" s="1"/>
      <c r="B24" s="34" t="s">
        <v>66</v>
      </c>
      <c r="C24" s="34"/>
      <c r="D24" s="13">
        <f>SUM(D5:D23)</f>
        <v>2642</v>
      </c>
      <c r="E24" s="13">
        <f t="shared" ref="E24:Q24" si="12">SUM(E5:E23)</f>
        <v>373</v>
      </c>
      <c r="F24" s="13">
        <f t="shared" si="12"/>
        <v>432</v>
      </c>
      <c r="G24" s="13">
        <f t="shared" si="12"/>
        <v>34</v>
      </c>
      <c r="H24" s="13">
        <f t="shared" si="12"/>
        <v>178</v>
      </c>
      <c r="I24" s="13">
        <f t="shared" si="12"/>
        <v>52</v>
      </c>
      <c r="J24" s="13">
        <f t="shared" si="12"/>
        <v>41</v>
      </c>
      <c r="K24" s="13">
        <f t="shared" si="12"/>
        <v>125</v>
      </c>
      <c r="L24" s="13">
        <f t="shared" si="12"/>
        <v>0</v>
      </c>
      <c r="M24" s="13">
        <f t="shared" si="12"/>
        <v>10</v>
      </c>
      <c r="N24" s="13">
        <f t="shared" si="12"/>
        <v>0</v>
      </c>
      <c r="O24" s="13">
        <f t="shared" si="12"/>
        <v>0</v>
      </c>
      <c r="P24" s="13">
        <f t="shared" si="12"/>
        <v>10</v>
      </c>
      <c r="Q24" s="13">
        <f t="shared" si="12"/>
        <v>3897</v>
      </c>
      <c r="R24" s="14">
        <f>SUM(R5:R23)</f>
        <v>118404.73</v>
      </c>
      <c r="S24" s="14">
        <f>SUM(S5:S23)</f>
        <v>92303.5</v>
      </c>
      <c r="T24" s="14">
        <f>SUM(T5:T23)</f>
        <v>26101.230000000003</v>
      </c>
      <c r="U24" s="15">
        <f>AVERAGE(U5:U23)</f>
        <v>18.611052631578946</v>
      </c>
      <c r="V24">
        <f>SUM(V5:V23)</f>
        <v>1</v>
      </c>
      <c r="X24" s="16">
        <f>SUM(X5:X23)</f>
        <v>1</v>
      </c>
    </row>
  </sheetData>
  <autoFilter ref="A4:AL24"/>
  <sortState ref="A3:AD855">
    <sortCondition ref="A3:A855"/>
  </sortState>
  <mergeCells count="1">
    <mergeCell ref="B24:C24"/>
  </mergeCells>
  <conditionalFormatting sqref="U3:U24">
    <cfRule type="cellIs" dxfId="5" priority="14" operator="greaterThan">
      <formula>25</formula>
    </cfRule>
  </conditionalFormatting>
  <conditionalFormatting sqref="W3:W24">
    <cfRule type="containsText" dxfId="4" priority="13" operator="containsText" text="A">
      <formula>NOT(ISERROR(SEARCH("A",W3)))</formula>
    </cfRule>
  </conditionalFormatting>
  <conditionalFormatting sqref="AA24:AA1048576 Y5:Z1048576 Y3:AA4 AB4:AC4 AE4:AM4">
    <cfRule type="cellIs" dxfId="3" priority="12" operator="equal">
      <formula>"A"</formula>
    </cfRule>
  </conditionalFormatting>
  <conditionalFormatting sqref="Z4">
    <cfRule type="cellIs" dxfId="2" priority="10" operator="greaterThan">
      <formula>8</formula>
    </cfRule>
  </conditionalFormatting>
  <conditionalFormatting sqref="Z1:Z1048576">
    <cfRule type="cellIs" dxfId="1" priority="7" operator="greaterThan">
      <formula>7</formula>
    </cfRule>
  </conditionalFormatting>
  <conditionalFormatting sqref="AD1:AD1048576">
    <cfRule type="containsText" dxfId="0" priority="5" operator="containsText" text="X">
      <formula>NOT(ISERROR(SEARCH("X",AD1)))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X2:Y2"/>
  <sheetViews>
    <sheetView workbookViewId="0">
      <selection activeCell="G7" sqref="G7"/>
    </sheetView>
  </sheetViews>
  <sheetFormatPr defaultRowHeight="15" x14ac:dyDescent="0.25"/>
  <cols>
    <col min="2" max="2" width="24" customWidth="1"/>
    <col min="3" max="3" width="39.28515625" customWidth="1"/>
  </cols>
  <sheetData>
    <row r="2" spans="24:25" x14ac:dyDescent="0.25">
      <c r="X2" s="17" t="s">
        <v>23</v>
      </c>
      <c r="Y2" s="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sochinets</dc:creator>
  <cp:lastModifiedBy>Кобелев Павел Игоревич</cp:lastModifiedBy>
  <dcterms:created xsi:type="dcterms:W3CDTF">2014-07-30T07:30:44Z</dcterms:created>
  <dcterms:modified xsi:type="dcterms:W3CDTF">2014-07-31T05:53:45Z</dcterms:modified>
</cp:coreProperties>
</file>