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0" yWindow="6675" windowWidth="28740" windowHeight="7035" tabRatio="781" firstSheet="2" activeTab="2"/>
  </bookViews>
  <sheets>
    <sheet name="мес" sheetId="43" state="hidden" r:id="rId1"/>
    <sheet name="FM_07_TP" sheetId="24" r:id="rId2"/>
    <sheet name="PL14_TP" sheetId="18" r:id="rId3"/>
    <sheet name="Costs_01" sheetId="53" r:id="rId4"/>
    <sheet name="Catalog_costs" sheetId="36" r:id="rId5"/>
    <sheet name="sales_08" sheetId="30" state="hidden" r:id="rId6"/>
    <sheet name="sales_09" sheetId="31" state="hidden" r:id="rId7"/>
    <sheet name="sales_10" sheetId="32" state="hidden" r:id="rId8"/>
    <sheet name="sales_11" sheetId="33" state="hidden" r:id="rId9"/>
    <sheet name="sales_12" sheetId="34" state="hidden" r:id="rId10"/>
  </sheets>
  <externalReferences>
    <externalReference r:id="rId11"/>
    <externalReference r:id="rId12"/>
    <externalReference r:id="rId13"/>
  </externalReferences>
  <definedNames>
    <definedName name="_xlnm._FilterDatabase" localSheetId="4" hidden="1">Catalog_costs!$B$1:$E$5</definedName>
    <definedName name="_xlnm._FilterDatabase" localSheetId="3" hidden="1">Costs_01!$B$4:$N$12</definedName>
    <definedName name="EUR">[1]Займы!$E$93</definedName>
    <definedName name="USD">[1]Выручка_R4!$E$3</definedName>
    <definedName name="_xlnm.Print_Titles" localSheetId="2">PL14_TP!$9:$10</definedName>
    <definedName name="_xlnm.Print_Area" localSheetId="2">PL14_TP!$A$1:$H$28</definedName>
    <definedName name="Стр_взн_2013">[1]ФОТ!$J$2</definedName>
  </definedNames>
  <calcPr calcId="145621"/>
</workbook>
</file>

<file path=xl/calcChain.xml><?xml version="1.0" encoding="utf-8"?>
<calcChain xmlns="http://schemas.openxmlformats.org/spreadsheetml/2006/main">
  <c r="E19" i="18" l="1"/>
  <c r="O108" i="24" l="1"/>
  <c r="AA108" i="24" s="1"/>
  <c r="Q102" i="24" l="1"/>
  <c r="R102" i="24"/>
  <c r="O102" i="24" l="1"/>
  <c r="P102" i="24"/>
  <c r="S102" i="24" l="1"/>
  <c r="T102" i="24"/>
  <c r="U102" i="24"/>
  <c r="D102" i="24"/>
  <c r="AA102" i="24" l="1"/>
  <c r="O109" i="24"/>
  <c r="P109" i="24" l="1"/>
  <c r="P108" i="24"/>
  <c r="U104" i="24"/>
  <c r="Q109" i="24" l="1"/>
  <c r="Q108" i="24"/>
  <c r="H109" i="24"/>
  <c r="R109" i="24" l="1"/>
  <c r="R108" i="24"/>
  <c r="O4" i="24"/>
  <c r="S109" i="24" l="1"/>
  <c r="S108" i="24"/>
  <c r="T109" i="24" l="1"/>
  <c r="T108" i="24"/>
  <c r="U108" i="24" l="1"/>
  <c r="D109" i="24" l="1"/>
  <c r="E5" i="36" l="1"/>
  <c r="E4" i="36"/>
  <c r="E3" i="36"/>
  <c r="E2" i="36"/>
  <c r="M9" i="53"/>
  <c r="N9" i="53" s="1"/>
  <c r="K9" i="53"/>
  <c r="L9" i="53" s="1"/>
  <c r="M5" i="53"/>
  <c r="N5" i="53" s="1"/>
  <c r="K5" i="53"/>
  <c r="L5" i="53" s="1"/>
  <c r="L109" i="24"/>
  <c r="G109" i="24"/>
  <c r="U109" i="24"/>
  <c r="C109" i="24"/>
  <c r="L108" i="24"/>
  <c r="H108" i="24"/>
  <c r="G108" i="24"/>
  <c r="D108" i="24"/>
  <c r="C108" i="24"/>
  <c r="S104" i="24"/>
  <c r="R104" i="24"/>
  <c r="Q104" i="24"/>
  <c r="P104" i="24"/>
  <c r="O104" i="24"/>
  <c r="L103" i="24"/>
  <c r="H103" i="24"/>
  <c r="G103" i="24"/>
  <c r="D103" i="24"/>
  <c r="C103" i="24"/>
  <c r="L102" i="24"/>
  <c r="H102" i="24"/>
  <c r="G102" i="24"/>
  <c r="C102" i="24"/>
  <c r="L101" i="24"/>
  <c r="H101" i="24"/>
  <c r="G101" i="24"/>
  <c r="D101" i="24"/>
  <c r="C101" i="24"/>
  <c r="AA98" i="24"/>
  <c r="Z98" i="24"/>
  <c r="Y98" i="24"/>
  <c r="X98" i="24"/>
  <c r="W98" i="24"/>
  <c r="V98" i="24"/>
  <c r="U98" i="24"/>
  <c r="T98" i="24"/>
  <c r="S98" i="24"/>
  <c r="R98" i="24"/>
  <c r="Q98" i="24"/>
  <c r="P98" i="24"/>
  <c r="O98" i="24"/>
  <c r="H98" i="24"/>
  <c r="C98" i="24"/>
  <c r="AA97" i="24"/>
  <c r="L97" i="24"/>
  <c r="L98" i="24" s="1"/>
  <c r="H97" i="24"/>
  <c r="G97" i="24"/>
  <c r="G98" i="24" s="1"/>
  <c r="I98" i="24" s="1"/>
  <c r="D97" i="24"/>
  <c r="C97" i="24"/>
  <c r="Z84" i="24"/>
  <c r="Y84" i="24"/>
  <c r="X84" i="24"/>
  <c r="W84" i="24"/>
  <c r="V84" i="24"/>
  <c r="L84" i="24"/>
  <c r="G84" i="24"/>
  <c r="C84" i="24"/>
  <c r="Z83" i="24"/>
  <c r="Y83" i="24"/>
  <c r="X83" i="24"/>
  <c r="W83" i="24"/>
  <c r="V83" i="24"/>
  <c r="L83" i="24"/>
  <c r="G83" i="24"/>
  <c r="C83" i="24"/>
  <c r="Z79" i="24"/>
  <c r="Y79" i="24"/>
  <c r="X79" i="24"/>
  <c r="W79" i="24"/>
  <c r="V79" i="24"/>
  <c r="L79" i="24"/>
  <c r="G79" i="24"/>
  <c r="C79" i="24"/>
  <c r="Z74" i="24"/>
  <c r="Y74" i="24"/>
  <c r="X74" i="24"/>
  <c r="W74" i="24"/>
  <c r="V74" i="24"/>
  <c r="L74" i="24"/>
  <c r="G74" i="24"/>
  <c r="C74" i="24"/>
  <c r="Z73" i="24"/>
  <c r="Y73" i="24"/>
  <c r="X73" i="24"/>
  <c r="W73" i="24"/>
  <c r="V73" i="24"/>
  <c r="L73" i="24"/>
  <c r="G73" i="24"/>
  <c r="C73" i="24"/>
  <c r="Z72" i="24"/>
  <c r="Y72" i="24"/>
  <c r="X72" i="24"/>
  <c r="W72" i="24"/>
  <c r="V72" i="24"/>
  <c r="L72" i="24"/>
  <c r="G72" i="24"/>
  <c r="C72" i="24"/>
  <c r="Y65" i="24"/>
  <c r="X65" i="24"/>
  <c r="W65" i="24"/>
  <c r="L65" i="24"/>
  <c r="G65" i="24"/>
  <c r="C65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L61" i="24"/>
  <c r="H61" i="24"/>
  <c r="G61" i="24"/>
  <c r="D61" i="24"/>
  <c r="C61" i="24"/>
  <c r="Z60" i="24"/>
  <c r="Y60" i="24"/>
  <c r="X60" i="24"/>
  <c r="W60" i="24"/>
  <c r="V60" i="24"/>
  <c r="L60" i="24"/>
  <c r="G60" i="24"/>
  <c r="C60" i="24"/>
  <c r="Z59" i="24"/>
  <c r="Y59" i="24"/>
  <c r="X59" i="24"/>
  <c r="W59" i="24"/>
  <c r="V59" i="24"/>
  <c r="L59" i="24"/>
  <c r="G59" i="24"/>
  <c r="C59" i="24"/>
  <c r="Z58" i="24"/>
  <c r="Y58" i="24"/>
  <c r="X58" i="24"/>
  <c r="W58" i="24"/>
  <c r="V58" i="24"/>
  <c r="L58" i="24"/>
  <c r="G58" i="24"/>
  <c r="C58" i="24"/>
  <c r="Z56" i="24"/>
  <c r="Y56" i="24"/>
  <c r="X56" i="24"/>
  <c r="W56" i="24"/>
  <c r="V56" i="24"/>
  <c r="L56" i="24"/>
  <c r="G56" i="24"/>
  <c r="C56" i="24"/>
  <c r="U51" i="24"/>
  <c r="D51" i="24"/>
  <c r="Z50" i="24"/>
  <c r="Y50" i="24"/>
  <c r="X50" i="24"/>
  <c r="W50" i="24"/>
  <c r="V50" i="24"/>
  <c r="S50" i="24"/>
  <c r="R50" i="24"/>
  <c r="Q50" i="24"/>
  <c r="P50" i="24"/>
  <c r="O50" i="24"/>
  <c r="D50" i="24"/>
  <c r="Z42" i="24"/>
  <c r="Y42" i="24"/>
  <c r="X42" i="24"/>
  <c r="W42" i="24"/>
  <c r="V42" i="24"/>
  <c r="S42" i="24"/>
  <c r="R42" i="24"/>
  <c r="Q42" i="24"/>
  <c r="P42" i="24"/>
  <c r="O42" i="24"/>
  <c r="D42" i="24"/>
  <c r="L38" i="24"/>
  <c r="G38" i="24"/>
  <c r="C38" i="24"/>
  <c r="C37" i="24"/>
  <c r="G36" i="24"/>
  <c r="C36" i="24"/>
  <c r="C35" i="24"/>
  <c r="C34" i="24"/>
  <c r="C33" i="24"/>
  <c r="C32" i="24"/>
  <c r="L31" i="24"/>
  <c r="G31" i="24"/>
  <c r="D31" i="24"/>
  <c r="C31" i="24"/>
  <c r="E31" i="24" s="1"/>
  <c r="L30" i="24"/>
  <c r="G30" i="24"/>
  <c r="D30" i="24"/>
  <c r="D29" i="24" s="1"/>
  <c r="D36" i="24" s="1"/>
  <c r="C30" i="24"/>
  <c r="L29" i="24"/>
  <c r="L36" i="24" s="1"/>
  <c r="G29" i="24"/>
  <c r="C29" i="24"/>
  <c r="L27" i="24"/>
  <c r="G27" i="24"/>
  <c r="D27" i="24"/>
  <c r="C27" i="24"/>
  <c r="L26" i="24"/>
  <c r="G26" i="24"/>
  <c r="D26" i="24"/>
  <c r="D25" i="24" s="1"/>
  <c r="C26" i="24"/>
  <c r="C25" i="24" s="1"/>
  <c r="L25" i="24"/>
  <c r="G25" i="24"/>
  <c r="L23" i="24"/>
  <c r="G23" i="24"/>
  <c r="D23" i="24"/>
  <c r="C23" i="24"/>
  <c r="L22" i="24"/>
  <c r="G22" i="24"/>
  <c r="D22" i="24"/>
  <c r="D21" i="24" s="1"/>
  <c r="C22" i="24"/>
  <c r="L21" i="24"/>
  <c r="G21" i="24"/>
  <c r="C21" i="24"/>
  <c r="L19" i="24"/>
  <c r="G19" i="24"/>
  <c r="D19" i="24"/>
  <c r="C19" i="24"/>
  <c r="L18" i="24"/>
  <c r="G18" i="24"/>
  <c r="D18" i="24"/>
  <c r="C18" i="24"/>
  <c r="C17" i="24" s="1"/>
  <c r="L17" i="24"/>
  <c r="G17" i="24"/>
  <c r="L15" i="24"/>
  <c r="L35" i="24" s="1"/>
  <c r="G15" i="24"/>
  <c r="G35" i="24" s="1"/>
  <c r="D15" i="24"/>
  <c r="C15" i="24"/>
  <c r="L14" i="24"/>
  <c r="L34" i="24" s="1"/>
  <c r="L33" i="24" s="1"/>
  <c r="G14" i="24"/>
  <c r="G13" i="24" s="1"/>
  <c r="D14" i="24"/>
  <c r="C14" i="24"/>
  <c r="L13" i="24"/>
  <c r="C13" i="24"/>
  <c r="P4" i="24"/>
  <c r="O19" i="24"/>
  <c r="V23" i="24"/>
  <c r="E23" i="18"/>
  <c r="D17" i="24" l="1"/>
  <c r="W38" i="24"/>
  <c r="L63" i="24"/>
  <c r="L67" i="24" s="1"/>
  <c r="X38" i="24"/>
  <c r="Y38" i="24"/>
  <c r="W63" i="24"/>
  <c r="W67" i="24" s="1"/>
  <c r="C63" i="24"/>
  <c r="C67" i="24" s="1"/>
  <c r="G63" i="24"/>
  <c r="V63" i="24"/>
  <c r="I61" i="24"/>
  <c r="J61" i="24" s="1"/>
  <c r="T19" i="24"/>
  <c r="Y18" i="24"/>
  <c r="Y31" i="24"/>
  <c r="O30" i="24"/>
  <c r="T26" i="24"/>
  <c r="Z31" i="24"/>
  <c r="W18" i="24"/>
  <c r="Q31" i="24"/>
  <c r="Y23" i="24"/>
  <c r="T18" i="24"/>
  <c r="T15" i="24"/>
  <c r="Y15" i="24"/>
  <c r="Z30" i="24"/>
  <c r="U26" i="24"/>
  <c r="E16" i="18"/>
  <c r="O31" i="24"/>
  <c r="Q14" i="24"/>
  <c r="U14" i="24"/>
  <c r="O22" i="24"/>
  <c r="P27" i="24"/>
  <c r="E14" i="18"/>
  <c r="O27" i="24"/>
  <c r="E18" i="18"/>
  <c r="W31" i="24"/>
  <c r="V18" i="24"/>
  <c r="R22" i="24"/>
  <c r="Y14" i="24"/>
  <c r="P19" i="24"/>
  <c r="R23" i="24"/>
  <c r="R31" i="24"/>
  <c r="S14" i="24"/>
  <c r="R15" i="24"/>
  <c r="Y19" i="24"/>
  <c r="S27" i="24"/>
  <c r="O15" i="24"/>
  <c r="U30" i="24"/>
  <c r="R19" i="24"/>
  <c r="V14" i="24"/>
  <c r="T22" i="24"/>
  <c r="Q30" i="24"/>
  <c r="E24" i="18"/>
  <c r="R30" i="24"/>
  <c r="S19" i="24"/>
  <c r="X14" i="24"/>
  <c r="U22" i="24"/>
  <c r="Q23" i="24"/>
  <c r="Z14" i="24"/>
  <c r="U15" i="24"/>
  <c r="R26" i="24"/>
  <c r="V31" i="24"/>
  <c r="Z23" i="24"/>
  <c r="P30" i="24"/>
  <c r="U23" i="24"/>
  <c r="W23" i="24"/>
  <c r="U27" i="24"/>
  <c r="X18" i="24"/>
  <c r="U31" i="24"/>
  <c r="Y22" i="24"/>
  <c r="V27" i="24"/>
  <c r="P22" i="24"/>
  <c r="O26" i="24"/>
  <c r="V19" i="24"/>
  <c r="W26" i="24"/>
  <c r="Z15" i="24"/>
  <c r="T23" i="24"/>
  <c r="X22" i="24"/>
  <c r="Q15" i="24"/>
  <c r="S18" i="24"/>
  <c r="Y30" i="24"/>
  <c r="Q27" i="24"/>
  <c r="E13" i="18"/>
  <c r="P23" i="24"/>
  <c r="Z18" i="24"/>
  <c r="V22" i="24"/>
  <c r="X27" i="24"/>
  <c r="O14" i="24"/>
  <c r="Z22" i="24"/>
  <c r="P31" i="24"/>
  <c r="P14" i="24"/>
  <c r="W27" i="24"/>
  <c r="X31" i="24"/>
  <c r="X30" i="24"/>
  <c r="R18" i="24"/>
  <c r="U18" i="24"/>
  <c r="V26" i="24"/>
  <c r="S23" i="24"/>
  <c r="W19" i="24"/>
  <c r="T30" i="24"/>
  <c r="X15" i="24"/>
  <c r="P15" i="24"/>
  <c r="Y27" i="24"/>
  <c r="S31" i="24"/>
  <c r="W15" i="24"/>
  <c r="W30" i="24"/>
  <c r="T31" i="24"/>
  <c r="E17" i="18"/>
  <c r="Q18" i="24"/>
  <c r="O23" i="24"/>
  <c r="V30" i="24"/>
  <c r="W14" i="24"/>
  <c r="U19" i="24"/>
  <c r="T14" i="24"/>
  <c r="S30" i="24"/>
  <c r="E15" i="18"/>
  <c r="Q19" i="24"/>
  <c r="T27" i="24"/>
  <c r="V15" i="24"/>
  <c r="Q22" i="24"/>
  <c r="P26" i="24"/>
  <c r="O18" i="24"/>
  <c r="S22" i="24"/>
  <c r="R14" i="24"/>
  <c r="Y26" i="24"/>
  <c r="X19" i="24"/>
  <c r="Z26" i="24"/>
  <c r="Q26" i="24"/>
  <c r="X23" i="24"/>
  <c r="P18" i="24"/>
  <c r="S15" i="24"/>
  <c r="S26" i="24"/>
  <c r="Z19" i="24"/>
  <c r="R27" i="24"/>
  <c r="W22" i="24"/>
  <c r="X26" i="24"/>
  <c r="Z27" i="24"/>
  <c r="E22" i="18" l="1"/>
  <c r="E19" i="24"/>
  <c r="E29" i="24"/>
  <c r="E30" i="24"/>
  <c r="E22" i="24"/>
  <c r="E23" i="24"/>
  <c r="G67" i="24"/>
  <c r="G69" i="24" s="1"/>
  <c r="D34" i="24"/>
  <c r="D33" i="24" s="1"/>
  <c r="D47" i="24" s="1"/>
  <c r="E36" i="24"/>
  <c r="E17" i="24"/>
  <c r="E21" i="24"/>
  <c r="D35" i="24"/>
  <c r="E35" i="24" s="1"/>
  <c r="O84" i="24"/>
  <c r="O79" i="24"/>
  <c r="E12" i="18"/>
  <c r="P72" i="24"/>
  <c r="P84" i="24"/>
  <c r="P79" i="24"/>
  <c r="Q84" i="24"/>
  <c r="R79" i="24"/>
  <c r="R59" i="24"/>
  <c r="S79" i="24"/>
  <c r="S72" i="24"/>
  <c r="Q60" i="24"/>
  <c r="Q73" i="24"/>
  <c r="R84" i="24"/>
  <c r="S84" i="24"/>
  <c r="L104" i="24"/>
  <c r="C104" i="24"/>
  <c r="I101" i="24"/>
  <c r="I97" i="24"/>
  <c r="I103" i="24"/>
  <c r="E102" i="24"/>
  <c r="E108" i="24"/>
  <c r="Y109" i="24"/>
  <c r="Z108" i="24" s="1"/>
  <c r="V108" i="24"/>
  <c r="I102" i="24"/>
  <c r="I108" i="24"/>
  <c r="G104" i="24"/>
  <c r="I109" i="24"/>
  <c r="E97" i="24"/>
  <c r="D104" i="24"/>
  <c r="Z65" i="24"/>
  <c r="V65" i="24"/>
  <c r="V67" i="24" s="1"/>
  <c r="V69" i="24" s="1"/>
  <c r="E61" i="24"/>
  <c r="F61" i="24" s="1"/>
  <c r="L69" i="24"/>
  <c r="L70" i="24" s="1"/>
  <c r="X63" i="24"/>
  <c r="X67" i="24" s="1"/>
  <c r="X69" i="24" s="1"/>
  <c r="X70" i="24" s="1"/>
  <c r="AA61" i="24"/>
  <c r="C69" i="24"/>
  <c r="C76" i="24" s="1"/>
  <c r="Y63" i="24"/>
  <c r="Y67" i="24" s="1"/>
  <c r="Y69" i="24" s="1"/>
  <c r="W69" i="24"/>
  <c r="W70" i="24" s="1"/>
  <c r="Z63" i="24"/>
  <c r="E33" i="24"/>
  <c r="E34" i="24"/>
  <c r="D13" i="24"/>
  <c r="E13" i="24" s="1"/>
  <c r="E14" i="24"/>
  <c r="E15" i="24"/>
  <c r="E25" i="24"/>
  <c r="E27" i="24"/>
  <c r="E18" i="24"/>
  <c r="E26" i="24"/>
  <c r="G34" i="24"/>
  <c r="G33" i="24" s="1"/>
  <c r="P34" i="24"/>
  <c r="P13" i="24"/>
  <c r="R34" i="24"/>
  <c r="R13" i="24"/>
  <c r="T34" i="24"/>
  <c r="T13" i="24"/>
  <c r="V34" i="24"/>
  <c r="V13" i="24"/>
  <c r="X34" i="24"/>
  <c r="X13" i="24"/>
  <c r="Z34" i="24"/>
  <c r="Z13" i="24"/>
  <c r="P35" i="24"/>
  <c r="R35" i="24"/>
  <c r="T35" i="24"/>
  <c r="V35" i="24"/>
  <c r="X35" i="24"/>
  <c r="Z35" i="24"/>
  <c r="H18" i="24"/>
  <c r="I18" i="24" s="1"/>
  <c r="AA18" i="24"/>
  <c r="O17" i="24"/>
  <c r="Q17" i="24"/>
  <c r="S17" i="24"/>
  <c r="U17" i="24"/>
  <c r="W17" i="24"/>
  <c r="Y17" i="24"/>
  <c r="H19" i="24"/>
  <c r="I19" i="24" s="1"/>
  <c r="AA19" i="24"/>
  <c r="P21" i="24"/>
  <c r="R21" i="24"/>
  <c r="T21" i="24"/>
  <c r="V21" i="24"/>
  <c r="X21" i="24"/>
  <c r="Z21" i="24"/>
  <c r="H26" i="24"/>
  <c r="I26" i="24" s="1"/>
  <c r="AA26" i="24"/>
  <c r="O25" i="24"/>
  <c r="Q25" i="24"/>
  <c r="S25" i="24"/>
  <c r="U25" i="24"/>
  <c r="W25" i="24"/>
  <c r="Y25" i="24"/>
  <c r="H27" i="24"/>
  <c r="I27" i="24" s="1"/>
  <c r="AA27" i="24"/>
  <c r="P29" i="24"/>
  <c r="P36" i="24" s="1"/>
  <c r="R29" i="24"/>
  <c r="R36" i="24" s="1"/>
  <c r="T29" i="24"/>
  <c r="T36" i="24" s="1"/>
  <c r="V29" i="24"/>
  <c r="V36" i="24" s="1"/>
  <c r="X29" i="24"/>
  <c r="X36" i="24" s="1"/>
  <c r="Z29" i="24"/>
  <c r="Z36" i="24" s="1"/>
  <c r="O34" i="24"/>
  <c r="AA14" i="24"/>
  <c r="O13" i="24"/>
  <c r="H14" i="24"/>
  <c r="Q34" i="24"/>
  <c r="Q13" i="24"/>
  <c r="S34" i="24"/>
  <c r="S13" i="24"/>
  <c r="U34" i="24"/>
  <c r="U13" i="24"/>
  <c r="W34" i="24"/>
  <c r="W13" i="24"/>
  <c r="Y34" i="24"/>
  <c r="Y13" i="24"/>
  <c r="O35" i="24"/>
  <c r="AA15" i="24"/>
  <c r="H15" i="24"/>
  <c r="Q35" i="24"/>
  <c r="S35" i="24"/>
  <c r="U35" i="24"/>
  <c r="W35" i="24"/>
  <c r="Y35" i="24"/>
  <c r="P17" i="24"/>
  <c r="R17" i="24"/>
  <c r="T17" i="24"/>
  <c r="V17" i="24"/>
  <c r="X17" i="24"/>
  <c r="Z17" i="24"/>
  <c r="AA22" i="24"/>
  <c r="O21" i="24"/>
  <c r="H22" i="24"/>
  <c r="I22" i="24" s="1"/>
  <c r="Q21" i="24"/>
  <c r="S21" i="24"/>
  <c r="U21" i="24"/>
  <c r="W21" i="24"/>
  <c r="Y21" i="24"/>
  <c r="AA23" i="24"/>
  <c r="H23" i="24"/>
  <c r="I23" i="24" s="1"/>
  <c r="P25" i="24"/>
  <c r="R25" i="24"/>
  <c r="T25" i="24"/>
  <c r="V25" i="24"/>
  <c r="X25" i="24"/>
  <c r="Z25" i="24"/>
  <c r="AA30" i="24"/>
  <c r="O29" i="24"/>
  <c r="H30" i="24"/>
  <c r="I30" i="24" s="1"/>
  <c r="Q29" i="24"/>
  <c r="Q36" i="24" s="1"/>
  <c r="S29" i="24"/>
  <c r="S36" i="24" s="1"/>
  <c r="U29" i="24"/>
  <c r="U36" i="24" s="1"/>
  <c r="W29" i="24"/>
  <c r="W36" i="24" s="1"/>
  <c r="Y29" i="24"/>
  <c r="Y36" i="24" s="1"/>
  <c r="AA31" i="24"/>
  <c r="H31" i="24"/>
  <c r="I31" i="24" s="1"/>
  <c r="T84" i="24"/>
  <c r="E104" i="24"/>
  <c r="D98" i="24"/>
  <c r="E98" i="24" s="1"/>
  <c r="H104" i="24"/>
  <c r="V109" i="24"/>
  <c r="W108" i="24" s="1"/>
  <c r="X109" i="24"/>
  <c r="Y108" i="24" s="1"/>
  <c r="Z109" i="24"/>
  <c r="E101" i="24"/>
  <c r="Y104" i="24"/>
  <c r="E103" i="24"/>
  <c r="E109" i="24"/>
  <c r="W109" i="24"/>
  <c r="X108" i="24" s="1"/>
  <c r="X76" i="24" l="1"/>
  <c r="G70" i="24"/>
  <c r="G76" i="24"/>
  <c r="O72" i="24"/>
  <c r="V76" i="24" l="1"/>
  <c r="V92" i="24" s="1"/>
  <c r="V93" i="24" s="1"/>
  <c r="V94" i="24" s="1"/>
  <c r="V106" i="24" s="1"/>
  <c r="V70" i="24"/>
  <c r="W76" i="24"/>
  <c r="W81" i="24" s="1"/>
  <c r="W86" i="24" s="1"/>
  <c r="W87" i="24" s="1"/>
  <c r="C70" i="24"/>
  <c r="Z67" i="24"/>
  <c r="Z69" i="24" s="1"/>
  <c r="Z70" i="24" s="1"/>
  <c r="P59" i="24"/>
  <c r="R74" i="24"/>
  <c r="R72" i="24"/>
  <c r="Q79" i="24"/>
  <c r="S83" i="24"/>
  <c r="R83" i="24"/>
  <c r="P58" i="24"/>
  <c r="P83" i="24"/>
  <c r="O74" i="24"/>
  <c r="O56" i="24"/>
  <c r="O58" i="24"/>
  <c r="O83" i="24"/>
  <c r="P60" i="24"/>
  <c r="O73" i="24"/>
  <c r="O60" i="24"/>
  <c r="P73" i="24"/>
  <c r="S56" i="24"/>
  <c r="R73" i="24"/>
  <c r="R58" i="24"/>
  <c r="R60" i="24"/>
  <c r="S59" i="24"/>
  <c r="S73" i="24"/>
  <c r="S60" i="24"/>
  <c r="S58" i="24"/>
  <c r="D59" i="24"/>
  <c r="E59" i="24" s="1"/>
  <c r="F59" i="24" s="1"/>
  <c r="Y76" i="24"/>
  <c r="Y92" i="24" s="1"/>
  <c r="Y93" i="24" s="1"/>
  <c r="Y94" i="24" s="1"/>
  <c r="Y106" i="24" s="1"/>
  <c r="Y70" i="24"/>
  <c r="V38" i="24"/>
  <c r="Z38" i="24"/>
  <c r="L76" i="24"/>
  <c r="L81" i="24" s="1"/>
  <c r="L86" i="24" s="1"/>
  <c r="L87" i="24" s="1"/>
  <c r="X81" i="24"/>
  <c r="X86" i="24" s="1"/>
  <c r="X87" i="24" s="1"/>
  <c r="X77" i="24"/>
  <c r="X92" i="24"/>
  <c r="G92" i="24"/>
  <c r="G93" i="24" s="1"/>
  <c r="G94" i="24" s="1"/>
  <c r="G106" i="24" s="1"/>
  <c r="G81" i="24"/>
  <c r="G86" i="24" s="1"/>
  <c r="G87" i="24" s="1"/>
  <c r="G77" i="24"/>
  <c r="V77" i="24"/>
  <c r="C92" i="24"/>
  <c r="C81" i="24"/>
  <c r="C86" i="24" s="1"/>
  <c r="C87" i="24" s="1"/>
  <c r="C77" i="24"/>
  <c r="D84" i="24"/>
  <c r="E84" i="24" s="1"/>
  <c r="U84" i="24"/>
  <c r="AA84" i="24" s="1"/>
  <c r="Y33" i="24"/>
  <c r="Y47" i="24" s="1"/>
  <c r="U33" i="24"/>
  <c r="Q33" i="24"/>
  <c r="Q47" i="24" s="1"/>
  <c r="AA13" i="24"/>
  <c r="W104" i="24"/>
  <c r="Z104" i="24"/>
  <c r="V104" i="24"/>
  <c r="T79" i="24"/>
  <c r="I15" i="24"/>
  <c r="H35" i="24"/>
  <c r="I35" i="24" s="1"/>
  <c r="AA35" i="24"/>
  <c r="W33" i="24"/>
  <c r="W47" i="24" s="1"/>
  <c r="S33" i="24"/>
  <c r="S47" i="24" s="1"/>
  <c r="AA34" i="24"/>
  <c r="T73" i="24"/>
  <c r="I104" i="24"/>
  <c r="X104" i="24"/>
  <c r="AA104" i="24"/>
  <c r="T104" i="24"/>
  <c r="O36" i="24"/>
  <c r="AA36" i="24" s="1"/>
  <c r="AA29" i="24"/>
  <c r="H29" i="24"/>
  <c r="AA21" i="24"/>
  <c r="H21" i="24"/>
  <c r="I21" i="24" s="1"/>
  <c r="J21" i="24" s="1"/>
  <c r="I14" i="24"/>
  <c r="H13" i="24"/>
  <c r="I13" i="24" s="1"/>
  <c r="J13" i="24" s="1"/>
  <c r="H34" i="24"/>
  <c r="T60" i="24"/>
  <c r="AA25" i="24"/>
  <c r="H25" i="24"/>
  <c r="I25" i="24" s="1"/>
  <c r="J25" i="24" s="1"/>
  <c r="AA17" i="24"/>
  <c r="H17" i="24"/>
  <c r="I17" i="24" s="1"/>
  <c r="J17" i="24" s="1"/>
  <c r="Z33" i="24"/>
  <c r="Z47" i="24" s="1"/>
  <c r="X33" i="24"/>
  <c r="X47" i="24" s="1"/>
  <c r="V33" i="24"/>
  <c r="V47" i="24" s="1"/>
  <c r="T33" i="24"/>
  <c r="R33" i="24"/>
  <c r="R47" i="24" s="1"/>
  <c r="P33" i="24"/>
  <c r="P47" i="24" s="1"/>
  <c r="Y77" i="24" l="1"/>
  <c r="W92" i="24"/>
  <c r="W93" i="24" s="1"/>
  <c r="W94" i="24" s="1"/>
  <c r="W106" i="24" s="1"/>
  <c r="Z76" i="24"/>
  <c r="Z77" i="24" s="1"/>
  <c r="L77" i="24"/>
  <c r="V81" i="24"/>
  <c r="V86" i="24" s="1"/>
  <c r="V87" i="24" s="1"/>
  <c r="W77" i="24"/>
  <c r="Y81" i="24"/>
  <c r="Y86" i="24" s="1"/>
  <c r="Y87" i="24" s="1"/>
  <c r="U58" i="24"/>
  <c r="O59" i="24"/>
  <c r="O63" i="24" s="1"/>
  <c r="S74" i="24"/>
  <c r="P74" i="24"/>
  <c r="P65" i="24"/>
  <c r="Q58" i="24"/>
  <c r="Q74" i="24"/>
  <c r="Q72" i="24"/>
  <c r="Q83" i="24"/>
  <c r="P63" i="24"/>
  <c r="Q59" i="24"/>
  <c r="P56" i="24"/>
  <c r="Q56" i="24"/>
  <c r="U73" i="24"/>
  <c r="AA73" i="24" s="1"/>
  <c r="R63" i="24"/>
  <c r="R56" i="24"/>
  <c r="S63" i="24"/>
  <c r="D73" i="24"/>
  <c r="E73" i="24" s="1"/>
  <c r="D60" i="24"/>
  <c r="E60" i="24" s="1"/>
  <c r="F60" i="24" s="1"/>
  <c r="U60" i="24"/>
  <c r="AA60" i="24" s="1"/>
  <c r="H60" i="24"/>
  <c r="I60" i="24" s="1"/>
  <c r="J60" i="24" s="1"/>
  <c r="T72" i="24"/>
  <c r="Z81" i="24"/>
  <c r="Z86" i="24" s="1"/>
  <c r="Z87" i="24" s="1"/>
  <c r="L92" i="24"/>
  <c r="L93" i="24" s="1"/>
  <c r="L94" i="24" s="1"/>
  <c r="L106" i="24" s="1"/>
  <c r="C93" i="24"/>
  <c r="C94" i="24" s="1"/>
  <c r="C106" i="24" s="1"/>
  <c r="X93" i="24"/>
  <c r="X94" i="24" s="1"/>
  <c r="X106" i="24" s="1"/>
  <c r="D58" i="24"/>
  <c r="E58" i="24" s="1"/>
  <c r="F58" i="24" s="1"/>
  <c r="U79" i="24"/>
  <c r="AA79" i="24" s="1"/>
  <c r="H79" i="24"/>
  <c r="I79" i="24" s="1"/>
  <c r="D79" i="24"/>
  <c r="E79" i="24" s="1"/>
  <c r="H84" i="24"/>
  <c r="I84" i="24" s="1"/>
  <c r="U59" i="24"/>
  <c r="O33" i="24"/>
  <c r="O47" i="24" s="1"/>
  <c r="T59" i="24"/>
  <c r="I34" i="24"/>
  <c r="T83" i="24"/>
  <c r="H36" i="24"/>
  <c r="I36" i="24" s="1"/>
  <c r="I29" i="24"/>
  <c r="J29" i="24" s="1"/>
  <c r="T74" i="24"/>
  <c r="T58" i="24"/>
  <c r="Z92" i="24" l="1"/>
  <c r="Z93" i="24" s="1"/>
  <c r="Z94" i="24" s="1"/>
  <c r="Z106" i="24" s="1"/>
  <c r="P38" i="24"/>
  <c r="P67" i="24"/>
  <c r="P69" i="24" s="1"/>
  <c r="Q63" i="24"/>
  <c r="Q65" i="24"/>
  <c r="R38" i="24"/>
  <c r="R65" i="24"/>
  <c r="R67" i="24" s="1"/>
  <c r="R69" i="24" s="1"/>
  <c r="U63" i="24"/>
  <c r="H73" i="24"/>
  <c r="I73" i="24" s="1"/>
  <c r="D83" i="24"/>
  <c r="E83" i="24" s="1"/>
  <c r="H83" i="24"/>
  <c r="I83" i="24" s="1"/>
  <c r="U74" i="24"/>
  <c r="AA74" i="24" s="1"/>
  <c r="U72" i="24"/>
  <c r="AA72" i="24" s="1"/>
  <c r="D65" i="24"/>
  <c r="E65" i="24" s="1"/>
  <c r="H72" i="24"/>
  <c r="I72" i="24" s="1"/>
  <c r="D63" i="24"/>
  <c r="E63" i="24" s="1"/>
  <c r="F63" i="24" s="1"/>
  <c r="D72" i="24"/>
  <c r="E72" i="24" s="1"/>
  <c r="D74" i="24"/>
  <c r="E74" i="24" s="1"/>
  <c r="U83" i="24"/>
  <c r="AA83" i="24" s="1"/>
  <c r="AA33" i="24"/>
  <c r="AA59" i="24"/>
  <c r="T63" i="24"/>
  <c r="AA58" i="24"/>
  <c r="T56" i="24"/>
  <c r="U56" i="24"/>
  <c r="D56" i="24"/>
  <c r="H33" i="24"/>
  <c r="I33" i="24" s="1"/>
  <c r="J33" i="24" s="1"/>
  <c r="H59" i="24"/>
  <c r="I59" i="24" s="1"/>
  <c r="J59" i="24" s="1"/>
  <c r="H58" i="24"/>
  <c r="P70" i="24" l="1"/>
  <c r="P76" i="24"/>
  <c r="P81" i="24" s="1"/>
  <c r="P86" i="24" s="1"/>
  <c r="P87" i="24" s="1"/>
  <c r="S65" i="24"/>
  <c r="S67" i="24" s="1"/>
  <c r="S69" i="24" s="1"/>
  <c r="S76" i="24" s="1"/>
  <c r="S77" i="24" s="1"/>
  <c r="Q67" i="24"/>
  <c r="Q69" i="24" s="1"/>
  <c r="O65" i="24"/>
  <c r="O67" i="24" s="1"/>
  <c r="O69" i="24" s="1"/>
  <c r="Q38" i="24"/>
  <c r="S38" i="24"/>
  <c r="R76" i="24"/>
  <c r="R70" i="24"/>
  <c r="U65" i="24"/>
  <c r="U67" i="24" s="1"/>
  <c r="U69" i="24" s="1"/>
  <c r="D67" i="24"/>
  <c r="E67" i="24" s="1"/>
  <c r="F67" i="24" s="1"/>
  <c r="H74" i="24"/>
  <c r="I74" i="24" s="1"/>
  <c r="I58" i="24"/>
  <c r="J58" i="24" s="1"/>
  <c r="H63" i="24"/>
  <c r="AA56" i="24"/>
  <c r="T65" i="24"/>
  <c r="AA63" i="24"/>
  <c r="E56" i="24"/>
  <c r="F56" i="24" s="1"/>
  <c r="H56" i="24"/>
  <c r="P77" i="24" l="1"/>
  <c r="S81" i="24"/>
  <c r="S86" i="24" s="1"/>
  <c r="S87" i="24" s="1"/>
  <c r="P92" i="24"/>
  <c r="P93" i="24" s="1"/>
  <c r="P94" i="24" s="1"/>
  <c r="P106" i="24" s="1"/>
  <c r="S92" i="24"/>
  <c r="S93" i="24" s="1"/>
  <c r="S94" i="24" s="1"/>
  <c r="S106" i="24" s="1"/>
  <c r="O38" i="24"/>
  <c r="O70" i="24"/>
  <c r="O76" i="24"/>
  <c r="Q70" i="24"/>
  <c r="Q76" i="24"/>
  <c r="S70" i="24"/>
  <c r="R92" i="24"/>
  <c r="R93" i="24" s="1"/>
  <c r="R94" i="24" s="1"/>
  <c r="R106" i="24" s="1"/>
  <c r="R81" i="24"/>
  <c r="R86" i="24" s="1"/>
  <c r="R87" i="24" s="1"/>
  <c r="R77" i="24"/>
  <c r="U38" i="24"/>
  <c r="AA65" i="24"/>
  <c r="D38" i="24"/>
  <c r="E38" i="24" s="1"/>
  <c r="D69" i="24"/>
  <c r="D76" i="24" s="1"/>
  <c r="T67" i="24"/>
  <c r="AA67" i="24" s="1"/>
  <c r="AA69" i="24" s="1"/>
  <c r="I56" i="24"/>
  <c r="J56" i="24" s="1"/>
  <c r="T38" i="24"/>
  <c r="H65" i="24"/>
  <c r="I65" i="24" s="1"/>
  <c r="U76" i="24"/>
  <c r="U70" i="24"/>
  <c r="I63" i="24"/>
  <c r="J63" i="24" s="1"/>
  <c r="O77" i="24" l="1"/>
  <c r="O92" i="24"/>
  <c r="O93" i="24" s="1"/>
  <c r="O94" i="24" s="1"/>
  <c r="O106" i="24" s="1"/>
  <c r="O81" i="24"/>
  <c r="O86" i="24" s="1"/>
  <c r="O87" i="24" s="1"/>
  <c r="Q92" i="24"/>
  <c r="Q93" i="24" s="1"/>
  <c r="Q94" i="24" s="1"/>
  <c r="Q106" i="24" s="1"/>
  <c r="Q77" i="24"/>
  <c r="Q81" i="24"/>
  <c r="Q86" i="24" s="1"/>
  <c r="Q87" i="24" s="1"/>
  <c r="U92" i="24"/>
  <c r="U93" i="24" s="1"/>
  <c r="AA38" i="24"/>
  <c r="H38" i="24" s="1"/>
  <c r="I38" i="24" s="1"/>
  <c r="J38" i="24" s="1"/>
  <c r="E69" i="24"/>
  <c r="F69" i="24" s="1"/>
  <c r="D70" i="24"/>
  <c r="T70" i="24" s="1"/>
  <c r="H67" i="24"/>
  <c r="I67" i="24" s="1"/>
  <c r="J67" i="24" s="1"/>
  <c r="T69" i="24"/>
  <c r="T76" i="24" s="1"/>
  <c r="T81" i="24" s="1"/>
  <c r="T86" i="24" s="1"/>
  <c r="T87" i="24" s="1"/>
  <c r="U81" i="24"/>
  <c r="U86" i="24" s="1"/>
  <c r="U87" i="24" s="1"/>
  <c r="U77" i="24"/>
  <c r="E76" i="24"/>
  <c r="F76" i="24" s="1"/>
  <c r="D92" i="24"/>
  <c r="D81" i="24"/>
  <c r="D77" i="24"/>
  <c r="AA76" i="24"/>
  <c r="AA70" i="24"/>
  <c r="H69" i="24" l="1"/>
  <c r="H76" i="24" s="1"/>
  <c r="T92" i="24"/>
  <c r="AA92" i="24" s="1"/>
  <c r="T77" i="24"/>
  <c r="AA81" i="24"/>
  <c r="AA86" i="24" s="1"/>
  <c r="AA87" i="24" s="1"/>
  <c r="AA77" i="24"/>
  <c r="E92" i="24"/>
  <c r="D93" i="24"/>
  <c r="E93" i="24" s="1"/>
  <c r="E81" i="24"/>
  <c r="F81" i="24" s="1"/>
  <c r="D86" i="24"/>
  <c r="U94" i="24" l="1"/>
  <c r="U106" i="24" s="1"/>
  <c r="I69" i="24"/>
  <c r="J69" i="24" s="1"/>
  <c r="H70" i="24"/>
  <c r="T93" i="24"/>
  <c r="AA93" i="24" s="1"/>
  <c r="H92" i="24"/>
  <c r="I76" i="24"/>
  <c r="J76" i="24" s="1"/>
  <c r="H81" i="24"/>
  <c r="H77" i="24"/>
  <c r="E86" i="24"/>
  <c r="F86" i="24" s="1"/>
  <c r="D87" i="24"/>
  <c r="D94" i="24"/>
  <c r="AA94" i="24" l="1"/>
  <c r="T94" i="24"/>
  <c r="T106" i="24" s="1"/>
  <c r="I81" i="24"/>
  <c r="J81" i="24" s="1"/>
  <c r="H86" i="24"/>
  <c r="I92" i="24"/>
  <c r="H93" i="24"/>
  <c r="I93" i="24" s="1"/>
  <c r="D106" i="24"/>
  <c r="E106" i="24" s="1"/>
  <c r="E94" i="24"/>
  <c r="AA106" i="24" l="1"/>
  <c r="AA109" i="24" s="1"/>
  <c r="I86" i="24"/>
  <c r="J86" i="24" s="1"/>
  <c r="H87" i="24"/>
  <c r="H94" i="24"/>
  <c r="H106" i="24" l="1"/>
  <c r="I106" i="24" s="1"/>
  <c r="I94" i="24"/>
</calcChain>
</file>

<file path=xl/sharedStrings.xml><?xml version="1.0" encoding="utf-8"?>
<sst xmlns="http://schemas.openxmlformats.org/spreadsheetml/2006/main" count="319" uniqueCount="163">
  <si>
    <t>RUR</t>
  </si>
  <si>
    <t>Code</t>
  </si>
  <si>
    <t>Category</t>
  </si>
  <si>
    <t>Rus</t>
  </si>
  <si>
    <t>Budget</t>
  </si>
  <si>
    <t>Actual</t>
  </si>
  <si>
    <t>Deviation</t>
  </si>
  <si>
    <t>Raw materials and working stock</t>
  </si>
  <si>
    <t>Сырье и материалы на производство</t>
  </si>
  <si>
    <t>Packaging materials</t>
  </si>
  <si>
    <t>Упаковочные материалы</t>
  </si>
  <si>
    <t>Спецодежда</t>
  </si>
  <si>
    <t>Fuel-energy costs</t>
  </si>
  <si>
    <t>Nature gas</t>
  </si>
  <si>
    <t>ФОТ</t>
  </si>
  <si>
    <t>Salary Taxes</t>
  </si>
  <si>
    <t>Налоги на ФОТ</t>
  </si>
  <si>
    <t>Total</t>
  </si>
  <si>
    <t>Domestic market</t>
  </si>
  <si>
    <t>Auxiliary materials</t>
  </si>
  <si>
    <t>Working clothes</t>
  </si>
  <si>
    <t>Вспомогательные материалы</t>
  </si>
  <si>
    <t>Топливно-энергетические расходы</t>
  </si>
  <si>
    <t>Costs of production - Variable</t>
  </si>
  <si>
    <t>2.1.1.1</t>
  </si>
  <si>
    <t>2.1.1.1.1</t>
  </si>
  <si>
    <t>2.1.1.1.2</t>
  </si>
  <si>
    <t>2.1.1.1.3</t>
  </si>
  <si>
    <t>2.1.1.1.4</t>
  </si>
  <si>
    <t>2.1.1.1.5</t>
  </si>
  <si>
    <t>2.1.1.1.6</t>
  </si>
  <si>
    <t>2.1.1.2</t>
  </si>
  <si>
    <t>2.1.1.2.1</t>
  </si>
  <si>
    <t>Газ природный / тепло технологическое</t>
  </si>
  <si>
    <t>Costs of production - Fixed</t>
  </si>
  <si>
    <t>Salary / Personnel Costs</t>
  </si>
  <si>
    <t>Зарплата и расходы на персонал</t>
  </si>
  <si>
    <t>Salary</t>
  </si>
  <si>
    <t>2.1.2.1</t>
  </si>
  <si>
    <t>2.1.2.1.1</t>
  </si>
  <si>
    <t>2.1.2.1.3</t>
  </si>
  <si>
    <t>Costs of trading - Variable</t>
  </si>
  <si>
    <t>Costs of trading - Fixed</t>
  </si>
  <si>
    <t>EBIT</t>
  </si>
  <si>
    <t>Glass preform</t>
  </si>
  <si>
    <t>Стеклянные заготовки</t>
  </si>
  <si>
    <t>Liquid fillers</t>
  </si>
  <si>
    <t>Жидкостные наполнители</t>
  </si>
  <si>
    <t>Measuring scale</t>
  </si>
  <si>
    <t>Измерительные шкалы</t>
  </si>
  <si>
    <t>Year</t>
  </si>
  <si>
    <t>Net Revenues</t>
  </si>
  <si>
    <t xml:space="preserve">Change in Inventory </t>
  </si>
  <si>
    <t>EBITDA</t>
  </si>
  <si>
    <t>May</t>
  </si>
  <si>
    <t>Thermopribor</t>
  </si>
  <si>
    <t>Summary Report</t>
  </si>
  <si>
    <t>Business unit</t>
  </si>
  <si>
    <t>Budget/Actual</t>
  </si>
  <si>
    <t>Currency</t>
  </si>
  <si>
    <t>Multiplicity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</si>
  <si>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</si>
  <si>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</si>
  <si>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</si>
  <si>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</si>
  <si>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</si>
  <si>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</si>
  <si>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</si>
  <si>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</si>
  <si>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</si>
  <si>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Dec</t>
  </si>
  <si>
    <t>Thermometers - Medical</t>
  </si>
  <si>
    <t>Exports</t>
  </si>
  <si>
    <t>Thermometers - Technical and industrial</t>
  </si>
  <si>
    <t>Hygrometers</t>
  </si>
  <si>
    <t>Mounting hardware for thermometers</t>
  </si>
  <si>
    <t>Energy Services and Other</t>
  </si>
  <si>
    <t>Energy Services</t>
  </si>
  <si>
    <t>Other services, works</t>
  </si>
  <si>
    <t>Total Sales</t>
  </si>
  <si>
    <t>Production</t>
  </si>
  <si>
    <t>Income statement ('000 RUR)</t>
  </si>
  <si>
    <t>Sum Costs</t>
  </si>
  <si>
    <t>COGS</t>
  </si>
  <si>
    <t>Gross Margin</t>
  </si>
  <si>
    <t>Gross Margin (%)</t>
  </si>
  <si>
    <t>Admin Expenses</t>
  </si>
  <si>
    <t>Commercial Expenses</t>
  </si>
  <si>
    <t>Tax, Banking and Other expenses</t>
  </si>
  <si>
    <t>EBITDA Margin (%)</t>
  </si>
  <si>
    <t xml:space="preserve">Depreciation </t>
  </si>
  <si>
    <t>Interest</t>
  </si>
  <si>
    <t>Income Tax</t>
  </si>
  <si>
    <t>Net Result</t>
  </si>
  <si>
    <t>Cash Flow statement ('000 RUR)</t>
  </si>
  <si>
    <t>WC Movements</t>
  </si>
  <si>
    <t>Net cash provided (used) from operating activities</t>
  </si>
  <si>
    <t>Cash Flows From Investing Activities:</t>
  </si>
  <si>
    <t>Purchases/Sale of PP&amp;E</t>
  </si>
  <si>
    <t>Net cash provided (used) by investing activities</t>
  </si>
  <si>
    <t>Cash Flows From Financing Activities:</t>
  </si>
  <si>
    <t>Equity Injection/Shareholder Distribution</t>
  </si>
  <si>
    <t>Loan</t>
  </si>
  <si>
    <t>Net cash provided (used) by financing activities</t>
  </si>
  <si>
    <t>Net Change in Cash</t>
  </si>
  <si>
    <t>Cash, at beginning of period</t>
  </si>
  <si>
    <t>Cash, at end of period</t>
  </si>
  <si>
    <t>Sales &amp; production ('000 RUR)</t>
  </si>
  <si>
    <t>Estimate - Assets and liabilities ('000 RUR)</t>
  </si>
  <si>
    <t>Current assets</t>
  </si>
  <si>
    <t>Cash balance</t>
  </si>
  <si>
    <t>Inventory - Finished goods</t>
  </si>
  <si>
    <t>Inventory - Raw materials, semi-finished</t>
  </si>
  <si>
    <t>Trade receivables</t>
  </si>
  <si>
    <t>Receivables turnover, months</t>
  </si>
  <si>
    <t>Other current assets</t>
  </si>
  <si>
    <t>Current liabilities</t>
  </si>
  <si>
    <t>Loans</t>
  </si>
  <si>
    <t>Other current liabilities</t>
  </si>
  <si>
    <t>Bud.</t>
  </si>
  <si>
    <t>Act.</t>
  </si>
  <si>
    <r>
      <rPr>
        <b/>
        <sz val="14"/>
        <color indexed="10"/>
        <rFont val="Arial"/>
        <family val="2"/>
        <charset val="204"/>
      </rPr>
      <t>Report of P&amp;L for 2014</t>
    </r>
    <r>
      <rPr>
        <b/>
        <sz val="14"/>
        <rFont val="Arial"/>
        <family val="2"/>
      </rPr>
      <t xml:space="preserve"> - Thermopribor</t>
    </r>
  </si>
  <si>
    <t xml:space="preserve"> Nov </t>
  </si>
  <si>
    <t>Actual YTD</t>
  </si>
  <si>
    <t>Budget YTD</t>
  </si>
  <si>
    <t>Actual/Bud</t>
  </si>
  <si>
    <t>Budget Y14</t>
  </si>
  <si>
    <t>Дата</t>
  </si>
  <si>
    <t>Группа</t>
  </si>
  <si>
    <t>Статья</t>
  </si>
  <si>
    <r>
      <t>Cash Flows From Operating Activities</t>
    </r>
    <r>
      <rPr>
        <sz val="12"/>
        <color rgb="FF000000"/>
        <rFont val="Arial"/>
        <family val="2"/>
        <charset val="204"/>
      </rPr>
      <t>:</t>
    </r>
  </si>
  <si>
    <t>Счет</t>
  </si>
  <si>
    <t>Код</t>
  </si>
  <si>
    <t>Дебет</t>
  </si>
  <si>
    <t>Кредит</t>
  </si>
  <si>
    <t>26.01</t>
  </si>
  <si>
    <t>69.01</t>
  </si>
  <si>
    <t>Расчеты по социальному страхованию</t>
  </si>
  <si>
    <t>Расчеты с персоналом по оплате труда</t>
  </si>
  <si>
    <t>Административно-хозяйственный отдел</t>
  </si>
  <si>
    <t>Страховые взносы</t>
  </si>
  <si>
    <t>Заработная плата управленцев и специалистов</t>
  </si>
  <si>
    <t>Медсанчасть</t>
  </si>
  <si>
    <t>Налог (взносы): начислено / уплачено</t>
  </si>
  <si>
    <t>Все сотрудники</t>
  </si>
  <si>
    <t>Документ</t>
  </si>
  <si>
    <t>Операция</t>
  </si>
  <si>
    <t>Текущее сальдо</t>
  </si>
  <si>
    <t>Сумма</t>
  </si>
  <si>
    <t>Сальдо на начало</t>
  </si>
  <si>
    <t>Д</t>
  </si>
  <si>
    <t xml:space="preserve">Заработная плата рабочих </t>
  </si>
  <si>
    <t>Код P&amp;L</t>
  </si>
  <si>
    <t>Сцепка</t>
  </si>
  <si>
    <t>Сумма (+/-)</t>
  </si>
  <si>
    <t>Сумма (+)</t>
  </si>
  <si>
    <t>Оплата труда</t>
  </si>
  <si>
    <t>Требует уточнения</t>
  </si>
  <si>
    <t>Требует уточнение или вне P&amp;L</t>
  </si>
  <si>
    <t>Факт</t>
  </si>
  <si>
    <t>31.01.2014</t>
  </si>
  <si>
    <t>Отражение зарплаты в регл учете 00000000002 от 31.01.2014 23:59:59</t>
  </si>
  <si>
    <t>2014_Jul_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</si>
</sst>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\ [$RUR]"/>
    <numFmt numFmtId="166" formatCode="_(* #,##0_);_(* \(#,##0\);_(* &quot;-&quot;_);_(@_)"/>
    <numFmt numFmtId="167" formatCode="_(* #,##0_);_(* \(#,##0\);_(* &quot;-&quot;??_);_(@_)"/>
    <numFmt numFmtId="168" formatCode="#,##0_ ;[Red]\-#,##0\ "/>
    <numFmt numFmtId="169" formatCode="#,##0.000_ ;[Red]\-#,##0.000\ "/>
    <numFmt numFmtId="170" formatCode="_-* #,##0.00\ _€_-;\-* #,##0.00\ _€_-;_-* &quot;-&quot;??\ _€_-;_-@_-"/>
    <numFmt numFmtId="171" formatCode="#,##0_ ;\-#,##0\ "/>
    <numFmt numFmtId="172" formatCode="#,##0,"/>
    <numFmt numFmtId="173" formatCode="#,##0.00;[Red]\-#,##0.00"/>
    <numFmt numFmtId="174" formatCode="0.00_ ;[Red]\-0.00\ "/>
    <numFmt numFmtId="175" formatCode="[$-409]mmmyy;@"/>
  </numFmts>
  <fonts count="36" x14ac:knownFonts="1"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14"/>
      <color indexed="10"/>
      <name val="Arial"/>
      <family val="2"/>
      <charset val="204"/>
    </font>
    <font>
      <b/>
      <sz val="14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0"/>
      <color rgb="FFFF000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8"/>
      <name val="Arial"/>
      <family val="2"/>
    </font>
    <font>
      <b/>
      <sz val="12"/>
      <color rgb="FFFFFFFF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color theme="0" tint="-4.9989318521683403E-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theme="0"/>
      </bottom>
      <diagonal/>
    </border>
    <border>
      <left/>
      <right style="thin">
        <color auto="1"/>
      </right>
      <top style="medium">
        <color auto="1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170" fontId="5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7" fillId="0" borderId="0">
      <alignment horizontal="left"/>
    </xf>
    <xf numFmtId="0" fontId="10" fillId="0" borderId="0"/>
    <xf numFmtId="0" fontId="10" fillId="0" borderId="0"/>
    <xf numFmtId="0" fontId="14" fillId="0" borderId="0"/>
    <xf numFmtId="0" fontId="15" fillId="2" borderId="6" applyNumberFormat="0" applyFont="0" applyAlignment="0" applyProtection="0"/>
    <xf numFmtId="0" fontId="12" fillId="2" borderId="6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5" fillId="0" borderId="0"/>
    <xf numFmtId="170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12" fillId="0" borderId="0"/>
  </cellStyleXfs>
  <cellXfs count="191">
    <xf numFmtId="0" fontId="0" fillId="0" borderId="0" xfId="0"/>
    <xf numFmtId="3" fontId="1" fillId="0" borderId="0" xfId="9" applyNumberFormat="1" applyFont="1" applyFill="1" applyBorder="1" applyAlignment="1" applyProtection="1">
      <alignment horizontal="left"/>
    </xf>
    <xf numFmtId="3" fontId="1" fillId="0" borderId="0" xfId="9" applyNumberFormat="1" applyFont="1" applyFill="1" applyBorder="1" applyProtection="1"/>
    <xf numFmtId="3" fontId="1" fillId="0" borderId="0" xfId="9" applyNumberFormat="1" applyFont="1" applyFill="1" applyBorder="1" applyAlignment="1" applyProtection="1">
      <alignment horizontal="right"/>
    </xf>
    <xf numFmtId="3" fontId="1" fillId="0" borderId="0" xfId="9" applyNumberFormat="1" applyFont="1" applyFill="1" applyBorder="1" applyAlignment="1" applyProtection="1">
      <alignment horizontal="left" vertical="top" indent="2"/>
    </xf>
    <xf numFmtId="169" fontId="16" fillId="0" borderId="0" xfId="21" applyNumberFormat="1" applyFont="1" applyFill="1" applyBorder="1" applyAlignment="1" applyProtection="1">
      <alignment horizontal="center"/>
    </xf>
    <xf numFmtId="3" fontId="1" fillId="0" borderId="0" xfId="7" applyNumberFormat="1" applyFont="1" applyFill="1" applyBorder="1" applyProtection="1"/>
    <xf numFmtId="3" fontId="1" fillId="0" borderId="0" xfId="7" applyNumberFormat="1" applyFont="1" applyFill="1" applyBorder="1" applyAlignment="1" applyProtection="1">
      <alignment vertical="top"/>
    </xf>
    <xf numFmtId="3" fontId="1" fillId="0" borderId="0" xfId="7" applyNumberFormat="1" applyFont="1" applyFill="1" applyBorder="1" applyAlignment="1" applyProtection="1">
      <alignment horizontal="right"/>
    </xf>
    <xf numFmtId="0" fontId="6" fillId="0" borderId="0" xfId="7" applyFont="1" applyFill="1" applyBorder="1" applyAlignment="1" applyProtection="1"/>
    <xf numFmtId="3" fontId="4" fillId="0" borderId="0" xfId="7" applyNumberFormat="1" applyFont="1" applyFill="1" applyBorder="1" applyAlignment="1" applyProtection="1">
      <alignment horizontal="right"/>
    </xf>
    <xf numFmtId="3" fontId="1" fillId="0" borderId="0" xfId="7" applyNumberFormat="1" applyFont="1" applyFill="1" applyBorder="1" applyAlignment="1" applyProtection="1">
      <alignment horizontal="left"/>
    </xf>
    <xf numFmtId="0" fontId="1" fillId="0" borderId="0" xfId="7" applyFont="1" applyFill="1" applyBorder="1"/>
    <xf numFmtId="0" fontId="1" fillId="0" borderId="0" xfId="8" applyFont="1" applyFill="1" applyBorder="1"/>
    <xf numFmtId="0" fontId="3" fillId="0" borderId="0" xfId="8" applyFont="1" applyFill="1" applyBorder="1" applyAlignment="1">
      <alignment horizontal="center"/>
    </xf>
    <xf numFmtId="166" fontId="3" fillId="0" borderId="0" xfId="7" applyNumberFormat="1" applyFont="1" applyFill="1" applyBorder="1" applyAlignment="1">
      <alignment horizontal="right"/>
    </xf>
    <xf numFmtId="0" fontId="3" fillId="0" borderId="0" xfId="7" applyFont="1" applyFill="1" applyBorder="1"/>
    <xf numFmtId="0" fontId="3" fillId="0" borderId="0" xfId="7" applyNumberFormat="1" applyFont="1" applyFill="1" applyBorder="1" applyAlignment="1"/>
    <xf numFmtId="166" fontId="3" fillId="0" borderId="1" xfId="7" applyNumberFormat="1" applyFont="1" applyFill="1" applyBorder="1" applyAlignment="1">
      <alignment horizontal="right"/>
    </xf>
    <xf numFmtId="0" fontId="1" fillId="0" borderId="0" xfId="7" applyNumberFormat="1" applyFont="1" applyFill="1" applyBorder="1" applyAlignment="1">
      <alignment horizontal="left" indent="2"/>
    </xf>
    <xf numFmtId="166" fontId="1" fillId="5" borderId="1" xfId="7" applyNumberFormat="1" applyFont="1" applyFill="1" applyBorder="1" applyAlignment="1">
      <alignment horizontal="right"/>
    </xf>
    <xf numFmtId="0" fontId="3" fillId="0" borderId="0" xfId="7" applyFont="1" applyFill="1" applyBorder="1" applyAlignment="1"/>
    <xf numFmtId="0" fontId="1" fillId="0" borderId="0" xfId="7" applyFont="1" applyFill="1" applyBorder="1" applyAlignment="1">
      <alignment horizontal="left" indent="2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68" fontId="18" fillId="0" borderId="0" xfId="0" applyNumberFormat="1" applyFont="1" applyAlignment="1">
      <alignment horizontal="left"/>
    </xf>
    <xf numFmtId="0" fontId="23" fillId="0" borderId="0" xfId="0" applyNumberFormat="1" applyFont="1"/>
    <xf numFmtId="0" fontId="18" fillId="0" borderId="0" xfId="33" applyFont="1" applyBorder="1"/>
    <xf numFmtId="167" fontId="24" fillId="7" borderId="3" xfId="34" applyNumberFormat="1" applyFont="1" applyFill="1" applyBorder="1" applyAlignment="1">
      <alignment horizontal="left" vertical="center"/>
    </xf>
    <xf numFmtId="167" fontId="24" fillId="7" borderId="3" xfId="34" applyNumberFormat="1" applyFont="1" applyFill="1" applyBorder="1" applyAlignment="1">
      <alignment horizontal="center" vertical="center"/>
    </xf>
    <xf numFmtId="0" fontId="18" fillId="0" borderId="0" xfId="33" applyFont="1" applyBorder="1" applyAlignment="1">
      <alignment horizontal="center"/>
    </xf>
    <xf numFmtId="0" fontId="25" fillId="0" borderId="0" xfId="33" applyNumberFormat="1" applyFont="1" applyBorder="1"/>
    <xf numFmtId="49" fontId="25" fillId="0" borderId="0" xfId="33" applyNumberFormat="1" applyFont="1" applyBorder="1" applyAlignment="1">
      <alignment horizontal="center"/>
    </xf>
    <xf numFmtId="167" fontId="18" fillId="0" borderId="0" xfId="34" applyNumberFormat="1" applyFont="1" applyBorder="1"/>
    <xf numFmtId="0" fontId="23" fillId="0" borderId="0" xfId="33" applyNumberFormat="1" applyFont="1" applyBorder="1"/>
    <xf numFmtId="0" fontId="19" fillId="0" borderId="0" xfId="33" applyFont="1" applyBorder="1" applyAlignment="1">
      <alignment horizontal="left" indent="1"/>
    </xf>
    <xf numFmtId="171" fontId="19" fillId="0" borderId="0" xfId="33" applyNumberFormat="1" applyFont="1" applyBorder="1"/>
    <xf numFmtId="9" fontId="19" fillId="0" borderId="0" xfId="20" applyFont="1" applyBorder="1"/>
    <xf numFmtId="0" fontId="19" fillId="0" borderId="0" xfId="33" applyFont="1" applyBorder="1"/>
    <xf numFmtId="0" fontId="18" fillId="0" borderId="0" xfId="33" applyFont="1" applyBorder="1" applyAlignment="1">
      <alignment horizontal="left" indent="5"/>
    </xf>
    <xf numFmtId="171" fontId="18" fillId="3" borderId="0" xfId="33" applyNumberFormat="1" applyFont="1" applyFill="1" applyBorder="1"/>
    <xf numFmtId="171" fontId="18" fillId="0" borderId="0" xfId="33" applyNumberFormat="1" applyFont="1" applyBorder="1"/>
    <xf numFmtId="9" fontId="18" fillId="0" borderId="0" xfId="20" applyFont="1" applyBorder="1"/>
    <xf numFmtId="167" fontId="19" fillId="8" borderId="0" xfId="34" applyNumberFormat="1" applyFont="1" applyFill="1" applyAlignment="1">
      <alignment horizontal="left"/>
    </xf>
    <xf numFmtId="171" fontId="19" fillId="8" borderId="0" xfId="33" applyNumberFormat="1" applyFont="1" applyFill="1" applyBorder="1"/>
    <xf numFmtId="9" fontId="19" fillId="8" borderId="0" xfId="20" applyFont="1" applyFill="1" applyBorder="1"/>
    <xf numFmtId="0" fontId="19" fillId="0" borderId="0" xfId="0" applyFont="1"/>
    <xf numFmtId="0" fontId="18" fillId="0" borderId="0" xfId="0" applyFont="1" applyFill="1"/>
    <xf numFmtId="0" fontId="18" fillId="0" borderId="0" xfId="33" applyFont="1" applyFill="1" applyBorder="1"/>
    <xf numFmtId="0" fontId="25" fillId="0" borderId="0" xfId="33" applyNumberFormat="1" applyFont="1" applyFill="1" applyBorder="1"/>
    <xf numFmtId="0" fontId="23" fillId="0" borderId="0" xfId="33" applyNumberFormat="1" applyFont="1" applyFill="1" applyBorder="1"/>
    <xf numFmtId="0" fontId="19" fillId="0" borderId="0" xfId="33" applyFont="1" applyFill="1" applyBorder="1"/>
    <xf numFmtId="0" fontId="26" fillId="0" borderId="0" xfId="0" applyFont="1"/>
    <xf numFmtId="165" fontId="17" fillId="4" borderId="10" xfId="8" applyNumberFormat="1" applyFont="1" applyFill="1" applyBorder="1" applyAlignment="1" applyProtection="1">
      <alignment horizontal="center" vertical="center"/>
    </xf>
    <xf numFmtId="49" fontId="3" fillId="0" borderId="1" xfId="7" applyNumberFormat="1" applyFont="1" applyFill="1" applyBorder="1" applyAlignment="1">
      <alignment horizontal="left" vertical="top"/>
    </xf>
    <xf numFmtId="166" fontId="3" fillId="0" borderId="13" xfId="7" applyNumberFormat="1" applyFont="1" applyFill="1" applyBorder="1" applyAlignment="1">
      <alignment horizontal="right"/>
    </xf>
    <xf numFmtId="49" fontId="1" fillId="0" borderId="1" xfId="7" applyNumberFormat="1" applyFont="1" applyFill="1" applyBorder="1" applyAlignment="1">
      <alignment horizontal="left" vertical="top"/>
    </xf>
    <xf numFmtId="166" fontId="1" fillId="5" borderId="13" xfId="7" applyNumberFormat="1" applyFont="1" applyFill="1" applyBorder="1" applyAlignment="1">
      <alignment horizontal="right"/>
    </xf>
    <xf numFmtId="0" fontId="25" fillId="0" borderId="0" xfId="0" applyFont="1" applyFill="1" applyBorder="1"/>
    <xf numFmtId="0" fontId="25" fillId="0" borderId="0" xfId="33" applyFont="1" applyFill="1" applyBorder="1"/>
    <xf numFmtId="167" fontId="29" fillId="9" borderId="3" xfId="34" applyNumberFormat="1" applyFont="1" applyFill="1" applyBorder="1" applyAlignment="1">
      <alignment horizontal="left" vertical="center"/>
    </xf>
    <xf numFmtId="167" fontId="29" fillId="9" borderId="3" xfId="34" applyNumberFormat="1" applyFont="1" applyFill="1" applyBorder="1" applyAlignment="1">
      <alignment horizontal="center" vertical="center"/>
    </xf>
    <xf numFmtId="0" fontId="23" fillId="0" borderId="0" xfId="33" applyFont="1" applyFill="1" applyBorder="1" applyAlignment="1">
      <alignment horizontal="left" indent="1"/>
    </xf>
    <xf numFmtId="171" fontId="23" fillId="0" borderId="0" xfId="33" applyNumberFormat="1" applyFont="1" applyFill="1" applyBorder="1"/>
    <xf numFmtId="9" fontId="23" fillId="0" borderId="0" xfId="20" applyFont="1" applyFill="1" applyBorder="1"/>
    <xf numFmtId="171" fontId="25" fillId="10" borderId="0" xfId="33" applyNumberFormat="1" applyFont="1" applyFill="1" applyBorder="1"/>
    <xf numFmtId="171" fontId="25" fillId="0" borderId="0" xfId="33" applyNumberFormat="1" applyFont="1" applyFill="1" applyBorder="1"/>
    <xf numFmtId="9" fontId="25" fillId="0" borderId="0" xfId="20" applyFont="1" applyFill="1" applyBorder="1"/>
    <xf numFmtId="167" fontId="23" fillId="11" borderId="0" xfId="34" applyNumberFormat="1" applyFont="1" applyFill="1" applyBorder="1" applyAlignment="1">
      <alignment horizontal="left"/>
    </xf>
    <xf numFmtId="171" fontId="23" fillId="11" borderId="0" xfId="33" applyNumberFormat="1" applyFont="1" applyFill="1" applyBorder="1"/>
    <xf numFmtId="9" fontId="23" fillId="11" borderId="0" xfId="20" applyFont="1" applyFill="1" applyBorder="1"/>
    <xf numFmtId="0" fontId="25" fillId="0" borderId="0" xfId="33" applyFont="1" applyFill="1" applyBorder="1" applyAlignment="1">
      <alignment horizontal="left" indent="3"/>
    </xf>
    <xf numFmtId="0" fontId="27" fillId="0" borderId="0" xfId="33" applyNumberFormat="1" applyFont="1" applyFill="1" applyBorder="1"/>
    <xf numFmtId="0" fontId="27" fillId="0" borderId="0" xfId="33" applyFont="1" applyFill="1" applyBorder="1" applyAlignment="1">
      <alignment horizontal="left" indent="7"/>
    </xf>
    <xf numFmtId="171" fontId="27" fillId="0" borderId="0" xfId="33" applyNumberFormat="1" applyFont="1" applyFill="1" applyBorder="1"/>
    <xf numFmtId="0" fontId="25" fillId="0" borderId="0" xfId="33" applyFont="1" applyFill="1" applyBorder="1" applyAlignment="1">
      <alignment horizontal="left" indent="1"/>
    </xf>
    <xf numFmtId="0" fontId="27" fillId="0" borderId="0" xfId="33" applyFont="1" applyFill="1" applyBorder="1" applyAlignment="1">
      <alignment horizontal="left" indent="1"/>
    </xf>
    <xf numFmtId="0" fontId="25" fillId="0" borderId="0" xfId="33" applyFont="1" applyFill="1" applyBorder="1" applyAlignment="1"/>
    <xf numFmtId="171" fontId="25" fillId="0" borderId="0" xfId="31" applyNumberFormat="1" applyFont="1" applyFill="1" applyBorder="1" applyAlignment="1"/>
    <xf numFmtId="171" fontId="25" fillId="0" borderId="0" xfId="33" applyNumberFormat="1" applyFont="1" applyFill="1" applyBorder="1" applyAlignment="1"/>
    <xf numFmtId="171" fontId="25" fillId="0" borderId="0" xfId="34" applyNumberFormat="1" applyFont="1" applyFill="1" applyBorder="1" applyAlignment="1"/>
    <xf numFmtId="167" fontId="25" fillId="11" borderId="0" xfId="34" applyNumberFormat="1" applyFont="1" applyFill="1" applyBorder="1" applyAlignment="1">
      <alignment horizontal="left"/>
    </xf>
    <xf numFmtId="171" fontId="25" fillId="11" borderId="0" xfId="34" applyNumberFormat="1" applyFont="1" applyFill="1" applyBorder="1" applyAlignment="1"/>
    <xf numFmtId="171" fontId="25" fillId="11" borderId="0" xfId="20" applyNumberFormat="1" applyFont="1" applyFill="1" applyBorder="1" applyAlignment="1"/>
    <xf numFmtId="9" fontId="25" fillId="11" borderId="0" xfId="20" applyFont="1" applyFill="1" applyBorder="1" applyAlignment="1">
      <alignment horizontal="left"/>
    </xf>
    <xf numFmtId="0" fontId="23" fillId="0" borderId="0" xfId="33" applyFont="1" applyFill="1" applyBorder="1" applyAlignment="1"/>
    <xf numFmtId="0" fontId="25" fillId="0" borderId="0" xfId="33" applyFont="1" applyFill="1" applyBorder="1" applyAlignment="1">
      <alignment horizontal="left"/>
    </xf>
    <xf numFmtId="171" fontId="23" fillId="0" borderId="0" xfId="34" applyNumberFormat="1" applyFont="1" applyFill="1" applyBorder="1" applyAlignment="1"/>
    <xf numFmtId="171" fontId="18" fillId="0" borderId="0" xfId="0" applyNumberFormat="1" applyFont="1"/>
    <xf numFmtId="172" fontId="18" fillId="0" borderId="0" xfId="0" applyNumberFormat="1" applyFont="1"/>
    <xf numFmtId="0" fontId="7" fillId="0" borderId="0" xfId="36" applyFont="1" applyFill="1" applyAlignment="1">
      <alignment horizontal="left" vertical="center"/>
    </xf>
    <xf numFmtId="174" fontId="30" fillId="0" borderId="0" xfId="36" applyNumberFormat="1" applyFont="1" applyFill="1" applyBorder="1" applyAlignment="1">
      <alignment horizontal="left" vertical="center"/>
    </xf>
    <xf numFmtId="3" fontId="31" fillId="0" borderId="0" xfId="9" applyNumberFormat="1" applyFont="1" applyFill="1" applyBorder="1" applyAlignment="1" applyProtection="1">
      <alignment horizontal="left" vertical="top" indent="2"/>
    </xf>
    <xf numFmtId="0" fontId="31" fillId="0" borderId="0" xfId="7" applyNumberFormat="1" applyFont="1" applyFill="1" applyBorder="1" applyAlignment="1">
      <alignment horizontal="left" indent="2"/>
    </xf>
    <xf numFmtId="0" fontId="28" fillId="13" borderId="17" xfId="37" applyNumberFormat="1" applyFont="1" applyFill="1" applyBorder="1" applyAlignment="1">
      <alignment horizontal="left" wrapText="1"/>
    </xf>
    <xf numFmtId="0" fontId="31" fillId="0" borderId="0" xfId="7" applyFont="1" applyFill="1" applyBorder="1" applyAlignment="1">
      <alignment horizontal="left" indent="2"/>
    </xf>
    <xf numFmtId="0" fontId="32" fillId="0" borderId="0" xfId="7" applyFont="1" applyFill="1" applyBorder="1" applyAlignment="1"/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3" fillId="0" borderId="0" xfId="0" applyFont="1"/>
    <xf numFmtId="0" fontId="19" fillId="0" borderId="0" xfId="0" applyFont="1" applyAlignment="1">
      <alignment horizontal="left" indent="1"/>
    </xf>
    <xf numFmtId="10" fontId="19" fillId="0" borderId="0" xfId="20" applyNumberFormat="1" applyFont="1" applyBorder="1"/>
    <xf numFmtId="10" fontId="19" fillId="12" borderId="0" xfId="20" applyNumberFormat="1" applyFont="1" applyFill="1" applyBorder="1"/>
    <xf numFmtId="10" fontId="23" fillId="0" borderId="0" xfId="20" applyNumberFormat="1" applyFont="1" applyFill="1" applyBorder="1"/>
    <xf numFmtId="10" fontId="19" fillId="12" borderId="0" xfId="33" applyNumberFormat="1" applyFont="1" applyFill="1" applyBorder="1"/>
    <xf numFmtId="3" fontId="18" fillId="6" borderId="0" xfId="33" applyNumberFormat="1" applyFont="1" applyFill="1" applyBorder="1"/>
    <xf numFmtId="3" fontId="19" fillId="12" borderId="0" xfId="33" applyNumberFormat="1" applyFont="1" applyFill="1" applyBorder="1"/>
    <xf numFmtId="2" fontId="18" fillId="0" borderId="0" xfId="33" applyNumberFormat="1" applyFont="1" applyBorder="1"/>
    <xf numFmtId="3" fontId="19" fillId="6" borderId="0" xfId="33" applyNumberFormat="1" applyFont="1" applyFill="1" applyBorder="1"/>
    <xf numFmtId="3" fontId="18" fillId="3" borderId="0" xfId="33" applyNumberFormat="1" applyFont="1" applyFill="1" applyBorder="1"/>
    <xf numFmtId="3" fontId="18" fillId="0" borderId="0" xfId="33" applyNumberFormat="1" applyFont="1" applyBorder="1"/>
    <xf numFmtId="3" fontId="19" fillId="8" borderId="0" xfId="33" applyNumberFormat="1" applyFont="1" applyFill="1" applyBorder="1"/>
    <xf numFmtId="3" fontId="25" fillId="10" borderId="0" xfId="33" applyNumberFormat="1" applyFont="1" applyFill="1" applyBorder="1"/>
    <xf numFmtId="3" fontId="25" fillId="0" borderId="0" xfId="33" applyNumberFormat="1" applyFont="1" applyFill="1" applyBorder="1"/>
    <xf numFmtId="3" fontId="23" fillId="0" borderId="0" xfId="33" applyNumberFormat="1" applyFont="1" applyFill="1" applyBorder="1"/>
    <xf numFmtId="3" fontId="25" fillId="0" borderId="0" xfId="0" applyNumberFormat="1" applyFont="1" applyFill="1" applyBorder="1"/>
    <xf numFmtId="3" fontId="25" fillId="0" borderId="0" xfId="20" applyNumberFormat="1" applyFont="1" applyFill="1" applyBorder="1"/>
    <xf numFmtId="3" fontId="23" fillId="11" borderId="0" xfId="33" applyNumberFormat="1" applyFont="1" applyFill="1" applyBorder="1"/>
    <xf numFmtId="3" fontId="29" fillId="9" borderId="3" xfId="34" applyNumberFormat="1" applyFont="1" applyFill="1" applyBorder="1" applyAlignment="1">
      <alignment horizontal="center" vertical="center"/>
    </xf>
    <xf numFmtId="3" fontId="18" fillId="12" borderId="0" xfId="33" applyNumberFormat="1" applyFont="1" applyFill="1" applyBorder="1"/>
    <xf numFmtId="3" fontId="25" fillId="0" borderId="0" xfId="31" applyNumberFormat="1" applyFont="1" applyFill="1" applyBorder="1" applyAlignment="1"/>
    <xf numFmtId="3" fontId="25" fillId="0" borderId="0" xfId="33" applyNumberFormat="1" applyFont="1" applyFill="1" applyBorder="1" applyAlignment="1"/>
    <xf numFmtId="3" fontId="25" fillId="11" borderId="0" xfId="34" applyNumberFormat="1" applyFont="1" applyFill="1" applyBorder="1" applyAlignment="1"/>
    <xf numFmtId="0" fontId="19" fillId="0" borderId="0" xfId="0" applyFont="1" applyAlignment="1">
      <alignment horizontal="left" indent="2"/>
    </xf>
    <xf numFmtId="9" fontId="18" fillId="0" borderId="0" xfId="20" applyFont="1"/>
    <xf numFmtId="171" fontId="18" fillId="0" borderId="0" xfId="31" applyNumberFormat="1" applyFont="1" applyAlignment="1"/>
    <xf numFmtId="0" fontId="19" fillId="0" borderId="0" xfId="0" applyFont="1" applyAlignment="1">
      <alignment horizontal="left"/>
    </xf>
    <xf numFmtId="3" fontId="34" fillId="6" borderId="0" xfId="33" applyNumberFormat="1" applyFont="1" applyFill="1" applyBorder="1"/>
    <xf numFmtId="0" fontId="28" fillId="0" borderId="21" xfId="38" applyNumberFormat="1" applyFont="1" applyBorder="1" applyAlignment="1">
      <alignment horizontal="left" wrapText="1"/>
    </xf>
    <xf numFmtId="4" fontId="28" fillId="0" borderId="17" xfId="38" applyNumberFormat="1" applyFont="1" applyBorder="1" applyAlignment="1">
      <alignment horizontal="right" wrapText="1"/>
    </xf>
    <xf numFmtId="2" fontId="28" fillId="0" borderId="17" xfId="38" applyNumberFormat="1" applyFont="1" applyBorder="1" applyAlignment="1">
      <alignment horizontal="right" wrapText="1"/>
    </xf>
    <xf numFmtId="0" fontId="28" fillId="0" borderId="17" xfId="38" applyNumberFormat="1" applyFont="1" applyBorder="1" applyAlignment="1">
      <alignment horizontal="left" wrapText="1"/>
    </xf>
    <xf numFmtId="0" fontId="28" fillId="0" borderId="24" xfId="38" applyNumberFormat="1" applyFont="1" applyBorder="1" applyAlignment="1">
      <alignment horizontal="left" vertical="top" wrapText="1"/>
    </xf>
    <xf numFmtId="0" fontId="28" fillId="0" borderId="26" xfId="38" applyNumberFormat="1" applyFont="1" applyBorder="1" applyAlignment="1">
      <alignment horizontal="left" vertical="top" wrapText="1"/>
    </xf>
    <xf numFmtId="0" fontId="28" fillId="0" borderId="27" xfId="38" applyNumberFormat="1" applyFont="1" applyBorder="1" applyAlignment="1">
      <alignment horizontal="left" vertical="top" wrapText="1"/>
    </xf>
    <xf numFmtId="173" fontId="28" fillId="0" borderId="26" xfId="38" applyNumberFormat="1" applyFont="1" applyBorder="1" applyAlignment="1">
      <alignment horizontal="right" vertical="top" wrapText="1"/>
    </xf>
    <xf numFmtId="1" fontId="28" fillId="0" borderId="27" xfId="38" applyNumberFormat="1" applyFont="1" applyBorder="1" applyAlignment="1">
      <alignment horizontal="left" vertical="top" wrapText="1"/>
    </xf>
    <xf numFmtId="0" fontId="28" fillId="0" borderId="26" xfId="38" applyNumberFormat="1" applyFont="1" applyBorder="1" applyAlignment="1">
      <alignment horizontal="right" vertical="top" wrapText="1"/>
    </xf>
    <xf numFmtId="0" fontId="28" fillId="0" borderId="28" xfId="38" applyNumberFormat="1" applyFont="1" applyBorder="1" applyAlignment="1">
      <alignment horizontal="left" wrapText="1"/>
    </xf>
    <xf numFmtId="4" fontId="28" fillId="0" borderId="26" xfId="38" applyNumberFormat="1" applyFont="1" applyBorder="1" applyAlignment="1">
      <alignment horizontal="right" vertical="top" wrapText="1"/>
    </xf>
    <xf numFmtId="0" fontId="28" fillId="0" borderId="22" xfId="38" applyNumberFormat="1" applyFont="1" applyBorder="1" applyAlignment="1">
      <alignment horizontal="left" wrapText="1"/>
    </xf>
    <xf numFmtId="0" fontId="28" fillId="0" borderId="23" xfId="38" applyNumberFormat="1" applyFont="1" applyBorder="1" applyAlignment="1">
      <alignment horizontal="left" vertical="top" wrapText="1"/>
    </xf>
    <xf numFmtId="0" fontId="28" fillId="0" borderId="13" xfId="38" applyNumberFormat="1" applyFont="1" applyBorder="1" applyAlignment="1">
      <alignment horizontal="left" wrapText="1"/>
    </xf>
    <xf numFmtId="0" fontId="28" fillId="0" borderId="23" xfId="38" applyNumberFormat="1" applyFont="1" applyBorder="1" applyAlignment="1">
      <alignment horizontal="left" wrapText="1"/>
    </xf>
    <xf numFmtId="0" fontId="28" fillId="0" borderId="0" xfId="38" applyNumberFormat="1" applyAlignment="1">
      <alignment horizontal="left" wrapText="1"/>
    </xf>
    <xf numFmtId="0" fontId="0" fillId="0" borderId="0" xfId="0" applyFill="1"/>
    <xf numFmtId="3" fontId="19" fillId="12" borderId="0" xfId="20" applyNumberFormat="1" applyFont="1" applyFill="1" applyBorder="1"/>
    <xf numFmtId="3" fontId="19" fillId="8" borderId="0" xfId="20" applyNumberFormat="1" applyFont="1" applyFill="1" applyBorder="1"/>
    <xf numFmtId="171" fontId="25" fillId="6" borderId="0" xfId="33" applyNumberFormat="1" applyFont="1" applyFill="1" applyBorder="1"/>
    <xf numFmtId="0" fontId="25" fillId="6" borderId="0" xfId="0" applyFont="1" applyFill="1" applyBorder="1"/>
    <xf numFmtId="0" fontId="19" fillId="6" borderId="0" xfId="0" applyFont="1" applyFill="1" applyAlignment="1">
      <alignment horizontal="left"/>
    </xf>
    <xf numFmtId="168" fontId="18" fillId="6" borderId="0" xfId="0" applyNumberFormat="1" applyFont="1" applyFill="1" applyAlignment="1">
      <alignment horizontal="left"/>
    </xf>
    <xf numFmtId="175" fontId="24" fillId="7" borderId="3" xfId="34" applyNumberFormat="1" applyFont="1" applyFill="1" applyBorder="1" applyAlignment="1">
      <alignment horizontal="left" vertical="center"/>
    </xf>
    <xf numFmtId="9" fontId="25" fillId="0" borderId="0" xfId="20" applyNumberFormat="1" applyFont="1" applyFill="1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8" fillId="0" borderId="29" xfId="38" applyNumberFormat="1" applyFont="1" applyBorder="1" applyAlignment="1">
      <alignment wrapText="1"/>
    </xf>
    <xf numFmtId="0" fontId="28" fillId="0" borderId="21" xfId="38" applyNumberFormat="1" applyFont="1" applyBorder="1" applyAlignment="1">
      <alignment wrapText="1"/>
    </xf>
    <xf numFmtId="0" fontId="28" fillId="0" borderId="17" xfId="38" applyNumberFormat="1" applyFont="1" applyBorder="1" applyAlignment="1">
      <alignment wrapText="1"/>
    </xf>
    <xf numFmtId="0" fontId="0" fillId="3" borderId="0" xfId="0" applyFill="1"/>
    <xf numFmtId="0" fontId="28" fillId="3" borderId="19" xfId="38" applyNumberFormat="1" applyFont="1" applyFill="1" applyBorder="1" applyAlignment="1">
      <alignment horizontal="center" vertical="top"/>
    </xf>
    <xf numFmtId="0" fontId="28" fillId="3" borderId="20" xfId="38" applyNumberFormat="1" applyFont="1" applyFill="1" applyBorder="1" applyAlignment="1">
      <alignment horizontal="center" vertical="top"/>
    </xf>
    <xf numFmtId="0" fontId="35" fillId="3" borderId="0" xfId="0" applyFont="1" applyFill="1"/>
    <xf numFmtId="171" fontId="26" fillId="0" borderId="0" xfId="33" applyNumberFormat="1" applyFont="1" applyBorder="1"/>
    <xf numFmtId="171" fontId="18" fillId="0" borderId="0" xfId="33" applyNumberFormat="1" applyFont="1" applyFill="1" applyBorder="1"/>
    <xf numFmtId="171" fontId="19" fillId="0" borderId="0" xfId="33" applyNumberFormat="1" applyFont="1" applyFill="1" applyBorder="1"/>
    <xf numFmtId="171" fontId="25" fillId="3" borderId="0" xfId="31" applyNumberFormat="1" applyFont="1" applyFill="1" applyBorder="1" applyAlignment="1"/>
    <xf numFmtId="171" fontId="18" fillId="3" borderId="0" xfId="31" applyNumberFormat="1" applyFont="1" applyFill="1" applyAlignment="1"/>
    <xf numFmtId="171" fontId="25" fillId="3" borderId="0" xfId="33" applyNumberFormat="1" applyFont="1" applyFill="1" applyBorder="1" applyAlignment="1"/>
    <xf numFmtId="0" fontId="25" fillId="3" borderId="0" xfId="33" applyFont="1" applyFill="1" applyBorder="1"/>
    <xf numFmtId="3" fontId="25" fillId="3" borderId="0" xfId="31" applyNumberFormat="1" applyFont="1" applyFill="1" applyBorder="1" applyAlignment="1"/>
    <xf numFmtId="175" fontId="17" fillId="4" borderId="8" xfId="8" applyNumberFormat="1" applyFont="1" applyFill="1" applyBorder="1" applyAlignment="1" applyProtection="1">
      <alignment horizontal="center" vertical="center"/>
    </xf>
    <xf numFmtId="165" fontId="17" fillId="14" borderId="10" xfId="8" applyNumberFormat="1" applyFont="1" applyFill="1" applyBorder="1" applyAlignment="1" applyProtection="1">
      <alignment horizontal="center" vertical="center"/>
    </xf>
    <xf numFmtId="165" fontId="17" fillId="14" borderId="11" xfId="8" applyNumberFormat="1" applyFont="1" applyFill="1" applyBorder="1" applyAlignment="1" applyProtection="1">
      <alignment horizontal="center" vertical="center"/>
    </xf>
    <xf numFmtId="166" fontId="1" fillId="5" borderId="0" xfId="7" applyNumberFormat="1" applyFont="1" applyFill="1" applyBorder="1" applyAlignment="1">
      <alignment horizontal="right"/>
    </xf>
    <xf numFmtId="0" fontId="2" fillId="14" borderId="7" xfId="8" applyFont="1" applyFill="1" applyBorder="1" applyAlignment="1" applyProtection="1">
      <alignment horizontal="center" vertical="center" wrapText="1"/>
    </xf>
    <xf numFmtId="0" fontId="2" fillId="14" borderId="4" xfId="8" applyFont="1" applyFill="1" applyBorder="1" applyAlignment="1" applyProtection="1">
      <alignment horizontal="center" vertical="center" wrapText="1"/>
    </xf>
    <xf numFmtId="0" fontId="2" fillId="14" borderId="5" xfId="8" applyFont="1" applyFill="1" applyBorder="1" applyAlignment="1" applyProtection="1">
      <alignment horizontal="center" vertical="center"/>
    </xf>
    <xf numFmtId="0" fontId="2" fillId="14" borderId="2" xfId="8" applyFont="1" applyFill="1" applyBorder="1" applyAlignment="1" applyProtection="1">
      <alignment horizontal="center" vertical="center"/>
    </xf>
    <xf numFmtId="0" fontId="2" fillId="14" borderId="12" xfId="8" applyFont="1" applyFill="1" applyBorder="1" applyAlignment="1" applyProtection="1">
      <alignment horizontal="center" vertical="center"/>
    </xf>
    <xf numFmtId="0" fontId="2" fillId="14" borderId="14" xfId="8" applyFont="1" applyFill="1" applyBorder="1" applyAlignment="1" applyProtection="1">
      <alignment horizontal="center" vertical="center"/>
    </xf>
    <xf numFmtId="175" fontId="17" fillId="14" borderId="8" xfId="8" applyNumberFormat="1" applyFont="1" applyFill="1" applyBorder="1" applyAlignment="1" applyProtection="1">
      <alignment horizontal="center" vertical="center"/>
    </xf>
    <xf numFmtId="175" fontId="17" fillId="14" borderId="9" xfId="8" applyNumberFormat="1" applyFont="1" applyFill="1" applyBorder="1" applyAlignment="1" applyProtection="1">
      <alignment horizontal="center" vertical="center"/>
    </xf>
    <xf numFmtId="0" fontId="28" fillId="3" borderId="15" xfId="38" applyNumberFormat="1" applyFont="1" applyFill="1" applyBorder="1" applyAlignment="1">
      <alignment horizontal="center" vertical="top"/>
    </xf>
    <xf numFmtId="0" fontId="28" fillId="3" borderId="16" xfId="38" applyNumberFormat="1" applyFont="1" applyFill="1" applyBorder="1" applyAlignment="1">
      <alignment horizontal="center" vertical="top"/>
    </xf>
    <xf numFmtId="0" fontId="28" fillId="3" borderId="17" xfId="38" applyNumberFormat="1" applyFont="1" applyFill="1" applyBorder="1" applyAlignment="1">
      <alignment horizontal="center" vertical="top"/>
    </xf>
    <xf numFmtId="0" fontId="28" fillId="3" borderId="18" xfId="38" applyNumberFormat="1" applyFont="1" applyFill="1" applyBorder="1" applyAlignment="1">
      <alignment horizontal="center" vertical="top"/>
    </xf>
    <xf numFmtId="0" fontId="28" fillId="0" borderId="25" xfId="38" applyNumberFormat="1" applyFont="1" applyBorder="1" applyAlignment="1">
      <alignment horizontal="left" vertical="top" wrapText="1"/>
    </xf>
  </cellXfs>
  <cellStyles count="40">
    <cellStyle name="Comma 2" xfId="34"/>
    <cellStyle name="Comma_April actuals US Mariano by CC - TW-2" xfId="1"/>
    <cellStyle name="Normal 2" xfId="33"/>
    <cellStyle name="Percent 2 2 3" xfId="35"/>
    <cellStyle name="Standard 2" xfId="2"/>
    <cellStyle name="Standard 2 2" xfId="3"/>
    <cellStyle name="Standard 5" xfId="4"/>
    <cellStyle name="Обычный" xfId="0" builtinId="0"/>
    <cellStyle name="Обычный 2" xfId="5"/>
    <cellStyle name="Обычный 2 2" xfId="6"/>
    <cellStyle name="Обычный 2 3" xfId="7"/>
    <cellStyle name="Обычный 2 4" xfId="36"/>
    <cellStyle name="Обычный 3" xfId="8"/>
    <cellStyle name="Обычный 3 2" xfId="9"/>
    <cellStyle name="Обычный 3 2 3 2" xfId="39"/>
    <cellStyle name="Обычный 3 3" xfId="10"/>
    <cellStyle name="Обычный 3 4" xfId="11"/>
    <cellStyle name="Обычный 3 5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_cost_06" xfId="37"/>
    <cellStyle name="Обычный_Costs_01" xfId="38"/>
    <cellStyle name="Примечание 2" xfId="18"/>
    <cellStyle name="Примечание 3" xfId="19"/>
    <cellStyle name="Процентный" xfId="20" builtinId="5"/>
    <cellStyle name="Процентный 2" xfId="21"/>
    <cellStyle name="Процентный 2 2" xfId="22"/>
    <cellStyle name="Процентный 2 2 2" xfId="23"/>
    <cellStyle name="Процентный 3" xfId="24"/>
    <cellStyle name="Процентный 4" xfId="25"/>
    <cellStyle name="Процентный 5" xfId="26"/>
    <cellStyle name="Процентный 6" xfId="27"/>
    <cellStyle name="Процентный 7" xfId="28"/>
    <cellStyle name="Процентный 8" xfId="29"/>
    <cellStyle name="Процентный 9" xfId="30"/>
    <cellStyle name="Финансовый 2" xfId="31"/>
    <cellStyle name="Финансовый 2 2" xfId="3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5050"/>
      <color rgb="FFA5B5F9"/>
      <color rgb="FF22B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ALWESTSERVER\Dep_Fin\01_&#1041;&#1070;&#1044;&#1046;&#1045;&#1058;_2013\RE\RE_2013_PL_Budget_v121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TP_BUDGET_2014/TP_2014_PL_Budge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P_1407_CF_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3o"/>
      <sheetName val="PL_R4"/>
      <sheetName val="PL_42"/>
      <sheetName val="PL_PP"/>
      <sheetName val="PL13m"/>
      <sheetName val="PL13_R4"/>
      <sheetName val="PL13_42"/>
      <sheetName val="PL13_PP"/>
      <sheetName val="PL12o"/>
      <sheetName val="PL12m"/>
      <sheetName val="PL12_R4"/>
      <sheetName val="PL12_42"/>
      <sheetName val="PL12_PP"/>
      <sheetName val="PL11o"/>
      <sheetName val="PL11m"/>
      <sheetName val="PL11_R4"/>
      <sheetName val="PL11_42"/>
      <sheetName val="PL11_PP"/>
      <sheetName val="Выручка_R4"/>
      <sheetName val="Выручка_42"/>
      <sheetName val="42_var"/>
      <sheetName val="ФОТ"/>
      <sheetName val="Энергия"/>
      <sheetName val="Займы"/>
      <sheetName val="Налоги"/>
      <sheetName val="Прочие"/>
      <sheetName val="Ремонты"/>
      <sheetName val="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3">
          <cell r="E3">
            <v>31</v>
          </cell>
        </row>
      </sheetData>
      <sheetData sheetId="19"/>
      <sheetData sheetId="20"/>
      <sheetData sheetId="21" refreshError="1">
        <row r="2">
          <cell r="J2">
            <v>0.3</v>
          </cell>
        </row>
      </sheetData>
      <sheetData sheetId="22"/>
      <sheetData sheetId="23" refreshError="1">
        <row r="93">
          <cell r="E93">
            <v>41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_14_TP"/>
      <sheetName val="PL14_TP"/>
    </sheetNames>
    <sheetDataSet>
      <sheetData sheetId="0">
        <row r="14">
          <cell r="C14">
            <v>111481.75</v>
          </cell>
          <cell r="K14">
            <v>6000</v>
          </cell>
          <cell r="L14">
            <v>5000</v>
          </cell>
          <cell r="M14">
            <v>8000</v>
          </cell>
          <cell r="N14">
            <v>9000</v>
          </cell>
          <cell r="O14">
            <v>9000</v>
          </cell>
          <cell r="P14">
            <v>9000</v>
          </cell>
          <cell r="Q14">
            <v>10913.625000000002</v>
          </cell>
          <cell r="R14">
            <v>10913.625000000002</v>
          </cell>
          <cell r="S14">
            <v>10913.625000000002</v>
          </cell>
          <cell r="T14">
            <v>10913.625000000002</v>
          </cell>
          <cell r="U14">
            <v>10913.625000000002</v>
          </cell>
          <cell r="V14">
            <v>10913.625000000002</v>
          </cell>
          <cell r="W14">
            <v>111481.75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7">
          <cell r="K17">
            <v>7893.6353537561881</v>
          </cell>
          <cell r="L17">
            <v>9286.6298279484563</v>
          </cell>
          <cell r="M17">
            <v>9286.6298279484563</v>
          </cell>
          <cell r="N17">
            <v>10215.292810743304</v>
          </cell>
          <cell r="O17">
            <v>8822.2983365510336</v>
          </cell>
          <cell r="P17">
            <v>8822.2983365510336</v>
          </cell>
          <cell r="Q17">
            <v>10679.624302140726</v>
          </cell>
          <cell r="R17">
            <v>9750.9613193458772</v>
          </cell>
          <cell r="S17">
            <v>10215.292810743304</v>
          </cell>
          <cell r="T17">
            <v>10679.624302140726</v>
          </cell>
          <cell r="U17">
            <v>8357.9668451536108</v>
          </cell>
          <cell r="V17">
            <v>10679.624302140726</v>
          </cell>
          <cell r="W17">
            <v>114689.87837516343</v>
          </cell>
        </row>
        <row r="18">
          <cell r="K18">
            <v>7893.6353537561881</v>
          </cell>
          <cell r="L18">
            <v>9286.6298279484563</v>
          </cell>
          <cell r="M18">
            <v>9286.6298279484563</v>
          </cell>
          <cell r="N18">
            <v>10215.292810743304</v>
          </cell>
          <cell r="O18">
            <v>8822.2983365510336</v>
          </cell>
          <cell r="P18">
            <v>8822.2983365510336</v>
          </cell>
          <cell r="Q18">
            <v>10679.624302140726</v>
          </cell>
          <cell r="R18">
            <v>9750.9613193458772</v>
          </cell>
          <cell r="S18">
            <v>10215.292810743304</v>
          </cell>
          <cell r="T18">
            <v>10679.624302140726</v>
          </cell>
          <cell r="U18">
            <v>8357.9668451536108</v>
          </cell>
          <cell r="V18">
            <v>10679.624302140726</v>
          </cell>
          <cell r="W18">
            <v>114689.87837516343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1">
          <cell r="K21">
            <v>1906.1277705345506</v>
          </cell>
          <cell r="L21">
            <v>2242.5032594524123</v>
          </cell>
          <cell r="M21">
            <v>2242.5032594524123</v>
          </cell>
          <cell r="N21">
            <v>2466.7535853976533</v>
          </cell>
          <cell r="O21">
            <v>2130.3780964797916</v>
          </cell>
          <cell r="P21">
            <v>2130.3780964797916</v>
          </cell>
          <cell r="Q21">
            <v>2578.878748370274</v>
          </cell>
          <cell r="R21">
            <v>2354.6284224250326</v>
          </cell>
          <cell r="S21">
            <v>2466.7535853976533</v>
          </cell>
          <cell r="T21">
            <v>2578.878748370274</v>
          </cell>
          <cell r="U21">
            <v>2018.2529335071711</v>
          </cell>
          <cell r="V21">
            <v>2578.878748370274</v>
          </cell>
          <cell r="W21">
            <v>27694.915254237287</v>
          </cell>
        </row>
        <row r="22">
          <cell r="K22">
            <v>1906.1277705345506</v>
          </cell>
          <cell r="L22">
            <v>2242.5032594524123</v>
          </cell>
          <cell r="M22">
            <v>2242.5032594524123</v>
          </cell>
          <cell r="N22">
            <v>2466.7535853976533</v>
          </cell>
          <cell r="O22">
            <v>2130.3780964797916</v>
          </cell>
          <cell r="P22">
            <v>2130.3780964797916</v>
          </cell>
          <cell r="Q22">
            <v>2578.878748370274</v>
          </cell>
          <cell r="R22">
            <v>2354.6284224250326</v>
          </cell>
          <cell r="S22">
            <v>2466.7535853976533</v>
          </cell>
          <cell r="T22">
            <v>2578.878748370274</v>
          </cell>
          <cell r="U22">
            <v>2018.2529335071711</v>
          </cell>
          <cell r="V22">
            <v>2578.878748370274</v>
          </cell>
          <cell r="W22">
            <v>27694.915254237287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5">
          <cell r="K25">
            <v>249.78855984611209</v>
          </cell>
          <cell r="L25">
            <v>293.86889393660249</v>
          </cell>
          <cell r="M25">
            <v>293.86889393660249</v>
          </cell>
          <cell r="N25">
            <v>323.25578333026277</v>
          </cell>
          <cell r="O25">
            <v>279.17544923977232</v>
          </cell>
          <cell r="P25">
            <v>279.17544923977232</v>
          </cell>
          <cell r="Q25">
            <v>337.94922802709289</v>
          </cell>
          <cell r="R25">
            <v>308.56233863343266</v>
          </cell>
          <cell r="S25">
            <v>323.25578333026277</v>
          </cell>
          <cell r="T25">
            <v>337.94922802709289</v>
          </cell>
          <cell r="U25">
            <v>264.48200454294226</v>
          </cell>
          <cell r="V25">
            <v>337.94922802709289</v>
          </cell>
          <cell r="W25">
            <v>3629.280840117041</v>
          </cell>
        </row>
        <row r="26">
          <cell r="K26">
            <v>249.78855984611209</v>
          </cell>
          <cell r="L26">
            <v>293.86889393660249</v>
          </cell>
          <cell r="M26">
            <v>293.86889393660249</v>
          </cell>
          <cell r="N26">
            <v>323.25578333026277</v>
          </cell>
          <cell r="O26">
            <v>279.17544923977232</v>
          </cell>
          <cell r="P26">
            <v>279.17544923977232</v>
          </cell>
          <cell r="Q26">
            <v>337.94922802709289</v>
          </cell>
          <cell r="R26">
            <v>308.56233863343266</v>
          </cell>
          <cell r="S26">
            <v>323.25578333026277</v>
          </cell>
          <cell r="T26">
            <v>337.94922802709289</v>
          </cell>
          <cell r="U26">
            <v>264.48200454294226</v>
          </cell>
          <cell r="V26">
            <v>337.94922802709289</v>
          </cell>
          <cell r="W26">
            <v>3629.280840117041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9">
          <cell r="K29">
            <v>6679.0718704230358</v>
          </cell>
          <cell r="L29">
            <v>6537.7937957120457</v>
          </cell>
          <cell r="M29">
            <v>6391.8677957120444</v>
          </cell>
          <cell r="N29">
            <v>5552.5754125713847</v>
          </cell>
          <cell r="O29">
            <v>4929.952987282375</v>
          </cell>
          <cell r="P29">
            <v>4929.952987282375</v>
          </cell>
          <cell r="Q29">
            <v>4993.6362210010557</v>
          </cell>
          <cell r="R29">
            <v>4961.7946041417154</v>
          </cell>
          <cell r="S29">
            <v>4977.7154125713851</v>
          </cell>
          <cell r="T29">
            <v>5568.4962210010553</v>
          </cell>
          <cell r="U29">
            <v>6360.0261788527041</v>
          </cell>
          <cell r="V29">
            <v>6585.5562210010557</v>
          </cell>
          <cell r="W29">
            <v>68468.439707552243</v>
          </cell>
        </row>
        <row r="30">
          <cell r="K30">
            <v>6408.4181271186453</v>
          </cell>
          <cell r="L30">
            <v>6219.3776271186443</v>
          </cell>
          <cell r="M30">
            <v>6073.451627118643</v>
          </cell>
          <cell r="N30">
            <v>5202.3176271186439</v>
          </cell>
          <cell r="O30">
            <v>4627.4576271186443</v>
          </cell>
          <cell r="P30">
            <v>4627.4576271186443</v>
          </cell>
          <cell r="Q30">
            <v>4627.4576271186443</v>
          </cell>
          <cell r="R30">
            <v>4627.4576271186443</v>
          </cell>
          <cell r="S30">
            <v>4627.4576271186443</v>
          </cell>
          <cell r="T30">
            <v>5202.3176271186439</v>
          </cell>
          <cell r="U30">
            <v>6073.451627118643</v>
          </cell>
          <cell r="V30">
            <v>6219.3776271186443</v>
          </cell>
          <cell r="W30">
            <v>64536.000025423738</v>
          </cell>
        </row>
        <row r="31">
          <cell r="K31">
            <v>270.65374330439079</v>
          </cell>
          <cell r="L31">
            <v>318.41616859340104</v>
          </cell>
          <cell r="M31">
            <v>318.41616859340104</v>
          </cell>
          <cell r="N31">
            <v>350.25778545274108</v>
          </cell>
          <cell r="O31">
            <v>302.49536016373105</v>
          </cell>
          <cell r="P31">
            <v>302.49536016373105</v>
          </cell>
          <cell r="Q31">
            <v>366.17859388241106</v>
          </cell>
          <cell r="R31">
            <v>334.33697702307103</v>
          </cell>
          <cell r="S31">
            <v>350.25778545274108</v>
          </cell>
          <cell r="T31">
            <v>366.17859388241106</v>
          </cell>
          <cell r="U31">
            <v>286.57455173406089</v>
          </cell>
          <cell r="V31">
            <v>366.17859388241106</v>
          </cell>
          <cell r="W31">
            <v>3932.4396821285022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>
            <v>22728.623554559887</v>
          </cell>
          <cell r="L33">
            <v>23360.795777049516</v>
          </cell>
          <cell r="M33">
            <v>26214.869777049516</v>
          </cell>
          <cell r="N33">
            <v>27557.877592042605</v>
          </cell>
          <cell r="O33">
            <v>25161.804869552972</v>
          </cell>
          <cell r="P33">
            <v>25161.804869552972</v>
          </cell>
          <cell r="Q33">
            <v>29503.71349953915</v>
          </cell>
          <cell r="R33">
            <v>28289.571684546063</v>
          </cell>
          <cell r="S33">
            <v>28896.642592042605</v>
          </cell>
          <cell r="T33">
            <v>30078.57349953915</v>
          </cell>
          <cell r="U33">
            <v>27914.35296205643</v>
          </cell>
          <cell r="V33">
            <v>31095.633499539152</v>
          </cell>
        </row>
        <row r="34">
          <cell r="K34">
            <v>16049.551684136852</v>
          </cell>
          <cell r="L34">
            <v>16823.001981337471</v>
          </cell>
          <cell r="M34">
            <v>19823.001981337471</v>
          </cell>
          <cell r="N34">
            <v>22005.302179471219</v>
          </cell>
          <cell r="O34">
            <v>20231.851882270599</v>
          </cell>
          <cell r="P34">
            <v>20231.851882270599</v>
          </cell>
          <cell r="Q34">
            <v>24510.077278538094</v>
          </cell>
          <cell r="R34">
            <v>23327.777080404347</v>
          </cell>
          <cell r="S34">
            <v>23918.927179471219</v>
          </cell>
          <cell r="T34">
            <v>24510.077278538094</v>
          </cell>
          <cell r="U34">
            <v>21554.326783203724</v>
          </cell>
          <cell r="V34">
            <v>24510.077278538094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K36">
            <v>6679.0718704230358</v>
          </cell>
          <cell r="L36">
            <v>6537.7937957120457</v>
          </cell>
          <cell r="M36">
            <v>6391.8677957120444</v>
          </cell>
          <cell r="N36">
            <v>5552.5754125713847</v>
          </cell>
          <cell r="O36">
            <v>4929.952987282375</v>
          </cell>
          <cell r="P36">
            <v>4929.952987282375</v>
          </cell>
          <cell r="Q36">
            <v>4993.6362210010557</v>
          </cell>
          <cell r="R36">
            <v>4961.7946041417154</v>
          </cell>
          <cell r="S36">
            <v>4977.7154125713851</v>
          </cell>
          <cell r="T36">
            <v>5568.4962210010553</v>
          </cell>
          <cell r="U36">
            <v>6360.0261788527041</v>
          </cell>
          <cell r="V36">
            <v>6585.5562210010557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K38">
            <v>24151.737529603546</v>
          </cell>
          <cell r="L38">
            <v>21758.072622194799</v>
          </cell>
          <cell r="M38">
            <v>28936.855199826488</v>
          </cell>
          <cell r="N38">
            <v>28426.774976468572</v>
          </cell>
          <cell r="O38">
            <v>25252.019424610342</v>
          </cell>
          <cell r="P38">
            <v>25865.981530202062</v>
          </cell>
          <cell r="Q38">
            <v>18332.086846475588</v>
          </cell>
          <cell r="R38">
            <v>21610.896945736142</v>
          </cell>
          <cell r="S38">
            <v>27017.371490003356</v>
          </cell>
          <cell r="T38">
            <v>28182.698002031764</v>
          </cell>
          <cell r="U38">
            <v>29061.828969974482</v>
          </cell>
          <cell r="V38">
            <v>28071.700841503756</v>
          </cell>
          <cell r="W38">
            <v>306668.02437863091</v>
          </cell>
        </row>
      </sheetData>
      <sheetData sheetId="1">
        <row r="17">
          <cell r="E1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14_TP"/>
      <sheetName val="мес"/>
      <sheetName val="base_01"/>
      <sheetName val="base_02"/>
      <sheetName val="base_03"/>
      <sheetName val="base_04"/>
      <sheetName val="base_05"/>
      <sheetName val="base_06"/>
      <sheetName val="base_07"/>
      <sheetName val="base_08"/>
      <sheetName val="base_09"/>
      <sheetName val="base_10"/>
      <sheetName val="base_11"/>
      <sheetName val="base_12"/>
      <sheetName val="catalog"/>
      <sheetName val="спр"/>
    </sheetNames>
    <sheetDataSet>
      <sheetData sheetId="0">
        <row r="11">
          <cell r="F11">
            <v>4383531.8499999978</v>
          </cell>
          <cell r="Q11">
            <v>3845716.5136922747</v>
          </cell>
          <cell r="R11">
            <v>4503161.6600000039</v>
          </cell>
          <cell r="AD11">
            <v>4493917.0099999309</v>
          </cell>
          <cell r="AF11">
            <v>4383531.8499999978</v>
          </cell>
          <cell r="AS11">
            <v>4493917.0099999309</v>
          </cell>
        </row>
        <row r="183">
          <cell r="Q183">
            <v>0</v>
          </cell>
          <cell r="R183">
            <v>0</v>
          </cell>
          <cell r="AD183">
            <v>1880000</v>
          </cell>
          <cell r="AF183">
            <v>40375</v>
          </cell>
          <cell r="AS183">
            <v>3180000</v>
          </cell>
        </row>
        <row r="192">
          <cell r="Q192">
            <v>0</v>
          </cell>
          <cell r="R192">
            <v>0</v>
          </cell>
          <cell r="AD192">
            <v>-1575000</v>
          </cell>
          <cell r="AF192">
            <v>0</v>
          </cell>
          <cell r="AS192">
            <v>-1575000</v>
          </cell>
        </row>
        <row r="206">
          <cell r="F206">
            <v>0</v>
          </cell>
          <cell r="H206">
            <v>0</v>
          </cell>
          <cell r="J206">
            <v>0</v>
          </cell>
          <cell r="L206">
            <v>0</v>
          </cell>
          <cell r="N206">
            <v>0</v>
          </cell>
          <cell r="P206">
            <v>0</v>
          </cell>
          <cell r="Q206">
            <v>0</v>
          </cell>
          <cell r="R206">
            <v>0</v>
          </cell>
          <cell r="AD206">
            <v>0</v>
          </cell>
          <cell r="AF206">
            <v>0</v>
          </cell>
          <cell r="AS206">
            <v>0</v>
          </cell>
        </row>
        <row r="207">
          <cell r="F207">
            <v>0</v>
          </cell>
          <cell r="H207">
            <v>0</v>
          </cell>
          <cell r="J207">
            <v>0</v>
          </cell>
          <cell r="L207">
            <v>0</v>
          </cell>
          <cell r="N207">
            <v>0</v>
          </cell>
          <cell r="P207">
            <v>0</v>
          </cell>
          <cell r="Q207">
            <v>0</v>
          </cell>
          <cell r="R207">
            <v>0</v>
          </cell>
          <cell r="AD207">
            <v>0</v>
          </cell>
          <cell r="AF207">
            <v>0</v>
          </cell>
          <cell r="AS207">
            <v>0</v>
          </cell>
        </row>
        <row r="208">
          <cell r="Q208">
            <v>0</v>
          </cell>
          <cell r="R208">
            <v>0</v>
          </cell>
          <cell r="AD208">
            <v>0</v>
          </cell>
          <cell r="AF208">
            <v>0</v>
          </cell>
          <cell r="AS208">
            <v>0</v>
          </cell>
        </row>
        <row r="210">
          <cell r="F210">
            <v>0</v>
          </cell>
          <cell r="H210">
            <v>0</v>
          </cell>
          <cell r="J210">
            <v>0</v>
          </cell>
          <cell r="L210">
            <v>0</v>
          </cell>
          <cell r="N210">
            <v>0</v>
          </cell>
          <cell r="P210">
            <v>0</v>
          </cell>
          <cell r="Q210">
            <v>0</v>
          </cell>
          <cell r="R210">
            <v>0</v>
          </cell>
          <cell r="AD210">
            <v>0</v>
          </cell>
          <cell r="AF210">
            <v>0</v>
          </cell>
          <cell r="AS210">
            <v>0</v>
          </cell>
        </row>
        <row r="211">
          <cell r="F211">
            <v>250509.75</v>
          </cell>
          <cell r="H211">
            <v>266751.75</v>
          </cell>
          <cell r="J211">
            <v>266857.5</v>
          </cell>
          <cell r="L211">
            <v>270183.75</v>
          </cell>
          <cell r="N211">
            <v>257354.25</v>
          </cell>
          <cell r="P211">
            <v>253131</v>
          </cell>
          <cell r="Q211">
            <v>262500</v>
          </cell>
          <cell r="R211">
            <v>267953.25</v>
          </cell>
          <cell r="AD211">
            <v>1050000</v>
          </cell>
          <cell r="AF211">
            <v>1832741.25</v>
          </cell>
          <cell r="AS211">
            <v>2362500</v>
          </cell>
        </row>
        <row r="212">
          <cell r="Q212">
            <v>0</v>
          </cell>
          <cell r="R212">
            <v>0</v>
          </cell>
          <cell r="AD212">
            <v>0</v>
          </cell>
          <cell r="AF212">
            <v>0</v>
          </cell>
          <cell r="AS212">
            <v>0</v>
          </cell>
        </row>
        <row r="222">
          <cell r="F222">
            <v>6005525.370000001</v>
          </cell>
          <cell r="H222">
            <v>2920304.7899999954</v>
          </cell>
          <cell r="J222">
            <v>3688545.590000011</v>
          </cell>
          <cell r="L222">
            <v>3857259.2700000145</v>
          </cell>
          <cell r="N222">
            <v>3672974.6900000088</v>
          </cell>
          <cell r="P222">
            <v>4503161.6600000039</v>
          </cell>
          <cell r="Q222">
            <v>9843535.0258422755</v>
          </cell>
          <cell r="R222">
            <v>2632640.270000007</v>
          </cell>
          <cell r="AD222">
            <v>9843535.0258422792</v>
          </cell>
          <cell r="AF222">
            <v>2632640.2700000107</v>
          </cell>
          <cell r="AS222">
            <v>13426778.524987221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12"/>
  <sheetViews>
    <sheetView workbookViewId="0">
      <selection sqref="A1:A12"/>
    </sheetView>
  </sheetViews>
  <sheetFormatPr defaultRowHeight="12.75" x14ac:dyDescent="0.2"/>
  <sheetData>
    <row r="1" spans="1:1" ht="18" x14ac:dyDescent="0.25">
      <c r="A1" s="101">
        <v>1</v>
      </c>
    </row>
    <row r="2" spans="1:1" ht="18" x14ac:dyDescent="0.25">
      <c r="A2" s="101">
        <v>2</v>
      </c>
    </row>
    <row r="3" spans="1:1" ht="18" x14ac:dyDescent="0.25">
      <c r="A3" s="101">
        <v>3</v>
      </c>
    </row>
    <row r="4" spans="1:1" ht="18" x14ac:dyDescent="0.25">
      <c r="A4" s="101">
        <v>4</v>
      </c>
    </row>
    <row r="5" spans="1:1" ht="18" x14ac:dyDescent="0.25">
      <c r="A5" s="101">
        <v>5</v>
      </c>
    </row>
    <row r="6" spans="1:1" ht="18" x14ac:dyDescent="0.25">
      <c r="A6" s="101">
        <v>6</v>
      </c>
    </row>
    <row r="7" spans="1:1" ht="18" x14ac:dyDescent="0.25">
      <c r="A7" s="101">
        <v>7</v>
      </c>
    </row>
    <row r="8" spans="1:1" ht="18" x14ac:dyDescent="0.25">
      <c r="A8" s="101">
        <v>8</v>
      </c>
    </row>
    <row r="9" spans="1:1" ht="18" x14ac:dyDescent="0.25">
      <c r="A9" s="101">
        <v>9</v>
      </c>
    </row>
    <row r="10" spans="1:1" ht="18" x14ac:dyDescent="0.25">
      <c r="A10" s="101">
        <v>10</v>
      </c>
    </row>
    <row r="11" spans="1:1" ht="18" x14ac:dyDescent="0.25">
      <c r="A11" s="101">
        <v>11</v>
      </c>
    </row>
    <row r="12" spans="1:1" ht="18" x14ac:dyDescent="0.25">
      <c r="A12" s="101">
        <v>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111"/>
  <sheetViews>
    <sheetView showGridLines="0" view="pageBreakPreview" topLeftCell="A46" zoomScale="60" zoomScaleNormal="60" workbookViewId="0">
      <selection activeCell="N35" sqref="N35"/>
    </sheetView>
  </sheetViews>
  <sheetFormatPr defaultColWidth="10.85546875" defaultRowHeight="12.75" outlineLevelRow="1" x14ac:dyDescent="0.2"/>
  <cols>
    <col min="1" max="1" width="3.140625" customWidth="1"/>
    <col min="2" max="2" width="53.140625" customWidth="1"/>
    <col min="3" max="3" width="17.7109375" customWidth="1"/>
    <col min="4" max="4" width="17.5703125" bestFit="1" customWidth="1"/>
    <col min="5" max="5" width="18.42578125" bestFit="1" customWidth="1"/>
    <col min="6" max="6" width="8.85546875" customWidth="1"/>
    <col min="7" max="9" width="17.7109375" customWidth="1"/>
    <col min="10" max="11" width="8.7109375" customWidth="1"/>
    <col min="12" max="12" width="17.5703125" customWidth="1"/>
    <col min="13" max="13" width="3.140625" customWidth="1"/>
    <col min="14" max="14" width="43.5703125" customWidth="1"/>
    <col min="15" max="26" width="14.5703125" customWidth="1"/>
    <col min="27" max="27" width="15.42578125" bestFit="1" customWidth="1"/>
  </cols>
  <sheetData>
    <row r="1" spans="1:27" s="23" customFormat="1" ht="15" x14ac:dyDescent="0.2"/>
    <row r="2" spans="1:27" s="23" customFormat="1" ht="26.25" x14ac:dyDescent="0.4">
      <c r="B2" s="24" t="s">
        <v>56</v>
      </c>
      <c r="N2" s="24" t="s">
        <v>56</v>
      </c>
    </row>
    <row r="3" spans="1:27" s="23" customFormat="1" ht="20.25" x14ac:dyDescent="0.3">
      <c r="B3" s="25"/>
      <c r="F3" s="90"/>
      <c r="N3" s="25"/>
    </row>
    <row r="4" spans="1:27" s="23" customFormat="1" ht="15.75" x14ac:dyDescent="0.25">
      <c r="B4" s="23" t="s">
        <v>50</v>
      </c>
      <c r="D4" s="125" t="s">
        <v>162</v>
      </c>
      <c r="E4" s="152">
        <v>7</v>
      </c>
      <c r="G4" s="91"/>
      <c r="N4" s="23" t="s">
        <v>50</v>
      </c>
      <c r="O4" s="102" t="str">
        <f>D4</f>
        <v>2014_Jul_</v>
      </c>
      <c r="P4" s="128">
        <f>E4</f>
        <v>7</v>
      </c>
    </row>
    <row r="5" spans="1:27" s="23" customFormat="1" ht="15.75" x14ac:dyDescent="0.25">
      <c r="B5" s="23" t="s">
        <v>57</v>
      </c>
      <c r="D5" s="100" t="s">
        <v>55</v>
      </c>
      <c r="G5" s="91"/>
      <c r="N5" s="23" t="s">
        <v>57</v>
      </c>
      <c r="O5" s="26" t="s">
        <v>55</v>
      </c>
    </row>
    <row r="6" spans="1:27" s="23" customFormat="1" ht="15" x14ac:dyDescent="0.2">
      <c r="B6" s="23" t="s">
        <v>58</v>
      </c>
      <c r="D6" s="99" t="s">
        <v>125</v>
      </c>
      <c r="H6" s="90"/>
      <c r="I6" s="90"/>
      <c r="N6" s="23" t="s">
        <v>58</v>
      </c>
      <c r="O6" s="23" t="s">
        <v>125</v>
      </c>
    </row>
    <row r="7" spans="1:27" s="23" customFormat="1" ht="15" x14ac:dyDescent="0.2">
      <c r="B7" s="23" t="s">
        <v>59</v>
      </c>
      <c r="D7" s="27" t="s">
        <v>0</v>
      </c>
      <c r="N7" s="23" t="s">
        <v>59</v>
      </c>
      <c r="O7" s="27" t="s">
        <v>0</v>
      </c>
    </row>
    <row r="8" spans="1:27" s="23" customFormat="1" ht="15" x14ac:dyDescent="0.2">
      <c r="B8" s="23" t="s">
        <v>60</v>
      </c>
      <c r="D8" s="153">
        <v>1000</v>
      </c>
      <c r="N8" s="23" t="s">
        <v>60</v>
      </c>
      <c r="O8" s="153">
        <v>1000</v>
      </c>
    </row>
    <row r="9" spans="1:27" s="23" customFormat="1" ht="15.75" collapsed="1" x14ac:dyDescent="0.25">
      <c r="B9" s="28"/>
      <c r="C9" s="28"/>
      <c r="D9" s="28"/>
      <c r="E9" s="28"/>
      <c r="N9" s="28"/>
    </row>
    <row r="10" spans="1:27" s="23" customFormat="1" ht="15.75" thickBo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s="32" customFormat="1" ht="15.75" x14ac:dyDescent="0.2">
      <c r="A11" s="30" t="s">
        <v>107</v>
      </c>
      <c r="B11" s="30"/>
      <c r="C11" s="31" t="s">
        <v>4</v>
      </c>
      <c r="D11" s="31" t="s">
        <v>5</v>
      </c>
      <c r="E11" s="31" t="s">
        <v>6</v>
      </c>
      <c r="F11" s="31"/>
      <c r="G11" s="31" t="s">
        <v>124</v>
      </c>
      <c r="H11" s="31" t="s">
        <v>123</v>
      </c>
      <c r="I11" s="31" t="s">
        <v>6</v>
      </c>
      <c r="J11" s="31"/>
      <c r="K11" s="31"/>
      <c r="L11" s="31" t="s">
        <v>126</v>
      </c>
      <c r="M11" s="30" t="s">
        <v>107</v>
      </c>
      <c r="N11" s="30"/>
      <c r="O11" s="154">
        <v>41640</v>
      </c>
      <c r="P11" s="154">
        <v>41671</v>
      </c>
      <c r="Q11" s="154">
        <v>41699</v>
      </c>
      <c r="R11" s="154">
        <v>41730</v>
      </c>
      <c r="S11" s="154">
        <v>41760</v>
      </c>
      <c r="T11" s="154">
        <v>41791</v>
      </c>
      <c r="U11" s="154">
        <v>41821</v>
      </c>
      <c r="V11" s="154">
        <v>41852</v>
      </c>
      <c r="W11" s="154">
        <v>41883</v>
      </c>
      <c r="X11" s="154">
        <v>41913</v>
      </c>
      <c r="Y11" s="154">
        <v>41944</v>
      </c>
      <c r="Z11" s="154">
        <v>41974</v>
      </c>
      <c r="AA11" s="31" t="s">
        <v>17</v>
      </c>
    </row>
    <row r="12" spans="1:27" s="23" customFormat="1" ht="15" x14ac:dyDescent="0.2">
      <c r="A12" s="33"/>
      <c r="B12" s="34"/>
      <c r="C12" s="29"/>
      <c r="D12" s="35"/>
      <c r="E12" s="29"/>
      <c r="F12" s="29"/>
      <c r="G12" s="29"/>
      <c r="H12" s="29"/>
      <c r="I12" s="29"/>
      <c r="J12" s="29"/>
      <c r="K12" s="29"/>
      <c r="L12" s="29"/>
      <c r="M12" s="33"/>
      <c r="N12" s="3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s="40" customFormat="1" ht="15.75" x14ac:dyDescent="0.25">
      <c r="A13" s="36"/>
      <c r="B13" s="37" t="s">
        <v>71</v>
      </c>
      <c r="C13" s="110">
        <f>SUM(C14:C15)</f>
        <v>10913.625000000002</v>
      </c>
      <c r="D13" s="110" t="e">
        <f>SUM(D14:D15)</f>
        <v>#REF!</v>
      </c>
      <c r="E13" s="110" t="e">
        <f>D13-C13</f>
        <v>#REF!</v>
      </c>
      <c r="F13" s="39"/>
      <c r="G13" s="38">
        <f>SUM(G14:G15)</f>
        <v>56913.625</v>
      </c>
      <c r="H13" s="38" t="e">
        <f ca="1">SUM(H14:H15)</f>
        <v>#REF!</v>
      </c>
      <c r="I13" s="110" t="e">
        <f ca="1">H13-G13</f>
        <v>#REF!</v>
      </c>
      <c r="J13" s="103">
        <f ca="1">(IFERROR(I13/G13,0))</f>
        <v>0</v>
      </c>
      <c r="K13" s="39"/>
      <c r="L13" s="38">
        <f>SUM(L14:L15)</f>
        <v>111481.75</v>
      </c>
      <c r="M13" s="38"/>
      <c r="N13" s="37" t="s">
        <v>71</v>
      </c>
      <c r="O13" s="38" t="e">
        <f ca="1">SUM(O14:O15)</f>
        <v>#REF!</v>
      </c>
      <c r="P13" s="38" t="e">
        <f t="shared" ref="P13:Z13" ca="1" si="0">SUM(P14:P15)</f>
        <v>#REF!</v>
      </c>
      <c r="Q13" s="38" t="e">
        <f t="shared" ca="1" si="0"/>
        <v>#REF!</v>
      </c>
      <c r="R13" s="38" t="e">
        <f t="shared" ca="1" si="0"/>
        <v>#REF!</v>
      </c>
      <c r="S13" s="38" t="e">
        <f t="shared" ca="1" si="0"/>
        <v>#REF!</v>
      </c>
      <c r="T13" s="38" t="e">
        <f t="shared" ca="1" si="0"/>
        <v>#REF!</v>
      </c>
      <c r="U13" s="38" t="e">
        <f t="shared" ca="1" si="0"/>
        <v>#REF!</v>
      </c>
      <c r="V13" s="38">
        <f t="shared" ca="1" si="0"/>
        <v>0</v>
      </c>
      <c r="W13" s="38">
        <f t="shared" ca="1" si="0"/>
        <v>0</v>
      </c>
      <c r="X13" s="38">
        <f t="shared" ca="1" si="0"/>
        <v>0</v>
      </c>
      <c r="Y13" s="38">
        <f t="shared" ca="1" si="0"/>
        <v>0</v>
      </c>
      <c r="Z13" s="38">
        <f t="shared" ca="1" si="0"/>
        <v>0</v>
      </c>
      <c r="AA13" s="38" t="e">
        <f ca="1">SUM(O13:Z13)</f>
        <v>#REF!</v>
      </c>
    </row>
    <row r="14" spans="1:27" s="23" customFormat="1" ht="15" x14ac:dyDescent="0.2">
      <c r="A14" s="33"/>
      <c r="B14" s="41" t="s">
        <v>18</v>
      </c>
      <c r="C14" s="111">
        <f>(IF($E$4=1,[2]FM_14_TP!$K14,IF($E$4=2,[2]FM_14_TP!$L14,IF($E$4=3,[2]FM_14_TP!$M14,IF($E$4=4,[2]FM_14_TP!$N14,IF($E$4=5,[2]FM_14_TP!$O14,IF($E$4=6,[2]FM_14_TP!$P14,IF($E$4=7,[2]FM_14_TP!$Q14,IF($E$4=8,[2]FM_14_TP!$R14,IF($E$4=9,[2]FM_14_TP!$S14,IF($E$4=10,[2]FM_14_TP!$T14,IF($E$4=11,[2]FM_14_TP!$U14,IF($E$4=12,[2]FM_14_TP!$V14)))))))))))))</f>
        <v>10913.625000000002</v>
      </c>
      <c r="D14" s="111" t="e">
        <f>(IF($E$4=1,SUMIFS(#REF!,#REF!,"Внутренний рынок",#REF!,$B$13),IF($E$4=2,SUMIFS(#REF!,#REF!,"Внутренний рынок",#REF!,$B$13),IF($E$4=3,SUMIFS(#REF!,#REF!,"Внутренний рынок",#REF!,$B$13),IF($E$4=4,SUMIFS(#REF!,#REF!,"Внутренний рынок",#REF!,$B$13),IF($E$4=5,SUMIFS(#REF!,#REF!,"Внутренний рынок",#REF!,$B$13),IF($E$4=6,SUMIFS(#REF!,#REF!,"Внутренний рынок",#REF!,$B$13),IF($E$4=7, SUMIFS(#REF!,#REF!,"Внутренний рынок",#REF!,$B$13),IF($E$4=8, SUMIFS(sales_08!I:I,sales_08!J:J,"Внутренний рынок",sales_08!L:L,$B$13),IF($E$4=9, SUMIFS(sales_09!I:I,sales_09!J:J,"Внутренний рынок",sales_09!L:L,$B$13),IF($E$4=10, SUMIFS(sales_10!I:I,sales_10!J:J,"Внутренний рынок",sales_10!L:L,$B$13),IF($E$4=11, SUMIFS(sales_11!I:I,sales_11!J:J,"Внутренний рынок",sales_11!L:L,$B$13),IF($E$4=12, SUMIFS(sales_12!I:I,sales_12!J:J,"Внутренний рынок",sales_12!L:L,$B$13))))))))))))))/1000</f>
        <v>#REF!</v>
      </c>
      <c r="E14" s="107" t="e">
        <f>D14-C14</f>
        <v>#REF!</v>
      </c>
      <c r="F14" s="44"/>
      <c r="G14" s="42">
        <f>((IF($E$4=1,SUM([2]FM_14_TP!$K14),IF($E$4=2,SUM([2]FM_14_TP!$K14,[2]FM_14_TP!$L14),IF($E$4=3,SUM([2]FM_14_TP!$M14,[2]FM_14_TP!$L14,[2]FM_14_TP!$K14),IF($E$4=4,SUM([2]FM_14_TP!$N14,[2]FM_14_TP!$M14,[2]FM_14_TP!$L14,[2]FM_14_TP!$K14),IF($E$4=5,SUM([2]FM_14_TP!$O14,[2]FM_14_TP!$N14,[2]FM_14_TP!$M14,[2]FM_14_TP!$L14,[2]FM_14_TP!$K14),IF($E$4=6,SUM([2]FM_14_TP!$P14,[2]FM_14_TP!$O14,[2]FM_14_TP!$N14,[2]FM_14_TP!$M14,[2]FM_14_TP!$L14,[2]FM_14_TP!$K14),IF($E$4=7,SUM([2]FM_14_TP!$Q14,[2]FM_14_TP!$P14,[2]FM_14_TP!$O14,[2]FM_14_TP!$N14,[2]FM_14_TP!$M14,[2]FM_14_TP!$L14,[2]FM_14_TP!$K14),IF($E$4=8,SUM([2]FM_14_TP!$R14,[2]FM_14_TP!$Q14,[2]FM_14_TP!$P14,[2]FM_14_TP!$O14,[2]FM_14_TP!$N14,[2]FM_14_TP!$M14,[2]FM_14_TP!$M14,[2]FM_14_TP!$M14,[2]FM_14_TP!$L14,[2]FM_14_TP!$K14),IF($E$4=9,SUM([2]FM_14_TP!$S14,[2]FM_14_TP!$R14,[2]FM_14_TP!$Q14,[2]FM_14_TP!$P14,[2]FM_14_TP!$O14,[2]FM_14_TP!$N14,[2]FM_14_TP!$M14,[2]FM_14_TP!$L14,[2]FM_14_TP!$K14),IF($E$4=10,SUM([2]FM_14_TP!$T14,[2]FM_14_TP!$S14,[2]FM_14_TP!$R14,[2]FM_14_TP!$Q14,[2]FM_14_TP!$P14,[2]FM_14_TP!$O14,[2]FM_14_TP!$N14,[2]FM_14_TP!$M14,[2]FM_14_TP!$L14,[2]FM_14_TP!$K14),IF($E$4=11,SUM([2]FM_14_TP!$U14,[2]FM_14_TP!$T14,[2]FM_14_TP!$S14,[2]FM_14_TP!$R14,[2]FM_14_TP!$Q14,[2]FM_14_TP!$P14,[2]FM_14_TP!$O14,[2]FM_14_TP!$N14,[2]FM_14_TP!$M14,[2]FM_14_TP!$L14,[2]FM_14_TP!$K14),IF($E$4=12,SUM([2]FM_14_TP!$K14:$V14)))))))))))))))</f>
        <v>56913.625</v>
      </c>
      <c r="H14" s="42" t="e">
        <f ca="1">(IF($E$4=1,SUM(O14),IF($E$4=2,SUM(O14,P14),IF($E$4=3,SUM(Q14,P14,O14),IF($E$4=4,SUM(O14:R14),IF($E$4=5,SUM(O14:S14),IF($E$4=6,SUM(O14:T14),IF($E$4=7,SUM(O14:U14),IF($E$4=8,SUM(O14:V14),IF($E$4=9,SUM(O14:W14),IF($E$4=10,SUM(O14:Z14),IF($E$4=11,SUM(O14:Y14)*IF($E$4=12,SUM(O14:Z14))))))))))))))</f>
        <v>#REF!</v>
      </c>
      <c r="I14" s="107" t="e">
        <f ca="1">H14-G14</f>
        <v>#REF!</v>
      </c>
      <c r="J14" s="44"/>
      <c r="K14" s="44"/>
      <c r="L14" s="42">
        <f>[2]FM_14_TP!$W14</f>
        <v>111481.75</v>
      </c>
      <c r="M14" s="43"/>
      <c r="N14" s="41" t="s">
        <v>18</v>
      </c>
      <c r="O14" s="42" t="e">
        <f ca="1">SUMIFS(INDIRECT("Sales_"&amp;TEXT(O$11,"ММ")&amp;"!$I:$I"),INDIRECT("Sales_"&amp;TEXT(O$11,"ММ")&amp;"!$j:$j"),"Внутренний рынок",INDIRECT("Sales_"&amp;TEXT(O$11,"ММ")&amp;"!$l:$l"),$B13)/1000</f>
        <v>#REF!</v>
      </c>
      <c r="P14" s="42" t="e">
        <f ca="1">SUMIFS(INDIRECT("Sales_"&amp;TEXT(P$11,"ММ")&amp;"!$I:$I"),INDIRECT("Sales_"&amp;TEXT(P$11,"ММ")&amp;"!$j:$j"),"Внутренний рынок",INDIRECT("Sales_"&amp;TEXT(P$11,"ММ")&amp;"!$l:$l"),$B13)/1000</f>
        <v>#REF!</v>
      </c>
      <c r="Q14" s="42" t="e">
        <f t="shared" ref="Q14:Z14" ca="1" si="1">SUMIFS(INDIRECT("Sales_"&amp;TEXT(Q$11,"ММ")&amp;"!$I:$I"),INDIRECT("Sales_"&amp;TEXT(Q$11,"ММ")&amp;"!$j:$j"),"Внутренний рынок",INDIRECT("Sales_"&amp;TEXT(Q$11,"ММ")&amp;"!$l:$l"),$B13)/1000</f>
        <v>#REF!</v>
      </c>
      <c r="R14" s="42" t="e">
        <f t="shared" ca="1" si="1"/>
        <v>#REF!</v>
      </c>
      <c r="S14" s="42" t="e">
        <f t="shared" ca="1" si="1"/>
        <v>#REF!</v>
      </c>
      <c r="T14" s="42" t="e">
        <f t="shared" ca="1" si="1"/>
        <v>#REF!</v>
      </c>
      <c r="U14" s="42" t="e">
        <f t="shared" ca="1" si="1"/>
        <v>#REF!</v>
      </c>
      <c r="V14" s="42">
        <f t="shared" ca="1" si="1"/>
        <v>0</v>
      </c>
      <c r="W14" s="42">
        <f t="shared" ca="1" si="1"/>
        <v>0</v>
      </c>
      <c r="X14" s="42">
        <f t="shared" ca="1" si="1"/>
        <v>0</v>
      </c>
      <c r="Y14" s="42">
        <f t="shared" ca="1" si="1"/>
        <v>0</v>
      </c>
      <c r="Z14" s="42">
        <f t="shared" ca="1" si="1"/>
        <v>0</v>
      </c>
      <c r="AA14" s="43" t="e">
        <f ca="1">SUM(O14:Z14)</f>
        <v>#REF!</v>
      </c>
    </row>
    <row r="15" spans="1:27" s="23" customFormat="1" ht="15" x14ac:dyDescent="0.2">
      <c r="A15" s="33"/>
      <c r="B15" s="41" t="s">
        <v>72</v>
      </c>
      <c r="C15" s="111">
        <f>(IF($E$4=1,[2]FM_14_TP!$K15,IF($E$4=2,[2]FM_14_TP!$L15,IF($E$4=3,[2]FM_14_TP!$M15,IF($E$4=4,[2]FM_14_TP!$N15,IF($E$4=5,[2]FM_14_TP!$O15,IF($E$4=6,[2]FM_14_TP!$P15,IF($E$4=7,[2]FM_14_TP!$Q15,IF($E$4=8,[2]FM_14_TP!$R15,IF($E$4=9,[2]FM_14_TP!$S15,IF($E$4=10,[2]FM_14_TP!$T15,IF($E$4=11,[2]FM_14_TP!$U15,IF($E$4=12,[2]FM_14_TP!$V15)))))))))))))</f>
        <v>0</v>
      </c>
      <c r="D15" s="111" t="e">
        <f>(IF($E$4=1,SUMIFS(#REF!,#REF!,"Экспорт",#REF!,$B$13),IF($E$4=2,SUMIFS(#REF!,#REF!,"Экспорт",#REF!,$B$13),IF($E$4=3,SUMIFS(#REF!,#REF!,"Экспорт",#REF!,$B$13),IF($E$4=4,SUMIFS(#REF!,#REF!,"Экспорт",#REF!,$B$13),IF($E$4=5,SUMIFS(#REF!,#REF!,"Экспорт",#REF!,$B$13),IF($E$4=6,SUMIFS(#REF!,#REF!,"Экспорт",#REF!,$B$13),IF($E$4=7, SUMIFS(#REF!,#REF!,"Экспорт",#REF!,$B$13),IF($E$4=8, SUMIFS(sales_08!I:I,sales_08!J:J,"Экспорт",sales_08!L:L,$B$13),IF($E$4=9, SUMIFS(sales_09!I:I,sales_09!J:J,"Экспорт",sales_09!L:L,$B$13),IF($E$4=10, SUMIFS(sales_10!I:I,sales_10!J:J,"Экспорт",sales_10!L:L,$B$13),IF($E$4=11, SUMIFS(sales_11!I:I,sales_11!J:J,"Экспорт",sales_11!L:L,$B$13),IF($E$4=12, SUMIFS(sales_12!I:I,sales_12!J:J,"Экспорт",sales_12!L:L,$B$13))))))))))))))/1000</f>
        <v>#REF!</v>
      </c>
      <c r="E15" s="107" t="e">
        <f>D15-C15</f>
        <v>#REF!</v>
      </c>
      <c r="F15" s="44"/>
      <c r="G15" s="42">
        <f>(IF($E$4=1,SUM([2]FM_14_TP!$K15),IF($E$4=2,SUM([2]FM_14_TP!$K15,[2]FM_14_TP!$L15),IF($E$4=3,SUM([2]FM_14_TP!$M15,[2]FM_14_TP!$L15,[2]FM_14_TP!$K15),IF($E$4=4,SUM([2]FM_14_TP!$N15,[2]FM_14_TP!$M15,[2]FM_14_TP!$L15,[2]FM_14_TP!$K15),IF($E$4=5,SUM([2]FM_14_TP!$O15,[2]FM_14_TP!$N15,[2]FM_14_TP!$M15,[2]FM_14_TP!$L15,[2]FM_14_TP!$K15),IF($E$4=6,SUM([2]FM_14_TP!$P15,[2]FM_14_TP!$O15,[2]FM_14_TP!$N15,[2]FM_14_TP!$M15,[2]FM_14_TP!$L15,[2]FM_14_TP!$K15),IF($E$4=7,SUM([2]FM_14_TP!$Q15,[2]FM_14_TP!$P15,[2]FM_14_TP!$O15,[2]FM_14_TP!$N15,[2]FM_14_TP!$M15,[2]FM_14_TP!$L15,[2]FM_14_TP!$K15),IF($E$4=8,SUM([2]FM_14_TP!$R15,[2]FM_14_TP!$Q15,[2]FM_14_TP!$P15,[2]FM_14_TP!$O15,[2]FM_14_TP!$N15,[2]FM_14_TP!$M15,[2]FM_14_TP!$M15,[2]FM_14_TP!$M15,[2]FM_14_TP!$L15,[2]FM_14_TP!$K15),IF($E$4=9,SUM([2]FM_14_TP!$S15,[2]FM_14_TP!$R15,[2]FM_14_TP!$Q15,[2]FM_14_TP!$P15,[2]FM_14_TP!$O15,[2]FM_14_TP!$N15,[2]FM_14_TP!$M15,[2]FM_14_TP!$L15,[2]FM_14_TP!$K15),IF($E$4=10,SUM([2]FM_14_TP!$T15,[2]FM_14_TP!$S15,[2]FM_14_TP!$R15,[2]FM_14_TP!$Q15,[2]FM_14_TP!$P15,[2]FM_14_TP!$O15,[2]FM_14_TP!$N15,[2]FM_14_TP!$M15,[2]FM_14_TP!$L15,[2]FM_14_TP!$K15),IF($E$4=11,SUM([2]FM_14_TP!$U15,[2]FM_14_TP!$T15,[2]FM_14_TP!$S15,[2]FM_14_TP!$R15,[2]FM_14_TP!$Q15,[2]FM_14_TP!$P15,[2]FM_14_TP!$O15,[2]FM_14_TP!$N15,[2]FM_14_TP!$M15,[2]FM_14_TP!$L15,[2]FM_14_TP!$K15),IF($E$4=12,SUM([2]FM_14_TP!$K15:$V15))))))))))))))</f>
        <v>0</v>
      </c>
      <c r="H15" s="42" t="e">
        <f t="shared" ref="H15:H31" ca="1" si="2">(IF($E$4=1,SUM(O15),IF($E$4=2,SUM(O15,P15),IF($E$4=3,SUM(Q15,P15,O15),IF($E$4=4,SUM(O15:R15),IF($E$4=5,SUM(O15:S15),IF($E$4=6,SUM(O15:T15),IF($E$4=7,SUM(O15:U15),IF($E$4=8,SUM(O15:V15),IF($E$4=9,SUM(O15:W15),IF($E$4=10,SUM(O15:Z15),IF($E$4=11,SUM(O15:Y15)*IF($E$4=12,SUM(O15:Z15))))))))))))))</f>
        <v>#REF!</v>
      </c>
      <c r="I15" s="107" t="e">
        <f ca="1">H15-G15</f>
        <v>#REF!</v>
      </c>
      <c r="J15" s="44"/>
      <c r="K15" s="44"/>
      <c r="L15" s="42">
        <f>[2]FM_14_TP!$W15</f>
        <v>0</v>
      </c>
      <c r="M15" s="43"/>
      <c r="N15" s="41" t="s">
        <v>72</v>
      </c>
      <c r="O15" s="42" t="e">
        <f ca="1">SUMIFS(INDIRECT("Sales_"&amp;TEXT(O$11,"ММ")&amp;"!$I:$I"),INDIRECT("Sales_"&amp;TEXT(O$11,"ММ")&amp;"!$j:$j"),"Экспорт",INDIRECT("Sales_"&amp;TEXT(O$11,"ММ")&amp;"!$l:$l"),$B13)/1000</f>
        <v>#REF!</v>
      </c>
      <c r="P15" s="42" t="e">
        <f t="shared" ref="P15:Z15" ca="1" si="3">SUMIFS(INDIRECT("Sales_"&amp;TEXT(P$11,"ММ")&amp;"!$I:$I"),INDIRECT("Sales_"&amp;TEXT(P$11,"ММ")&amp;"!$j:$j"),"Экспорт",INDIRECT("Sales_"&amp;TEXT(P$11,"ММ")&amp;"!$l:$l"),$B13)/1000</f>
        <v>#REF!</v>
      </c>
      <c r="Q15" s="42" t="e">
        <f t="shared" ca="1" si="3"/>
        <v>#REF!</v>
      </c>
      <c r="R15" s="42" t="e">
        <f t="shared" ca="1" si="3"/>
        <v>#REF!</v>
      </c>
      <c r="S15" s="42" t="e">
        <f t="shared" ca="1" si="3"/>
        <v>#REF!</v>
      </c>
      <c r="T15" s="42" t="e">
        <f t="shared" ca="1" si="3"/>
        <v>#REF!</v>
      </c>
      <c r="U15" s="42" t="e">
        <f t="shared" ca="1" si="3"/>
        <v>#REF!</v>
      </c>
      <c r="V15" s="42">
        <f t="shared" ca="1" si="3"/>
        <v>0</v>
      </c>
      <c r="W15" s="42">
        <f t="shared" ca="1" si="3"/>
        <v>0</v>
      </c>
      <c r="X15" s="42">
        <f t="shared" ca="1" si="3"/>
        <v>0</v>
      </c>
      <c r="Y15" s="42">
        <f t="shared" ca="1" si="3"/>
        <v>0</v>
      </c>
      <c r="Z15" s="42">
        <f t="shared" ca="1" si="3"/>
        <v>0</v>
      </c>
      <c r="AA15" s="43" t="e">
        <f ca="1">SUM(O15:Z15)</f>
        <v>#REF!</v>
      </c>
    </row>
    <row r="16" spans="1:27" s="23" customFormat="1" ht="15.75" x14ac:dyDescent="0.25">
      <c r="A16" s="33"/>
      <c r="B16" s="41"/>
      <c r="C16" s="112"/>
      <c r="D16" s="112"/>
      <c r="E16" s="112"/>
      <c r="F16" s="43"/>
      <c r="G16" s="43"/>
      <c r="H16" s="43"/>
      <c r="I16" s="110"/>
      <c r="J16" s="43"/>
      <c r="K16" s="43"/>
      <c r="L16" s="43"/>
      <c r="M16" s="43"/>
      <c r="N16" s="41"/>
      <c r="O16" s="43"/>
      <c r="P16" s="43"/>
      <c r="Q16" s="43"/>
      <c r="R16" s="43"/>
      <c r="S16" s="43"/>
      <c r="T16" s="112"/>
      <c r="U16" s="43"/>
      <c r="V16" s="43"/>
      <c r="W16" s="43"/>
      <c r="X16" s="43"/>
      <c r="Y16" s="43"/>
      <c r="Z16" s="43"/>
      <c r="AA16" s="43"/>
    </row>
    <row r="17" spans="1:27" s="40" customFormat="1" ht="15.75" x14ac:dyDescent="0.25">
      <c r="A17" s="36"/>
      <c r="B17" s="37" t="s">
        <v>73</v>
      </c>
      <c r="C17" s="110">
        <f>SUM(C18:C19)</f>
        <v>10679.624302140726</v>
      </c>
      <c r="D17" s="110" t="e">
        <f>SUM(D18:D19)</f>
        <v>#REF!</v>
      </c>
      <c r="E17" s="110" t="e">
        <f>D17-C17</f>
        <v>#REF!</v>
      </c>
      <c r="F17" s="39"/>
      <c r="G17" s="38">
        <f>(IF($E$4=1,SUM([2]FM_14_TP!$K17),IF($E$4=2,SUM([2]FM_14_TP!$K17,[2]FM_14_TP!$L17),IF($E$4=3,SUM([2]FM_14_TP!$M17,[2]FM_14_TP!$L17,[2]FM_14_TP!$K17),IF($E$4=4,SUM([2]FM_14_TP!$N17,[2]FM_14_TP!$M17,[2]FM_14_TP!$L17,[2]FM_14_TP!$K17),IF($E$4=5,SUM([2]FM_14_TP!$O17,[2]FM_14_TP!$N17,[2]FM_14_TP!$M17,[2]FM_14_TP!$L17,[2]FM_14_TP!$K17),IF($E$4=6,SUM([2]FM_14_TP!$P17,[2]FM_14_TP!$O17,[2]FM_14_TP!$N17,[2]FM_14_TP!$M17,[2]FM_14_TP!$L17,[2]FM_14_TP!$K17),IF($E$4=7,SUM([2]FM_14_TP!$Q17,[2]FM_14_TP!$P17,[2]FM_14_TP!$O17,[2]FM_14_TP!$N17,[2]FM_14_TP!$M17,[2]FM_14_TP!$L17,[2]FM_14_TP!$K17),IF($E$4=8,SUM([2]FM_14_TP!$R17,[2]FM_14_TP!$Q17,[2]FM_14_TP!$P17,[2]FM_14_TP!$O17,[2]FM_14_TP!$N17,[2]FM_14_TP!$M17,[2]FM_14_TP!$M17,[2]FM_14_TP!$M17,[2]FM_14_TP!$L17,[2]FM_14_TP!$K17),IF($E$4=9,SUM([2]FM_14_TP!$S17,[2]FM_14_TP!$R17,[2]FM_14_TP!$Q17,[2]FM_14_TP!$P17,[2]FM_14_TP!$O17,[2]FM_14_TP!$N17,[2]FM_14_TP!$M17,[2]FM_14_TP!$L17,[2]FM_14_TP!$K17),IF($E$4=10,SUM([2]FM_14_TP!$T17,[2]FM_14_TP!$S17,[2]FM_14_TP!$R17,[2]FM_14_TP!$Q17,[2]FM_14_TP!$P17,[2]FM_14_TP!$O17,[2]FM_14_TP!$N17,[2]FM_14_TP!$M17,[2]FM_14_TP!$L17,[2]FM_14_TP!$K17),IF($E$4=11,SUM([2]FM_14_TP!$U17,[2]FM_14_TP!$T17,[2]FM_14_TP!$S17,[2]FM_14_TP!$R17,[2]FM_14_TP!$Q17,[2]FM_14_TP!$P17,[2]FM_14_TP!$O17,[2]FM_14_TP!$N17,[2]FM_14_TP!$M17,[2]FM_14_TP!$L17,[2]FM_14_TP!$K17),IF($E$4=12,SUM([2]FM_14_TP!$K17:$V17))))))))))))))</f>
        <v>65006.408795639196</v>
      </c>
      <c r="H17" s="38" t="e">
        <f t="shared" ca="1" si="2"/>
        <v>#REF!</v>
      </c>
      <c r="I17" s="110" t="e">
        <f ca="1">H17-G17</f>
        <v>#REF!</v>
      </c>
      <c r="J17" s="103">
        <f ca="1">(IFERROR(I17/G17,0))</f>
        <v>0</v>
      </c>
      <c r="K17" s="39"/>
      <c r="L17" s="38">
        <f>[2]FM_14_TP!$W17</f>
        <v>114689.87837516343</v>
      </c>
      <c r="M17" s="38"/>
      <c r="N17" s="37" t="s">
        <v>73</v>
      </c>
      <c r="O17" s="38" t="e">
        <f ca="1">SUM(O18:O19)</f>
        <v>#REF!</v>
      </c>
      <c r="P17" s="38" t="e">
        <f t="shared" ref="P17:Z17" ca="1" si="4">SUM(P18:P19)</f>
        <v>#REF!</v>
      </c>
      <c r="Q17" s="38" t="e">
        <f t="shared" ca="1" si="4"/>
        <v>#REF!</v>
      </c>
      <c r="R17" s="38" t="e">
        <f t="shared" ca="1" si="4"/>
        <v>#REF!</v>
      </c>
      <c r="S17" s="38" t="e">
        <f t="shared" ca="1" si="4"/>
        <v>#REF!</v>
      </c>
      <c r="T17" s="38" t="e">
        <f t="shared" ca="1" si="4"/>
        <v>#REF!</v>
      </c>
      <c r="U17" s="38" t="e">
        <f t="shared" ca="1" si="4"/>
        <v>#REF!</v>
      </c>
      <c r="V17" s="38">
        <f t="shared" ca="1" si="4"/>
        <v>0</v>
      </c>
      <c r="W17" s="38">
        <f t="shared" ca="1" si="4"/>
        <v>0</v>
      </c>
      <c r="X17" s="38">
        <f t="shared" ca="1" si="4"/>
        <v>0</v>
      </c>
      <c r="Y17" s="38">
        <f t="shared" ca="1" si="4"/>
        <v>0</v>
      </c>
      <c r="Z17" s="38">
        <f t="shared" ca="1" si="4"/>
        <v>0</v>
      </c>
      <c r="AA17" s="38" t="e">
        <f ca="1">SUM(O17:Z17)</f>
        <v>#REF!</v>
      </c>
    </row>
    <row r="18" spans="1:27" s="23" customFormat="1" ht="15" x14ac:dyDescent="0.2">
      <c r="A18" s="33"/>
      <c r="B18" s="41" t="s">
        <v>18</v>
      </c>
      <c r="C18" s="111">
        <f>(IF($E$4=1,[2]FM_14_TP!$K18,IF($E$4=2,[2]FM_14_TP!$L18,IF($E$4=3,[2]FM_14_TP!$M18,IF($E$4=4,[2]FM_14_TP!$N18,IF($E$4=5,[2]FM_14_TP!$O18,IF($E$4=6,[2]FM_14_TP!$P18,IF($E$4=7,[2]FM_14_TP!$Q18,IF($E$4=8,[2]FM_14_TP!$R18,IF($E$4=9,[2]FM_14_TP!$S18,IF($E$4=10,[2]FM_14_TP!$T18,IF($E$4=11,[2]FM_14_TP!$U18,IF($E$4=12,[2]FM_14_TP!$V18)))))))))))))</f>
        <v>10679.624302140726</v>
      </c>
      <c r="D18" s="111" t="e">
        <f>(IF($E$4=1,SUMIFS(#REF!,#REF!,"Внутренний рынок",#REF!,$B$17),IF($E$4=2,SUMIFS(#REF!,#REF!,"Внутренний рынок",#REF!,$B$17),IF($E$4=3,SUMIFS(#REF!,#REF!,"Внутренний рынок",#REF!,$B$17),IF($E$4=4,SUMIFS(#REF!,#REF!,"Внутренний рынок",#REF!,$B$17),IF($E$4=5,SUMIFS(#REF!,#REF!,"Экспорт",#REF!,$B$17),IF($E$4=6,SUMIFS(#REF!,#REF!,"Внутренний рынок",#REF!,$B$17),IF($E$4=7, SUMIFS(#REF!,#REF!,"Внутренний рынок",#REF!,$B$17),IF($E$4=8, SUMIFS(sales_08!I:I,sales_08!J:J,"Внутренний рынок",sales_08!L:L,$B$17),IF($E$4=9, SUMIFS(sales_09!I:I,sales_09!J:J,"Внутренний рынок",sales_09!L:L,$B$17),IF($E$4=10, SUMIFS(sales_10!I:I,sales_10!J:J,"Внутренний рынок",sales_10!L:L,$B$17),IF($E$4=11, SUMIFS(sales_11!I:I,sales_11!J:J,"Внутренний рынок",sales_11!L:L,$B$17),IF($E$4=12, SUMIFS(sales_12!I:I,sales_12!J:J,"Внутренний рынок",sales_12!L:L,$B$17))))))))))))))/1000</f>
        <v>#REF!</v>
      </c>
      <c r="E18" s="107" t="e">
        <f>D18-C18</f>
        <v>#REF!</v>
      </c>
      <c r="F18" s="43"/>
      <c r="G18" s="42">
        <f>(IF($E$4=1,SUM([2]FM_14_TP!$K18),IF($E$4=2,SUM([2]FM_14_TP!$K18,[2]FM_14_TP!$L18),IF($E$4=3,SUM([2]FM_14_TP!$M18,[2]FM_14_TP!$L18,[2]FM_14_TP!$K18),IF($E$4=4,SUM([2]FM_14_TP!$N18,[2]FM_14_TP!$M18,[2]FM_14_TP!$L18,[2]FM_14_TP!$K18),IF($E$4=5,SUM([2]FM_14_TP!$O18,[2]FM_14_TP!$N18,[2]FM_14_TP!$M18,[2]FM_14_TP!$L18,[2]FM_14_TP!$K18),IF($E$4=6,SUM([2]FM_14_TP!$P18,[2]FM_14_TP!$O18,[2]FM_14_TP!$N18,[2]FM_14_TP!$M18,[2]FM_14_TP!$L18,[2]FM_14_TP!$K18),IF($E$4=7,SUM([2]FM_14_TP!$Q18,[2]FM_14_TP!$P18,[2]FM_14_TP!$O18,[2]FM_14_TP!$N18,[2]FM_14_TP!$M18,[2]FM_14_TP!$L18,[2]FM_14_TP!$K18),IF($E$4=8,SUM([2]FM_14_TP!$R18,[2]FM_14_TP!$Q18,[2]FM_14_TP!$P18,[2]FM_14_TP!$O18,[2]FM_14_TP!$N18,[2]FM_14_TP!$M18,[2]FM_14_TP!$M18,[2]FM_14_TP!$M18,[2]FM_14_TP!$L18,[2]FM_14_TP!$K18),IF($E$4=9,SUM([2]FM_14_TP!$S18,[2]FM_14_TP!$R18,[2]FM_14_TP!$Q18,[2]FM_14_TP!$P18,[2]FM_14_TP!$O18,[2]FM_14_TP!$N18,[2]FM_14_TP!$M18,[2]FM_14_TP!$L18,[2]FM_14_TP!$K18),IF($E$4=10,SUM([2]FM_14_TP!$T18,[2]FM_14_TP!$S18,[2]FM_14_TP!$R18,[2]FM_14_TP!$Q18,[2]FM_14_TP!$P18,[2]FM_14_TP!$O18,[2]FM_14_TP!$N18,[2]FM_14_TP!$M18,[2]FM_14_TP!$L18,[2]FM_14_TP!$K18),IF($E$4=11,SUM([2]FM_14_TP!$U18,[2]FM_14_TP!$T18,[2]FM_14_TP!$S18,[2]FM_14_TP!$R18,[2]FM_14_TP!$Q18,[2]FM_14_TP!$P18,[2]FM_14_TP!$O18,[2]FM_14_TP!$N18,[2]FM_14_TP!$M18,[2]FM_14_TP!$L18,[2]FM_14_TP!$K18),IF($E$4=12,SUM([2]FM_14_TP!$K18:$V18))))))))))))))</f>
        <v>65006.408795639196</v>
      </c>
      <c r="H18" s="42" t="e">
        <f t="shared" ca="1" si="2"/>
        <v>#REF!</v>
      </c>
      <c r="I18" s="107" t="e">
        <f ca="1">H18-G18</f>
        <v>#REF!</v>
      </c>
      <c r="J18" s="43"/>
      <c r="K18" s="43"/>
      <c r="L18" s="42">
        <f>[2]FM_14_TP!$W18</f>
        <v>114689.87837516343</v>
      </c>
      <c r="M18" s="43"/>
      <c r="N18" s="41" t="s">
        <v>18</v>
      </c>
      <c r="O18" s="42" t="e">
        <f ca="1">SUMIFS(INDIRECT("Sales_"&amp;TEXT(O$11,"ММ")&amp;"!$I:$I"),INDIRECT("Sales_"&amp;TEXT(O$11,"ММ")&amp;"!$j:$j"),"Внутренний рынок",INDIRECT("Sales_"&amp;TEXT(O$11,"ММ")&amp;"!$l:$l"),$B17)/1000</f>
        <v>#REF!</v>
      </c>
      <c r="P18" s="42" t="e">
        <f t="shared" ref="P18:Z18" ca="1" si="5">SUMIFS(INDIRECT("Sales_"&amp;TEXT(P$11,"ММ")&amp;"!$I:$I"),INDIRECT("Sales_"&amp;TEXT(P$11,"ММ")&amp;"!$j:$j"),"Внутренний рынок",INDIRECT("Sales_"&amp;TEXT(P$11,"ММ")&amp;"!$l:$l"),$B17)/1000</f>
        <v>#REF!</v>
      </c>
      <c r="Q18" s="42" t="e">
        <f t="shared" ca="1" si="5"/>
        <v>#REF!</v>
      </c>
      <c r="R18" s="42" t="e">
        <f t="shared" ca="1" si="5"/>
        <v>#REF!</v>
      </c>
      <c r="S18" s="42" t="e">
        <f t="shared" ca="1" si="5"/>
        <v>#REF!</v>
      </c>
      <c r="T18" s="42" t="e">
        <f t="shared" ca="1" si="5"/>
        <v>#REF!</v>
      </c>
      <c r="U18" s="42" t="e">
        <f t="shared" ca="1" si="5"/>
        <v>#REF!</v>
      </c>
      <c r="V18" s="42">
        <f t="shared" ca="1" si="5"/>
        <v>0</v>
      </c>
      <c r="W18" s="42">
        <f t="shared" ca="1" si="5"/>
        <v>0</v>
      </c>
      <c r="X18" s="42">
        <f t="shared" ca="1" si="5"/>
        <v>0</v>
      </c>
      <c r="Y18" s="42">
        <f t="shared" ca="1" si="5"/>
        <v>0</v>
      </c>
      <c r="Z18" s="42">
        <f t="shared" ca="1" si="5"/>
        <v>0</v>
      </c>
      <c r="AA18" s="43" t="e">
        <f ca="1">SUM(O18:Z18)</f>
        <v>#REF!</v>
      </c>
    </row>
    <row r="19" spans="1:27" s="23" customFormat="1" ht="15" x14ac:dyDescent="0.2">
      <c r="A19" s="33"/>
      <c r="B19" s="41" t="s">
        <v>72</v>
      </c>
      <c r="C19" s="111">
        <f>(IF($E$4=1,[2]FM_14_TP!$K19,IF($E$4=2,[2]FM_14_TP!$L19,IF($E$4=3,[2]FM_14_TP!$M19,IF($E$4=4,[2]FM_14_TP!$N19,IF($E$4=5,[2]FM_14_TP!$O19,IF($E$4=6,[2]FM_14_TP!$P19,IF($E$4=7,[2]FM_14_TP!$Q19,IF($E$4=8,[2]FM_14_TP!$R19,IF($E$4=9,[2]FM_14_TP!$S19,IF($E$4=10,[2]FM_14_TP!$T19,IF($E$4=11,[2]FM_14_TP!$U19,IF($E$4=12,[2]FM_14_TP!$V19)))))))))))))</f>
        <v>0</v>
      </c>
      <c r="D19" s="111" t="e">
        <f>(IF($E$4=1,SUMIFS(#REF!,#REF!,"Экспорт",#REF!,$B$17),IF($E$4=2,SUMIFS(#REF!,#REF!,"Экспорт",#REF!,$B$17),IF($E$4=3,SUMIFS(#REF!,#REF!,"Экспорт",#REF!,$B$17),IF($E$4=4,SUMIFS(#REF!,#REF!,"Экспорт",#REF!,$B$17),IF($E$4=5,SUMIFS(#REF!,#REF!,"Экспорт",#REF!,$B$17),IF($E$4=6,SUMIFS(#REF!,#REF!,"Экспорт",#REF!,$B$17),IF($E$4=7, SUMIFS(#REF!,#REF!,"Экспорт",#REF!,$B$17),IF($E$4=8, SUMIFS(sales_08!I:I,sales_08!J:J,"Экспорт",sales_08!L:L,$B$17),IF($E$4=9, SUMIFS(sales_09!I:I,sales_09!J:J,"Экспорт",sales_09!L:L,$B$17),IF($E$4=10, SUMIFS(sales_10!I:I,sales_10!J:J,"Экспорт",sales_10!L:L,$B$17),IF($E$4=11, SUMIFS(sales_11!I:I,sales_11!J:J,"Экспорт",sales_11!L:L,$B$17),IF($E$4=12, SUMIFS(sales_12!I:I,sales_12!J:J,"Экспорт",sales_12!L:L,$B$17))))))))))))))/1000</f>
        <v>#REF!</v>
      </c>
      <c r="E19" s="107" t="e">
        <f>D19-C19</f>
        <v>#REF!</v>
      </c>
      <c r="F19" s="43"/>
      <c r="G19" s="42">
        <f>(IF($E$4=1,SUM([2]FM_14_TP!$K19),IF($E$4=2,SUM([2]FM_14_TP!$K19,[2]FM_14_TP!$L19),IF($E$4=3,SUM([2]FM_14_TP!$M19,[2]FM_14_TP!$L19,[2]FM_14_TP!$K19),IF($E$4=4,SUM([2]FM_14_TP!$N19,[2]FM_14_TP!$M19,[2]FM_14_TP!$L19,[2]FM_14_TP!$K19),IF($E$4=5,SUM([2]FM_14_TP!$O19,[2]FM_14_TP!$N19,[2]FM_14_TP!$M19,[2]FM_14_TP!$L19,[2]FM_14_TP!$K19),IF($E$4=6,SUM([2]FM_14_TP!$P19,[2]FM_14_TP!$O19,[2]FM_14_TP!$N19,[2]FM_14_TP!$M19,[2]FM_14_TP!$L19,[2]FM_14_TP!$K19),IF($E$4=7,SUM([2]FM_14_TP!$Q19,[2]FM_14_TP!$P19,[2]FM_14_TP!$O19,[2]FM_14_TP!$N19,[2]FM_14_TP!$M19,[2]FM_14_TP!$L19,[2]FM_14_TP!$K19),IF($E$4=8,SUM([2]FM_14_TP!$R19,[2]FM_14_TP!$Q19,[2]FM_14_TP!$P19,[2]FM_14_TP!$O19,[2]FM_14_TP!$N19,[2]FM_14_TP!$M19,[2]FM_14_TP!$M19,[2]FM_14_TP!$M19,[2]FM_14_TP!$L19,[2]FM_14_TP!$K19),IF($E$4=9,SUM([2]FM_14_TP!$S19,[2]FM_14_TP!$R19,[2]FM_14_TP!$Q19,[2]FM_14_TP!$P19,[2]FM_14_TP!$O19,[2]FM_14_TP!$N19,[2]FM_14_TP!$M19,[2]FM_14_TP!$L19,[2]FM_14_TP!$K19),IF($E$4=10,SUM([2]FM_14_TP!$T19,[2]FM_14_TP!$S19,[2]FM_14_TP!$R19,[2]FM_14_TP!$Q19,[2]FM_14_TP!$P19,[2]FM_14_TP!$O19,[2]FM_14_TP!$N19,[2]FM_14_TP!$M19,[2]FM_14_TP!$L19,[2]FM_14_TP!$K19),IF($E$4=11,SUM([2]FM_14_TP!$U19,[2]FM_14_TP!$T19,[2]FM_14_TP!$S19,[2]FM_14_TP!$R19,[2]FM_14_TP!$Q19,[2]FM_14_TP!$P19,[2]FM_14_TP!$O19,[2]FM_14_TP!$N19,[2]FM_14_TP!$M19,[2]FM_14_TP!$L19,[2]FM_14_TP!$K19),IF($E$4=12,SUM([2]FM_14_TP!$K19:$V19))))))))))))))</f>
        <v>0</v>
      </c>
      <c r="H19" s="42" t="e">
        <f t="shared" ca="1" si="2"/>
        <v>#REF!</v>
      </c>
      <c r="I19" s="107" t="e">
        <f ca="1">H19-G19</f>
        <v>#REF!</v>
      </c>
      <c r="J19" s="43"/>
      <c r="K19" s="43"/>
      <c r="L19" s="42">
        <f>[2]FM_14_TP!$W19</f>
        <v>0</v>
      </c>
      <c r="M19" s="43"/>
      <c r="N19" s="41" t="s">
        <v>72</v>
      </c>
      <c r="O19" s="42" t="e">
        <f ca="1">SUMIFS(INDIRECT("Sales_"&amp;TEXT(O$11,"ММ")&amp;"!$I:$I"),INDIRECT("Sales_"&amp;TEXT(O$11,"ММ")&amp;"!$j:$j"),"Экспорт",INDIRECT("Sales_"&amp;TEXT(O$11,"ММ")&amp;"!$l:$l"),$B17)/1000</f>
        <v>#REF!</v>
      </c>
      <c r="P19" s="42" t="e">
        <f t="shared" ref="P19:Z19" ca="1" si="6">SUMIFS(INDIRECT("Sales_"&amp;TEXT(P$11,"ММ")&amp;"!$I:$I"),INDIRECT("Sales_"&amp;TEXT(P$11,"ММ")&amp;"!$j:$j"),"Экспорт",INDIRECT("Sales_"&amp;TEXT(P$11,"ММ")&amp;"!$l:$l"),$B17)/1000</f>
        <v>#REF!</v>
      </c>
      <c r="Q19" s="42" t="e">
        <f t="shared" ca="1" si="6"/>
        <v>#REF!</v>
      </c>
      <c r="R19" s="42" t="e">
        <f t="shared" ca="1" si="6"/>
        <v>#REF!</v>
      </c>
      <c r="S19" s="42" t="e">
        <f t="shared" ca="1" si="6"/>
        <v>#REF!</v>
      </c>
      <c r="T19" s="42" t="e">
        <f t="shared" ca="1" si="6"/>
        <v>#REF!</v>
      </c>
      <c r="U19" s="42" t="e">
        <f t="shared" ca="1" si="6"/>
        <v>#REF!</v>
      </c>
      <c r="V19" s="42">
        <f t="shared" ca="1" si="6"/>
        <v>0</v>
      </c>
      <c r="W19" s="42">
        <f t="shared" ca="1" si="6"/>
        <v>0</v>
      </c>
      <c r="X19" s="42">
        <f t="shared" ca="1" si="6"/>
        <v>0</v>
      </c>
      <c r="Y19" s="42">
        <f t="shared" ca="1" si="6"/>
        <v>0</v>
      </c>
      <c r="Z19" s="42">
        <f t="shared" ca="1" si="6"/>
        <v>0</v>
      </c>
      <c r="AA19" s="43" t="e">
        <f ca="1">SUM(O19:Z19)</f>
        <v>#REF!</v>
      </c>
    </row>
    <row r="20" spans="1:27" s="23" customFormat="1" ht="15.75" x14ac:dyDescent="0.25">
      <c r="C20" s="112"/>
      <c r="D20" s="112"/>
      <c r="E20" s="112"/>
      <c r="F20" s="43"/>
      <c r="G20" s="43"/>
      <c r="H20" s="43"/>
      <c r="I20" s="110"/>
      <c r="J20" s="43"/>
      <c r="K20" s="43"/>
      <c r="L20" s="43"/>
      <c r="M20" s="43"/>
      <c r="O20" s="43"/>
      <c r="P20" s="43"/>
      <c r="Q20" s="43"/>
      <c r="R20" s="43"/>
      <c r="S20" s="43"/>
      <c r="T20" s="112"/>
      <c r="U20" s="43"/>
      <c r="V20" s="43"/>
      <c r="W20" s="43"/>
      <c r="X20" s="43"/>
      <c r="Y20" s="43"/>
      <c r="Z20" s="43"/>
      <c r="AA20" s="43"/>
    </row>
    <row r="21" spans="1:27" s="40" customFormat="1" ht="15.75" x14ac:dyDescent="0.25">
      <c r="A21" s="36"/>
      <c r="B21" s="37" t="s">
        <v>74</v>
      </c>
      <c r="C21" s="110">
        <f>SUM(C22:C23)</f>
        <v>2578.878748370274</v>
      </c>
      <c r="D21" s="110" t="e">
        <f>SUM(D22:D23)</f>
        <v>#REF!</v>
      </c>
      <c r="E21" s="110" t="e">
        <f>D21-C21</f>
        <v>#REF!</v>
      </c>
      <c r="F21" s="39"/>
      <c r="G21" s="38">
        <f>(IF($E$4=1,SUM([2]FM_14_TP!$K21),IF($E$4=2,SUM([2]FM_14_TP!$K21,[2]FM_14_TP!$L21),IF($E$4=3,SUM([2]FM_14_TP!$M21,[2]FM_14_TP!$L21,[2]FM_14_TP!$K21),IF($E$4=4,SUM([2]FM_14_TP!$N21,[2]FM_14_TP!$M21,[2]FM_14_TP!$L21,[2]FM_14_TP!$K21),IF($E$4=5,SUM([2]FM_14_TP!$O21,[2]FM_14_TP!$N21,[2]FM_14_TP!$M21,[2]FM_14_TP!$L21,[2]FM_14_TP!$K21),IF($E$4=6,SUM([2]FM_14_TP!$P21,[2]FM_14_TP!$O21,[2]FM_14_TP!$N21,[2]FM_14_TP!$M21,[2]FM_14_TP!$L21,[2]FM_14_TP!$K21),IF($E$4=7,SUM([2]FM_14_TP!$Q21,[2]FM_14_TP!$P21,[2]FM_14_TP!$O21,[2]FM_14_TP!$N21,[2]FM_14_TP!$M21,[2]FM_14_TP!$L21,[2]FM_14_TP!$K21),IF($E$4=8,SUM([2]FM_14_TP!$R21,[2]FM_14_TP!$Q21,[2]FM_14_TP!$P21,[2]FM_14_TP!$O21,[2]FM_14_TP!$N21,[2]FM_14_TP!$M21,[2]FM_14_TP!$M21,[2]FM_14_TP!$M21,[2]FM_14_TP!$L21,[2]FM_14_TP!$K21),IF($E$4=9,SUM([2]FM_14_TP!$S21,[2]FM_14_TP!$R21,[2]FM_14_TP!$Q21,[2]FM_14_TP!$P21,[2]FM_14_TP!$O21,[2]FM_14_TP!$N21,[2]FM_14_TP!$M21,[2]FM_14_TP!$L21,[2]FM_14_TP!$K21),IF($E$4=10,SUM([2]FM_14_TP!$T21,[2]FM_14_TP!$S21,[2]FM_14_TP!$R21,[2]FM_14_TP!$Q21,[2]FM_14_TP!$P21,[2]FM_14_TP!$O21,[2]FM_14_TP!$N21,[2]FM_14_TP!$M21,[2]FM_14_TP!$L21,[2]FM_14_TP!$K21),IF($E$4=11,SUM([2]FM_14_TP!$U21,[2]FM_14_TP!$T21,[2]FM_14_TP!$S21,[2]FM_14_TP!$R21,[2]FM_14_TP!$Q21,[2]FM_14_TP!$P21,[2]FM_14_TP!$O21,[2]FM_14_TP!$N21,[2]FM_14_TP!$M21,[2]FM_14_TP!$L21,[2]FM_14_TP!$K21),IF($E$4=12,SUM([2]FM_14_TP!$K21:$V21))))))))))))))</f>
        <v>15697.522816166887</v>
      </c>
      <c r="H21" s="38" t="e">
        <f t="shared" ca="1" si="2"/>
        <v>#REF!</v>
      </c>
      <c r="I21" s="110" t="e">
        <f ca="1">H21-G21</f>
        <v>#REF!</v>
      </c>
      <c r="J21" s="103">
        <f ca="1">(IFERROR(I21/G21,0))</f>
        <v>0</v>
      </c>
      <c r="K21" s="39"/>
      <c r="L21" s="38">
        <f>[2]FM_14_TP!$W21</f>
        <v>27694.915254237287</v>
      </c>
      <c r="M21" s="38"/>
      <c r="N21" s="37" t="s">
        <v>74</v>
      </c>
      <c r="O21" s="38" t="e">
        <f ca="1">SUM(O22:O23)</f>
        <v>#REF!</v>
      </c>
      <c r="P21" s="38" t="e">
        <f t="shared" ref="P21:Z21" ca="1" si="7">SUM(P22:P23)</f>
        <v>#REF!</v>
      </c>
      <c r="Q21" s="38" t="e">
        <f t="shared" ca="1" si="7"/>
        <v>#REF!</v>
      </c>
      <c r="R21" s="38" t="e">
        <f t="shared" ca="1" si="7"/>
        <v>#REF!</v>
      </c>
      <c r="S21" s="38" t="e">
        <f t="shared" ca="1" si="7"/>
        <v>#REF!</v>
      </c>
      <c r="T21" s="38" t="e">
        <f t="shared" ca="1" si="7"/>
        <v>#REF!</v>
      </c>
      <c r="U21" s="38" t="e">
        <f t="shared" ca="1" si="7"/>
        <v>#REF!</v>
      </c>
      <c r="V21" s="38">
        <f t="shared" ca="1" si="7"/>
        <v>0</v>
      </c>
      <c r="W21" s="38">
        <f t="shared" ca="1" si="7"/>
        <v>0</v>
      </c>
      <c r="X21" s="38">
        <f t="shared" ca="1" si="7"/>
        <v>0</v>
      </c>
      <c r="Y21" s="38">
        <f t="shared" ca="1" si="7"/>
        <v>0</v>
      </c>
      <c r="Z21" s="38">
        <f t="shared" ca="1" si="7"/>
        <v>0</v>
      </c>
      <c r="AA21" s="38" t="e">
        <f ca="1">SUM(O21:Z21)</f>
        <v>#REF!</v>
      </c>
    </row>
    <row r="22" spans="1:27" s="23" customFormat="1" ht="15" x14ac:dyDescent="0.2">
      <c r="A22" s="33"/>
      <c r="B22" s="41" t="s">
        <v>18</v>
      </c>
      <c r="C22" s="111">
        <f>(IF($E$4=1,[2]FM_14_TP!$K22,IF($E$4=2,[2]FM_14_TP!$L22,IF($E$4=3,[2]FM_14_TP!$M22,IF($E$4=4,[2]FM_14_TP!$N22,IF($E$4=5,[2]FM_14_TP!$O22,IF($E$4=6,[2]FM_14_TP!$P22,IF($E$4=7,[2]FM_14_TP!$Q22,IF($E$4=8,[2]FM_14_TP!$R22,IF($E$4=9,[2]FM_14_TP!$S22,IF($E$4=10,[2]FM_14_TP!$T22,IF($E$4=11,[2]FM_14_TP!$U22,IF($E$4=12,[2]FM_14_TP!$V22)))))))))))))</f>
        <v>2578.878748370274</v>
      </c>
      <c r="D22" s="111" t="e">
        <f>(IF($E$4=1,SUMIFS(#REF!,#REF!,"Внутренний рынок",#REF!,$B$21),IF($E$4=2,SUMIFS(#REF!,#REF!,"Внутренний рынок",#REF!,$B$21),IF($E$4=3,SUMIFS(#REF!,#REF!,"Внутренний рынок",#REF!,$B$21),IF($E$4=4,SUMIFS(#REF!,#REF!,"Внутренний рынок",#REF!,$B$21),IF($E$4=5,SUMIFS(#REF!,#REF!,"Экспорт",#REF!,$B$21),IF($E$4=6,SUMIFS(#REF!,#REF!,"Внутренний рынок",#REF!,$B$21),IF($E$4=7, SUMIFS(#REF!,#REF!,"Внутренний рынок",#REF!,$B$21),IF($E$4=8, SUMIFS(sales_08!I:I,sales_08!J:J,"Внутренний рынок",sales_08!L:L,$B$21),IF($E$4=9, SUMIFS(sales_09!I:I,sales_09!J:J,"Внутренний рынок",sales_09!L:L,$B$21),IF($E$4=10, SUMIFS(sales_10!I:I,sales_10!J:J,"Внутренний рынок",sales_10!L:L,$B$21),IF($E$4=11, SUMIFS(sales_11!I:I,sales_11!J:J,"Внутренний рынок",sales_11!L:L,$B$21),IF($E$4=12, SUMIFS(sales_12!I:I,sales_12!J:J,"Внутренний рынок",sales_12!L:L,$B$21))))))))))))))/1000</f>
        <v>#REF!</v>
      </c>
      <c r="E22" s="107" t="e">
        <f>D22-C22</f>
        <v>#REF!</v>
      </c>
      <c r="F22" s="43"/>
      <c r="G22" s="42">
        <f>(IF($E$4=1,SUM([2]FM_14_TP!$K22),IF($E$4=2,SUM([2]FM_14_TP!$K22,[2]FM_14_TP!$L22),IF($E$4=3,SUM([2]FM_14_TP!$M22,[2]FM_14_TP!$L22,[2]FM_14_TP!$K22),IF($E$4=4,SUM([2]FM_14_TP!$N22,[2]FM_14_TP!$M22,[2]FM_14_TP!$L22,[2]FM_14_TP!$K22),IF($E$4=5,SUM([2]FM_14_TP!$O22,[2]FM_14_TP!$N22,[2]FM_14_TP!$M22,[2]FM_14_TP!$L22,[2]FM_14_TP!$K22),IF($E$4=6,SUM([2]FM_14_TP!$P22,[2]FM_14_TP!$O22,[2]FM_14_TP!$N22,[2]FM_14_TP!$M22,[2]FM_14_TP!$L22,[2]FM_14_TP!$K22),IF($E$4=7,SUM([2]FM_14_TP!$Q22,[2]FM_14_TP!$P22,[2]FM_14_TP!$O22,[2]FM_14_TP!$N22,[2]FM_14_TP!$M22,[2]FM_14_TP!$L22,[2]FM_14_TP!$K22),IF($E$4=8,SUM([2]FM_14_TP!$R22,[2]FM_14_TP!$Q22,[2]FM_14_TP!$P22,[2]FM_14_TP!$O22,[2]FM_14_TP!$N22,[2]FM_14_TP!$M22,[2]FM_14_TP!$M22,[2]FM_14_TP!$M22,[2]FM_14_TP!$L22,[2]FM_14_TP!$K22),IF($E$4=9,SUM([2]FM_14_TP!$S22,[2]FM_14_TP!$R22,[2]FM_14_TP!$Q22,[2]FM_14_TP!$P22,[2]FM_14_TP!$O22,[2]FM_14_TP!$N22,[2]FM_14_TP!$M22,[2]FM_14_TP!$L22,[2]FM_14_TP!$K22),IF($E$4=10,SUM([2]FM_14_TP!$T22,[2]FM_14_TP!$S22,[2]FM_14_TP!$R22,[2]FM_14_TP!$Q22,[2]FM_14_TP!$P22,[2]FM_14_TP!$O22,[2]FM_14_TP!$N22,[2]FM_14_TP!$M22,[2]FM_14_TP!$L22,[2]FM_14_TP!$K22),IF($E$4=11,SUM([2]FM_14_TP!$U22,[2]FM_14_TP!$T22,[2]FM_14_TP!$S22,[2]FM_14_TP!$R22,[2]FM_14_TP!$Q22,[2]FM_14_TP!$P22,[2]FM_14_TP!$O22,[2]FM_14_TP!$N22,[2]FM_14_TP!$M22,[2]FM_14_TP!$L22,[2]FM_14_TP!$K22),IF($E$4=12,SUM([2]FM_14_TP!$K22:$V22))))))))))))))</f>
        <v>15697.522816166887</v>
      </c>
      <c r="H22" s="42" t="e">
        <f t="shared" ca="1" si="2"/>
        <v>#REF!</v>
      </c>
      <c r="I22" s="107" t="e">
        <f ca="1">H22-G22</f>
        <v>#REF!</v>
      </c>
      <c r="J22" s="43"/>
      <c r="K22" s="43"/>
      <c r="L22" s="42">
        <f>[2]FM_14_TP!$W22</f>
        <v>27694.915254237287</v>
      </c>
      <c r="M22" s="43"/>
      <c r="N22" s="41" t="s">
        <v>18</v>
      </c>
      <c r="O22" s="42" t="e">
        <f ca="1">SUMIFS(INDIRECT("Sales_"&amp;TEXT(O$11,"ММ")&amp;"!$I:$I"),INDIRECT("Sales_"&amp;TEXT(O$11,"ММ")&amp;"!$j:$j"),"Внутренний рынок",INDIRECT("Sales_"&amp;TEXT(O$11,"ММ")&amp;"!$l:$l"),$B21)/1000</f>
        <v>#REF!</v>
      </c>
      <c r="P22" s="42" t="e">
        <f t="shared" ref="P22:Z22" ca="1" si="8">SUMIFS(INDIRECT("Sales_"&amp;TEXT(P$11,"ММ")&amp;"!$I:$I"),INDIRECT("Sales_"&amp;TEXT(P$11,"ММ")&amp;"!$j:$j"),"Внутренний рынок",INDIRECT("Sales_"&amp;TEXT(P$11,"ММ")&amp;"!$l:$l"),$B21)/1000</f>
        <v>#REF!</v>
      </c>
      <c r="Q22" s="42" t="e">
        <f t="shared" ca="1" si="8"/>
        <v>#REF!</v>
      </c>
      <c r="R22" s="42" t="e">
        <f t="shared" ca="1" si="8"/>
        <v>#REF!</v>
      </c>
      <c r="S22" s="42" t="e">
        <f t="shared" ca="1" si="8"/>
        <v>#REF!</v>
      </c>
      <c r="T22" s="42" t="e">
        <f t="shared" ca="1" si="8"/>
        <v>#REF!</v>
      </c>
      <c r="U22" s="42" t="e">
        <f t="shared" ca="1" si="8"/>
        <v>#REF!</v>
      </c>
      <c r="V22" s="42">
        <f t="shared" ca="1" si="8"/>
        <v>0</v>
      </c>
      <c r="W22" s="42">
        <f t="shared" ca="1" si="8"/>
        <v>0</v>
      </c>
      <c r="X22" s="42">
        <f t="shared" ca="1" si="8"/>
        <v>0</v>
      </c>
      <c r="Y22" s="42">
        <f t="shared" ca="1" si="8"/>
        <v>0</v>
      </c>
      <c r="Z22" s="42">
        <f t="shared" ca="1" si="8"/>
        <v>0</v>
      </c>
      <c r="AA22" s="43" t="e">
        <f ca="1">SUM(O22:Z22)</f>
        <v>#REF!</v>
      </c>
    </row>
    <row r="23" spans="1:27" s="23" customFormat="1" ht="15" x14ac:dyDescent="0.2">
      <c r="A23" s="33"/>
      <c r="B23" s="41" t="s">
        <v>72</v>
      </c>
      <c r="C23" s="111">
        <f>(IF($E$4=1,[2]FM_14_TP!$K23,IF($E$4=2,[2]FM_14_TP!$L23,IF($E$4=3,[2]FM_14_TP!$M23,IF($E$4=4,[2]FM_14_TP!$N23,IF($E$4=5,[2]FM_14_TP!$O23,IF($E$4=6,[2]FM_14_TP!$P23,IF($E$4=7,[2]FM_14_TP!$Q23,IF($E$4=8,[2]FM_14_TP!$R23,IF($E$4=9,[2]FM_14_TP!$S23,IF($E$4=10,[2]FM_14_TP!$T23,IF($E$4=11,[2]FM_14_TP!$U23,IF($E$4=12,[2]FM_14_TP!$V23)))))))))))))</f>
        <v>0</v>
      </c>
      <c r="D23" s="111" t="e">
        <f>(IF($E$4=1,SUMIFS(#REF!,#REF!,"Экспорт",#REF!,$B$21),IF($E$4=2,SUMIFS(#REF!,#REF!,"Экспорт",#REF!,$B$21),IF($E$4=3,SUMIFS(#REF!,#REF!,"Экспорт",#REF!,$B$21),IF($E$4=4,SUMIFS(#REF!,#REF!,"Экспорт",#REF!,$B$21),IF($E$4=5,SUMIFS(#REF!,#REF!,"Экспорт",#REF!,$B$21),IF($E$4=6,SUMIFS(#REF!,#REF!,"Экспорт",#REF!,$B$21),IF($E$4=7, SUMIFS(#REF!,#REF!,"Экспорт",#REF!,$B$21),IF($E$4=8, SUMIFS(sales_08!I:I,sales_08!J:J,"Экспорт",sales_08!L:L,$B$21),IF($E$4=9, SUMIFS(sales_09!I:I,sales_09!J:J,"Экспорт",sales_09!L:L,$B$21),IF($E$4=10, SUMIFS(sales_10!I:I,sales_10!J:J,"Экспорт",sales_10!L:L,$B$21),IF($E$4=11, SUMIFS(sales_11!I:I,sales_11!J:J,"Экспорт",sales_11!L:L,$B$21),IF($E$4=12, SUMIFS(sales_12!I:I,sales_12!J:J,"Экспорт",sales_12!L:L,$B$21))))))))))))))/1000</f>
        <v>#REF!</v>
      </c>
      <c r="E23" s="107" t="e">
        <f>D23-C23</f>
        <v>#REF!</v>
      </c>
      <c r="F23" s="43"/>
      <c r="G23" s="42">
        <f>(IF($E$4=1,SUM([2]FM_14_TP!$K23),IF($E$4=2,SUM([2]FM_14_TP!$K23,[2]FM_14_TP!$L23),IF($E$4=3,SUM([2]FM_14_TP!$M23,[2]FM_14_TP!$L23,[2]FM_14_TP!$K23),IF($E$4=4,SUM([2]FM_14_TP!$N23,[2]FM_14_TP!$M23,[2]FM_14_TP!$L23,[2]FM_14_TP!$K23),IF($E$4=5,SUM([2]FM_14_TP!$O23,[2]FM_14_TP!$N23,[2]FM_14_TP!$M23,[2]FM_14_TP!$L23,[2]FM_14_TP!$K23),IF($E$4=6,SUM([2]FM_14_TP!$P23,[2]FM_14_TP!$O23,[2]FM_14_TP!$N23,[2]FM_14_TP!$M23,[2]FM_14_TP!$L23,[2]FM_14_TP!$K23),IF($E$4=7,SUM([2]FM_14_TP!$Q23,[2]FM_14_TP!$P23,[2]FM_14_TP!$O23,[2]FM_14_TP!$N23,[2]FM_14_TP!$M23,[2]FM_14_TP!$L23,[2]FM_14_TP!$K23),IF($E$4=8,SUM([2]FM_14_TP!$R23,[2]FM_14_TP!$Q23,[2]FM_14_TP!$P23,[2]FM_14_TP!$O23,[2]FM_14_TP!$N23,[2]FM_14_TP!$M23,[2]FM_14_TP!$M23,[2]FM_14_TP!$M23,[2]FM_14_TP!$L23,[2]FM_14_TP!$K23),IF($E$4=9,SUM([2]FM_14_TP!$S23,[2]FM_14_TP!$R23,[2]FM_14_TP!$Q23,[2]FM_14_TP!$P23,[2]FM_14_TP!$O23,[2]FM_14_TP!$N23,[2]FM_14_TP!$M23,[2]FM_14_TP!$L23,[2]FM_14_TP!$K23),IF($E$4=10,SUM([2]FM_14_TP!$T23,[2]FM_14_TP!$S23,[2]FM_14_TP!$R23,[2]FM_14_TP!$Q23,[2]FM_14_TP!$P23,[2]FM_14_TP!$O23,[2]FM_14_TP!$N23,[2]FM_14_TP!$M23,[2]FM_14_TP!$L23,[2]FM_14_TP!$K23),IF($E$4=11,SUM([2]FM_14_TP!$U23,[2]FM_14_TP!$T23,[2]FM_14_TP!$S23,[2]FM_14_TP!$R23,[2]FM_14_TP!$Q23,[2]FM_14_TP!$P23,[2]FM_14_TP!$O23,[2]FM_14_TP!$N23,[2]FM_14_TP!$M23,[2]FM_14_TP!$L23,[2]FM_14_TP!$K23),IF($E$4=12,SUM([2]FM_14_TP!$K23:$V23))))))))))))))</f>
        <v>0</v>
      </c>
      <c r="H23" s="42" t="e">
        <f t="shared" ca="1" si="2"/>
        <v>#REF!</v>
      </c>
      <c r="I23" s="107" t="e">
        <f ca="1">H23-G23</f>
        <v>#REF!</v>
      </c>
      <c r="J23" s="43"/>
      <c r="K23" s="43"/>
      <c r="L23" s="42">
        <f>[2]FM_14_TP!$W23</f>
        <v>0</v>
      </c>
      <c r="M23" s="43"/>
      <c r="N23" s="41" t="s">
        <v>72</v>
      </c>
      <c r="O23" s="42" t="e">
        <f ca="1">SUMIFS(INDIRECT("Sales_"&amp;TEXT(O$11,"ММ")&amp;"!$I:$I"),INDIRECT("Sales_"&amp;TEXT(O$11,"ММ")&amp;"!$j:$j"),"Экспорт",INDIRECT("Sales_"&amp;TEXT(O$11,"ММ")&amp;"!$l:$l"),$B21)/1000</f>
        <v>#REF!</v>
      </c>
      <c r="P23" s="42" t="e">
        <f t="shared" ref="P23:Z23" ca="1" si="9">SUMIFS(INDIRECT("Sales_"&amp;TEXT(P$11,"ММ")&amp;"!$I:$I"),INDIRECT("Sales_"&amp;TEXT(P$11,"ММ")&amp;"!$j:$j"),"Экспорт",INDIRECT("Sales_"&amp;TEXT(P$11,"ММ")&amp;"!$l:$l"),$B21)/1000</f>
        <v>#REF!</v>
      </c>
      <c r="Q23" s="42" t="e">
        <f t="shared" ca="1" si="9"/>
        <v>#REF!</v>
      </c>
      <c r="R23" s="42" t="e">
        <f t="shared" ca="1" si="9"/>
        <v>#REF!</v>
      </c>
      <c r="S23" s="42" t="e">
        <f t="shared" ca="1" si="9"/>
        <v>#REF!</v>
      </c>
      <c r="T23" s="42" t="e">
        <f t="shared" ca="1" si="9"/>
        <v>#REF!</v>
      </c>
      <c r="U23" s="42" t="e">
        <f t="shared" ca="1" si="9"/>
        <v>#REF!</v>
      </c>
      <c r="V23" s="42">
        <f t="shared" ca="1" si="9"/>
        <v>0</v>
      </c>
      <c r="W23" s="42">
        <f t="shared" ca="1" si="9"/>
        <v>0</v>
      </c>
      <c r="X23" s="42">
        <f t="shared" ca="1" si="9"/>
        <v>0</v>
      </c>
      <c r="Y23" s="42">
        <f t="shared" ca="1" si="9"/>
        <v>0</v>
      </c>
      <c r="Z23" s="42">
        <f t="shared" ca="1" si="9"/>
        <v>0</v>
      </c>
      <c r="AA23" s="43" t="e">
        <f ca="1">SUM(O23:Z23)</f>
        <v>#REF!</v>
      </c>
    </row>
    <row r="24" spans="1:27" s="23" customFormat="1" ht="15.75" x14ac:dyDescent="0.25">
      <c r="C24" s="112"/>
      <c r="D24" s="112"/>
      <c r="E24" s="112"/>
      <c r="F24" s="43"/>
      <c r="G24" s="43"/>
      <c r="H24" s="43"/>
      <c r="I24" s="110"/>
      <c r="J24" s="43"/>
      <c r="K24" s="43"/>
      <c r="L24" s="43"/>
      <c r="M24" s="43"/>
      <c r="O24" s="43"/>
      <c r="P24" s="43"/>
      <c r="Q24" s="43"/>
      <c r="R24" s="43"/>
      <c r="S24" s="43"/>
      <c r="T24" s="112"/>
      <c r="U24" s="43"/>
      <c r="V24" s="43"/>
      <c r="W24" s="43"/>
      <c r="X24" s="43"/>
      <c r="Y24" s="43"/>
      <c r="Z24" s="43"/>
      <c r="AA24" s="43"/>
    </row>
    <row r="25" spans="1:27" s="40" customFormat="1" ht="15.75" x14ac:dyDescent="0.25">
      <c r="A25" s="36"/>
      <c r="B25" s="37" t="s">
        <v>75</v>
      </c>
      <c r="C25" s="110">
        <f>SUM(C26:C27)</f>
        <v>337.94922802709289</v>
      </c>
      <c r="D25" s="110" t="e">
        <f>SUM(D26:D27)</f>
        <v>#REF!</v>
      </c>
      <c r="E25" s="110" t="e">
        <f>D25-C25</f>
        <v>#REF!</v>
      </c>
      <c r="F25" s="39"/>
      <c r="G25" s="38">
        <f>(IF($E$4=1,SUM([2]FM_14_TP!$K25),IF($E$4=2,SUM([2]FM_14_TP!$K25,[2]FM_14_TP!$L25),IF($E$4=3,SUM([2]FM_14_TP!$M25,[2]FM_14_TP!$L25,[2]FM_14_TP!$K25),IF($E$4=4,SUM([2]FM_14_TP!$N25,[2]FM_14_TP!$M25,[2]FM_14_TP!$L25,[2]FM_14_TP!$K25),IF($E$4=5,SUM([2]FM_14_TP!$O25,[2]FM_14_TP!$N25,[2]FM_14_TP!$M25,[2]FM_14_TP!$L25,[2]FM_14_TP!$K25),IF($E$4=6,SUM([2]FM_14_TP!$P25,[2]FM_14_TP!$O25,[2]FM_14_TP!$N25,[2]FM_14_TP!$M25,[2]FM_14_TP!$L25,[2]FM_14_TP!$K25),IF($E$4=7,SUM([2]FM_14_TP!$Q25,[2]FM_14_TP!$P25,[2]FM_14_TP!$O25,[2]FM_14_TP!$N25,[2]FM_14_TP!$M25,[2]FM_14_TP!$L25,[2]FM_14_TP!$K25),IF($E$4=8,SUM([2]FM_14_TP!$R25,[2]FM_14_TP!$Q25,[2]FM_14_TP!$P25,[2]FM_14_TP!$O25,[2]FM_14_TP!$N25,[2]FM_14_TP!$M25,[2]FM_14_TP!$M25,[2]FM_14_TP!$M25,[2]FM_14_TP!$L25,[2]FM_14_TP!$K25),IF($E$4=9,SUM([2]FM_14_TP!$S25,[2]FM_14_TP!$R25,[2]FM_14_TP!$Q25,[2]FM_14_TP!$P25,[2]FM_14_TP!$O25,[2]FM_14_TP!$N25,[2]FM_14_TP!$M25,[2]FM_14_TP!$L25,[2]FM_14_TP!$K25),IF($E$4=10,SUM([2]FM_14_TP!$T25,[2]FM_14_TP!$S25,[2]FM_14_TP!$R25,[2]FM_14_TP!$Q25,[2]FM_14_TP!$P25,[2]FM_14_TP!$O25,[2]FM_14_TP!$N25,[2]FM_14_TP!$M25,[2]FM_14_TP!$L25,[2]FM_14_TP!$K25),IF($E$4=11,SUM([2]FM_14_TP!$U25,[2]FM_14_TP!$T25,[2]FM_14_TP!$S25,[2]FM_14_TP!$R25,[2]FM_14_TP!$Q25,[2]FM_14_TP!$P25,[2]FM_14_TP!$O25,[2]FM_14_TP!$N25,[2]FM_14_TP!$M25,[2]FM_14_TP!$L25,[2]FM_14_TP!$K25),IF($E$4=12,SUM([2]FM_14_TP!$K25:$V25))))))))))))))</f>
        <v>2057.0822575562174</v>
      </c>
      <c r="H25" s="38" t="e">
        <f t="shared" ca="1" si="2"/>
        <v>#REF!</v>
      </c>
      <c r="I25" s="110" t="e">
        <f ca="1">H25-G25</f>
        <v>#REF!</v>
      </c>
      <c r="J25" s="103">
        <f ca="1">(IFERROR(I25/G25,0))</f>
        <v>0</v>
      </c>
      <c r="K25" s="39"/>
      <c r="L25" s="38">
        <f>[2]FM_14_TP!$W25</f>
        <v>3629.280840117041</v>
      </c>
      <c r="M25" s="38"/>
      <c r="N25" s="37" t="s">
        <v>75</v>
      </c>
      <c r="O25" s="38" t="e">
        <f t="shared" ref="O25:Z25" ca="1" si="10">SUM(O26:O27)</f>
        <v>#REF!</v>
      </c>
      <c r="P25" s="38" t="e">
        <f t="shared" ca="1" si="10"/>
        <v>#REF!</v>
      </c>
      <c r="Q25" s="38" t="e">
        <f t="shared" ca="1" si="10"/>
        <v>#REF!</v>
      </c>
      <c r="R25" s="38" t="e">
        <f t="shared" ca="1" si="10"/>
        <v>#REF!</v>
      </c>
      <c r="S25" s="38" t="e">
        <f t="shared" ca="1" si="10"/>
        <v>#REF!</v>
      </c>
      <c r="T25" s="38" t="e">
        <f t="shared" ca="1" si="10"/>
        <v>#REF!</v>
      </c>
      <c r="U25" s="38" t="e">
        <f t="shared" ca="1" si="10"/>
        <v>#REF!</v>
      </c>
      <c r="V25" s="38">
        <f t="shared" ca="1" si="10"/>
        <v>0</v>
      </c>
      <c r="W25" s="38">
        <f t="shared" ca="1" si="10"/>
        <v>0</v>
      </c>
      <c r="X25" s="38">
        <f ca="1">SUM(X26:X27)</f>
        <v>0</v>
      </c>
      <c r="Y25" s="38">
        <f t="shared" ca="1" si="10"/>
        <v>0</v>
      </c>
      <c r="Z25" s="38">
        <f t="shared" ca="1" si="10"/>
        <v>0</v>
      </c>
      <c r="AA25" s="38" t="e">
        <f ca="1">SUM(O25:Z25)</f>
        <v>#REF!</v>
      </c>
    </row>
    <row r="26" spans="1:27" s="23" customFormat="1" ht="15" x14ac:dyDescent="0.2">
      <c r="A26" s="33"/>
      <c r="B26" s="41" t="s">
        <v>18</v>
      </c>
      <c r="C26" s="111">
        <f>(IF($E$4=1,[2]FM_14_TP!$K26,IF($E$4=2,[2]FM_14_TP!$L26,IF($E$4=3,[2]FM_14_TP!$M26,IF($E$4=4,[2]FM_14_TP!$N26,IF($E$4=5,[2]FM_14_TP!$O26,IF($E$4=6,[2]FM_14_TP!$P26,IF($E$4=7,[2]FM_14_TP!$Q26,IF($E$4=8,[2]FM_14_TP!$R26,IF($E$4=9,[2]FM_14_TP!$S26,IF($E$4=10,[2]FM_14_TP!$T26,IF($E$4=11,[2]FM_14_TP!$U26,IF($E$4=12,[2]FM_14_TP!$V26)))))))))))))</f>
        <v>337.94922802709289</v>
      </c>
      <c r="D26" s="111" t="e">
        <f>(IF($E$4=1,SUMIFS(#REF!,#REF!,"Внутренний рынок",#REF!,$B$25),IF($E$4=2,SUMIFS(#REF!,#REF!,"Внутренний рынок",#REF!,$B$25),IF($E$4=3,SUMIFS(#REF!,#REF!,"Внутренний рынок",#REF!,$B$25),IF($E$4=4,SUMIFS(#REF!,#REF!,"Внутренний рынок",#REF!,$B$25),IF($E$4=5,SUMIFS(#REF!,#REF!,"Экспорт",#REF!,$B$25),IF($E$4=6,SUMIFS(#REF!,#REF!,"Внутренний рынок",#REF!,$B$25),IF($E$4=7, SUMIFS(#REF!,#REF!,"Внутренний рынок",#REF!,$B$25),IF($E$4=8, SUMIFS(sales_08!I:I,sales_08!J:J,"Внутренний рынок",sales_08!L:L,$B$25),IF($E$4=9, SUMIFS(sales_09!I:I,sales_09!J:J,"Внутренний рынок",sales_09!L:L,$B$25),IF($E$4=10, SUMIFS(sales_10!I:I,sales_10!J:J,"Внутренний рынок",sales_10!L:L,$B$25),IF($E$4=11, SUMIFS(sales_11!I:I,sales_11!J:J,"Внутренний рынок",sales_11!L:L,$B$25),IF($E$4=12, SUMIFS(sales_12!I:I,sales_12!J:J,"Внутренний рынок",sales_12!L:L,$B$25))))))))))))))/1000</f>
        <v>#REF!</v>
      </c>
      <c r="E26" s="107" t="e">
        <f>D26-C26</f>
        <v>#REF!</v>
      </c>
      <c r="F26" s="43"/>
      <c r="G26" s="42">
        <f>(IF($E$4=1,SUM([2]FM_14_TP!$K26),IF($E$4=2,SUM([2]FM_14_TP!$K26,[2]FM_14_TP!$L26),IF($E$4=3,SUM([2]FM_14_TP!$M26,[2]FM_14_TP!$L26,[2]FM_14_TP!$K26),IF($E$4=4,SUM([2]FM_14_TP!$N26,[2]FM_14_TP!$M26,[2]FM_14_TP!$L26,[2]FM_14_TP!$K26),IF($E$4=5,SUM([2]FM_14_TP!$O26,[2]FM_14_TP!$N26,[2]FM_14_TP!$M26,[2]FM_14_TP!$L26,[2]FM_14_TP!$K26),IF($E$4=6,SUM([2]FM_14_TP!$P26,[2]FM_14_TP!$O26,[2]FM_14_TP!$N26,[2]FM_14_TP!$M26,[2]FM_14_TP!$L26,[2]FM_14_TP!$K26),IF($E$4=7,SUM([2]FM_14_TP!$Q26,[2]FM_14_TP!$P26,[2]FM_14_TP!$O26,[2]FM_14_TP!$N26,[2]FM_14_TP!$M26,[2]FM_14_TP!$L26,[2]FM_14_TP!$K26),IF($E$4=8,SUM([2]FM_14_TP!$R26,[2]FM_14_TP!$Q26,[2]FM_14_TP!$P26,[2]FM_14_TP!$O26,[2]FM_14_TP!$N26,[2]FM_14_TP!$M26,[2]FM_14_TP!$M26,[2]FM_14_TP!$M26,[2]FM_14_TP!$L26,[2]FM_14_TP!$K26),IF($E$4=9,SUM([2]FM_14_TP!$S26,[2]FM_14_TP!$R26,[2]FM_14_TP!$Q26,[2]FM_14_TP!$P26,[2]FM_14_TP!$O26,[2]FM_14_TP!$N26,[2]FM_14_TP!$M26,[2]FM_14_TP!$L26,[2]FM_14_TP!$K26),IF($E$4=10,SUM([2]FM_14_TP!$T26,[2]FM_14_TP!$S26,[2]FM_14_TP!$R26,[2]FM_14_TP!$Q26,[2]FM_14_TP!$P26,[2]FM_14_TP!$O26,[2]FM_14_TP!$N26,[2]FM_14_TP!$M26,[2]FM_14_TP!$L26,[2]FM_14_TP!$K26),IF($E$4=11,SUM([2]FM_14_TP!$U26,[2]FM_14_TP!$T26,[2]FM_14_TP!$S26,[2]FM_14_TP!$R26,[2]FM_14_TP!$Q26,[2]FM_14_TP!$P26,[2]FM_14_TP!$O26,[2]FM_14_TP!$N26,[2]FM_14_TP!$M26,[2]FM_14_TP!$L26,[2]FM_14_TP!$K26),IF($E$4=12,SUM([2]FM_14_TP!$K26:$V26))))))))))))))</f>
        <v>2057.0822575562174</v>
      </c>
      <c r="H26" s="42" t="e">
        <f t="shared" ca="1" si="2"/>
        <v>#REF!</v>
      </c>
      <c r="I26" s="107" t="e">
        <f ca="1">H26-G26</f>
        <v>#REF!</v>
      </c>
      <c r="J26" s="43"/>
      <c r="K26" s="43"/>
      <c r="L26" s="42">
        <f>[2]FM_14_TP!$W26</f>
        <v>3629.280840117041</v>
      </c>
      <c r="M26" s="43"/>
      <c r="N26" s="41" t="s">
        <v>18</v>
      </c>
      <c r="O26" s="42" t="e">
        <f ca="1">SUMIFS(INDIRECT("Sales_"&amp;TEXT(O$11,"ММ")&amp;"!$I:$I"),INDIRECT("Sales_"&amp;TEXT(O$11,"ММ")&amp;"!$j:$j"),"Внутренний рынок",INDIRECT("Sales_"&amp;TEXT(O$11,"ММ")&amp;"!$l:$l"),$B25)/1000</f>
        <v>#REF!</v>
      </c>
      <c r="P26" s="42" t="e">
        <f t="shared" ref="P26:Z26" ca="1" si="11">SUMIFS(INDIRECT("Sales_"&amp;TEXT(P$11,"ММ")&amp;"!$I:$I"),INDIRECT("Sales_"&amp;TEXT(P$11,"ММ")&amp;"!$j:$j"),"Внутренний рынок",INDIRECT("Sales_"&amp;TEXT(P$11,"ММ")&amp;"!$l:$l"),$B25)/1000</f>
        <v>#REF!</v>
      </c>
      <c r="Q26" s="42" t="e">
        <f t="shared" ca="1" si="11"/>
        <v>#REF!</v>
      </c>
      <c r="R26" s="42" t="e">
        <f t="shared" ca="1" si="11"/>
        <v>#REF!</v>
      </c>
      <c r="S26" s="42" t="e">
        <f t="shared" ca="1" si="11"/>
        <v>#REF!</v>
      </c>
      <c r="T26" s="42" t="e">
        <f t="shared" ca="1" si="11"/>
        <v>#REF!</v>
      </c>
      <c r="U26" s="42" t="e">
        <f t="shared" ca="1" si="11"/>
        <v>#REF!</v>
      </c>
      <c r="V26" s="42">
        <f t="shared" ca="1" si="11"/>
        <v>0</v>
      </c>
      <c r="W26" s="42">
        <f t="shared" ca="1" si="11"/>
        <v>0</v>
      </c>
      <c r="X26" s="42">
        <f t="shared" ca="1" si="11"/>
        <v>0</v>
      </c>
      <c r="Y26" s="42">
        <f t="shared" ca="1" si="11"/>
        <v>0</v>
      </c>
      <c r="Z26" s="42">
        <f t="shared" ca="1" si="11"/>
        <v>0</v>
      </c>
      <c r="AA26" s="43" t="e">
        <f ca="1">SUM(O26:Z26)</f>
        <v>#REF!</v>
      </c>
    </row>
    <row r="27" spans="1:27" s="23" customFormat="1" ht="15" x14ac:dyDescent="0.2">
      <c r="A27" s="33"/>
      <c r="B27" s="41" t="s">
        <v>72</v>
      </c>
      <c r="C27" s="111">
        <f>(IF($E$4=1,[2]FM_14_TP!$K27,IF($E$4=2,[2]FM_14_TP!$L27,IF($E$4=3,[2]FM_14_TP!$M27,IF($E$4=4,[2]FM_14_TP!$N27,IF($E$4=5,[2]FM_14_TP!$O27,IF($E$4=6,[2]FM_14_TP!$P27,IF($E$4=7,[2]FM_14_TP!$Q27,IF($E$4=8,[2]FM_14_TP!$R27,IF($E$4=9,[2]FM_14_TP!$S27,IF($E$4=10,[2]FM_14_TP!$T27,IF($E$4=11,[2]FM_14_TP!$U27,IF($E$4=12,[2]FM_14_TP!$V27)))))))))))))</f>
        <v>0</v>
      </c>
      <c r="D27" s="111" t="e">
        <f>(IF($E$4=1,SUMIFS(#REF!,#REF!,"Экспорт",#REF!,$B$25),IF($E$4=2,SUMIFS(#REF!,#REF!,"Экспорт",#REF!,$B$25),IF($E$4=3,SUMIFS(#REF!,#REF!,"Экспорт",#REF!,$B$25),IF($E$4=4,SUMIFS(#REF!,#REF!,"Экспорт",#REF!,$B$25),IF($E$4=5,SUMIFS(#REF!,#REF!,"Экспорт",#REF!,$B$25),IF($E$4=6,SUMIFS(#REF!,#REF!,"Экспорт",#REF!,$B$25),IF($E$4=7, SUMIFS(#REF!,#REF!,"Экспорт",#REF!,$B$25),IF($E$4=8, SUMIFS(sales_08!I:I,sales_08!J:J,"Экспорт",sales_08!L:L,$B$25),IF($E$4=9, SUMIFS(sales_09!I:I,sales_09!J:J,"Экспорт",sales_09!L:L,$B$25),IF($E$4=10, SUMIFS(sales_10!I:I,sales_10!J:J,"Экспорт",sales_10!L:L,$B$25),IF($E$4=11, SUMIFS(sales_11!I:I,sales_11!J:J,"Экспорт",sales_11!L:L,$B$25),IF($E$4=12, SUMIFS(sales_12!I:I,sales_12!J:J,"Экспорт",sales_12!L:L,$B$25))))))))))))))/1000</f>
        <v>#REF!</v>
      </c>
      <c r="E27" s="107" t="e">
        <f>D27-C27</f>
        <v>#REF!</v>
      </c>
      <c r="F27" s="43"/>
      <c r="G27" s="42">
        <f>(IF($E$4=1,SUM([2]FM_14_TP!$K27),IF($E$4=2,SUM([2]FM_14_TP!$K27,[2]FM_14_TP!$L27),IF($E$4=3,SUM([2]FM_14_TP!$M27,[2]FM_14_TP!$L27,[2]FM_14_TP!$K27),IF($E$4=4,SUM([2]FM_14_TP!$N27,[2]FM_14_TP!$M27,[2]FM_14_TP!$L27,[2]FM_14_TP!$K27),IF($E$4=5,SUM([2]FM_14_TP!$O27,[2]FM_14_TP!$N27,[2]FM_14_TP!$M27,[2]FM_14_TP!$L27,[2]FM_14_TP!$K27),IF($E$4=6,SUM([2]FM_14_TP!$P27,[2]FM_14_TP!$O27,[2]FM_14_TP!$N27,[2]FM_14_TP!$M27,[2]FM_14_TP!$L27,[2]FM_14_TP!$K27),IF($E$4=7,SUM([2]FM_14_TP!$Q27,[2]FM_14_TP!$P27,[2]FM_14_TP!$O27,[2]FM_14_TP!$N27,[2]FM_14_TP!$M27,[2]FM_14_TP!$L27,[2]FM_14_TP!$K27),IF($E$4=8,SUM([2]FM_14_TP!$R27,[2]FM_14_TP!$Q27,[2]FM_14_TP!$P27,[2]FM_14_TP!$O27,[2]FM_14_TP!$N27,[2]FM_14_TP!$M27,[2]FM_14_TP!$M27,[2]FM_14_TP!$M27,[2]FM_14_TP!$L27,[2]FM_14_TP!$K27),IF($E$4=9,SUM([2]FM_14_TP!$S27,[2]FM_14_TP!$R27,[2]FM_14_TP!$Q27,[2]FM_14_TP!$P27,[2]FM_14_TP!$O27,[2]FM_14_TP!$N27,[2]FM_14_TP!$M27,[2]FM_14_TP!$L27,[2]FM_14_TP!$K27),IF($E$4=10,SUM([2]FM_14_TP!$T27,[2]FM_14_TP!$S27,[2]FM_14_TP!$R27,[2]FM_14_TP!$Q27,[2]FM_14_TP!$P27,[2]FM_14_TP!$O27,[2]FM_14_TP!$N27,[2]FM_14_TP!$M27,[2]FM_14_TP!$L27,[2]FM_14_TP!$K27),IF($E$4=11,SUM([2]FM_14_TP!$U27,[2]FM_14_TP!$T27,[2]FM_14_TP!$S27,[2]FM_14_TP!$R27,[2]FM_14_TP!$Q27,[2]FM_14_TP!$P27,[2]FM_14_TP!$O27,[2]FM_14_TP!$N27,[2]FM_14_TP!$M27,[2]FM_14_TP!$L27,[2]FM_14_TP!$K27),IF($E$4=12,SUM([2]FM_14_TP!$K27:$V27))))))))))))))</f>
        <v>0</v>
      </c>
      <c r="H27" s="42" t="e">
        <f t="shared" ca="1" si="2"/>
        <v>#REF!</v>
      </c>
      <c r="I27" s="107" t="e">
        <f ca="1">H27-G27</f>
        <v>#REF!</v>
      </c>
      <c r="J27" s="43"/>
      <c r="K27" s="43"/>
      <c r="L27" s="42">
        <f>[2]FM_14_TP!$W27</f>
        <v>0</v>
      </c>
      <c r="M27" s="43"/>
      <c r="N27" s="41" t="s">
        <v>72</v>
      </c>
      <c r="O27" s="42" t="e">
        <f ca="1">SUMIFS(INDIRECT("Sales_"&amp;TEXT(O$11,"ММ")&amp;"!$I:$I"),INDIRECT("Sales_"&amp;TEXT(O$11,"ММ")&amp;"!$j:$j"),"Экспорт",INDIRECT("Sales_"&amp;TEXT(O$11,"ММ")&amp;"!$l:$l"),$B25)/1000</f>
        <v>#REF!</v>
      </c>
      <c r="P27" s="42" t="e">
        <f t="shared" ref="P27:Z27" ca="1" si="12">SUMIFS(INDIRECT("Sales_"&amp;TEXT(P$11,"ММ")&amp;"!$I:$I"),INDIRECT("Sales_"&amp;TEXT(P$11,"ММ")&amp;"!$j:$j"),"Экспорт",INDIRECT("Sales_"&amp;TEXT(P$11,"ММ")&amp;"!$l:$l"),$B25)/1000</f>
        <v>#REF!</v>
      </c>
      <c r="Q27" s="42" t="e">
        <f t="shared" ca="1" si="12"/>
        <v>#REF!</v>
      </c>
      <c r="R27" s="42" t="e">
        <f t="shared" ca="1" si="12"/>
        <v>#REF!</v>
      </c>
      <c r="S27" s="42" t="e">
        <f t="shared" ca="1" si="12"/>
        <v>#REF!</v>
      </c>
      <c r="T27" s="42" t="e">
        <f t="shared" ca="1" si="12"/>
        <v>#REF!</v>
      </c>
      <c r="U27" s="42" t="e">
        <f t="shared" ca="1" si="12"/>
        <v>#REF!</v>
      </c>
      <c r="V27" s="42">
        <f t="shared" ca="1" si="12"/>
        <v>0</v>
      </c>
      <c r="W27" s="42">
        <f t="shared" ca="1" si="12"/>
        <v>0</v>
      </c>
      <c r="X27" s="42">
        <f t="shared" ca="1" si="12"/>
        <v>0</v>
      </c>
      <c r="Y27" s="42">
        <f t="shared" ca="1" si="12"/>
        <v>0</v>
      </c>
      <c r="Z27" s="42">
        <f t="shared" ca="1" si="12"/>
        <v>0</v>
      </c>
      <c r="AA27" s="43" t="e">
        <f ca="1">SUM(O27:Z27)</f>
        <v>#REF!</v>
      </c>
    </row>
    <row r="28" spans="1:27" s="23" customFormat="1" ht="15.75" x14ac:dyDescent="0.25">
      <c r="C28" s="112"/>
      <c r="D28" s="112"/>
      <c r="E28" s="112"/>
      <c r="F28" s="43"/>
      <c r="G28" s="43"/>
      <c r="H28" s="43"/>
      <c r="I28" s="110"/>
      <c r="J28" s="43"/>
      <c r="K28" s="43"/>
      <c r="L28" s="43"/>
      <c r="M28" s="43"/>
      <c r="O28" s="43"/>
      <c r="P28" s="43"/>
      <c r="Q28" s="43"/>
      <c r="R28" s="43"/>
      <c r="S28" s="43"/>
      <c r="T28" s="112"/>
      <c r="U28" s="43"/>
      <c r="V28" s="43"/>
      <c r="W28" s="43"/>
      <c r="X28" s="43"/>
      <c r="Y28" s="43"/>
      <c r="Z28" s="43"/>
      <c r="AA28" s="43"/>
    </row>
    <row r="29" spans="1:27" s="40" customFormat="1" ht="15.75" x14ac:dyDescent="0.25">
      <c r="A29" s="36"/>
      <c r="B29" s="37" t="s">
        <v>76</v>
      </c>
      <c r="C29" s="110">
        <f>SUM(C30:C31)</f>
        <v>4993.6362210010557</v>
      </c>
      <c r="D29" s="110" t="e">
        <f>SUM(D30:D31)</f>
        <v>#REF!</v>
      </c>
      <c r="E29" s="110" t="e">
        <f>D29-C29</f>
        <v>#REF!</v>
      </c>
      <c r="F29" s="39"/>
      <c r="G29" s="38">
        <f>(IF($E$4=1,SUM([2]FM_14_TP!$K29),IF($E$4=2,SUM([2]FM_14_TP!$K29,[2]FM_14_TP!$L29),IF($E$4=3,SUM([2]FM_14_TP!$M29,[2]FM_14_TP!$L29,[2]FM_14_TP!$K29),IF($E$4=4,SUM([2]FM_14_TP!$N29,[2]FM_14_TP!$M29,[2]FM_14_TP!$L29,[2]FM_14_TP!$K29),IF($E$4=5,SUM([2]FM_14_TP!$O29,[2]FM_14_TP!$N29,[2]FM_14_TP!$M29,[2]FM_14_TP!$L29,[2]FM_14_TP!$K29),IF($E$4=6,SUM([2]FM_14_TP!$P29,[2]FM_14_TP!$O29,[2]FM_14_TP!$N29,[2]FM_14_TP!$M29,[2]FM_14_TP!$L29,[2]FM_14_TP!$K29),IF($E$4=7,SUM([2]FM_14_TP!$Q29,[2]FM_14_TP!$P29,[2]FM_14_TP!$O29,[2]FM_14_TP!$N29,[2]FM_14_TP!$M29,[2]FM_14_TP!$L29,[2]FM_14_TP!$K29),IF($E$4=8,SUM([2]FM_14_TP!$R29,[2]FM_14_TP!$Q29,[2]FM_14_TP!$P29,[2]FM_14_TP!$O29,[2]FM_14_TP!$N29,[2]FM_14_TP!$M29,[2]FM_14_TP!$M29,[2]FM_14_TP!$M29,[2]FM_14_TP!$L29,[2]FM_14_TP!$K29),IF($E$4=9,SUM([2]FM_14_TP!$S29,[2]FM_14_TP!$R29,[2]FM_14_TP!$Q29,[2]FM_14_TP!$P29,[2]FM_14_TP!$O29,[2]FM_14_TP!$N29,[2]FM_14_TP!$M29,[2]FM_14_TP!$L29,[2]FM_14_TP!$K29),IF($E$4=10,SUM([2]FM_14_TP!$T29,[2]FM_14_TP!$S29,[2]FM_14_TP!$R29,[2]FM_14_TP!$Q29,[2]FM_14_TP!$P29,[2]FM_14_TP!$O29,[2]FM_14_TP!$N29,[2]FM_14_TP!$M29,[2]FM_14_TP!$L29,[2]FM_14_TP!$K29),IF($E$4=11,SUM([2]FM_14_TP!$U29,[2]FM_14_TP!$T29,[2]FM_14_TP!$S29,[2]FM_14_TP!$R29,[2]FM_14_TP!$Q29,[2]FM_14_TP!$P29,[2]FM_14_TP!$O29,[2]FM_14_TP!$N29,[2]FM_14_TP!$M29,[2]FM_14_TP!$L29,[2]FM_14_TP!$K29),IF($E$4=12,SUM([2]FM_14_TP!$K29:$V29))))))))))))))</f>
        <v>40014.851069984317</v>
      </c>
      <c r="H29" s="38" t="e">
        <f t="shared" ca="1" si="2"/>
        <v>#REF!</v>
      </c>
      <c r="I29" s="110" t="e">
        <f ca="1">H29-G29</f>
        <v>#REF!</v>
      </c>
      <c r="J29" s="103">
        <f ca="1">(IFERROR(I29/G29,0))</f>
        <v>0</v>
      </c>
      <c r="K29" s="39"/>
      <c r="L29" s="38">
        <f>[2]FM_14_TP!$W29</f>
        <v>68468.439707552243</v>
      </c>
      <c r="M29" s="38"/>
      <c r="N29" s="37" t="s">
        <v>76</v>
      </c>
      <c r="O29" s="38" t="e">
        <f t="shared" ref="O29:Z29" ca="1" si="13">SUM(O30:O31)</f>
        <v>#REF!</v>
      </c>
      <c r="P29" s="38" t="e">
        <f t="shared" ca="1" si="13"/>
        <v>#REF!</v>
      </c>
      <c r="Q29" s="38" t="e">
        <f t="shared" ca="1" si="13"/>
        <v>#REF!</v>
      </c>
      <c r="R29" s="38" t="e">
        <f t="shared" ca="1" si="13"/>
        <v>#REF!</v>
      </c>
      <c r="S29" s="38" t="e">
        <f t="shared" ca="1" si="13"/>
        <v>#REF!</v>
      </c>
      <c r="T29" s="38" t="e">
        <f t="shared" ca="1" si="13"/>
        <v>#REF!</v>
      </c>
      <c r="U29" s="38" t="e">
        <f t="shared" ca="1" si="13"/>
        <v>#REF!</v>
      </c>
      <c r="V29" s="38">
        <f t="shared" ca="1" si="13"/>
        <v>0</v>
      </c>
      <c r="W29" s="38">
        <f t="shared" ca="1" si="13"/>
        <v>0</v>
      </c>
      <c r="X29" s="38">
        <f t="shared" ca="1" si="13"/>
        <v>0</v>
      </c>
      <c r="Y29" s="38">
        <f t="shared" ca="1" si="13"/>
        <v>0</v>
      </c>
      <c r="Z29" s="38">
        <f t="shared" ca="1" si="13"/>
        <v>0</v>
      </c>
      <c r="AA29" s="38" t="e">
        <f ca="1">SUM(O29:Z29)</f>
        <v>#REF!</v>
      </c>
    </row>
    <row r="30" spans="1:27" s="23" customFormat="1" ht="15" x14ac:dyDescent="0.2">
      <c r="A30" s="33"/>
      <c r="B30" s="41" t="s">
        <v>77</v>
      </c>
      <c r="C30" s="111">
        <f>(IF($E$4=1,[2]FM_14_TP!$K30,IF($E$4=2,[2]FM_14_TP!$L30,IF($E$4=3,[2]FM_14_TP!$M30,IF($E$4=4,[2]FM_14_TP!$N30,IF($E$4=5,[2]FM_14_TP!$O30,IF($E$4=6,[2]FM_14_TP!$P30,IF($E$4=7,[2]FM_14_TP!$Q30,IF($E$4=8,[2]FM_14_TP!$R30,IF($E$4=9,[2]FM_14_TP!$S30,IF($E$4=10,[2]FM_14_TP!$T30,IF($E$4=11,[2]FM_14_TP!$U30,IF($E$4=12,[2]FM_14_TP!$V30)))))))))))))</f>
        <v>4627.4576271186443</v>
      </c>
      <c r="D30" s="111" t="e">
        <f>(IF($E$4=1,SUMIFS(#REF!,#REF!,$B$30),IF($E$4=2,SUMIFS(#REF!,#REF!,$B$30),IF($E$4=3,SUMIFS(#REF!,#REF!,$B$30),IF($E$4=4,SUMIFS(#REF!,#REF!,$B$30),IF($E$4=5,SUMIFS(#REF!,#REF!,$B$30),IF($E$4=6,SUMIFS(#REF!,#REF!, $B$30),IF($E$4=7, SUMIFS(#REF!,#REF!,$B$30),IF($E$4=8,SUMIFS(sales_08!I:I,sales_08!L:L,$B$30),IF($E$4=9,SUMIFS(sales_09!I:I, sales_09!L:L,$B$30),IF($E$4=10, SUMIFS(sales_10!I:I, sales_10!L:L,$B$30),IF($E$4=11, SUMIFS(sales_11!I:I,sales_11!L:L,$B$30),IF($E$4=12, SUMIFS(sales_12!I:I,sales_12!L:L,$B$30))))))))))))))/1000</f>
        <v>#REF!</v>
      </c>
      <c r="E30" s="107" t="e">
        <f>D30-C30</f>
        <v>#REF!</v>
      </c>
      <c r="F30" s="43"/>
      <c r="G30" s="42">
        <f>(IF($E$4=1,SUM([2]FM_14_TP!$K30),IF($E$4=2,SUM([2]FM_14_TP!$K30,[2]FM_14_TP!$L30),IF($E$4=3,SUM([2]FM_14_TP!$M30,[2]FM_14_TP!$L30,[2]FM_14_TP!$K30),IF($E$4=4,SUM([2]FM_14_TP!$N30,[2]FM_14_TP!$M30,[2]FM_14_TP!$L30,[2]FM_14_TP!$K30),IF($E$4=5,SUM([2]FM_14_TP!$O30,[2]FM_14_TP!$N30,[2]FM_14_TP!$M30,[2]FM_14_TP!$L30,[2]FM_14_TP!$K30),IF($E$4=6,SUM([2]FM_14_TP!$P30,[2]FM_14_TP!$O30,[2]FM_14_TP!$N30,[2]FM_14_TP!$M30,[2]FM_14_TP!$L30,[2]FM_14_TP!$K30),IF($E$4=7,SUM([2]FM_14_TP!$Q30,[2]FM_14_TP!$P30,[2]FM_14_TP!$O30,[2]FM_14_TP!$N30,[2]FM_14_TP!$M30,[2]FM_14_TP!$L30,[2]FM_14_TP!$K30),IF($E$4=8,SUM([2]FM_14_TP!$R30,[2]FM_14_TP!$Q30,[2]FM_14_TP!$P30,[2]FM_14_TP!$O30,[2]FM_14_TP!$N30,[2]FM_14_TP!$M30,[2]FM_14_TP!$M30,[2]FM_14_TP!$M30,[2]FM_14_TP!$L30,[2]FM_14_TP!$K30),IF($E$4=9,SUM([2]FM_14_TP!$S30,[2]FM_14_TP!$R30,[2]FM_14_TP!$Q30,[2]FM_14_TP!$P30,[2]FM_14_TP!$O30,[2]FM_14_TP!$N30,[2]FM_14_TP!$M30,[2]FM_14_TP!$L30,[2]FM_14_TP!$K30),IF($E$4=10,SUM([2]FM_14_TP!$T30,[2]FM_14_TP!$S30,[2]FM_14_TP!$R30,[2]FM_14_TP!$Q30,[2]FM_14_TP!$P30,[2]FM_14_TP!$O30,[2]FM_14_TP!$N30,[2]FM_14_TP!$M30,[2]FM_14_TP!$L30,[2]FM_14_TP!$K30),IF($E$4=11,SUM([2]FM_14_TP!$U30,[2]FM_14_TP!$T30,[2]FM_14_TP!$S30,[2]FM_14_TP!$R30,[2]FM_14_TP!$Q30,[2]FM_14_TP!$P30,[2]FM_14_TP!$O30,[2]FM_14_TP!$N30,[2]FM_14_TP!$M30,[2]FM_14_TP!$L30,[2]FM_14_TP!$K30),IF($E$4=12,SUM([2]FM_14_TP!$K30:$V30))))))))))))))</f>
        <v>37785.937889830508</v>
      </c>
      <c r="H30" s="42" t="e">
        <f t="shared" ca="1" si="2"/>
        <v>#REF!</v>
      </c>
      <c r="I30" s="107" t="e">
        <f ca="1">H30-G30</f>
        <v>#REF!</v>
      </c>
      <c r="J30" s="43"/>
      <c r="K30" s="43"/>
      <c r="L30" s="42">
        <f>[2]FM_14_TP!$W30</f>
        <v>64536.000025423738</v>
      </c>
      <c r="M30" s="43"/>
      <c r="N30" s="41" t="s">
        <v>77</v>
      </c>
      <c r="O30" s="42" t="e">
        <f ca="1">SUMIFS(INDIRECT("Sales_"&amp;TEXT(O$11,"ММ")&amp;"!$I:$I"),INDIRECT("Sales_"&amp;TEXT(O$11,"ММ")&amp;"!$L:$L"),$B30)/1000</f>
        <v>#REF!</v>
      </c>
      <c r="P30" s="42" t="e">
        <f t="shared" ref="P30:Z31" ca="1" si="14">SUMIFS(INDIRECT("Sales_"&amp;TEXT(P$11,"ММ")&amp;"!$I:$I"),INDIRECT("Sales_"&amp;TEXT(P$11,"ММ")&amp;"!$L:$L"),$B30)/1000</f>
        <v>#REF!</v>
      </c>
      <c r="Q30" s="42" t="e">
        <f t="shared" ca="1" si="14"/>
        <v>#REF!</v>
      </c>
      <c r="R30" s="42" t="e">
        <f t="shared" ca="1" si="14"/>
        <v>#REF!</v>
      </c>
      <c r="S30" s="42" t="e">
        <f t="shared" ca="1" si="14"/>
        <v>#REF!</v>
      </c>
      <c r="T30" s="42" t="e">
        <f t="shared" ca="1" si="14"/>
        <v>#REF!</v>
      </c>
      <c r="U30" s="42" t="e">
        <f t="shared" ca="1" si="14"/>
        <v>#REF!</v>
      </c>
      <c r="V30" s="42">
        <f t="shared" ca="1" si="14"/>
        <v>0</v>
      </c>
      <c r="W30" s="42">
        <f t="shared" ca="1" si="14"/>
        <v>0</v>
      </c>
      <c r="X30" s="42">
        <f t="shared" ca="1" si="14"/>
        <v>0</v>
      </c>
      <c r="Y30" s="42">
        <f t="shared" ca="1" si="14"/>
        <v>0</v>
      </c>
      <c r="Z30" s="42">
        <f t="shared" ca="1" si="14"/>
        <v>0</v>
      </c>
      <c r="AA30" s="43" t="e">
        <f ca="1">SUM(O30:Z30)</f>
        <v>#REF!</v>
      </c>
    </row>
    <row r="31" spans="1:27" s="23" customFormat="1" ht="15" x14ac:dyDescent="0.2">
      <c r="A31" s="33"/>
      <c r="B31" s="41" t="s">
        <v>78</v>
      </c>
      <c r="C31" s="111">
        <f>(IF($E$4=1,[2]FM_14_TP!$K31,IF($E$4=2,[2]FM_14_TP!$L31,IF($E$4=3,[2]FM_14_TP!$M31,IF($E$4=4,[2]FM_14_TP!$N31,IF($E$4=5,[2]FM_14_TP!$O31,IF($E$4=6,[2]FM_14_TP!$P31,IF($E$4=7,[2]FM_14_TP!$Q31,IF($E$4=8,[2]FM_14_TP!$R31,IF($E$4=9,[2]FM_14_TP!$S31,IF($E$4=10,[2]FM_14_TP!$T31,IF($E$4=11,[2]FM_14_TP!$U31,IF($E$4=12,[2]FM_14_TP!$V31)))))))))))))</f>
        <v>366.17859388241106</v>
      </c>
      <c r="D31" s="111" t="e">
        <f>(IF($E$4=1,SUMIFS(#REF!,#REF!,$B$31),IF($E$4=2,SUMIFS(#REF!,#REF!,$B$31),IF($E$4=3,SUMIFS(#REF!,#REF!,$B$31),IF($E$4=4,SUMIFS(#REF!,#REF!,$B$31),IF($E$4=5,SUMIFS(#REF!,#REF!,$B$31),IF($E$4=6,SUMIFS(#REF!,#REF!, $B$31),IF($E$4=7, SUMIFS(#REF!,#REF!,$B$31),IF($E$4=8,SUMIFS(sales_08!I:I,sales_08!L:L,$B$31),IF($E$4=9,SUMIFS(sales_09!I:I, sales_09!L:L,$B$31),IF($E$4=10, SUMIFS(sales_10!I:I, sales_10!L:L,$B$31),IF($E$4=11, SUMIFS(sales_11!I:I,sales_11!L:L,$B$31),IF($E$4=12, SUMIFS(sales_12!I:I,sales_12!L:L,$B$31))))))))))))))/1000</f>
        <v>#REF!</v>
      </c>
      <c r="E31" s="107" t="e">
        <f>D31-C31</f>
        <v>#REF!</v>
      </c>
      <c r="F31" s="43"/>
      <c r="G31" s="42">
        <f>(IF($E$4=1,SUM([2]FM_14_TP!$K31),IF($E$4=2,SUM([2]FM_14_TP!$K31,[2]FM_14_TP!$L31),IF($E$4=3,SUM([2]FM_14_TP!$M31,[2]FM_14_TP!$L31,[2]FM_14_TP!$K31),IF($E$4=4,SUM([2]FM_14_TP!$N31,[2]FM_14_TP!$M31,[2]FM_14_TP!$L31,[2]FM_14_TP!$K31),IF($E$4=5,SUM([2]FM_14_TP!$O31,[2]FM_14_TP!$N31,[2]FM_14_TP!$M31,[2]FM_14_TP!$L31,[2]FM_14_TP!$K31),IF($E$4=6,SUM([2]FM_14_TP!$P31,[2]FM_14_TP!$O31,[2]FM_14_TP!$N31,[2]FM_14_TP!$M31,[2]FM_14_TP!$L31,[2]FM_14_TP!$K31),IF($E$4=7,SUM([2]FM_14_TP!$Q31,[2]FM_14_TP!$P31,[2]FM_14_TP!$O31,[2]FM_14_TP!$N31,[2]FM_14_TP!$M31,[2]FM_14_TP!$L31,[2]FM_14_TP!$K31),IF($E$4=8,SUM([2]FM_14_TP!$R31,[2]FM_14_TP!$Q31,[2]FM_14_TP!$P31,[2]FM_14_TP!$O31,[2]FM_14_TP!$N31,[2]FM_14_TP!$M31,[2]FM_14_TP!$M31,[2]FM_14_TP!$M31,[2]FM_14_TP!$L31,[2]FM_14_TP!$K31),IF($E$4=9,SUM([2]FM_14_TP!$S31,[2]FM_14_TP!$R31,[2]FM_14_TP!$Q31,[2]FM_14_TP!$P31,[2]FM_14_TP!$O31,[2]FM_14_TP!$N31,[2]FM_14_TP!$M31,[2]FM_14_TP!$L31,[2]FM_14_TP!$K31),IF($E$4=10,SUM([2]FM_14_TP!$T31,[2]FM_14_TP!$S31,[2]FM_14_TP!$R31,[2]FM_14_TP!$Q31,[2]FM_14_TP!$P31,[2]FM_14_TP!$O31,[2]FM_14_TP!$N31,[2]FM_14_TP!$M31,[2]FM_14_TP!$L31,[2]FM_14_TP!$K31),IF($E$4=11,SUM([2]FM_14_TP!$U31,[2]FM_14_TP!$T31,[2]FM_14_TP!$S31,[2]FM_14_TP!$R31,[2]FM_14_TP!$Q31,[2]FM_14_TP!$P31,[2]FM_14_TP!$O31,[2]FM_14_TP!$N31,[2]FM_14_TP!$M31,[2]FM_14_TP!$L31,[2]FM_14_TP!$K31),IF($E$4=12,SUM([2]FM_14_TP!$K31:$V31))))))))))))))</f>
        <v>2228.9131801538069</v>
      </c>
      <c r="H31" s="42" t="e">
        <f t="shared" ca="1" si="2"/>
        <v>#REF!</v>
      </c>
      <c r="I31" s="107" t="e">
        <f ca="1">H31-G31</f>
        <v>#REF!</v>
      </c>
      <c r="J31" s="43"/>
      <c r="K31" s="43"/>
      <c r="L31" s="42">
        <f>[2]FM_14_TP!$W31</f>
        <v>3932.4396821285022</v>
      </c>
      <c r="M31" s="43"/>
      <c r="N31" s="41" t="s">
        <v>78</v>
      </c>
      <c r="O31" s="42" t="e">
        <f ca="1">SUMIFS(INDIRECT("Sales_"&amp;TEXT(O$11,"ММ")&amp;"!$I:$I"),INDIRECT("Sales_"&amp;TEXT(O$11,"ММ")&amp;"!$L:$L"),$B31)/1000</f>
        <v>#REF!</v>
      </c>
      <c r="P31" s="42" t="e">
        <f t="shared" ca="1" si="14"/>
        <v>#REF!</v>
      </c>
      <c r="Q31" s="42" t="e">
        <f t="shared" ca="1" si="14"/>
        <v>#REF!</v>
      </c>
      <c r="R31" s="42" t="e">
        <f t="shared" ca="1" si="14"/>
        <v>#REF!</v>
      </c>
      <c r="S31" s="42" t="e">
        <f t="shared" ca="1" si="14"/>
        <v>#REF!</v>
      </c>
      <c r="T31" s="42" t="e">
        <f t="shared" ca="1" si="14"/>
        <v>#REF!</v>
      </c>
      <c r="U31" s="42" t="e">
        <f t="shared" ca="1" si="14"/>
        <v>#REF!</v>
      </c>
      <c r="V31" s="42">
        <f t="shared" ca="1" si="14"/>
        <v>0</v>
      </c>
      <c r="W31" s="42">
        <f t="shared" ca="1" si="14"/>
        <v>0</v>
      </c>
      <c r="X31" s="42">
        <f t="shared" ca="1" si="14"/>
        <v>0</v>
      </c>
      <c r="Y31" s="42">
        <f t="shared" ca="1" si="14"/>
        <v>0</v>
      </c>
      <c r="Z31" s="42">
        <f t="shared" ca="1" si="14"/>
        <v>0</v>
      </c>
      <c r="AA31" s="43" t="e">
        <f ca="1">SUM(O31:Z31)</f>
        <v>#REF!</v>
      </c>
    </row>
    <row r="32" spans="1:27" s="23" customFormat="1" ht="15.75" x14ac:dyDescent="0.25">
      <c r="A32" s="33"/>
      <c r="B32" s="41"/>
      <c r="C32" s="112">
        <f>(IF($E$4=1,[2]FM_14_TP!$K32,IF($E$4=2,[2]FM_14_TP!$L32,IF($E$4=3,[2]FM_14_TP!$M32,IF($E$4=4,[2]FM_14_TP!$N32,IF($E$4=5,[2]FM_14_TP!$O32,IF($E$4=6,[2]FM_14_TP!$P32,IF($E$4=7,[2]FM_14_TP!$Q32,IF($E$4=8,[2]FM_14_TP!$R32,IF($E$4=9,[2]FM_14_TP!$S32,IF($E$4=10,[2]FM_14_TP!$T32,IF($E$4=11,[2]FM_14_TP!$U32,IF($E$4=12,[2]FM_14_TP!$V32)))))))))))))</f>
        <v>0</v>
      </c>
      <c r="D32" s="112"/>
      <c r="E32" s="112"/>
      <c r="F32" s="43"/>
      <c r="G32" s="43"/>
      <c r="H32" s="110"/>
      <c r="I32" s="112"/>
      <c r="J32" s="43"/>
      <c r="K32" s="43"/>
      <c r="L32" s="43"/>
      <c r="M32" s="43"/>
      <c r="N32" s="41"/>
      <c r="O32" s="43"/>
      <c r="P32" s="43"/>
      <c r="Q32" s="43"/>
      <c r="R32" s="43"/>
      <c r="S32" s="43"/>
      <c r="T32" s="112"/>
      <c r="U32" s="43"/>
      <c r="V32" s="43"/>
      <c r="W32" s="43"/>
      <c r="X32" s="43"/>
      <c r="Y32" s="43"/>
      <c r="Z32" s="43"/>
      <c r="AA32" s="43"/>
    </row>
    <row r="33" spans="1:27" s="48" customFormat="1" ht="15.75" x14ac:dyDescent="0.25">
      <c r="A33" s="36"/>
      <c r="B33" s="148" t="s">
        <v>79</v>
      </c>
      <c r="C33" s="148">
        <f>(IF($E$4=1,[2]FM_14_TP!$K33,IF($E$4=2,[2]FM_14_TP!$L33,IF($E$4=3,[2]FM_14_TP!$M33,IF($E$4=4,[2]FM_14_TP!$N33,IF($E$4=5,[2]FM_14_TP!$O33,IF($E$4=6,[2]FM_14_TP!$P33,IF($E$4=7,[2]FM_14_TP!$Q33,IF($E$4=8,[2]FM_14_TP!$R33,IF($E$4=9,[2]FM_14_TP!$S33,IF($E$4=10,[2]FM_14_TP!$T33,IF($E$4=11,[2]FM_14_TP!$U33,IF($E$4=12,[2]FM_14_TP!$V33)))))))))))))</f>
        <v>29503.71349953915</v>
      </c>
      <c r="D33" s="148" t="e">
        <f>SUM(D34:D36)</f>
        <v>#REF!</v>
      </c>
      <c r="E33" s="148" t="e">
        <f>D33-C33</f>
        <v>#REF!</v>
      </c>
      <c r="F33" s="148"/>
      <c r="G33" s="148">
        <f>SUM(G34:G36)</f>
        <v>179689.48993934662</v>
      </c>
      <c r="H33" s="148" t="e">
        <f ca="1">SUM(H34:H36)</f>
        <v>#REF!</v>
      </c>
      <c r="I33" s="148" t="e">
        <f ca="1">H33-G33</f>
        <v>#REF!</v>
      </c>
      <c r="J33" s="104">
        <f ca="1">(IFERROR(I33/G33,0))</f>
        <v>0</v>
      </c>
      <c r="K33" s="47"/>
      <c r="L33" s="46">
        <f>SUM(L34:L36)</f>
        <v>325964.26417707</v>
      </c>
      <c r="M33" s="38"/>
      <c r="N33" s="45" t="s">
        <v>79</v>
      </c>
      <c r="O33" s="46" t="e">
        <f ca="1">SUM(O34:O36)</f>
        <v>#REF!</v>
      </c>
      <c r="P33" s="46" t="e">
        <f t="shared" ref="P33:Z33" ca="1" si="15">SUM(P34:P36)</f>
        <v>#REF!</v>
      </c>
      <c r="Q33" s="46" t="e">
        <f t="shared" ca="1" si="15"/>
        <v>#REF!</v>
      </c>
      <c r="R33" s="46" t="e">
        <f t="shared" ca="1" si="15"/>
        <v>#REF!</v>
      </c>
      <c r="S33" s="46" t="e">
        <f t="shared" ca="1" si="15"/>
        <v>#REF!</v>
      </c>
      <c r="T33" s="46" t="e">
        <f t="shared" ca="1" si="15"/>
        <v>#REF!</v>
      </c>
      <c r="U33" s="46" t="e">
        <f t="shared" ca="1" si="15"/>
        <v>#REF!</v>
      </c>
      <c r="V33" s="46">
        <f t="shared" ca="1" si="15"/>
        <v>0</v>
      </c>
      <c r="W33" s="46">
        <f t="shared" ca="1" si="15"/>
        <v>0</v>
      </c>
      <c r="X33" s="46">
        <f t="shared" ca="1" si="15"/>
        <v>0</v>
      </c>
      <c r="Y33" s="46">
        <f t="shared" ca="1" si="15"/>
        <v>0</v>
      </c>
      <c r="Z33" s="46">
        <f t="shared" ca="1" si="15"/>
        <v>0</v>
      </c>
      <c r="AA33" s="46" t="e">
        <f ca="1">SUM(O33:Z33)</f>
        <v>#REF!</v>
      </c>
    </row>
    <row r="34" spans="1:27" s="23" customFormat="1" ht="15.75" x14ac:dyDescent="0.25">
      <c r="A34" s="33"/>
      <c r="B34" s="41" t="s">
        <v>18</v>
      </c>
      <c r="C34" s="107">
        <f>(IF($E$4=1,[2]FM_14_TP!$K34,IF($E$4=2,[2]FM_14_TP!$L34,IF($E$4=3,[2]FM_14_TP!$M34,IF($E$4=4,[2]FM_14_TP!$N34,IF($E$4=5,[2]FM_14_TP!$O34,IF($E$4=6,[2]FM_14_TP!$P34,IF($E$4=7,[2]FM_14_TP!$Q34,IF($E$4=8,[2]FM_14_TP!$R34,IF($E$4=9,[2]FM_14_TP!$S34,IF($E$4=10,[2]FM_14_TP!$T34,IF($E$4=11,[2]FM_14_TP!$U34,IF($E$4=12,[2]FM_14_TP!$V34)))))))))))))</f>
        <v>24510.077278538094</v>
      </c>
      <c r="D34" s="107" t="e">
        <f>SUM(D14,D18,D22,D26)</f>
        <v>#REF!</v>
      </c>
      <c r="E34" s="107" t="e">
        <f>D34-C34</f>
        <v>#REF!</v>
      </c>
      <c r="F34" s="43"/>
      <c r="G34" s="43">
        <f>SUM(G14,G18,G22,G26)</f>
        <v>139674.6388693623</v>
      </c>
      <c r="H34" s="110" t="e">
        <f ca="1">SUM(H14,H18,H22,H26)</f>
        <v>#REF!</v>
      </c>
      <c r="I34" s="107" t="e">
        <f ca="1">H34-G34</f>
        <v>#REF!</v>
      </c>
      <c r="J34" s="43"/>
      <c r="K34" s="43"/>
      <c r="L34" s="43">
        <f>SUM(L14,L18,L22,L26)</f>
        <v>257495.82446951774</v>
      </c>
      <c r="M34" s="43"/>
      <c r="N34" s="41" t="s">
        <v>18</v>
      </c>
      <c r="O34" s="43" t="e">
        <f ca="1">SUM(O14,O18,O22,O26)</f>
        <v>#REF!</v>
      </c>
      <c r="P34" s="43" t="e">
        <f t="shared" ref="P34:Z34" ca="1" si="16">SUM(P14,P18,P22,P26)</f>
        <v>#REF!</v>
      </c>
      <c r="Q34" s="43" t="e">
        <f t="shared" ca="1" si="16"/>
        <v>#REF!</v>
      </c>
      <c r="R34" s="43" t="e">
        <f t="shared" ca="1" si="16"/>
        <v>#REF!</v>
      </c>
      <c r="S34" s="43" t="e">
        <f t="shared" ca="1" si="16"/>
        <v>#REF!</v>
      </c>
      <c r="T34" s="43" t="e">
        <f t="shared" ca="1" si="16"/>
        <v>#REF!</v>
      </c>
      <c r="U34" s="43" t="e">
        <f t="shared" ca="1" si="16"/>
        <v>#REF!</v>
      </c>
      <c r="V34" s="43">
        <f t="shared" ca="1" si="16"/>
        <v>0</v>
      </c>
      <c r="W34" s="43">
        <f t="shared" ca="1" si="16"/>
        <v>0</v>
      </c>
      <c r="X34" s="43">
        <f t="shared" ca="1" si="16"/>
        <v>0</v>
      </c>
      <c r="Y34" s="43">
        <f t="shared" ca="1" si="16"/>
        <v>0</v>
      </c>
      <c r="Z34" s="43">
        <f t="shared" ca="1" si="16"/>
        <v>0</v>
      </c>
      <c r="AA34" s="43" t="e">
        <f ca="1">SUM(O34:Z34)</f>
        <v>#REF!</v>
      </c>
    </row>
    <row r="35" spans="1:27" s="23" customFormat="1" ht="15.75" x14ac:dyDescent="0.25">
      <c r="A35" s="33"/>
      <c r="B35" s="41" t="s">
        <v>72</v>
      </c>
      <c r="C35" s="107">
        <f>(IF($E$4=1,[2]FM_14_TP!$K35,IF($E$4=2,[2]FM_14_TP!$L35,IF($E$4=3,[2]FM_14_TP!$M35,IF($E$4=4,[2]FM_14_TP!$N35,IF($E$4=5,[2]FM_14_TP!$O35,IF($E$4=6,[2]FM_14_TP!$P35,IF($E$4=7,[2]FM_14_TP!$Q35,IF($E$4=8,[2]FM_14_TP!$R35,IF($E$4=9,[2]FM_14_TP!$S35,IF($E$4=10,[2]FM_14_TP!$T35,IF($E$4=11,[2]FM_14_TP!$U35,IF($E$4=12,[2]FM_14_TP!$V35)))))))))))))</f>
        <v>0</v>
      </c>
      <c r="D35" s="107" t="e">
        <f>SUM(D15,D19,D23,D27)</f>
        <v>#REF!</v>
      </c>
      <c r="E35" s="107" t="e">
        <f>D35-C35</f>
        <v>#REF!</v>
      </c>
      <c r="F35" s="43"/>
      <c r="G35" s="43">
        <f>SUM(G15,G19,G23,G27)</f>
        <v>0</v>
      </c>
      <c r="H35" s="110" t="e">
        <f ca="1">SUM(H15,H19,H23,H27)</f>
        <v>#REF!</v>
      </c>
      <c r="I35" s="107" t="e">
        <f ca="1">H35-G35</f>
        <v>#REF!</v>
      </c>
      <c r="J35" s="43"/>
      <c r="K35" s="43"/>
      <c r="L35" s="43">
        <f>SUM(L15,L19,L23,L27)</f>
        <v>0</v>
      </c>
      <c r="M35" s="43"/>
      <c r="N35" s="41" t="s">
        <v>72</v>
      </c>
      <c r="O35" s="43" t="e">
        <f ca="1">SUM(O15,O19,O23,O27)</f>
        <v>#REF!</v>
      </c>
      <c r="P35" s="43" t="e">
        <f t="shared" ref="P35:Z35" ca="1" si="17">SUM(P15,P19,P23,P27)</f>
        <v>#REF!</v>
      </c>
      <c r="Q35" s="43" t="e">
        <f t="shared" ca="1" si="17"/>
        <v>#REF!</v>
      </c>
      <c r="R35" s="43" t="e">
        <f t="shared" ca="1" si="17"/>
        <v>#REF!</v>
      </c>
      <c r="S35" s="43" t="e">
        <f t="shared" ca="1" si="17"/>
        <v>#REF!</v>
      </c>
      <c r="T35" s="43" t="e">
        <f t="shared" ca="1" si="17"/>
        <v>#REF!</v>
      </c>
      <c r="U35" s="43" t="e">
        <f t="shared" ca="1" si="17"/>
        <v>#REF!</v>
      </c>
      <c r="V35" s="43">
        <f t="shared" ca="1" si="17"/>
        <v>0</v>
      </c>
      <c r="W35" s="43">
        <f t="shared" ca="1" si="17"/>
        <v>0</v>
      </c>
      <c r="X35" s="43">
        <f t="shared" ca="1" si="17"/>
        <v>0</v>
      </c>
      <c r="Y35" s="43">
        <f t="shared" ca="1" si="17"/>
        <v>0</v>
      </c>
      <c r="Z35" s="43">
        <f t="shared" ca="1" si="17"/>
        <v>0</v>
      </c>
      <c r="AA35" s="43" t="e">
        <f ca="1">SUM(O35:Z35)</f>
        <v>#REF!</v>
      </c>
    </row>
    <row r="36" spans="1:27" s="23" customFormat="1" ht="15.75" x14ac:dyDescent="0.25">
      <c r="A36" s="33"/>
      <c r="B36" s="41" t="s">
        <v>76</v>
      </c>
      <c r="C36" s="107">
        <f>(IF($E$4=1,[2]FM_14_TP!$K36,IF($E$4=2,[2]FM_14_TP!$L36,IF($E$4=3,[2]FM_14_TP!$M36,IF($E$4=4,[2]FM_14_TP!$N36,IF($E$4=5,[2]FM_14_TP!$O36,IF($E$4=6,[2]FM_14_TP!$P36,IF($E$4=7,[2]FM_14_TP!$Q36,IF($E$4=8,[2]FM_14_TP!$R36,IF($E$4=9,[2]FM_14_TP!$S36,IF($E$4=10,[2]FM_14_TP!$T36,IF($E$4=11,[2]FM_14_TP!$U36,IF($E$4=12,[2]FM_14_TP!$V36)))))))))))))</f>
        <v>4993.6362210010557</v>
      </c>
      <c r="D36" s="107" t="e">
        <f>D29</f>
        <v>#REF!</v>
      </c>
      <c r="E36" s="107" t="e">
        <f>D36-C36</f>
        <v>#REF!</v>
      </c>
      <c r="F36" s="43"/>
      <c r="G36" s="43">
        <f>G29</f>
        <v>40014.851069984317</v>
      </c>
      <c r="H36" s="110" t="e">
        <f ca="1">H29</f>
        <v>#REF!</v>
      </c>
      <c r="I36" s="107" t="e">
        <f ca="1">H36-G36</f>
        <v>#REF!</v>
      </c>
      <c r="J36" s="43"/>
      <c r="K36" s="43"/>
      <c r="L36" s="43">
        <f>L29</f>
        <v>68468.439707552243</v>
      </c>
      <c r="M36" s="43"/>
      <c r="N36" s="41" t="s">
        <v>76</v>
      </c>
      <c r="O36" s="43" t="e">
        <f ca="1">O29</f>
        <v>#REF!</v>
      </c>
      <c r="P36" s="43" t="e">
        <f t="shared" ref="P36:Z36" ca="1" si="18">P29</f>
        <v>#REF!</v>
      </c>
      <c r="Q36" s="43" t="e">
        <f t="shared" ca="1" si="18"/>
        <v>#REF!</v>
      </c>
      <c r="R36" s="43" t="e">
        <f t="shared" ca="1" si="18"/>
        <v>#REF!</v>
      </c>
      <c r="S36" s="43" t="e">
        <f t="shared" ca="1" si="18"/>
        <v>#REF!</v>
      </c>
      <c r="T36" s="43" t="e">
        <f t="shared" ca="1" si="18"/>
        <v>#REF!</v>
      </c>
      <c r="U36" s="43" t="e">
        <f t="shared" ca="1" si="18"/>
        <v>#REF!</v>
      </c>
      <c r="V36" s="43">
        <f t="shared" ca="1" si="18"/>
        <v>0</v>
      </c>
      <c r="W36" s="43">
        <f t="shared" ca="1" si="18"/>
        <v>0</v>
      </c>
      <c r="X36" s="43">
        <f t="shared" ca="1" si="18"/>
        <v>0</v>
      </c>
      <c r="Y36" s="43">
        <f t="shared" ca="1" si="18"/>
        <v>0</v>
      </c>
      <c r="Z36" s="43">
        <f t="shared" ca="1" si="18"/>
        <v>0</v>
      </c>
      <c r="AA36" s="43" t="e">
        <f ca="1">SUM(O36:Z36)</f>
        <v>#REF!</v>
      </c>
    </row>
    <row r="37" spans="1:27" s="23" customFormat="1" ht="15" x14ac:dyDescent="0.2">
      <c r="A37" s="33"/>
      <c r="B37" s="41"/>
      <c r="C37" s="112">
        <f>(IF($E$4=1,[2]FM_14_TP!$K37,IF($E$4=2,[2]FM_14_TP!$L37,IF($E$4=3,[2]FM_14_TP!$M37,IF($E$4=4,[2]FM_14_TP!$N37,IF($E$4=5,[2]FM_14_TP!$O37,IF($E$4=6,[2]FM_14_TP!$P37,IF($E$4=7,[2]FM_14_TP!$Q37,IF($E$4=8,[2]FM_14_TP!$R37,IF($E$4=9,[2]FM_14_TP!$S37,IF($E$4=10,[2]FM_14_TP!$T37,IF($E$4=11,[2]FM_14_TP!$U37,IF($E$4=12,[2]FM_14_TP!$V37)))))))))))))</f>
        <v>0</v>
      </c>
      <c r="D37" s="112"/>
      <c r="E37" s="112"/>
      <c r="F37" s="43"/>
      <c r="G37" s="43"/>
      <c r="H37" s="112"/>
      <c r="I37" s="112"/>
      <c r="J37" s="43"/>
      <c r="K37" s="43"/>
      <c r="L37" s="43"/>
      <c r="M37" s="43"/>
      <c r="N37" s="41"/>
      <c r="O37" s="43"/>
      <c r="P37" s="43"/>
      <c r="Q37" s="43"/>
      <c r="R37" s="43"/>
      <c r="S37" s="43"/>
      <c r="T37" s="109"/>
      <c r="U37" s="43"/>
      <c r="V37" s="43"/>
      <c r="W37" s="43"/>
      <c r="X37" s="43"/>
      <c r="Y37" s="43"/>
      <c r="Z37" s="43"/>
      <c r="AA37" s="43"/>
    </row>
    <row r="38" spans="1:27" s="48" customFormat="1" ht="15.75" x14ac:dyDescent="0.25">
      <c r="A38" s="36"/>
      <c r="B38" s="45" t="s">
        <v>80</v>
      </c>
      <c r="C38" s="108">
        <f>(IF($E$4=1,[2]FM_14_TP!$K38,IF($E$4=2,[2]FM_14_TP!$L38,IF($E$4=3,[2]FM_14_TP!$M38,IF($E$4=4,[2]FM_14_TP!$N38,IF($E$4=5,[2]FM_14_TP!$O38,IF($E$4=6,[2]FM_14_TP!$P38,IF($E$4=7,[2]FM_14_TP!$Q38,IF($E$4=8,[2]FM_14_TP!$R38,IF($E$4=9,[2]FM_14_TP!$S38,IF($E$4=10,[2]FM_14_TP!$T38,IF($E$4=11,[2]FM_14_TP!$U38,IF($E$4=12,[2]FM_14_TP!$V38)))))))))))))</f>
        <v>18332.086846475588</v>
      </c>
      <c r="D38" s="108" t="e">
        <f>(IF(E4=1,PL14_TP!#REF!,IF(E4=2,PL14_TP!#REF!,IF(E4=3,PL14_TP!#REF!,IF(E4=4,PL14_TP!#REF!,IF(E4=5,PL14_TP!#REF!,IF(E4=6,PL14_TP!#REF!,IF(E4=7,PL14_TP!#REF!,IF(E4=8,PL14_TP!#REF!,IF(E4=9,PL14_TP!#REF!,IF(E4=10,PL14_TP!#REF!,IF(E4=11,PL14_TP!#REF!,IF(E4=12,PL14_TP!#REF!)))))))))))))/1000</f>
        <v>#REF!</v>
      </c>
      <c r="E38" s="108" t="e">
        <f>D38-C38</f>
        <v>#REF!</v>
      </c>
      <c r="F38" s="47"/>
      <c r="G38" s="149">
        <f>(IF($E$4=1,SUM([2]FM_14_TP!$K38),IF($E$4=2,SUM([2]FM_14_TP!$K38,[2]FM_14_TP!$L38),IF($E$4=3,SUM([2]FM_14_TP!$M38,[2]FM_14_TP!$L38,[2]FM_14_TP!$K38),IF($E$4=4,SUM([2]FM_14_TP!$N38,[2]FM_14_TP!$M38,[2]FM_14_TP!$L38,[2]FM_14_TP!$K38),IF($E$4=5,SUM([2]FM_14_TP!$O38,[2]FM_14_TP!$N38,[2]FM_14_TP!$M38,[2]FM_14_TP!$L38,[2]FM_14_TP!$K38),IF($E$4=6,SUM([2]FM_14_TP!$P38,[2]FM_14_TP!$O38,[2]FM_14_TP!$N38,[2]FM_14_TP!$M38,[2]FM_14_TP!$L38,[2]FM_14_TP!$K38),IF($E$4=7,SUM([2]FM_14_TP!$Q38,[2]FM_14_TP!$P38,[2]FM_14_TP!$O38,[2]FM_14_TP!$N38,[2]FM_14_TP!$M38,[2]FM_14_TP!$L38,[2]FM_14_TP!$K38),IF($E$4=8,SUM([2]FM_14_TP!$R38,[2]FM_14_TP!$Q38,[2]FM_14_TP!$P38,[2]FM_14_TP!$O38,[2]FM_14_TP!$N38,[2]FM_14_TP!$M38,[2]FM_14_TP!$M38,[2]FM_14_TP!$M38,[2]FM_14_TP!$L38,[2]FM_14_TP!$K38),IF($E$4=9,SUM([2]FM_14_TP!$S38,[2]FM_14_TP!$R38,[2]FM_14_TP!$Q38,[2]FM_14_TP!$P38,[2]FM_14_TP!$O38,[2]FM_14_TP!$N38,[2]FM_14_TP!$M38,[2]FM_14_TP!$L38,[2]FM_14_TP!$K38),IF($E$4=10,SUM([2]FM_14_TP!$T38,[2]FM_14_TP!$S38,[2]FM_14_TP!$R38,[2]FM_14_TP!$Q38,[2]FM_14_TP!$P38,[2]FM_14_TP!$O38,[2]FM_14_TP!$N38,[2]FM_14_TP!$M38,[2]FM_14_TP!$L38,[2]FM_14_TP!$K38),IF($E$4=11,SUM([2]FM_14_TP!$U38,[2]FM_14_TP!$T38,[2]FM_14_TP!$S38,[2]FM_14_TP!$R38,[2]FM_14_TP!$Q38,[2]FM_14_TP!$P38,[2]FM_14_TP!$O38,[2]FM_14_TP!$N38,[2]FM_14_TP!$M38,[2]FM_14_TP!$L38,[2]FM_14_TP!$K38),IF($E$4=12,SUM([2]FM_14_TP!$K38:$V38))))))))))))))</f>
        <v>172723.52812938142</v>
      </c>
      <c r="H38" s="46" t="e">
        <f>AA38</f>
        <v>#REF!</v>
      </c>
      <c r="I38" s="113" t="e">
        <f>H38-G38</f>
        <v>#REF!</v>
      </c>
      <c r="J38" s="47">
        <f>IFERROR(I38/G38,0)</f>
        <v>0</v>
      </c>
      <c r="K38" s="47"/>
      <c r="L38" s="46">
        <f>[2]FM_14_TP!$W38</f>
        <v>306668.02437863091</v>
      </c>
      <c r="M38" s="38"/>
      <c r="N38" s="45" t="s">
        <v>80</v>
      </c>
      <c r="O38" s="46" t="e">
        <f>PL14_TP!#REF!/1000</f>
        <v>#REF!</v>
      </c>
      <c r="P38" s="46" t="e">
        <f>PL14_TP!#REF!/FM_07_TP!$O$8</f>
        <v>#REF!</v>
      </c>
      <c r="Q38" s="46" t="e">
        <f>PL14_TP!#REF!/FM_07_TP!$O$8</f>
        <v>#REF!</v>
      </c>
      <c r="R38" s="46" t="e">
        <f>PL14_TP!#REF!/FM_07_TP!$O$8</f>
        <v>#REF!</v>
      </c>
      <c r="S38" s="46" t="e">
        <f>PL14_TP!#REF!/FM_07_TP!$O$8</f>
        <v>#REF!</v>
      </c>
      <c r="T38" s="46" t="e">
        <f>PL14_TP!#REF!/FM_07_TP!$O$8</f>
        <v>#REF!</v>
      </c>
      <c r="U38" s="46" t="e">
        <f>PL14_TP!#REF!/FM_07_TP!$O$8</f>
        <v>#REF!</v>
      </c>
      <c r="V38" s="46" t="e">
        <f>PL14_TP!#REF!/FM_07_TP!$O$8</f>
        <v>#REF!</v>
      </c>
      <c r="W38" s="46" t="e">
        <f>PL14_TP!#REF!/FM_07_TP!$O$8</f>
        <v>#REF!</v>
      </c>
      <c r="X38" s="46" t="e">
        <f>PL14_TP!#REF!/FM_07_TP!$O$8</f>
        <v>#REF!</v>
      </c>
      <c r="Y38" s="46" t="e">
        <f>PL14_TP!#REF!/FM_07_TP!$O$8</f>
        <v>#REF!</v>
      </c>
      <c r="Z38" s="46" t="e">
        <f>PL14_TP!#REF!/FM_07_TP!$O$8</f>
        <v>#REF!</v>
      </c>
      <c r="AA38" s="46" t="e">
        <f>SUM(O38:Z38)</f>
        <v>#REF!</v>
      </c>
    </row>
    <row r="39" spans="1:27" s="23" customFormat="1" ht="15.75" thickBot="1" x14ac:dyDescent="0.25"/>
    <row r="40" spans="1:27" s="32" customFormat="1" ht="15.75" x14ac:dyDescent="0.2">
      <c r="A40" s="62" t="s">
        <v>108</v>
      </c>
      <c r="B40" s="62"/>
      <c r="C40" s="63" t="s">
        <v>4</v>
      </c>
      <c r="D40" s="63" t="s">
        <v>5</v>
      </c>
      <c r="E40" s="63" t="s">
        <v>6</v>
      </c>
      <c r="F40" s="63"/>
      <c r="G40" s="63" t="s">
        <v>124</v>
      </c>
      <c r="H40" s="63" t="s">
        <v>123</v>
      </c>
      <c r="I40" s="63" t="s">
        <v>6</v>
      </c>
      <c r="J40" s="63"/>
      <c r="K40" s="63"/>
      <c r="L40" s="63" t="s">
        <v>126</v>
      </c>
      <c r="M40" s="62" t="s">
        <v>108</v>
      </c>
      <c r="N40" s="62"/>
      <c r="O40" s="63" t="s">
        <v>61</v>
      </c>
      <c r="P40" s="63" t="s">
        <v>62</v>
      </c>
      <c r="Q40" s="63" t="s">
        <v>63</v>
      </c>
      <c r="R40" s="63" t="s">
        <v>64</v>
      </c>
      <c r="S40" s="63" t="s">
        <v>54</v>
      </c>
      <c r="T40" s="63" t="s">
        <v>65</v>
      </c>
      <c r="U40" s="63" t="s">
        <v>66</v>
      </c>
      <c r="V40" s="63" t="s">
        <v>67</v>
      </c>
      <c r="W40" s="63" t="s">
        <v>68</v>
      </c>
      <c r="X40" s="63" t="s">
        <v>69</v>
      </c>
      <c r="Y40" s="63" t="s">
        <v>122</v>
      </c>
      <c r="Z40" s="63" t="s">
        <v>70</v>
      </c>
      <c r="AA40" s="63" t="s">
        <v>17</v>
      </c>
    </row>
    <row r="41" spans="1:27" s="23" customFormat="1" ht="15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s="53" customFormat="1" ht="15.75" x14ac:dyDescent="0.25">
      <c r="A42" s="52"/>
      <c r="B42" s="64" t="s">
        <v>109</v>
      </c>
      <c r="C42" s="65"/>
      <c r="D42" s="129">
        <f>SUM(D43:D46)+D48</f>
        <v>124165.05124999997</v>
      </c>
      <c r="E42" s="65"/>
      <c r="F42" s="66"/>
      <c r="G42" s="65"/>
      <c r="H42" s="65"/>
      <c r="I42" s="65"/>
      <c r="J42" s="66"/>
      <c r="K42" s="66"/>
      <c r="L42" s="65"/>
      <c r="M42" s="65"/>
      <c r="N42" s="64" t="s">
        <v>109</v>
      </c>
      <c r="O42" s="65">
        <f>SUM(O43:O46)+O48</f>
        <v>135612.16874999998</v>
      </c>
      <c r="P42" s="65">
        <f t="shared" ref="P42:Z42" si="19">SUM(P43:P46)+P48</f>
        <v>149180.84914000001</v>
      </c>
      <c r="Q42" s="65">
        <f>SUM(Q43:Q46)+Q48</f>
        <v>151344.89694000001</v>
      </c>
      <c r="R42" s="65">
        <f>SUM(R43:R46)+R48</f>
        <v>143774.20606846386</v>
      </c>
      <c r="S42" s="65">
        <f>SUM(S43:S46)+S48</f>
        <v>135358.95642999999</v>
      </c>
      <c r="T42" s="65">
        <v>133261.88059999997</v>
      </c>
      <c r="U42" s="65">
        <v>124165.05124999997</v>
      </c>
      <c r="V42" s="65">
        <f t="shared" si="19"/>
        <v>0</v>
      </c>
      <c r="W42" s="65">
        <f t="shared" si="19"/>
        <v>0</v>
      </c>
      <c r="X42" s="65">
        <f t="shared" si="19"/>
        <v>0</v>
      </c>
      <c r="Y42" s="65">
        <f t="shared" si="19"/>
        <v>0</v>
      </c>
      <c r="Z42" s="65">
        <f t="shared" si="19"/>
        <v>0</v>
      </c>
      <c r="AA42" s="65"/>
    </row>
    <row r="43" spans="1:27" s="29" customFormat="1" ht="15" x14ac:dyDescent="0.2">
      <c r="A43" s="51"/>
      <c r="B43" s="73" t="s">
        <v>110</v>
      </c>
      <c r="C43" s="68"/>
      <c r="D43" s="42">
        <v>4502.9903199999799</v>
      </c>
      <c r="E43" s="68"/>
      <c r="F43" s="69"/>
      <c r="G43" s="68"/>
      <c r="H43" s="68"/>
      <c r="I43" s="68"/>
      <c r="J43" s="69"/>
      <c r="K43" s="69"/>
      <c r="L43" s="68"/>
      <c r="M43" s="68"/>
      <c r="N43" s="73" t="s">
        <v>110</v>
      </c>
      <c r="O43" s="67">
        <v>4520.5473600000005</v>
      </c>
      <c r="P43" s="67">
        <v>6109.2274000000025</v>
      </c>
      <c r="Q43" s="67">
        <v>2786.9778700000047</v>
      </c>
      <c r="R43" s="67">
        <v>3505.9182600000054</v>
      </c>
      <c r="S43" s="67">
        <v>3724.2896300000029</v>
      </c>
      <c r="T43" s="67">
        <v>4502.9903199999799</v>
      </c>
      <c r="U43" s="67">
        <v>4502.9903199999799</v>
      </c>
      <c r="V43" s="67"/>
      <c r="W43" s="67"/>
      <c r="X43" s="67"/>
      <c r="Y43" s="67"/>
      <c r="Z43" s="67"/>
      <c r="AA43" s="68"/>
    </row>
    <row r="44" spans="1:27" s="29" customFormat="1" ht="15" x14ac:dyDescent="0.2">
      <c r="A44" s="51"/>
      <c r="B44" s="73" t="s">
        <v>111</v>
      </c>
      <c r="C44" s="68"/>
      <c r="D44" s="42">
        <v>58791.45551</v>
      </c>
      <c r="E44" s="68"/>
      <c r="F44" s="69"/>
      <c r="G44" s="68"/>
      <c r="H44" s="68"/>
      <c r="I44" s="68"/>
      <c r="J44" s="69"/>
      <c r="K44" s="69"/>
      <c r="L44" s="68"/>
      <c r="M44" s="68"/>
      <c r="N44" s="73" t="s">
        <v>111</v>
      </c>
      <c r="O44" s="67">
        <v>57899.637549999999</v>
      </c>
      <c r="P44" s="67">
        <v>60945.235509999999</v>
      </c>
      <c r="Q44" s="67">
        <v>61857.207409999995</v>
      </c>
      <c r="R44" s="67">
        <v>61751.168030000001</v>
      </c>
      <c r="S44" s="67">
        <v>63911.548219999997</v>
      </c>
      <c r="T44" s="67">
        <v>64997.919070000004</v>
      </c>
      <c r="U44" s="114">
        <v>58791.45551</v>
      </c>
      <c r="V44" s="67"/>
      <c r="W44" s="67"/>
      <c r="X44" s="67"/>
      <c r="Y44" s="67"/>
      <c r="Z44" s="67"/>
      <c r="AA44" s="68"/>
    </row>
    <row r="45" spans="1:27" s="29" customFormat="1" ht="15" x14ac:dyDescent="0.2">
      <c r="A45" s="51"/>
      <c r="B45" s="73" t="s">
        <v>112</v>
      </c>
      <c r="C45" s="68"/>
      <c r="D45" s="42">
        <v>20549.42742</v>
      </c>
      <c r="E45" s="68"/>
      <c r="F45" s="69"/>
      <c r="G45" s="68"/>
      <c r="H45" s="68"/>
      <c r="I45" s="68"/>
      <c r="J45" s="69"/>
      <c r="K45" s="69"/>
      <c r="L45" s="68"/>
      <c r="M45" s="68"/>
      <c r="N45" s="73" t="s">
        <v>112</v>
      </c>
      <c r="O45" s="67">
        <v>24502.004559999994</v>
      </c>
      <c r="P45" s="67">
        <v>31174.093540000002</v>
      </c>
      <c r="Q45" s="67">
        <v>32066.857780000002</v>
      </c>
      <c r="R45" s="67">
        <v>23377.045209999997</v>
      </c>
      <c r="S45" s="67">
        <v>23653.859420000001</v>
      </c>
      <c r="T45" s="67">
        <v>22720.930780000002</v>
      </c>
      <c r="U45" s="67">
        <v>20549.42742</v>
      </c>
      <c r="V45" s="67"/>
      <c r="W45" s="67"/>
      <c r="X45" s="67"/>
      <c r="Y45" s="67"/>
      <c r="Z45" s="67"/>
      <c r="AA45" s="68"/>
    </row>
    <row r="46" spans="1:27" s="29" customFormat="1" ht="15" x14ac:dyDescent="0.2">
      <c r="A46" s="51"/>
      <c r="B46" s="73" t="s">
        <v>113</v>
      </c>
      <c r="C46" s="68"/>
      <c r="D46" s="42">
        <v>40321.178</v>
      </c>
      <c r="E46" s="68"/>
      <c r="F46" s="69"/>
      <c r="G46" s="68"/>
      <c r="H46" s="68"/>
      <c r="I46" s="68"/>
      <c r="J46" s="69"/>
      <c r="K46" s="69"/>
      <c r="L46" s="68"/>
      <c r="M46" s="68"/>
      <c r="N46" s="73" t="s">
        <v>113</v>
      </c>
      <c r="O46" s="67">
        <v>48689.97928</v>
      </c>
      <c r="P46" s="67">
        <v>50952.292690000002</v>
      </c>
      <c r="Q46" s="67">
        <v>54633.853880000002</v>
      </c>
      <c r="R46" s="67">
        <v>55140.074568463853</v>
      </c>
      <c r="S46" s="67">
        <v>44069.259159999994</v>
      </c>
      <c r="T46" s="67">
        <v>41040.040430000008</v>
      </c>
      <c r="U46" s="67">
        <v>40321.178</v>
      </c>
      <c r="V46" s="67"/>
      <c r="W46" s="67"/>
      <c r="X46" s="67"/>
      <c r="Y46" s="67"/>
      <c r="Z46" s="67"/>
      <c r="AA46" s="68"/>
    </row>
    <row r="47" spans="1:27" s="54" customFormat="1" ht="15" x14ac:dyDescent="0.2">
      <c r="A47" s="74"/>
      <c r="B47" s="75" t="s">
        <v>114</v>
      </c>
      <c r="C47" s="76"/>
      <c r="D47" s="166">
        <f>IFERROR(D46/D$33,0)</f>
        <v>0</v>
      </c>
      <c r="E47" s="76"/>
      <c r="F47" s="76"/>
      <c r="G47" s="76"/>
      <c r="H47" s="76"/>
      <c r="I47" s="76"/>
      <c r="J47" s="76"/>
      <c r="K47" s="76"/>
      <c r="L47" s="76"/>
      <c r="M47" s="76"/>
      <c r="N47" s="75" t="s">
        <v>114</v>
      </c>
      <c r="O47" s="76">
        <f t="shared" ref="O47:Z47" ca="1" si="20">IFERROR(O46/O$33,0)</f>
        <v>0</v>
      </c>
      <c r="P47" s="76">
        <f t="shared" ca="1" si="20"/>
        <v>0</v>
      </c>
      <c r="Q47" s="76">
        <f t="shared" ca="1" si="20"/>
        <v>0</v>
      </c>
      <c r="R47" s="76">
        <f t="shared" ca="1" si="20"/>
        <v>0</v>
      </c>
      <c r="S47" s="76">
        <f t="shared" ca="1" si="20"/>
        <v>0</v>
      </c>
      <c r="T47" s="76">
        <v>2.0603132396055694</v>
      </c>
      <c r="U47" s="76">
        <v>2.0847021999586692</v>
      </c>
      <c r="V47" s="76">
        <f t="shared" ca="1" si="20"/>
        <v>0</v>
      </c>
      <c r="W47" s="76">
        <f t="shared" ca="1" si="20"/>
        <v>0</v>
      </c>
      <c r="X47" s="76">
        <f t="shared" ca="1" si="20"/>
        <v>0</v>
      </c>
      <c r="Y47" s="76">
        <f t="shared" ca="1" si="20"/>
        <v>0</v>
      </c>
      <c r="Z47" s="76">
        <f t="shared" ca="1" si="20"/>
        <v>0</v>
      </c>
      <c r="AA47" s="76"/>
    </row>
    <row r="48" spans="1:27" s="29" customFormat="1" ht="15" x14ac:dyDescent="0.2">
      <c r="A48" s="51"/>
      <c r="B48" s="73" t="s">
        <v>115</v>
      </c>
      <c r="C48" s="68"/>
      <c r="D48" s="42"/>
      <c r="E48" s="68"/>
      <c r="F48" s="69"/>
      <c r="G48" s="68"/>
      <c r="H48" s="68"/>
      <c r="I48" s="68"/>
      <c r="J48" s="69"/>
      <c r="K48" s="69"/>
      <c r="L48" s="68"/>
      <c r="M48" s="68"/>
      <c r="N48" s="73" t="s">
        <v>115</v>
      </c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8"/>
    </row>
    <row r="49" spans="1:27" s="50" customFormat="1" ht="15" x14ac:dyDescent="0.2">
      <c r="A49" s="51"/>
      <c r="B49" s="73"/>
      <c r="C49" s="68"/>
      <c r="D49" s="167"/>
      <c r="E49" s="68"/>
      <c r="F49" s="69"/>
      <c r="G49" s="68"/>
      <c r="H49" s="68"/>
      <c r="I49" s="68"/>
      <c r="J49" s="69"/>
      <c r="K49" s="69"/>
      <c r="L49" s="68"/>
      <c r="M49" s="68"/>
      <c r="N49" s="73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</row>
    <row r="50" spans="1:27" s="53" customFormat="1" ht="15.75" x14ac:dyDescent="0.25">
      <c r="A50" s="52"/>
      <c r="B50" s="64" t="s">
        <v>116</v>
      </c>
      <c r="C50" s="65"/>
      <c r="D50" s="168">
        <f>SUM(D51:D52)</f>
        <v>255055.63000408199</v>
      </c>
      <c r="E50" s="168"/>
      <c r="F50" s="66"/>
      <c r="G50" s="65"/>
      <c r="H50" s="65"/>
      <c r="I50" s="65"/>
      <c r="J50" s="66"/>
      <c r="K50" s="66"/>
      <c r="L50" s="65"/>
      <c r="M50" s="65"/>
      <c r="N50" s="64" t="s">
        <v>116</v>
      </c>
      <c r="O50" s="65">
        <f t="shared" ref="O50:Z50" si="21">SUM(O51:O52)</f>
        <v>234349.40657392002</v>
      </c>
      <c r="P50" s="65">
        <f t="shared" si="21"/>
        <v>240972.125093915</v>
      </c>
      <c r="Q50" s="65">
        <f t="shared" si="21"/>
        <v>243029.29275630883</v>
      </c>
      <c r="R50" s="65">
        <f t="shared" si="21"/>
        <v>245063.33756009763</v>
      </c>
      <c r="S50" s="65">
        <f t="shared" si="21"/>
        <v>245063.33756009763</v>
      </c>
      <c r="T50" s="65">
        <v>234340.27396305199</v>
      </c>
      <c r="U50" s="65">
        <v>255055.63000408199</v>
      </c>
      <c r="V50" s="65">
        <f t="shared" si="21"/>
        <v>0</v>
      </c>
      <c r="W50" s="65">
        <f t="shared" si="21"/>
        <v>0</v>
      </c>
      <c r="X50" s="65">
        <f t="shared" si="21"/>
        <v>0</v>
      </c>
      <c r="Y50" s="65">
        <f t="shared" si="21"/>
        <v>0</v>
      </c>
      <c r="Z50" s="65">
        <f t="shared" si="21"/>
        <v>0</v>
      </c>
      <c r="AA50" s="65"/>
    </row>
    <row r="51" spans="1:27" s="29" customFormat="1" ht="15" x14ac:dyDescent="0.2">
      <c r="A51" s="51"/>
      <c r="B51" s="73" t="s">
        <v>117</v>
      </c>
      <c r="C51" s="68"/>
      <c r="D51" s="42">
        <f>232626449.65/1000</f>
        <v>232626.44965</v>
      </c>
      <c r="E51" s="68"/>
      <c r="F51" s="69"/>
      <c r="G51" s="68"/>
      <c r="H51" s="68"/>
      <c r="I51" s="68"/>
      <c r="J51" s="69"/>
      <c r="K51" s="69"/>
      <c r="L51" s="68"/>
      <c r="M51" s="68"/>
      <c r="N51" s="73" t="s">
        <v>117</v>
      </c>
      <c r="O51" s="67">
        <v>213883.60702000002</v>
      </c>
      <c r="P51" s="67">
        <v>217235.59432</v>
      </c>
      <c r="Q51" s="67">
        <v>219433.94377000004</v>
      </c>
      <c r="R51" s="67">
        <v>221249.36124</v>
      </c>
      <c r="S51" s="67">
        <v>221249.36124</v>
      </c>
      <c r="T51" s="67">
        <v>222452.42488000004</v>
      </c>
      <c r="U51" s="67">
        <f>232626449.65/1000</f>
        <v>232626.44965</v>
      </c>
      <c r="V51" s="67"/>
      <c r="W51" s="67"/>
      <c r="X51" s="67"/>
      <c r="Y51" s="67"/>
      <c r="Z51" s="67"/>
      <c r="AA51" s="68"/>
    </row>
    <row r="52" spans="1:27" s="29" customFormat="1" ht="15" x14ac:dyDescent="0.2">
      <c r="A52" s="51"/>
      <c r="B52" s="73" t="s">
        <v>118</v>
      </c>
      <c r="C52" s="68"/>
      <c r="D52" s="42">
        <v>22429.180354082</v>
      </c>
      <c r="E52" s="68"/>
      <c r="F52" s="69"/>
      <c r="G52" s="68"/>
      <c r="H52" s="68"/>
      <c r="I52" s="68"/>
      <c r="J52" s="69"/>
      <c r="K52" s="69"/>
      <c r="L52" s="68"/>
      <c r="M52" s="68"/>
      <c r="N52" s="73" t="s">
        <v>118</v>
      </c>
      <c r="O52" s="67">
        <v>20465.799553919998</v>
      </c>
      <c r="P52" s="67">
        <v>23736.530773915001</v>
      </c>
      <c r="Q52" s="67">
        <v>23595.348986308782</v>
      </c>
      <c r="R52" s="67">
        <v>23813.976320097634</v>
      </c>
      <c r="S52" s="67">
        <v>23813.976320097634</v>
      </c>
      <c r="T52" s="67">
        <v>11887.849083052002</v>
      </c>
      <c r="U52" s="67">
        <v>22429.180354082</v>
      </c>
      <c r="V52" s="67"/>
      <c r="W52" s="67"/>
      <c r="X52" s="67"/>
      <c r="Y52" s="67"/>
      <c r="Z52" s="67"/>
      <c r="AA52" s="68"/>
    </row>
    <row r="53" spans="1:27" s="49" customFormat="1" ht="15.75" thickBo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</row>
    <row r="54" spans="1:27" s="32" customFormat="1" ht="15.75" x14ac:dyDescent="0.2">
      <c r="A54" s="62" t="s">
        <v>81</v>
      </c>
      <c r="B54" s="62"/>
      <c r="C54" s="63" t="s">
        <v>4</v>
      </c>
      <c r="D54" s="63" t="s">
        <v>5</v>
      </c>
      <c r="E54" s="63" t="s">
        <v>6</v>
      </c>
      <c r="F54" s="63"/>
      <c r="G54" s="63" t="s">
        <v>124</v>
      </c>
      <c r="H54" s="63" t="s">
        <v>123</v>
      </c>
      <c r="I54" s="63" t="s">
        <v>6</v>
      </c>
      <c r="J54" s="63"/>
      <c r="K54" s="63"/>
      <c r="L54" s="63" t="s">
        <v>126</v>
      </c>
      <c r="M54" s="62" t="s">
        <v>81</v>
      </c>
      <c r="N54" s="62"/>
      <c r="O54" s="63" t="s">
        <v>61</v>
      </c>
      <c r="P54" s="63" t="s">
        <v>62</v>
      </c>
      <c r="Q54" s="63" t="s">
        <v>63</v>
      </c>
      <c r="R54" s="63" t="s">
        <v>64</v>
      </c>
      <c r="S54" s="63" t="s">
        <v>54</v>
      </c>
      <c r="T54" s="120" t="s">
        <v>65</v>
      </c>
      <c r="U54" s="63" t="s">
        <v>66</v>
      </c>
      <c r="V54" s="63" t="s">
        <v>67</v>
      </c>
      <c r="W54" s="63" t="s">
        <v>68</v>
      </c>
      <c r="X54" s="63" t="s">
        <v>69</v>
      </c>
      <c r="Y54" s="63" t="s">
        <v>122</v>
      </c>
      <c r="Z54" s="63" t="s">
        <v>70</v>
      </c>
      <c r="AA54" s="62" t="s">
        <v>17</v>
      </c>
    </row>
    <row r="55" spans="1:27" s="23" customFormat="1" ht="15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117"/>
      <c r="U55" s="60"/>
      <c r="V55" s="60"/>
      <c r="W55" s="60"/>
      <c r="X55" s="60"/>
      <c r="Y55" s="60"/>
      <c r="Z55" s="60"/>
      <c r="AA55" s="60"/>
    </row>
    <row r="56" spans="1:27" s="40" customFormat="1" ht="15.75" x14ac:dyDescent="0.25">
      <c r="A56" s="52"/>
      <c r="B56" s="64" t="s">
        <v>51</v>
      </c>
      <c r="C56" s="65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56" s="116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56" s="116" t="e">
        <f>D56-C56</f>
        <v>#REF!</v>
      </c>
      <c r="F56" s="66">
        <f>IFERROR(E56/C56,0)</f>
        <v>0</v>
      </c>
      <c r="G56" s="65" t="e">
        <f>(1/$D$8)*(PL14_TP!#REF!)</f>
        <v>#REF!</v>
      </c>
      <c r="H56" s="65" t="e">
        <f>(1/$D$8)*(PL14_TP!#REF!)</f>
        <v>#REF!</v>
      </c>
      <c r="I56" s="65" t="e">
        <f>H56-G56</f>
        <v>#REF!</v>
      </c>
      <c r="J56" s="66">
        <f>IFERROR(I56/G56,0)</f>
        <v>0</v>
      </c>
      <c r="K56" s="66"/>
      <c r="L56" s="65" t="e">
        <f>(1/$D$8)*(PL14_TP!#REF!)</f>
        <v>#REF!</v>
      </c>
      <c r="M56" s="65"/>
      <c r="N56" s="64" t="s">
        <v>51</v>
      </c>
      <c r="O56" s="65" t="e">
        <f>PL14_TP!#REF!/1000</f>
        <v>#REF!</v>
      </c>
      <c r="P56" s="65" t="e">
        <f>PL14_TP!#REF!/1000</f>
        <v>#REF!</v>
      </c>
      <c r="Q56" s="65" t="e">
        <f>PL14_TP!#REF!/1000</f>
        <v>#REF!</v>
      </c>
      <c r="R56" s="65" t="e">
        <f>PL14_TP!#REF!/1000</f>
        <v>#REF!</v>
      </c>
      <c r="S56" s="65" t="e">
        <f>PL14_TP!#REF!/1000</f>
        <v>#REF!</v>
      </c>
      <c r="T56" s="65" t="e">
        <f>PL14_TP!#REF!/1000</f>
        <v>#REF!</v>
      </c>
      <c r="U56" s="65" t="e">
        <f>PL14_TP!#REF!/1000</f>
        <v>#REF!</v>
      </c>
      <c r="V56" s="65" t="e">
        <f>PL14_TP!#REF!/1000</f>
        <v>#REF!</v>
      </c>
      <c r="W56" s="65" t="e">
        <f>PL14_TP!#REF!/1000</f>
        <v>#REF!</v>
      </c>
      <c r="X56" s="65" t="e">
        <f>PL14_TP!#REF!/1000</f>
        <v>#REF!</v>
      </c>
      <c r="Y56" s="65" t="e">
        <f>PL14_TP!#REF!/1000</f>
        <v>#REF!</v>
      </c>
      <c r="Z56" s="65" t="e">
        <f>PL14_TP!#REF!/1000</f>
        <v>#REF!</v>
      </c>
      <c r="AA56" s="65" t="e">
        <f>SUM(O56:Z56)</f>
        <v>#REF!</v>
      </c>
    </row>
    <row r="57" spans="1:27" s="23" customFormat="1" ht="15.75" x14ac:dyDescent="0.25">
      <c r="A57" s="60"/>
      <c r="B57" s="77"/>
      <c r="C57" s="60"/>
      <c r="F57" s="66"/>
      <c r="G57" s="60"/>
      <c r="H57" s="60"/>
      <c r="I57" s="60"/>
      <c r="J57" s="66"/>
      <c r="K57" s="60"/>
      <c r="L57" s="60"/>
      <c r="M57" s="60"/>
      <c r="N57" s="77"/>
      <c r="O57" s="60"/>
      <c r="P57" s="60"/>
      <c r="Q57" s="60"/>
      <c r="R57" s="60"/>
      <c r="S57" s="60"/>
      <c r="T57" s="117"/>
      <c r="U57" s="60"/>
      <c r="V57" s="60"/>
      <c r="W57" s="60"/>
      <c r="X57" s="60"/>
      <c r="Y57" s="60"/>
      <c r="Z57" s="60"/>
      <c r="AA57" s="60"/>
    </row>
    <row r="58" spans="1:27" s="23" customFormat="1" ht="15.75" outlineLevel="1" x14ac:dyDescent="0.25">
      <c r="A58" s="51"/>
      <c r="B58" s="77" t="s">
        <v>23</v>
      </c>
      <c r="C58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58" s="11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58" s="117" t="e">
        <f>D58-C58</f>
        <v>#REF!</v>
      </c>
      <c r="F58" s="66">
        <f>IFERROR(E58/C58,0)</f>
        <v>0</v>
      </c>
      <c r="G58" s="68" t="e">
        <f>(1/$D$8)*(PL14_TP!#REF!)</f>
        <v>#REF!</v>
      </c>
      <c r="H58" s="68" t="e">
        <f>(1/$D$8)*(PL14_TP!#REF!)</f>
        <v>#REF!</v>
      </c>
      <c r="I58" s="68" t="e">
        <f>H58-G58</f>
        <v>#REF!</v>
      </c>
      <c r="J58" s="66">
        <f t="shared" ref="J58:J63" si="22">IFERROR(I58/G58,0)</f>
        <v>0</v>
      </c>
      <c r="K58" s="68"/>
      <c r="L58" s="68" t="e">
        <f>(1/$D$8)*(PL14_TP!#REF!)</f>
        <v>#REF!</v>
      </c>
      <c r="M58" s="68"/>
      <c r="N58" s="77" t="s">
        <v>23</v>
      </c>
      <c r="O58" s="68" t="e">
        <f>PL14_TP!#REF!/1000</f>
        <v>#REF!</v>
      </c>
      <c r="P58" s="68" t="e">
        <f>PL14_TP!#REF!/1000</f>
        <v>#REF!</v>
      </c>
      <c r="Q58" s="68" t="e">
        <f>PL14_TP!#REF!/1000</f>
        <v>#REF!</v>
      </c>
      <c r="R58" s="68" t="e">
        <f>PL14_TP!#REF!/1000</f>
        <v>#REF!</v>
      </c>
      <c r="S58" s="68" t="e">
        <f>PL14_TP!#REF!/1000</f>
        <v>#REF!</v>
      </c>
      <c r="T58" s="68" t="e">
        <f>PL14_TP!#REF!/1000</f>
        <v>#REF!</v>
      </c>
      <c r="U58" s="68" t="e">
        <f>PL14_TP!#REF!/1000</f>
        <v>#REF!</v>
      </c>
      <c r="V58" s="68" t="e">
        <f>PL14_TP!#REF!/1000</f>
        <v>#REF!</v>
      </c>
      <c r="W58" s="68" t="e">
        <f>PL14_TP!#REF!/1000</f>
        <v>#REF!</v>
      </c>
      <c r="X58" s="68" t="e">
        <f>PL14_TP!#REF!/1000</f>
        <v>#REF!</v>
      </c>
      <c r="Y58" s="68" t="e">
        <f>PL14_TP!#REF!/1000</f>
        <v>#REF!</v>
      </c>
      <c r="Z58" s="68" t="e">
        <f>PL14_TP!#REF!/1000</f>
        <v>#REF!</v>
      </c>
      <c r="AA58" s="68" t="e">
        <f>SUM(O58:Z58)</f>
        <v>#REF!</v>
      </c>
    </row>
    <row r="59" spans="1:27" s="23" customFormat="1" ht="15.75" outlineLevel="1" x14ac:dyDescent="0.25">
      <c r="A59" s="51"/>
      <c r="B59" s="77" t="s">
        <v>34</v>
      </c>
      <c r="C59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59" s="10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59" s="107" t="e">
        <f>D59-C59</f>
        <v>#REF!</v>
      </c>
      <c r="F59" s="66">
        <f>IFERROR(E59/C59,0)</f>
        <v>0</v>
      </c>
      <c r="G59" s="68" t="e">
        <f>(1/$D$8)*(PL14_TP!#REF!)</f>
        <v>#REF!</v>
      </c>
      <c r="H59" s="68" t="e">
        <f>(1/$D$8)*(PL14_TP!#REF!)</f>
        <v>#REF!</v>
      </c>
      <c r="I59" s="68" t="e">
        <f>H59-G59</f>
        <v>#REF!</v>
      </c>
      <c r="J59" s="66">
        <f t="shared" si="22"/>
        <v>0</v>
      </c>
      <c r="K59" s="68"/>
      <c r="L59" s="68" t="e">
        <f>(1/$D$8)*(PL14_TP!#REF!)</f>
        <v>#REF!</v>
      </c>
      <c r="M59" s="68"/>
      <c r="N59" s="77" t="s">
        <v>34</v>
      </c>
      <c r="O59" s="68" t="e">
        <f>PL14_TP!#REF!/1000</f>
        <v>#REF!</v>
      </c>
      <c r="P59" s="68" t="e">
        <f>PL14_TP!#REF!/1000</f>
        <v>#REF!</v>
      </c>
      <c r="Q59" s="68" t="e">
        <f>PL14_TP!#REF!/1000</f>
        <v>#REF!</v>
      </c>
      <c r="R59" s="68" t="e">
        <f>PL14_TP!#REF!/1000</f>
        <v>#REF!</v>
      </c>
      <c r="S59" s="68" t="e">
        <f>PL14_TP!#REF!/1000</f>
        <v>#REF!</v>
      </c>
      <c r="T59" s="68" t="e">
        <f>PL14_TP!#REF!/1000</f>
        <v>#REF!</v>
      </c>
      <c r="U59" s="68" t="e">
        <f>PL14_TP!#REF!/1000</f>
        <v>#REF!</v>
      </c>
      <c r="V59" s="68" t="e">
        <f>PL14_TP!#REF!/1000</f>
        <v>#REF!</v>
      </c>
      <c r="W59" s="68" t="e">
        <f>PL14_TP!#REF!/1000</f>
        <v>#REF!</v>
      </c>
      <c r="X59" s="68" t="e">
        <f>PL14_TP!#REF!/1000</f>
        <v>#REF!</v>
      </c>
      <c r="Y59" s="68" t="e">
        <f>PL14_TP!#REF!/1000</f>
        <v>#REF!</v>
      </c>
      <c r="Z59" s="68" t="e">
        <f>PL14_TP!#REF!/1000</f>
        <v>#REF!</v>
      </c>
      <c r="AA59" s="68" t="e">
        <f>SUM(O59:Z59)</f>
        <v>#REF!</v>
      </c>
    </row>
    <row r="60" spans="1:27" s="23" customFormat="1" ht="15.75" outlineLevel="1" x14ac:dyDescent="0.25">
      <c r="A60" s="51"/>
      <c r="B60" s="77" t="s">
        <v>41</v>
      </c>
      <c r="C60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60" s="10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60" s="107" t="e">
        <f>D60-C60</f>
        <v>#REF!</v>
      </c>
      <c r="F60" s="66">
        <f>IFERROR(E60/C60,0)</f>
        <v>0</v>
      </c>
      <c r="G60" s="68" t="e">
        <f>(1/$D$8)*(PL14_TP!#REF!)</f>
        <v>#REF!</v>
      </c>
      <c r="H60" s="68" t="e">
        <f>(1/$D$8)*(PL14_TP!#REF!)</f>
        <v>#REF!</v>
      </c>
      <c r="I60" s="68" t="e">
        <f>H60-G60</f>
        <v>#REF!</v>
      </c>
      <c r="J60" s="66">
        <f t="shared" si="22"/>
        <v>0</v>
      </c>
      <c r="K60" s="68"/>
      <c r="L60" s="68" t="e">
        <f>(1/$D$8)*(PL14_TP!#REF!)</f>
        <v>#REF!</v>
      </c>
      <c r="M60" s="68"/>
      <c r="N60" s="77" t="s">
        <v>41</v>
      </c>
      <c r="O60" s="68" t="e">
        <f>PL14_TP!#REF!/1000</f>
        <v>#REF!</v>
      </c>
      <c r="P60" s="68" t="e">
        <f>PL14_TP!#REF!/1000</f>
        <v>#REF!</v>
      </c>
      <c r="Q60" s="68" t="e">
        <f>PL14_TP!#REF!/1000</f>
        <v>#REF!</v>
      </c>
      <c r="R60" s="68" t="e">
        <f>PL14_TP!#REF!/1000</f>
        <v>#REF!</v>
      </c>
      <c r="S60" s="68" t="e">
        <f>PL14_TP!#REF!/1000</f>
        <v>#REF!</v>
      </c>
      <c r="T60" s="68" t="e">
        <f>PL14_TP!#REF!/1000</f>
        <v>#REF!</v>
      </c>
      <c r="U60" s="68" t="e">
        <f>PL14_TP!#REF!/1000</f>
        <v>#REF!</v>
      </c>
      <c r="V60" s="68" t="e">
        <f>PL14_TP!#REF!/1000</f>
        <v>#REF!</v>
      </c>
      <c r="W60" s="68" t="e">
        <f>PL14_TP!#REF!/1000</f>
        <v>#REF!</v>
      </c>
      <c r="X60" s="68" t="e">
        <f>PL14_TP!#REF!/1000</f>
        <v>#REF!</v>
      </c>
      <c r="Y60" s="68" t="e">
        <f>PL14_TP!#REF!/1000</f>
        <v>#REF!</v>
      </c>
      <c r="Z60" s="68" t="e">
        <f>PL14_TP!#REF!/1000</f>
        <v>#REF!</v>
      </c>
      <c r="AA60" s="68" t="e">
        <f>SUM(O60:Z60)</f>
        <v>#REF!</v>
      </c>
    </row>
    <row r="61" spans="1:27" s="23" customFormat="1" ht="15.75" outlineLevel="1" x14ac:dyDescent="0.25">
      <c r="A61" s="51"/>
      <c r="B61" s="77" t="s">
        <v>42</v>
      </c>
      <c r="C61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61" s="10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61" s="107" t="e">
        <f>D61-C61</f>
        <v>#REF!</v>
      </c>
      <c r="F61" s="66">
        <f>IFERROR(E61/C61,0)</f>
        <v>0</v>
      </c>
      <c r="G61" s="68" t="e">
        <f>(1/$D$8)*(PL14_TP!#REF!)</f>
        <v>#REF!</v>
      </c>
      <c r="H61" s="68" t="e">
        <f>(1/$D$8)*(PL14_TP!#REF!)</f>
        <v>#REF!</v>
      </c>
      <c r="I61" s="68" t="e">
        <f>H61-G61</f>
        <v>#REF!</v>
      </c>
      <c r="J61" s="66">
        <f t="shared" si="22"/>
        <v>0</v>
      </c>
      <c r="K61" s="68"/>
      <c r="L61" s="68" t="e">
        <f>(1/$D$8)*(PL14_TP!#REF!)</f>
        <v>#REF!</v>
      </c>
      <c r="M61" s="68"/>
      <c r="N61" s="77" t="s">
        <v>42</v>
      </c>
      <c r="O61" s="68" t="e">
        <f>PL14_TP!#REF!/1000</f>
        <v>#REF!</v>
      </c>
      <c r="P61" s="68" t="e">
        <f>PL14_TP!#REF!/1000</f>
        <v>#REF!</v>
      </c>
      <c r="Q61" s="68" t="e">
        <f>PL14_TP!#REF!/1000</f>
        <v>#REF!</v>
      </c>
      <c r="R61" s="68" t="e">
        <f>PL14_TP!#REF!/1000</f>
        <v>#REF!</v>
      </c>
      <c r="S61" s="68" t="e">
        <f>PL14_TP!#REF!/1000</f>
        <v>#REF!</v>
      </c>
      <c r="T61" s="68" t="e">
        <f>PL14_TP!#REF!/1000</f>
        <v>#REF!</v>
      </c>
      <c r="U61" s="68" t="e">
        <f>PL14_TP!#REF!/1000</f>
        <v>#REF!</v>
      </c>
      <c r="V61" s="68" t="e">
        <f>PL14_TP!#REF!/1000</f>
        <v>#REF!</v>
      </c>
      <c r="W61" s="68" t="e">
        <f>PL14_TP!#REF!/1000</f>
        <v>#REF!</v>
      </c>
      <c r="X61" s="68" t="e">
        <f>PL14_TP!#REF!/1000</f>
        <v>#REF!</v>
      </c>
      <c r="Y61" s="68" t="e">
        <f>PL14_TP!#REF!/1000</f>
        <v>#REF!</v>
      </c>
      <c r="Z61" s="68" t="e">
        <f>PL14_TP!#REF!/1000</f>
        <v>#REF!</v>
      </c>
      <c r="AA61" s="68" t="e">
        <f>SUM(O61:Z61)</f>
        <v>#REF!</v>
      </c>
    </row>
    <row r="62" spans="1:27" s="23" customFormat="1" ht="15.75" outlineLevel="1" x14ac:dyDescent="0.25">
      <c r="A62" s="60"/>
      <c r="B62" s="78"/>
      <c r="C62" s="60"/>
      <c r="D62" s="107"/>
      <c r="E62" s="107"/>
      <c r="F62" s="60"/>
      <c r="G62" s="60"/>
      <c r="H62" s="60"/>
      <c r="I62" s="60"/>
      <c r="J62" s="66"/>
      <c r="K62" s="60"/>
      <c r="L62" s="60"/>
      <c r="M62" s="60"/>
      <c r="N62" s="78"/>
      <c r="O62" s="60"/>
      <c r="P62" s="60"/>
      <c r="Q62" s="60"/>
      <c r="R62" s="60"/>
      <c r="S62" s="60"/>
      <c r="T62" s="107"/>
      <c r="U62" s="60"/>
      <c r="V62" s="60"/>
      <c r="W62" s="60"/>
      <c r="X62" s="60"/>
      <c r="Y62" s="60"/>
      <c r="Z62" s="60"/>
      <c r="AA62" s="60"/>
    </row>
    <row r="63" spans="1:27" s="40" customFormat="1" ht="15.75" outlineLevel="1" x14ac:dyDescent="0.25">
      <c r="A63" s="52"/>
      <c r="B63" s="64" t="s">
        <v>82</v>
      </c>
      <c r="C63" s="65" t="e">
        <f>SUM(C58:C61)</f>
        <v>#REF!</v>
      </c>
      <c r="D63" s="110" t="e">
        <f>SUM(D58:D61)</f>
        <v>#REF!</v>
      </c>
      <c r="E63" s="110" t="e">
        <f>D63-C63</f>
        <v>#REF!</v>
      </c>
      <c r="F63" s="105">
        <f>(IFERROR(E63/C63,0))</f>
        <v>0</v>
      </c>
      <c r="G63" s="65" t="e">
        <f>SUM(G58:G61)</f>
        <v>#REF!</v>
      </c>
      <c r="H63" s="65" t="e">
        <f>SUM(H58:H61)</f>
        <v>#REF!</v>
      </c>
      <c r="I63" s="65" t="e">
        <f>H63-G63</f>
        <v>#REF!</v>
      </c>
      <c r="J63" s="66">
        <f t="shared" si="22"/>
        <v>0</v>
      </c>
      <c r="K63" s="66"/>
      <c r="L63" s="65" t="e">
        <f>SUM(L58:L61)</f>
        <v>#REF!</v>
      </c>
      <c r="M63" s="65"/>
      <c r="N63" s="64" t="s">
        <v>82</v>
      </c>
      <c r="O63" s="65" t="e">
        <f t="shared" ref="O63:Z63" si="23">SUM(O58:O61)</f>
        <v>#REF!</v>
      </c>
      <c r="P63" s="65" t="e">
        <f t="shared" si="23"/>
        <v>#REF!</v>
      </c>
      <c r="Q63" s="65" t="e">
        <f t="shared" si="23"/>
        <v>#REF!</v>
      </c>
      <c r="R63" s="65" t="e">
        <f t="shared" si="23"/>
        <v>#REF!</v>
      </c>
      <c r="S63" s="65" t="e">
        <f t="shared" si="23"/>
        <v>#REF!</v>
      </c>
      <c r="T63" s="65" t="e">
        <f t="shared" si="23"/>
        <v>#REF!</v>
      </c>
      <c r="U63" s="65" t="e">
        <f t="shared" si="23"/>
        <v>#REF!</v>
      </c>
      <c r="V63" s="65" t="e">
        <f t="shared" si="23"/>
        <v>#REF!</v>
      </c>
      <c r="W63" s="65" t="e">
        <f t="shared" si="23"/>
        <v>#REF!</v>
      </c>
      <c r="X63" s="65" t="e">
        <f t="shared" si="23"/>
        <v>#REF!</v>
      </c>
      <c r="Y63" s="65" t="e">
        <f t="shared" si="23"/>
        <v>#REF!</v>
      </c>
      <c r="Z63" s="65" t="e">
        <f t="shared" si="23"/>
        <v>#REF!</v>
      </c>
      <c r="AA63" s="65" t="e">
        <f>SUM(O63:Z63)</f>
        <v>#REF!</v>
      </c>
    </row>
    <row r="64" spans="1:27" s="23" customFormat="1" ht="15" outlineLevel="1" x14ac:dyDescent="0.2">
      <c r="A64" s="60"/>
      <c r="B64" s="77"/>
      <c r="C64" s="60"/>
      <c r="D64" s="107"/>
      <c r="E64" s="107"/>
      <c r="F64" s="60"/>
      <c r="G64" s="60"/>
      <c r="H64" s="60"/>
      <c r="I64" s="60"/>
      <c r="J64" s="60"/>
      <c r="K64" s="60"/>
      <c r="L64" s="60"/>
      <c r="M64" s="60"/>
      <c r="N64" s="77"/>
      <c r="O64" s="60"/>
      <c r="P64" s="60"/>
      <c r="Q64" s="60"/>
      <c r="R64" s="60"/>
      <c r="S64" s="60"/>
      <c r="T64" s="107"/>
      <c r="U64" s="60"/>
      <c r="V64" s="60"/>
      <c r="W64" s="60"/>
      <c r="X64" s="60"/>
      <c r="Y64" s="60"/>
      <c r="Z64" s="60"/>
      <c r="AA64" s="60"/>
    </row>
    <row r="65" spans="1:29" s="29" customFormat="1" ht="15" outlineLevel="1" x14ac:dyDescent="0.2">
      <c r="A65" s="51"/>
      <c r="B65" s="77" t="s">
        <v>52</v>
      </c>
      <c r="C65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65" s="10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65" s="107" t="e">
        <f>D65-C65</f>
        <v>#REF!</v>
      </c>
      <c r="F65" s="69"/>
      <c r="G65" s="150" t="e">
        <f>(1/$D$8)*(PL14_TP!#REF!)</f>
        <v>#REF!</v>
      </c>
      <c r="H65" s="150" t="e">
        <f>(1/$D$8)*(PL14_TP!#REF!)</f>
        <v>#REF!</v>
      </c>
      <c r="I65" s="68" t="e">
        <f>H65-G65</f>
        <v>#REF!</v>
      </c>
      <c r="J65" s="69"/>
      <c r="K65" s="69"/>
      <c r="L65" s="68" t="e">
        <f>(1/$D$8)*(PL14_TP!#REF!)</f>
        <v>#REF!</v>
      </c>
      <c r="M65" s="68"/>
      <c r="N65" s="77" t="s">
        <v>52</v>
      </c>
      <c r="O65" s="68" t="e">
        <f>PL14_TP!#REF!/1000</f>
        <v>#REF!</v>
      </c>
      <c r="P65" s="68" t="e">
        <f>PL14_TP!#REF!/1000</f>
        <v>#REF!</v>
      </c>
      <c r="Q65" s="68" t="e">
        <f>PL14_TP!#REF!/1000</f>
        <v>#REF!</v>
      </c>
      <c r="R65" s="68" t="e">
        <f>PL14_TP!#REF!/1000</f>
        <v>#REF!</v>
      </c>
      <c r="S65" s="68" t="e">
        <f>PL14_TP!#REF!/1000</f>
        <v>#REF!</v>
      </c>
      <c r="T65" s="68" t="e">
        <f>PL14_TP!#REF!/1000</f>
        <v>#REF!</v>
      </c>
      <c r="U65" s="68" t="e">
        <f>PL14_TP!#REF!/1000</f>
        <v>#REF!</v>
      </c>
      <c r="V65" s="68" t="e">
        <f>PL14_TP!#REF!/1000</f>
        <v>#REF!</v>
      </c>
      <c r="W65" s="68" t="e">
        <f>PL14_TP!#REF!/1000</f>
        <v>#REF!</v>
      </c>
      <c r="X65" s="68" t="e">
        <f>PL14_TP!#REF!/1000</f>
        <v>#REF!</v>
      </c>
      <c r="Y65" s="68" t="e">
        <f>PL14_TP!#REF!/1000</f>
        <v>#REF!</v>
      </c>
      <c r="Z65" s="68" t="e">
        <f>PL14_TP!#REF!/1000</f>
        <v>#REF!</v>
      </c>
      <c r="AA65" s="68" t="e">
        <f>SUM(O65:Z65)</f>
        <v>#REF!</v>
      </c>
    </row>
    <row r="66" spans="1:29" s="23" customFormat="1" ht="15" outlineLevel="1" x14ac:dyDescent="0.2">
      <c r="A66" s="60"/>
      <c r="B66" s="79"/>
      <c r="C66" s="60"/>
      <c r="D66" s="107"/>
      <c r="E66" s="107"/>
      <c r="F66" s="60"/>
      <c r="G66" s="60"/>
      <c r="H66" s="60"/>
      <c r="I66" s="60"/>
      <c r="J66" s="60"/>
      <c r="K66" s="60"/>
      <c r="L66" s="60"/>
      <c r="M66" s="60"/>
      <c r="N66" s="79"/>
      <c r="O66" s="60"/>
      <c r="P66" s="60"/>
      <c r="Q66" s="60"/>
      <c r="R66" s="60"/>
      <c r="S66" s="60"/>
      <c r="T66" s="107"/>
      <c r="U66" s="60"/>
      <c r="V66" s="60"/>
      <c r="W66" s="60"/>
      <c r="X66" s="60"/>
      <c r="Y66" s="60"/>
      <c r="Z66" s="60"/>
      <c r="AA66" s="60"/>
    </row>
    <row r="67" spans="1:29" s="40" customFormat="1" ht="15.75" x14ac:dyDescent="0.25">
      <c r="A67" s="52"/>
      <c r="B67" s="64" t="s">
        <v>83</v>
      </c>
      <c r="C67" s="65" t="e">
        <f>C63+C65</f>
        <v>#REF!</v>
      </c>
      <c r="D67" s="110" t="e">
        <f>D63+D65</f>
        <v>#REF!</v>
      </c>
      <c r="E67" s="110" t="e">
        <f>D67-C67</f>
        <v>#REF!</v>
      </c>
      <c r="F67" s="105">
        <f>(IFERROR(E67/C67,0))</f>
        <v>0</v>
      </c>
      <c r="G67" s="65" t="e">
        <f>G63+G65</f>
        <v>#REF!</v>
      </c>
      <c r="H67" s="65" t="e">
        <f>H63+H65</f>
        <v>#REF!</v>
      </c>
      <c r="I67" s="65" t="e">
        <f>H67-G67</f>
        <v>#REF!</v>
      </c>
      <c r="J67" s="66">
        <f>IFERROR(I67/G67,0)</f>
        <v>0</v>
      </c>
      <c r="K67" s="66"/>
      <c r="L67" s="65" t="e">
        <f>L63+L65</f>
        <v>#REF!</v>
      </c>
      <c r="M67" s="65"/>
      <c r="N67" s="64" t="s">
        <v>83</v>
      </c>
      <c r="O67" s="65" t="e">
        <f>O63+O65</f>
        <v>#REF!</v>
      </c>
      <c r="P67" s="65" t="e">
        <f t="shared" ref="P67:Z67" si="24">P63+P65</f>
        <v>#REF!</v>
      </c>
      <c r="Q67" s="65" t="e">
        <f t="shared" si="24"/>
        <v>#REF!</v>
      </c>
      <c r="R67" s="65" t="e">
        <f t="shared" si="24"/>
        <v>#REF!</v>
      </c>
      <c r="S67" s="65" t="e">
        <f t="shared" si="24"/>
        <v>#REF!</v>
      </c>
      <c r="T67" s="65" t="e">
        <f t="shared" si="24"/>
        <v>#REF!</v>
      </c>
      <c r="U67" s="65" t="e">
        <f t="shared" si="24"/>
        <v>#REF!</v>
      </c>
      <c r="V67" s="65" t="e">
        <f t="shared" si="24"/>
        <v>#REF!</v>
      </c>
      <c r="W67" s="65" t="e">
        <f t="shared" si="24"/>
        <v>#REF!</v>
      </c>
      <c r="X67" s="65" t="e">
        <f t="shared" si="24"/>
        <v>#REF!</v>
      </c>
      <c r="Y67" s="65" t="e">
        <f t="shared" si="24"/>
        <v>#REF!</v>
      </c>
      <c r="Z67" s="65" t="e">
        <f t="shared" si="24"/>
        <v>#REF!</v>
      </c>
      <c r="AA67" s="65" t="e">
        <f>SUM(O67:Z67)</f>
        <v>#REF!</v>
      </c>
    </row>
    <row r="68" spans="1:29" s="23" customFormat="1" ht="15" x14ac:dyDescent="0.2">
      <c r="A68" s="60"/>
      <c r="B68" s="79"/>
      <c r="C68" s="60"/>
      <c r="D68" s="117"/>
      <c r="E68" s="60"/>
      <c r="F68" s="60"/>
      <c r="G68" s="60"/>
      <c r="H68" s="60"/>
      <c r="I68" s="60"/>
      <c r="J68" s="60"/>
      <c r="K68" s="60"/>
      <c r="L68" s="60"/>
      <c r="M68" s="60"/>
      <c r="N68" s="79"/>
      <c r="O68" s="60"/>
      <c r="P68" s="60"/>
      <c r="Q68" s="60"/>
      <c r="R68" s="60"/>
      <c r="S68" s="60"/>
      <c r="T68" s="117"/>
      <c r="U68" s="60"/>
      <c r="V68" s="60"/>
      <c r="W68" s="60"/>
      <c r="X68" s="60"/>
      <c r="Y68" s="60"/>
      <c r="Z68" s="60"/>
      <c r="AA68" s="60"/>
    </row>
    <row r="69" spans="1:29" s="48" customFormat="1" ht="15.75" x14ac:dyDescent="0.25">
      <c r="A69" s="52"/>
      <c r="B69" s="70" t="s">
        <v>84</v>
      </c>
      <c r="C69" s="71" t="e">
        <f>C56-C67</f>
        <v>#REF!</v>
      </c>
      <c r="D69" s="108" t="e">
        <f>D56-D67</f>
        <v>#REF!</v>
      </c>
      <c r="E69" s="108" t="e">
        <f>(D69-C69)/1000</f>
        <v>#REF!</v>
      </c>
      <c r="F69" s="106">
        <f>(IFERROR(E69/C69,0))/1000</f>
        <v>0</v>
      </c>
      <c r="G69" s="71" t="e">
        <f>G56-G67</f>
        <v>#REF!</v>
      </c>
      <c r="H69" s="71" t="e">
        <f>H56-H67</f>
        <v>#REF!</v>
      </c>
      <c r="I69" s="71" t="e">
        <f>H69-G69</f>
        <v>#REF!</v>
      </c>
      <c r="J69" s="72">
        <f>IFERROR(I69/G69,0)</f>
        <v>0</v>
      </c>
      <c r="K69" s="72"/>
      <c r="L69" s="71" t="e">
        <f>L56-L67</f>
        <v>#REF!</v>
      </c>
      <c r="M69" s="65"/>
      <c r="N69" s="70" t="s">
        <v>84</v>
      </c>
      <c r="O69" s="71" t="e">
        <f t="shared" ref="O69:AA69" si="25">O56-O67</f>
        <v>#REF!</v>
      </c>
      <c r="P69" s="71" t="e">
        <f t="shared" si="25"/>
        <v>#REF!</v>
      </c>
      <c r="Q69" s="71" t="e">
        <f t="shared" si="25"/>
        <v>#REF!</v>
      </c>
      <c r="R69" s="71" t="e">
        <f t="shared" si="25"/>
        <v>#REF!</v>
      </c>
      <c r="S69" s="71" t="e">
        <f t="shared" si="25"/>
        <v>#REF!</v>
      </c>
      <c r="T69" s="119" t="e">
        <f t="shared" si="25"/>
        <v>#REF!</v>
      </c>
      <c r="U69" s="71" t="e">
        <f t="shared" si="25"/>
        <v>#REF!</v>
      </c>
      <c r="V69" s="71" t="e">
        <f t="shared" si="25"/>
        <v>#REF!</v>
      </c>
      <c r="W69" s="71" t="e">
        <f t="shared" si="25"/>
        <v>#REF!</v>
      </c>
      <c r="X69" s="71" t="e">
        <f t="shared" si="25"/>
        <v>#REF!</v>
      </c>
      <c r="Y69" s="71" t="e">
        <f t="shared" si="25"/>
        <v>#REF!</v>
      </c>
      <c r="Z69" s="71" t="e">
        <f t="shared" si="25"/>
        <v>#REF!</v>
      </c>
      <c r="AA69" s="71" t="e">
        <f t="shared" si="25"/>
        <v>#REF!</v>
      </c>
    </row>
    <row r="70" spans="1:29" s="23" customFormat="1" ht="15" x14ac:dyDescent="0.2">
      <c r="A70" s="60"/>
      <c r="B70" s="77" t="s">
        <v>85</v>
      </c>
      <c r="C70" s="69">
        <f>IFERROR(C69/C$56,0)</f>
        <v>0</v>
      </c>
      <c r="D70" s="126">
        <f>IFERROR(D69/D$56,0)</f>
        <v>0</v>
      </c>
      <c r="E70" s="60"/>
      <c r="F70" s="60"/>
      <c r="G70" s="69">
        <f>IFERROR(G69/G$56,0)</f>
        <v>0</v>
      </c>
      <c r="H70" s="69">
        <f>IFERROR(H69/H$56,0)</f>
        <v>0</v>
      </c>
      <c r="I70" s="60"/>
      <c r="J70" s="60"/>
      <c r="K70" s="60"/>
      <c r="L70" s="69">
        <f>IFERROR(L69/L$56,0)</f>
        <v>0</v>
      </c>
      <c r="M70" s="60"/>
      <c r="N70" s="77" t="s">
        <v>85</v>
      </c>
      <c r="O70" s="69">
        <f t="shared" ref="O70:AA70" si="26">IFERROR(O69/O$56,0)</f>
        <v>0</v>
      </c>
      <c r="P70" s="69">
        <f t="shared" si="26"/>
        <v>0</v>
      </c>
      <c r="Q70" s="69">
        <f t="shared" si="26"/>
        <v>0</v>
      </c>
      <c r="R70" s="69">
        <f t="shared" si="26"/>
        <v>0</v>
      </c>
      <c r="S70" s="69">
        <f t="shared" si="26"/>
        <v>0</v>
      </c>
      <c r="T70" s="118">
        <f>D70</f>
        <v>0</v>
      </c>
      <c r="U70" s="69">
        <f t="shared" si="26"/>
        <v>0</v>
      </c>
      <c r="V70" s="69">
        <f t="shared" si="26"/>
        <v>0</v>
      </c>
      <c r="W70" s="69">
        <f t="shared" si="26"/>
        <v>0</v>
      </c>
      <c r="X70" s="69">
        <f t="shared" si="26"/>
        <v>0</v>
      </c>
      <c r="Y70" s="69">
        <f t="shared" si="26"/>
        <v>0</v>
      </c>
      <c r="Z70" s="69">
        <f t="shared" si="26"/>
        <v>0</v>
      </c>
      <c r="AA70" s="69">
        <f t="shared" si="26"/>
        <v>0</v>
      </c>
    </row>
    <row r="71" spans="1:29" s="23" customFormat="1" ht="15" x14ac:dyDescent="0.2">
      <c r="A71" s="60"/>
      <c r="B71" s="79"/>
      <c r="C71" s="60"/>
      <c r="D71" s="117"/>
      <c r="E71" s="60"/>
      <c r="F71" s="60"/>
      <c r="G71" s="60"/>
      <c r="H71" s="60"/>
      <c r="I71" s="60"/>
      <c r="J71" s="60"/>
      <c r="K71" s="60"/>
      <c r="L71" s="60"/>
      <c r="M71" s="60"/>
      <c r="N71" s="79"/>
      <c r="O71" s="60"/>
      <c r="P71" s="60"/>
      <c r="Q71" s="60"/>
      <c r="R71" s="60"/>
      <c r="S71" s="60"/>
      <c r="T71" s="117"/>
      <c r="U71" s="60"/>
      <c r="V71" s="60"/>
      <c r="W71" s="60"/>
      <c r="X71" s="60"/>
      <c r="Y71" s="60"/>
      <c r="Z71" s="60"/>
      <c r="AA71" s="60"/>
    </row>
    <row r="72" spans="1:29" s="23" customFormat="1" ht="15" x14ac:dyDescent="0.2">
      <c r="A72" s="51"/>
      <c r="B72" s="77" t="s">
        <v>86</v>
      </c>
      <c r="C72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72" s="10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72" s="107" t="e">
        <f>D72-C72</f>
        <v>#REF!</v>
      </c>
      <c r="F72" s="68"/>
      <c r="G72" s="150" t="e">
        <f>(1/$D$8)*(PL14_TP!#REF!)</f>
        <v>#REF!</v>
      </c>
      <c r="H72" s="150" t="e">
        <f>(1/$D$8)*(PL14_TP!#REF!)</f>
        <v>#REF!</v>
      </c>
      <c r="I72" s="68" t="e">
        <f>H72-G72</f>
        <v>#REF!</v>
      </c>
      <c r="J72" s="68"/>
      <c r="K72" s="68"/>
      <c r="L72" s="150" t="e">
        <f>(1/$D$8)*(PL14_TP!#REF!)</f>
        <v>#REF!</v>
      </c>
      <c r="M72" s="68"/>
      <c r="N72" s="77" t="s">
        <v>86</v>
      </c>
      <c r="O72" s="68" t="e">
        <f>PL14_TP!#REF!/1000</f>
        <v>#REF!</v>
      </c>
      <c r="P72" s="68" t="e">
        <f>PL14_TP!#REF!/1000</f>
        <v>#REF!</v>
      </c>
      <c r="Q72" s="68" t="e">
        <f>PL14_TP!#REF!/1000</f>
        <v>#REF!</v>
      </c>
      <c r="R72" s="68" t="e">
        <f>PL14_TP!#REF!/1000</f>
        <v>#REF!</v>
      </c>
      <c r="S72" s="68" t="e">
        <f>PL14_TP!#REF!/1000</f>
        <v>#REF!</v>
      </c>
      <c r="T72" s="68" t="e">
        <f>PL14_TP!#REF!/1000</f>
        <v>#REF!</v>
      </c>
      <c r="U72" s="68" t="e">
        <f>PL14_TP!#REF!/1000</f>
        <v>#REF!</v>
      </c>
      <c r="V72" s="68" t="e">
        <f>PL14_TP!#REF!/1000</f>
        <v>#REF!</v>
      </c>
      <c r="W72" s="68" t="e">
        <f>PL14_TP!#REF!/1000</f>
        <v>#REF!</v>
      </c>
      <c r="X72" s="68" t="e">
        <f>PL14_TP!#REF!/1000</f>
        <v>#REF!</v>
      </c>
      <c r="Y72" s="68" t="e">
        <f>PL14_TP!#REF!/1000</f>
        <v>#REF!</v>
      </c>
      <c r="Z72" s="68" t="e">
        <f>PL14_TP!#REF!/1000</f>
        <v>#REF!</v>
      </c>
      <c r="AA72" s="68" t="e">
        <f>SUM(O72:Z72)</f>
        <v>#REF!</v>
      </c>
    </row>
    <row r="73" spans="1:29" s="23" customFormat="1" ht="15" x14ac:dyDescent="0.2">
      <c r="A73" s="51"/>
      <c r="B73" s="77" t="s">
        <v>87</v>
      </c>
      <c r="C73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73" s="107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73" s="107" t="e">
        <f>D73-C73</f>
        <v>#REF!</v>
      </c>
      <c r="F73" s="68"/>
      <c r="G73" s="150" t="e">
        <f>(1/$D$8)*(PL14_TP!#REF!)</f>
        <v>#REF!</v>
      </c>
      <c r="H73" s="150" t="e">
        <f>(1/$D$8)*(PL14_TP!#REF!)</f>
        <v>#REF!</v>
      </c>
      <c r="I73" s="68" t="e">
        <f>H73-G73</f>
        <v>#REF!</v>
      </c>
      <c r="J73" s="68"/>
      <c r="K73" s="68"/>
      <c r="L73" s="150" t="e">
        <f>(1/$D$8)*(PL14_TP!#REF!)</f>
        <v>#REF!</v>
      </c>
      <c r="M73" s="68"/>
      <c r="N73" s="77" t="s">
        <v>87</v>
      </c>
      <c r="O73" s="68" t="e">
        <f>PL14_TP!#REF!/1000</f>
        <v>#REF!</v>
      </c>
      <c r="P73" s="68" t="e">
        <f>PL14_TP!#REF!/1000</f>
        <v>#REF!</v>
      </c>
      <c r="Q73" s="68" t="e">
        <f>PL14_TP!#REF!/1000</f>
        <v>#REF!</v>
      </c>
      <c r="R73" s="68" t="e">
        <f>PL14_TP!#REF!/1000</f>
        <v>#REF!</v>
      </c>
      <c r="S73" s="68" t="e">
        <f>PL14_TP!#REF!/1000</f>
        <v>#REF!</v>
      </c>
      <c r="T73" s="68" t="e">
        <f>PL14_TP!#REF!/1000</f>
        <v>#REF!</v>
      </c>
      <c r="U73" s="68" t="e">
        <f>PL14_TP!#REF!/1000</f>
        <v>#REF!</v>
      </c>
      <c r="V73" s="68" t="e">
        <f>PL14_TP!#REF!/1000</f>
        <v>#REF!</v>
      </c>
      <c r="W73" s="68" t="e">
        <f>PL14_TP!#REF!/1000</f>
        <v>#REF!</v>
      </c>
      <c r="X73" s="68" t="e">
        <f>PL14_TP!#REF!/1000</f>
        <v>#REF!</v>
      </c>
      <c r="Y73" s="68" t="e">
        <f>PL14_TP!#REF!/1000</f>
        <v>#REF!</v>
      </c>
      <c r="Z73" s="68" t="e">
        <f>PL14_TP!#REF!/1000</f>
        <v>#REF!</v>
      </c>
      <c r="AA73" s="68" t="e">
        <f>SUM(O73:Z73)</f>
        <v>#REF!</v>
      </c>
      <c r="AC73" s="90"/>
    </row>
    <row r="74" spans="1:29" s="23" customFormat="1" ht="15" x14ac:dyDescent="0.2">
      <c r="A74" s="51"/>
      <c r="B74" s="77" t="s">
        <v>88</v>
      </c>
      <c r="C74" s="68" t="e">
        <f>IF($E$4=1,(PL14_TP!#REF!+PL14_TP!#REF!)/1000,IF($E$4=2,(PL14_TP!#REF!+PL14_TP!#REF!)/1000,IF($E$4=3,(PL14_TP!#REF!+PL14_TP!#REF!)/1000,IF($E$4=4,(PL14_TP!#REF!+PL14_TP!#REF!)/1000,IF($E$4=5,(PL14_TP!#REF!+PL14_TP!#REF!)/1000,IF($E$4=6,(PL14_TP!#REF!+PL14_TP!#REF!)/1000,IF($E$4=7, (PL14_TP!#REF!+ PL14_TP!#REF!)/1000,IF($E$4=8, (PL14_TP!#REF!+ PL14_TP!#REF!)/1000,IF($E$4=9, (PL14_TP!#REF!+ PL14_TP!#REF!)/1000,IF($E$4=10, (PL14_TP!#REF!+ PL14_TP!#REF!)/1000,IF($E$4=11, (PL14_TP!#REF!+ PL14_TP!#REF!)/1000,IF($E$4=12, (PL14_TP!#REF!+ PL14_TP!#REF!)/1000))))))))))))</f>
        <v>#REF!</v>
      </c>
      <c r="D74" s="107" t="e">
        <f>IF($E$4=1,(PL14_TP!#REF!+PL14_TP!#REF!)/1000,IF($E$4=2,(PL14_TP!#REF!+PL14_TP!#REF!)/1000,IF($E$4=3,(PL14_TP!#REF!+PL14_TP!#REF!)/1000,IF($E$4=4,(PL14_TP!#REF!+PL14_TP!#REF!)/1000,IF($E$4=5,(PL14_TP!#REF!+PL14_TP!#REF!)/1000,IF($E$4=6,(PL14_TP!#REF!+PL14_TP!#REF!)/1000,IF($E$4=7, (PL14_TP!#REF!+ PL14_TP!#REF!)/1000,IF($E$4=8, (PL14_TP!#REF!+ PL14_TP!#REF!)/1000,IF($E$4=9, (PL14_TP!#REF!+ PL14_TP!#REF!)/1000,IF($E$4=10, (PL14_TP!#REF!+ PL14_TP!#REF!)/1000,IF($E$4=11, (PL14_TP!#REF!+ PL14_TP!#REF!)/1000,IF($E$4=12, (PL14_TP!#REF!+ PL14_TP!#REF!)/1000))))))))))))</f>
        <v>#REF!</v>
      </c>
      <c r="E74" s="107" t="e">
        <f>D74-C74</f>
        <v>#REF!</v>
      </c>
      <c r="F74" s="68"/>
      <c r="G74" s="150" t="e">
        <f>(1/$D$8)*(PL14_TP!#REF!+PL14_TP!#REF!)</f>
        <v>#REF!</v>
      </c>
      <c r="H74" s="150" t="e">
        <f>(1/$D$8)*(PL14_TP!#REF!+PL14_TP!#REF!)</f>
        <v>#REF!</v>
      </c>
      <c r="I74" s="68" t="e">
        <f>H74-G74</f>
        <v>#REF!</v>
      </c>
      <c r="J74" s="68"/>
      <c r="K74" s="68"/>
      <c r="L74" s="150" t="e">
        <f>(1/$D$8)*(PL14_TP!#REF!+PL14_TP!#REF!)</f>
        <v>#REF!</v>
      </c>
      <c r="M74" s="68"/>
      <c r="N74" s="77" t="s">
        <v>88</v>
      </c>
      <c r="O74" s="68" t="e">
        <f>(PL14_TP!#REF!+PL14_TP!#REF!)/1000</f>
        <v>#REF!</v>
      </c>
      <c r="P74" s="68" t="e">
        <f>(PL14_TP!#REF!+PL14_TP!#REF!)/1000</f>
        <v>#REF!</v>
      </c>
      <c r="Q74" s="68" t="e">
        <f>(PL14_TP!#REF!+PL14_TP!#REF!)/1000</f>
        <v>#REF!</v>
      </c>
      <c r="R74" s="68" t="e">
        <f>(PL14_TP!#REF!+PL14_TP!#REF!)/1000</f>
        <v>#REF!</v>
      </c>
      <c r="S74" s="68" t="e">
        <f>(PL14_TP!#REF!+PL14_TP!#REF!)/1000</f>
        <v>#REF!</v>
      </c>
      <c r="T74" s="68" t="e">
        <f>(PL14_TP!#REF!+PL14_TP!#REF!)/1000</f>
        <v>#REF!</v>
      </c>
      <c r="U74" s="68" t="e">
        <f>(PL14_TP!#REF!+ PL14_TP!#REF!)/1000</f>
        <v>#REF!</v>
      </c>
      <c r="V74" s="68" t="e">
        <f>(PL14_TP!#REF!+ PL14_TP!#REF!)/1000</f>
        <v>#REF!</v>
      </c>
      <c r="W74" s="68" t="e">
        <f>(PL14_TP!#REF!+ PL14_TP!#REF!)/1000</f>
        <v>#REF!</v>
      </c>
      <c r="X74" s="68" t="e">
        <f>(PL14_TP!#REF!+ PL14_TP!#REF!)/1000</f>
        <v>#REF!</v>
      </c>
      <c r="Y74" s="68" t="e">
        <f>(PL14_TP!#REF!+ PL14_TP!#REF!)/1000</f>
        <v>#REF!</v>
      </c>
      <c r="Z74" s="68" t="e">
        <f>(PL14_TP!#REF!+ PL14_TP!#REF!)/1000</f>
        <v>#REF!</v>
      </c>
      <c r="AA74" s="68" t="e">
        <f>SUM(O74:Z74)</f>
        <v>#REF!</v>
      </c>
    </row>
    <row r="75" spans="1:29" s="23" customFormat="1" ht="15" x14ac:dyDescent="0.2">
      <c r="A75" s="60"/>
      <c r="B75" s="79"/>
      <c r="C75" s="60"/>
      <c r="D75" s="107"/>
      <c r="E75" s="60"/>
      <c r="F75" s="60"/>
      <c r="G75" s="60"/>
      <c r="H75" s="60"/>
      <c r="I75" s="60"/>
      <c r="J75" s="60"/>
      <c r="K75" s="60"/>
      <c r="L75" s="60"/>
      <c r="M75" s="60"/>
      <c r="N75" s="79"/>
      <c r="O75" s="60"/>
      <c r="P75" s="60"/>
      <c r="Q75" s="60"/>
      <c r="R75" s="60"/>
      <c r="S75" s="60"/>
      <c r="T75" s="117"/>
      <c r="U75" s="60"/>
      <c r="V75" s="60"/>
      <c r="W75" s="60"/>
      <c r="X75" s="60"/>
      <c r="Y75" s="60"/>
      <c r="Z75" s="60"/>
      <c r="AA75" s="60"/>
    </row>
    <row r="76" spans="1:29" s="48" customFormat="1" ht="15.75" x14ac:dyDescent="0.25">
      <c r="A76" s="52"/>
      <c r="B76" s="70" t="s">
        <v>53</v>
      </c>
      <c r="C76" s="71" t="e">
        <f>C69-SUM(C72:C74)</f>
        <v>#REF!</v>
      </c>
      <c r="D76" s="119" t="e">
        <f>D69-SUM(D72:D74)</f>
        <v>#REF!</v>
      </c>
      <c r="E76" s="71" t="e">
        <f>D76-C76</f>
        <v>#REF!</v>
      </c>
      <c r="F76" s="72">
        <f>IFERROR(E76/C76,0)</f>
        <v>0</v>
      </c>
      <c r="G76" s="71" t="e">
        <f>G69-SUM(G72:G74)</f>
        <v>#REF!</v>
      </c>
      <c r="H76" s="71" t="e">
        <f>H69-SUM(H72:H74)</f>
        <v>#REF!</v>
      </c>
      <c r="I76" s="71" t="e">
        <f>H76-G76</f>
        <v>#REF!</v>
      </c>
      <c r="J76" s="72">
        <f>IFERROR(I76/G76,0)</f>
        <v>0</v>
      </c>
      <c r="K76" s="72"/>
      <c r="L76" s="71" t="e">
        <f>L69-SUM(L72:L74)</f>
        <v>#REF!</v>
      </c>
      <c r="M76" s="65"/>
      <c r="N76" s="70" t="s">
        <v>53</v>
      </c>
      <c r="O76" s="71" t="e">
        <f t="shared" ref="O76:Z76" si="27">O69-SUM(O72:O74)</f>
        <v>#REF!</v>
      </c>
      <c r="P76" s="71" t="e">
        <f t="shared" si="27"/>
        <v>#REF!</v>
      </c>
      <c r="Q76" s="71" t="e">
        <f>Q69-SUM(Q72:Q74)</f>
        <v>#REF!</v>
      </c>
      <c r="R76" s="71" t="e">
        <f>R69-SUM(R72:R74)</f>
        <v>#REF!</v>
      </c>
      <c r="S76" s="71" t="e">
        <f>S69-SUM(S72:S74)</f>
        <v>#REF!</v>
      </c>
      <c r="T76" s="119" t="e">
        <f t="shared" si="27"/>
        <v>#REF!</v>
      </c>
      <c r="U76" s="71" t="e">
        <f t="shared" si="27"/>
        <v>#REF!</v>
      </c>
      <c r="V76" s="71" t="e">
        <f t="shared" si="27"/>
        <v>#REF!</v>
      </c>
      <c r="W76" s="71" t="e">
        <f t="shared" si="27"/>
        <v>#REF!</v>
      </c>
      <c r="X76" s="71" t="e">
        <f t="shared" si="27"/>
        <v>#REF!</v>
      </c>
      <c r="Y76" s="71" t="e">
        <f t="shared" si="27"/>
        <v>#REF!</v>
      </c>
      <c r="Z76" s="71" t="e">
        <f t="shared" si="27"/>
        <v>#REF!</v>
      </c>
      <c r="AA76" s="71" t="e">
        <f>AA69-SUM(AA72:AA74)</f>
        <v>#REF!</v>
      </c>
    </row>
    <row r="77" spans="1:29" s="23" customFormat="1" ht="15" x14ac:dyDescent="0.2">
      <c r="A77" s="60"/>
      <c r="B77" s="77" t="s">
        <v>89</v>
      </c>
      <c r="C77" s="69">
        <f>IFERROR(C76/C$56,0)</f>
        <v>0</v>
      </c>
      <c r="D77" s="126">
        <f>IFERROR(D76/D$56,0)</f>
        <v>0</v>
      </c>
      <c r="E77" s="60"/>
      <c r="F77" s="60"/>
      <c r="G77" s="69">
        <f>IFERROR(G76/G$56,0)</f>
        <v>0</v>
      </c>
      <c r="H77" s="69">
        <f>IFERROR(H76/H$56,0)</f>
        <v>0</v>
      </c>
      <c r="I77" s="60"/>
      <c r="J77" s="60"/>
      <c r="K77" s="60"/>
      <c r="L77" s="69">
        <f>IFERROR(L76/L$56,0)</f>
        <v>0</v>
      </c>
      <c r="M77" s="60"/>
      <c r="N77" s="77" t="s">
        <v>89</v>
      </c>
      <c r="O77" s="69">
        <f t="shared" ref="O77:AA77" si="28">IFERROR(O76/O$56,0)</f>
        <v>0</v>
      </c>
      <c r="P77" s="69">
        <f t="shared" si="28"/>
        <v>0</v>
      </c>
      <c r="Q77" s="69">
        <f t="shared" si="28"/>
        <v>0</v>
      </c>
      <c r="R77" s="69">
        <f t="shared" si="28"/>
        <v>0</v>
      </c>
      <c r="S77" s="69">
        <f t="shared" si="28"/>
        <v>0</v>
      </c>
      <c r="T77" s="126">
        <f>IFERROR(T76/T$56,0)</f>
        <v>0</v>
      </c>
      <c r="U77" s="69">
        <f t="shared" si="28"/>
        <v>0</v>
      </c>
      <c r="V77" s="69">
        <f t="shared" si="28"/>
        <v>0</v>
      </c>
      <c r="W77" s="69">
        <f t="shared" si="28"/>
        <v>0</v>
      </c>
      <c r="X77" s="69">
        <f t="shared" si="28"/>
        <v>0</v>
      </c>
      <c r="Y77" s="69">
        <f t="shared" si="28"/>
        <v>0</v>
      </c>
      <c r="Z77" s="69">
        <f t="shared" si="28"/>
        <v>0</v>
      </c>
      <c r="AA77" s="69">
        <f t="shared" si="28"/>
        <v>0</v>
      </c>
    </row>
    <row r="78" spans="1:29" s="23" customFormat="1" ht="15" x14ac:dyDescent="0.2">
      <c r="A78" s="60"/>
      <c r="B78" s="79"/>
      <c r="C78" s="60"/>
      <c r="D78" s="117"/>
      <c r="E78" s="60"/>
      <c r="F78" s="60"/>
      <c r="G78" s="60"/>
      <c r="H78" s="60"/>
      <c r="I78" s="60"/>
      <c r="J78" s="60"/>
      <c r="K78" s="60"/>
      <c r="L78" s="60"/>
      <c r="M78" s="60"/>
      <c r="N78" s="79"/>
      <c r="O78" s="60"/>
      <c r="P78" s="60"/>
      <c r="Q78" s="60"/>
      <c r="R78" s="60"/>
      <c r="S78" s="60"/>
      <c r="T78" s="117"/>
      <c r="U78" s="60"/>
      <c r="V78" s="60"/>
      <c r="W78" s="60"/>
      <c r="X78" s="60"/>
      <c r="Y78" s="60"/>
      <c r="Z78" s="60"/>
      <c r="AA78" s="60"/>
    </row>
    <row r="79" spans="1:29" s="23" customFormat="1" ht="15" x14ac:dyDescent="0.2">
      <c r="A79" s="60"/>
      <c r="B79" s="77" t="s">
        <v>90</v>
      </c>
      <c r="C79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79" s="115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79" s="68" t="e">
        <f>D79-C79</f>
        <v>#REF!</v>
      </c>
      <c r="F79" s="60"/>
      <c r="G79" s="150" t="e">
        <f>(1/$D$8)*(PL14_TP!#REF!)</f>
        <v>#REF!</v>
      </c>
      <c r="H79" s="150" t="e">
        <f>(1/$D$8)*(PL14_TP!#REF!)</f>
        <v>#REF!</v>
      </c>
      <c r="I79" s="68" t="e">
        <f>H79-G79</f>
        <v>#REF!</v>
      </c>
      <c r="J79" s="60"/>
      <c r="K79" s="60"/>
      <c r="L79" s="150" t="e">
        <f>(1/$D$8)*(PL14_TP!#REF!)</f>
        <v>#REF!</v>
      </c>
      <c r="M79" s="60"/>
      <c r="N79" s="77" t="s">
        <v>90</v>
      </c>
      <c r="O79" s="68" t="e">
        <f>PL14_TP!#REF!/1000</f>
        <v>#REF!</v>
      </c>
      <c r="P79" s="68" t="e">
        <f>PL14_TP!#REF!/1000</f>
        <v>#REF!</v>
      </c>
      <c r="Q79" s="68" t="e">
        <f>PL14_TP!#REF!/1000</f>
        <v>#REF!</v>
      </c>
      <c r="R79" s="68" t="e">
        <f>PL14_TP!#REF!/1000</f>
        <v>#REF!</v>
      </c>
      <c r="S79" s="68" t="e">
        <f>PL14_TP!#REF!/1000</f>
        <v>#REF!</v>
      </c>
      <c r="T79" s="68" t="e">
        <f>PL14_TP!#REF!/1000</f>
        <v>#REF!</v>
      </c>
      <c r="U79" s="68" t="e">
        <f>PL14_TP!#REF!/1000</f>
        <v>#REF!</v>
      </c>
      <c r="V79" s="68" t="e">
        <f>PL14_TP!#REF!/1000</f>
        <v>#REF!</v>
      </c>
      <c r="W79" s="68" t="e">
        <f>PL14_TP!#REF!/1000</f>
        <v>#REF!</v>
      </c>
      <c r="X79" s="68" t="e">
        <f>PL14_TP!#REF!/1000</f>
        <v>#REF!</v>
      </c>
      <c r="Y79" s="68" t="e">
        <f>PL14_TP!#REF!/1000</f>
        <v>#REF!</v>
      </c>
      <c r="Z79" s="68" t="e">
        <f>PL14_TP!#REF!/1000</f>
        <v>#REF!</v>
      </c>
      <c r="AA79" s="68" t="e">
        <f>SUM(O79:Z79)</f>
        <v>#REF!</v>
      </c>
    </row>
    <row r="80" spans="1:29" s="23" customFormat="1" ht="15" x14ac:dyDescent="0.2">
      <c r="A80" s="60"/>
      <c r="B80" s="79"/>
      <c r="C80" s="60"/>
      <c r="D80" s="117"/>
      <c r="E80" s="60"/>
      <c r="F80" s="60"/>
      <c r="G80" s="60"/>
      <c r="H80" s="60"/>
      <c r="I80" s="60"/>
      <c r="J80" s="60"/>
      <c r="K80" s="60"/>
      <c r="L80" s="60"/>
      <c r="M80" s="60"/>
      <c r="N80" s="79"/>
      <c r="O80" s="60"/>
      <c r="P80" s="60"/>
      <c r="Q80" s="60"/>
      <c r="R80" s="60"/>
      <c r="S80" s="60"/>
      <c r="T80" s="117"/>
      <c r="U80" s="60"/>
      <c r="V80" s="60"/>
      <c r="W80" s="60"/>
      <c r="X80" s="60"/>
      <c r="Y80" s="60"/>
      <c r="Z80" s="60"/>
      <c r="AA80" s="60"/>
    </row>
    <row r="81" spans="1:27" s="48" customFormat="1" ht="15.75" x14ac:dyDescent="0.25">
      <c r="A81" s="52"/>
      <c r="B81" s="70" t="s">
        <v>43</v>
      </c>
      <c r="C81" s="71" t="e">
        <f>C76-C79</f>
        <v>#REF!</v>
      </c>
      <c r="D81" s="119" t="e">
        <f>D76-D79</f>
        <v>#REF!</v>
      </c>
      <c r="E81" s="71" t="e">
        <f>D81-C81</f>
        <v>#REF!</v>
      </c>
      <c r="F81" s="72">
        <f>IFERROR(E81/C81,0)</f>
        <v>0</v>
      </c>
      <c r="G81" s="71" t="e">
        <f>G76-G79</f>
        <v>#REF!</v>
      </c>
      <c r="H81" s="71" t="e">
        <f>H76-H79</f>
        <v>#REF!</v>
      </c>
      <c r="I81" s="71" t="e">
        <f>H81-G81</f>
        <v>#REF!</v>
      </c>
      <c r="J81" s="72">
        <f>IFERROR(I81/G81,0)</f>
        <v>0</v>
      </c>
      <c r="K81" s="72"/>
      <c r="L81" s="71" t="e">
        <f>L76-L79</f>
        <v>#REF!</v>
      </c>
      <c r="M81" s="65"/>
      <c r="N81" s="70" t="s">
        <v>43</v>
      </c>
      <c r="O81" s="71" t="e">
        <f t="shared" ref="O81:AA81" si="29">O76-O79</f>
        <v>#REF!</v>
      </c>
      <c r="P81" s="71" t="e">
        <f t="shared" si="29"/>
        <v>#REF!</v>
      </c>
      <c r="Q81" s="71" t="e">
        <f t="shared" si="29"/>
        <v>#REF!</v>
      </c>
      <c r="R81" s="71" t="e">
        <f t="shared" si="29"/>
        <v>#REF!</v>
      </c>
      <c r="S81" s="71" t="e">
        <f t="shared" si="29"/>
        <v>#REF!</v>
      </c>
      <c r="T81" s="119" t="e">
        <f t="shared" si="29"/>
        <v>#REF!</v>
      </c>
      <c r="U81" s="71" t="e">
        <f t="shared" si="29"/>
        <v>#REF!</v>
      </c>
      <c r="V81" s="71" t="e">
        <f t="shared" si="29"/>
        <v>#REF!</v>
      </c>
      <c r="W81" s="71" t="e">
        <f t="shared" si="29"/>
        <v>#REF!</v>
      </c>
      <c r="X81" s="71" t="e">
        <f t="shared" si="29"/>
        <v>#REF!</v>
      </c>
      <c r="Y81" s="71" t="e">
        <f t="shared" si="29"/>
        <v>#REF!</v>
      </c>
      <c r="Z81" s="71" t="e">
        <f t="shared" si="29"/>
        <v>#REF!</v>
      </c>
      <c r="AA81" s="71" t="e">
        <f t="shared" si="29"/>
        <v>#REF!</v>
      </c>
    </row>
    <row r="82" spans="1:27" s="23" customFormat="1" ht="15" x14ac:dyDescent="0.2">
      <c r="A82" s="60"/>
      <c r="B82" s="79"/>
      <c r="C82" s="69"/>
      <c r="D82" s="118"/>
      <c r="E82" s="60"/>
      <c r="F82" s="60"/>
      <c r="G82" s="69"/>
      <c r="H82" s="69"/>
      <c r="I82" s="60"/>
      <c r="J82" s="60"/>
      <c r="K82" s="60"/>
      <c r="L82" s="69"/>
      <c r="M82" s="60"/>
      <c r="N82" s="79"/>
      <c r="O82" s="69"/>
      <c r="P82" s="69"/>
      <c r="Q82" s="69"/>
      <c r="R82" s="69"/>
      <c r="S82" s="69"/>
      <c r="T82" s="118"/>
      <c r="U82" s="69"/>
      <c r="V82" s="69"/>
      <c r="W82" s="69"/>
      <c r="X82" s="69"/>
      <c r="Y82" s="69"/>
      <c r="Z82" s="69"/>
      <c r="AA82" s="69"/>
    </row>
    <row r="83" spans="1:27" s="23" customFormat="1" ht="15" x14ac:dyDescent="0.2">
      <c r="A83" s="60"/>
      <c r="B83" s="77" t="s">
        <v>91</v>
      </c>
      <c r="C83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83" s="115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83" s="68" t="e">
        <f>D83-C83</f>
        <v>#REF!</v>
      </c>
      <c r="F83" s="60"/>
      <c r="G83" s="150" t="e">
        <f>(1/$D$8)*(PL14_TP!#REF!)</f>
        <v>#REF!</v>
      </c>
      <c r="H83" s="150" t="e">
        <f>(1/$D$8)*(PL14_TP!#REF!)</f>
        <v>#REF!</v>
      </c>
      <c r="I83" s="150" t="e">
        <f>H83-G83</f>
        <v>#REF!</v>
      </c>
      <c r="J83" s="151"/>
      <c r="K83" s="151"/>
      <c r="L83" s="150" t="e">
        <f>(1/$D$8)*(PL14_TP!#REF!)</f>
        <v>#REF!</v>
      </c>
      <c r="M83" s="60"/>
      <c r="N83" s="77" t="s">
        <v>91</v>
      </c>
      <c r="O83" s="68" t="e">
        <f>PL14_TP!#REF!/1000</f>
        <v>#REF!</v>
      </c>
      <c r="P83" s="68" t="e">
        <f>PL14_TP!#REF!/1000</f>
        <v>#REF!</v>
      </c>
      <c r="Q83" s="68" t="e">
        <f>PL14_TP!#REF!/1000</f>
        <v>#REF!</v>
      </c>
      <c r="R83" s="68" t="e">
        <f>PL14_TP!#REF!/1000</f>
        <v>#REF!</v>
      </c>
      <c r="S83" s="68" t="e">
        <f>PL14_TP!#REF!/1000</f>
        <v>#REF!</v>
      </c>
      <c r="T83" s="68" t="e">
        <f>PL14_TP!#REF!/1000</f>
        <v>#REF!</v>
      </c>
      <c r="U83" s="68" t="e">
        <f>PL14_TP!#REF!/1000</f>
        <v>#REF!</v>
      </c>
      <c r="V83" s="68" t="e">
        <f>PL14_TP!#REF!/1000</f>
        <v>#REF!</v>
      </c>
      <c r="W83" s="68" t="e">
        <f>PL14_TP!#REF!/1000</f>
        <v>#REF!</v>
      </c>
      <c r="X83" s="68" t="e">
        <f>PL14_TP!#REF!/1000</f>
        <v>#REF!</v>
      </c>
      <c r="Y83" s="68" t="e">
        <f>PL14_TP!#REF!/1000</f>
        <v>#REF!</v>
      </c>
      <c r="Z83" s="68" t="e">
        <f>PL14_TP!#REF!/1000</f>
        <v>#REF!</v>
      </c>
      <c r="AA83" s="68" t="e">
        <f>SUM(O83:Z83)</f>
        <v>#REF!</v>
      </c>
    </row>
    <row r="84" spans="1:27" s="23" customFormat="1" ht="15" x14ac:dyDescent="0.2">
      <c r="A84" s="60"/>
      <c r="B84" s="77" t="s">
        <v>92</v>
      </c>
      <c r="C84" s="68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D84" s="115" t="e">
        <f>IF($E$4=1,PL14_TP!#REF!/1000,IF($E$4=2,PL14_TP!#REF!/1000,IF($E$4=3, PL14_TP!#REF!/1000,IF($E$4=4,PL14_TP!#REF!/1000,IF($E$4=5,PL14_TP!#REF!/1000,IF($E$4=6,PL14_TP!#REF!/1000,IF($E$4=7, PL14_TP!#REF!/1000,IF($E$4=8, PL14_TP!#REF!/1000,IF($E$4=9, PL14_TP!#REF!/1000,IF($E$4=10, PL14_TP!#REF!/1000,IF($E$4=11, PL14_TP!#REF!/1000,IF($E$4=12, PL14_TP!#REF!/1000))))))))))))</f>
        <v>#REF!</v>
      </c>
      <c r="E84" s="68" t="e">
        <f>D84-C84</f>
        <v>#REF!</v>
      </c>
      <c r="F84" s="60"/>
      <c r="G84" s="150" t="e">
        <f>(1/$D$8)*(PL14_TP!#REF!)</f>
        <v>#REF!</v>
      </c>
      <c r="H84" s="150" t="e">
        <f>(1/$D$8)*(PL14_TP!#REF!)</f>
        <v>#REF!</v>
      </c>
      <c r="I84" s="150" t="e">
        <f>H84-G84</f>
        <v>#REF!</v>
      </c>
      <c r="J84" s="151"/>
      <c r="K84" s="151"/>
      <c r="L84" s="150" t="e">
        <f>(1/$D$8)*(PL14_TP!#REF!)</f>
        <v>#REF!</v>
      </c>
      <c r="M84" s="60"/>
      <c r="N84" s="77" t="s">
        <v>92</v>
      </c>
      <c r="O84" s="68" t="e">
        <f>PL14_TP!#REF!/1000</f>
        <v>#REF!</v>
      </c>
      <c r="P84" s="68" t="e">
        <f>PL14_TP!#REF!/1000</f>
        <v>#REF!</v>
      </c>
      <c r="Q84" s="68" t="e">
        <f>PL14_TP!#REF!/1000</f>
        <v>#REF!</v>
      </c>
      <c r="R84" s="68" t="e">
        <f>PL14_TP!#REF!/1000</f>
        <v>#REF!</v>
      </c>
      <c r="S84" s="68" t="e">
        <f>PL14_TP!#REF!/1000</f>
        <v>#REF!</v>
      </c>
      <c r="T84" s="68" t="e">
        <f>PL14_TP!#REF!/1000</f>
        <v>#REF!</v>
      </c>
      <c r="U84" s="68" t="e">
        <f>PL14_TP!#REF!/1000</f>
        <v>#REF!</v>
      </c>
      <c r="V84" s="68" t="e">
        <f>PL14_TP!#REF!/1000</f>
        <v>#REF!</v>
      </c>
      <c r="W84" s="68" t="e">
        <f>PL14_TP!#REF!/1000</f>
        <v>#REF!</v>
      </c>
      <c r="X84" s="68" t="e">
        <f>PL14_TP!#REF!/1000</f>
        <v>#REF!</v>
      </c>
      <c r="Y84" s="68" t="e">
        <f>PL14_TP!#REF!/1000</f>
        <v>#REF!</v>
      </c>
      <c r="Z84" s="68" t="e">
        <f>PL14_TP!#REF!/1000</f>
        <v>#REF!</v>
      </c>
      <c r="AA84" s="150" t="e">
        <f>SUM(O84:Z84)</f>
        <v>#REF!</v>
      </c>
    </row>
    <row r="85" spans="1:27" s="23" customFormat="1" ht="15" x14ac:dyDescent="0.2">
      <c r="A85" s="60"/>
      <c r="B85" s="79"/>
      <c r="C85" s="60"/>
      <c r="D85" s="117"/>
      <c r="E85" s="60"/>
      <c r="F85" s="60"/>
      <c r="G85" s="60"/>
      <c r="H85" s="60"/>
      <c r="I85" s="60"/>
      <c r="J85" s="60"/>
      <c r="K85" s="60"/>
      <c r="L85" s="60"/>
      <c r="M85" s="60"/>
      <c r="N85" s="79"/>
      <c r="O85" s="60"/>
      <c r="P85" s="60"/>
      <c r="Q85" s="60"/>
      <c r="R85" s="60"/>
      <c r="S85" s="60"/>
      <c r="T85" s="117"/>
      <c r="U85" s="60"/>
      <c r="V85" s="60"/>
      <c r="W85" s="60"/>
      <c r="X85" s="60"/>
      <c r="Y85" s="60"/>
      <c r="Z85" s="60"/>
      <c r="AA85" s="60"/>
    </row>
    <row r="86" spans="1:27" s="48" customFormat="1" ht="15.75" x14ac:dyDescent="0.25">
      <c r="A86" s="52"/>
      <c r="B86" s="70" t="s">
        <v>93</v>
      </c>
      <c r="C86" s="71" t="e">
        <f>C81+C83-C84</f>
        <v>#REF!</v>
      </c>
      <c r="D86" s="119" t="e">
        <f>D81+D83-D84</f>
        <v>#REF!</v>
      </c>
      <c r="E86" s="71" t="e">
        <f>D86-C86</f>
        <v>#REF!</v>
      </c>
      <c r="F86" s="72">
        <f>IFERROR(E86/C86,0)</f>
        <v>0</v>
      </c>
      <c r="G86" s="71" t="e">
        <f>G81+G83-G84</f>
        <v>#REF!</v>
      </c>
      <c r="H86" s="71" t="e">
        <f>H81+H83-H84</f>
        <v>#REF!</v>
      </c>
      <c r="I86" s="71" t="e">
        <f>H86-G86</f>
        <v>#REF!</v>
      </c>
      <c r="J86" s="72">
        <f>IFERROR(I86/G86,0)</f>
        <v>0</v>
      </c>
      <c r="K86" s="72"/>
      <c r="L86" s="71" t="e">
        <f>L81+L83-L84</f>
        <v>#REF!</v>
      </c>
      <c r="M86" s="65"/>
      <c r="N86" s="70" t="s">
        <v>93</v>
      </c>
      <c r="O86" s="71" t="e">
        <f t="shared" ref="O86:AA86" si="30">O81+O83-O84</f>
        <v>#REF!</v>
      </c>
      <c r="P86" s="71" t="e">
        <f t="shared" si="30"/>
        <v>#REF!</v>
      </c>
      <c r="Q86" s="71" t="e">
        <f t="shared" si="30"/>
        <v>#REF!</v>
      </c>
      <c r="R86" s="71" t="e">
        <f t="shared" si="30"/>
        <v>#REF!</v>
      </c>
      <c r="S86" s="71" t="e">
        <f t="shared" si="30"/>
        <v>#REF!</v>
      </c>
      <c r="T86" s="119" t="e">
        <f t="shared" si="30"/>
        <v>#REF!</v>
      </c>
      <c r="U86" s="71" t="e">
        <f t="shared" si="30"/>
        <v>#REF!</v>
      </c>
      <c r="V86" s="71" t="e">
        <f t="shared" si="30"/>
        <v>#REF!</v>
      </c>
      <c r="W86" s="71" t="e">
        <f t="shared" si="30"/>
        <v>#REF!</v>
      </c>
      <c r="X86" s="71" t="e">
        <f t="shared" si="30"/>
        <v>#REF!</v>
      </c>
      <c r="Y86" s="71" t="e">
        <f t="shared" si="30"/>
        <v>#REF!</v>
      </c>
      <c r="Z86" s="71" t="e">
        <f t="shared" si="30"/>
        <v>#REF!</v>
      </c>
      <c r="AA86" s="71" t="e">
        <f t="shared" si="30"/>
        <v>#REF!</v>
      </c>
    </row>
    <row r="87" spans="1:27" s="23" customFormat="1" ht="15" customHeight="1" x14ac:dyDescent="0.2">
      <c r="A87" s="60"/>
      <c r="B87" s="60"/>
      <c r="C87" s="69">
        <f>IFERROR(C86/C$56,0)</f>
        <v>0</v>
      </c>
      <c r="D87" s="155">
        <f>IFERROR(D86/D$56,0)</f>
        <v>0</v>
      </c>
      <c r="E87" s="60"/>
      <c r="F87" s="60"/>
      <c r="G87" s="69">
        <f>IFERROR(G86/G$56,0)</f>
        <v>0</v>
      </c>
      <c r="H87" s="69">
        <f>IFERROR(H86/H$56,0)</f>
        <v>0</v>
      </c>
      <c r="I87" s="60"/>
      <c r="J87" s="60"/>
      <c r="K87" s="60"/>
      <c r="L87" s="69">
        <f>IFERROR(L86/L$56,0)</f>
        <v>0</v>
      </c>
      <c r="M87" s="60"/>
      <c r="N87" s="60"/>
      <c r="O87" s="69">
        <f t="shared" ref="O87:AA87" si="31">IFERROR(O86/O$56,0)</f>
        <v>0</v>
      </c>
      <c r="P87" s="69">
        <f t="shared" si="31"/>
        <v>0</v>
      </c>
      <c r="Q87" s="69">
        <f t="shared" si="31"/>
        <v>0</v>
      </c>
      <c r="R87" s="69">
        <f t="shared" si="31"/>
        <v>0</v>
      </c>
      <c r="S87" s="69">
        <f t="shared" si="31"/>
        <v>0</v>
      </c>
      <c r="T87" s="69">
        <f>IFERROR(T86/T$56,0)</f>
        <v>0</v>
      </c>
      <c r="U87" s="69">
        <f t="shared" si="31"/>
        <v>0</v>
      </c>
      <c r="V87" s="69">
        <f t="shared" si="31"/>
        <v>0</v>
      </c>
      <c r="W87" s="69">
        <f t="shared" si="31"/>
        <v>0</v>
      </c>
      <c r="X87" s="69">
        <f t="shared" si="31"/>
        <v>0</v>
      </c>
      <c r="Y87" s="69">
        <f t="shared" si="31"/>
        <v>0</v>
      </c>
      <c r="Z87" s="69">
        <f t="shared" si="31"/>
        <v>0</v>
      </c>
      <c r="AA87" s="69">
        <f t="shared" si="31"/>
        <v>0</v>
      </c>
    </row>
    <row r="88" spans="1:27" s="23" customFormat="1" ht="16.5" thickBot="1" x14ac:dyDescent="0.3">
      <c r="A88" s="60"/>
      <c r="B88" s="52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</row>
    <row r="89" spans="1:27" s="32" customFormat="1" ht="15.75" x14ac:dyDescent="0.2">
      <c r="A89" s="62" t="s">
        <v>94</v>
      </c>
      <c r="B89" s="62"/>
      <c r="C89" s="63" t="s">
        <v>4</v>
      </c>
      <c r="D89" s="63" t="s">
        <v>5</v>
      </c>
      <c r="E89" s="63" t="s">
        <v>6</v>
      </c>
      <c r="F89" s="63"/>
      <c r="G89" s="63" t="s">
        <v>124</v>
      </c>
      <c r="H89" s="63" t="s">
        <v>123</v>
      </c>
      <c r="I89" s="63" t="s">
        <v>6</v>
      </c>
      <c r="J89" s="62"/>
      <c r="K89" s="62"/>
      <c r="L89" s="63" t="s">
        <v>126</v>
      </c>
      <c r="M89" s="62" t="s">
        <v>94</v>
      </c>
      <c r="N89" s="62"/>
      <c r="O89" s="63" t="s">
        <v>61</v>
      </c>
      <c r="P89" s="63" t="s">
        <v>62</v>
      </c>
      <c r="Q89" s="63" t="s">
        <v>63</v>
      </c>
      <c r="R89" s="63" t="s">
        <v>64</v>
      </c>
      <c r="S89" s="63" t="s">
        <v>54</v>
      </c>
      <c r="T89" s="63" t="s">
        <v>65</v>
      </c>
      <c r="U89" s="63" t="s">
        <v>66</v>
      </c>
      <c r="V89" s="63" t="s">
        <v>67</v>
      </c>
      <c r="W89" s="63" t="s">
        <v>68</v>
      </c>
      <c r="X89" s="63" t="s">
        <v>69</v>
      </c>
      <c r="Y89" s="63" t="s">
        <v>122</v>
      </c>
      <c r="Z89" s="63" t="s">
        <v>70</v>
      </c>
      <c r="AA89" s="63" t="s">
        <v>17</v>
      </c>
    </row>
    <row r="90" spans="1:27" s="23" customFormat="1" ht="15" outlineLevel="1" x14ac:dyDescent="0.2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</row>
    <row r="91" spans="1:27" s="23" customFormat="1" ht="15.75" outlineLevel="1" x14ac:dyDescent="0.25">
      <c r="A91" s="61"/>
      <c r="B91" s="64" t="s">
        <v>130</v>
      </c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4" t="s">
        <v>130</v>
      </c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</row>
    <row r="92" spans="1:27" s="23" customFormat="1" ht="15" outlineLevel="1" x14ac:dyDescent="0.2">
      <c r="A92" s="61"/>
      <c r="B92" s="77" t="s">
        <v>53</v>
      </c>
      <c r="C92" s="80" t="e">
        <f>C76</f>
        <v>#REF!</v>
      </c>
      <c r="D92" s="80" t="e">
        <f>D76</f>
        <v>#REF!</v>
      </c>
      <c r="E92" s="80" t="e">
        <f>D92-C92</f>
        <v>#REF!</v>
      </c>
      <c r="F92" s="81"/>
      <c r="G92" s="80" t="e">
        <f>G76</f>
        <v>#REF!</v>
      </c>
      <c r="H92" s="80" t="e">
        <f>H76</f>
        <v>#REF!</v>
      </c>
      <c r="I92" s="80" t="e">
        <f>H92-G92</f>
        <v>#REF!</v>
      </c>
      <c r="J92" s="61"/>
      <c r="K92" s="61"/>
      <c r="L92" s="80" t="e">
        <f>L76</f>
        <v>#REF!</v>
      </c>
      <c r="M92" s="61"/>
      <c r="N92" s="77" t="s">
        <v>53</v>
      </c>
      <c r="O92" s="80" t="e">
        <f t="shared" ref="O92:Z92" si="32">O76</f>
        <v>#REF!</v>
      </c>
      <c r="P92" s="80" t="e">
        <f t="shared" si="32"/>
        <v>#REF!</v>
      </c>
      <c r="Q92" s="80" t="e">
        <f t="shared" si="32"/>
        <v>#REF!</v>
      </c>
      <c r="R92" s="80" t="e">
        <f t="shared" si="32"/>
        <v>#REF!</v>
      </c>
      <c r="S92" s="80" t="e">
        <f>S76</f>
        <v>#REF!</v>
      </c>
      <c r="T92" s="122" t="e">
        <f t="shared" si="32"/>
        <v>#REF!</v>
      </c>
      <c r="U92" s="80" t="e">
        <f>U76</f>
        <v>#REF!</v>
      </c>
      <c r="V92" s="80" t="e">
        <f t="shared" si="32"/>
        <v>#REF!</v>
      </c>
      <c r="W92" s="80" t="e">
        <f t="shared" si="32"/>
        <v>#REF!</v>
      </c>
      <c r="X92" s="80" t="e">
        <f t="shared" si="32"/>
        <v>#REF!</v>
      </c>
      <c r="Y92" s="80" t="e">
        <f t="shared" si="32"/>
        <v>#REF!</v>
      </c>
      <c r="Z92" s="80" t="e">
        <f t="shared" si="32"/>
        <v>#REF!</v>
      </c>
      <c r="AA92" s="82" t="e">
        <f>SUM(O92:Z92)</f>
        <v>#REF!</v>
      </c>
    </row>
    <row r="93" spans="1:27" s="23" customFormat="1" ht="15" outlineLevel="1" x14ac:dyDescent="0.2">
      <c r="A93" s="61"/>
      <c r="B93" s="77" t="s">
        <v>95</v>
      </c>
      <c r="C93" s="80" t="e">
        <f>C109-C108-C104-C98-C92</f>
        <v>#REF!</v>
      </c>
      <c r="D93" s="127" t="e">
        <f>D109-D108-D104-D98-D92</f>
        <v>#REF!</v>
      </c>
      <c r="E93" s="80" t="e">
        <f>D93-C93</f>
        <v>#REF!</v>
      </c>
      <c r="F93" s="81"/>
      <c r="G93" s="80" t="e">
        <f>G109-G108-G104-G98-G92</f>
        <v>#REF!</v>
      </c>
      <c r="H93" s="80" t="e">
        <f>H109-H108-H104-H98-H92</f>
        <v>#REF!</v>
      </c>
      <c r="I93" s="80" t="e">
        <f>H93-G93</f>
        <v>#REF!</v>
      </c>
      <c r="J93" s="61"/>
      <c r="K93" s="61"/>
      <c r="L93" s="80" t="e">
        <f>L109-L108-L104-L98-L92</f>
        <v>#REF!</v>
      </c>
      <c r="M93" s="61"/>
      <c r="N93" s="77" t="s">
        <v>95</v>
      </c>
      <c r="O93" s="80" t="e">
        <f t="shared" ref="O93:Z93" si="33">O109-O108-O104-O98-O92</f>
        <v>#REF!</v>
      </c>
      <c r="P93" s="80" t="e">
        <f t="shared" si="33"/>
        <v>#REF!</v>
      </c>
      <c r="Q93" s="80" t="e">
        <f t="shared" si="33"/>
        <v>#REF!</v>
      </c>
      <c r="R93" s="80" t="e">
        <f t="shared" si="33"/>
        <v>#REF!</v>
      </c>
      <c r="S93" s="80" t="e">
        <f t="shared" si="33"/>
        <v>#REF!</v>
      </c>
      <c r="T93" s="107" t="e">
        <f>T109-T108-T104-T98-T92</f>
        <v>#REF!</v>
      </c>
      <c r="U93" s="80" t="e">
        <f>U109-U108-U104-U98-U92</f>
        <v>#REF!</v>
      </c>
      <c r="V93" s="80" t="e">
        <f>V109-V108-V104-V98-V92</f>
        <v>#REF!</v>
      </c>
      <c r="W93" s="80" t="e">
        <f t="shared" si="33"/>
        <v>#REF!</v>
      </c>
      <c r="X93" s="80" t="e">
        <f t="shared" si="33"/>
        <v>#REF!</v>
      </c>
      <c r="Y93" s="80" t="e">
        <f t="shared" si="33"/>
        <v>#REF!</v>
      </c>
      <c r="Z93" s="80" t="e">
        <f t="shared" si="33"/>
        <v>#REF!</v>
      </c>
      <c r="AA93" s="82" t="e">
        <f>SUM(O93:Z93)</f>
        <v>#REF!</v>
      </c>
    </row>
    <row r="94" spans="1:27" s="23" customFormat="1" ht="15" outlineLevel="1" x14ac:dyDescent="0.2">
      <c r="A94" s="51"/>
      <c r="B94" s="83" t="s">
        <v>96</v>
      </c>
      <c r="C94" s="84" t="e">
        <f>SUM(C92:C93)</f>
        <v>#REF!</v>
      </c>
      <c r="D94" s="84" t="e">
        <f>SUM(D92:D93)</f>
        <v>#REF!</v>
      </c>
      <c r="E94" s="84" t="e">
        <f>D94-C94</f>
        <v>#REF!</v>
      </c>
      <c r="F94" s="85"/>
      <c r="G94" s="84" t="e">
        <f>SUM(G92:G93)</f>
        <v>#REF!</v>
      </c>
      <c r="H94" s="84" t="e">
        <f>SUM(H92:H93)</f>
        <v>#REF!</v>
      </c>
      <c r="I94" s="84" t="e">
        <f>H94-G94</f>
        <v>#REF!</v>
      </c>
      <c r="J94" s="86"/>
      <c r="K94" s="86"/>
      <c r="L94" s="84" t="e">
        <f>SUM(L92:L93)</f>
        <v>#REF!</v>
      </c>
      <c r="M94" s="51"/>
      <c r="N94" s="83" t="s">
        <v>96</v>
      </c>
      <c r="O94" s="84" t="e">
        <f t="shared" ref="O94:Z94" si="34">SUM(O92:O93)</f>
        <v>#REF!</v>
      </c>
      <c r="P94" s="84" t="e">
        <f t="shared" si="34"/>
        <v>#REF!</v>
      </c>
      <c r="Q94" s="84" t="e">
        <f t="shared" si="34"/>
        <v>#REF!</v>
      </c>
      <c r="R94" s="84" t="e">
        <f t="shared" si="34"/>
        <v>#REF!</v>
      </c>
      <c r="S94" s="84" t="e">
        <f t="shared" si="34"/>
        <v>#REF!</v>
      </c>
      <c r="T94" s="121" t="e">
        <f t="shared" si="34"/>
        <v>#REF!</v>
      </c>
      <c r="U94" s="84" t="e">
        <f>SUM(U92:U93)</f>
        <v>#REF!</v>
      </c>
      <c r="V94" s="84" t="e">
        <f t="shared" si="34"/>
        <v>#REF!</v>
      </c>
      <c r="W94" s="84" t="e">
        <f t="shared" si="34"/>
        <v>#REF!</v>
      </c>
      <c r="X94" s="84" t="e">
        <f t="shared" si="34"/>
        <v>#REF!</v>
      </c>
      <c r="Y94" s="84" t="e">
        <f t="shared" si="34"/>
        <v>#REF!</v>
      </c>
      <c r="Z94" s="84" t="e">
        <f t="shared" si="34"/>
        <v>#REF!</v>
      </c>
      <c r="AA94" s="84" t="e">
        <f>SUM(AA92:AA93)</f>
        <v>#REF!</v>
      </c>
    </row>
    <row r="95" spans="1:27" s="23" customFormat="1" ht="15.75" outlineLevel="1" x14ac:dyDescent="0.25">
      <c r="A95" s="61"/>
      <c r="B95" s="87"/>
      <c r="C95" s="81"/>
      <c r="D95" s="81"/>
      <c r="E95" s="81"/>
      <c r="F95" s="81"/>
      <c r="G95" s="81"/>
      <c r="H95" s="81"/>
      <c r="I95" s="81"/>
      <c r="J95" s="61"/>
      <c r="K95" s="61"/>
      <c r="L95" s="81"/>
      <c r="M95" s="61"/>
      <c r="N95" s="87"/>
      <c r="O95" s="81"/>
      <c r="P95" s="81"/>
      <c r="Q95" s="81"/>
      <c r="R95" s="81"/>
      <c r="S95" s="81"/>
      <c r="T95" s="123"/>
      <c r="U95" s="81"/>
      <c r="V95" s="81"/>
      <c r="W95" s="81"/>
      <c r="X95" s="81"/>
      <c r="Y95" s="81"/>
      <c r="Z95" s="81"/>
      <c r="AA95" s="82"/>
    </row>
    <row r="96" spans="1:27" s="23" customFormat="1" ht="15" outlineLevel="1" x14ac:dyDescent="0.2">
      <c r="A96" s="61"/>
      <c r="B96" s="88" t="s">
        <v>97</v>
      </c>
      <c r="C96" s="81"/>
      <c r="D96" s="81"/>
      <c r="E96" s="81"/>
      <c r="F96" s="81"/>
      <c r="G96" s="81"/>
      <c r="H96" s="81"/>
      <c r="I96" s="81"/>
      <c r="J96" s="61"/>
      <c r="K96" s="61"/>
      <c r="L96" s="81"/>
      <c r="M96" s="61"/>
      <c r="N96" s="88" t="s">
        <v>97</v>
      </c>
      <c r="O96" s="81"/>
      <c r="P96" s="81"/>
      <c r="Q96" s="81"/>
      <c r="R96" s="81"/>
      <c r="S96" s="81"/>
      <c r="T96" s="123"/>
      <c r="U96" s="81"/>
      <c r="V96" s="81"/>
      <c r="W96" s="81"/>
      <c r="X96" s="81"/>
      <c r="Y96" s="81"/>
      <c r="Z96" s="81"/>
      <c r="AA96" s="81"/>
    </row>
    <row r="97" spans="1:28" s="50" customFormat="1" ht="15" outlineLevel="1" x14ac:dyDescent="0.2">
      <c r="A97" s="61"/>
      <c r="B97" s="77" t="s">
        <v>98</v>
      </c>
      <c r="C97" s="169">
        <f>[3]CF14_TP!$Q$183</f>
        <v>0</v>
      </c>
      <c r="D97" s="169">
        <f>[3]CF14_TP!$R$183</f>
        <v>0</v>
      </c>
      <c r="E97" s="80">
        <f>D97-C97</f>
        <v>0</v>
      </c>
      <c r="F97" s="81"/>
      <c r="G97" s="170">
        <f>[3]CF14_TP!$AD$183/1000</f>
        <v>1880</v>
      </c>
      <c r="H97" s="169">
        <f>[3]CF14_TP!$AF$183/1000</f>
        <v>40.375</v>
      </c>
      <c r="I97" s="80">
        <f>H97-G97</f>
        <v>-1839.625</v>
      </c>
      <c r="J97" s="61"/>
      <c r="K97" s="61"/>
      <c r="L97" s="170">
        <f>[3]CF14_TP!$AS$183/1000</f>
        <v>3180</v>
      </c>
      <c r="M97" s="61"/>
      <c r="N97" s="77" t="s">
        <v>98</v>
      </c>
      <c r="O97" s="169">
        <v>0</v>
      </c>
      <c r="P97" s="169">
        <v>0</v>
      </c>
      <c r="Q97" s="169">
        <v>0</v>
      </c>
      <c r="R97" s="169">
        <v>0</v>
      </c>
      <c r="S97" s="169">
        <v>0</v>
      </c>
      <c r="T97" s="173">
        <v>0</v>
      </c>
      <c r="U97" s="169">
        <v>0</v>
      </c>
      <c r="V97" s="169">
        <v>0</v>
      </c>
      <c r="W97" s="169">
        <v>0</v>
      </c>
      <c r="X97" s="169">
        <v>0</v>
      </c>
      <c r="Y97" s="169">
        <v>0</v>
      </c>
      <c r="Z97" s="169">
        <v>0</v>
      </c>
      <c r="AA97" s="82">
        <f>SUM(O97:Z97)</f>
        <v>0</v>
      </c>
    </row>
    <row r="98" spans="1:28" s="23" customFormat="1" ht="15" outlineLevel="1" x14ac:dyDescent="0.2">
      <c r="A98" s="51"/>
      <c r="B98" s="83" t="s">
        <v>99</v>
      </c>
      <c r="C98" s="84">
        <f>SUM(C97)</f>
        <v>0</v>
      </c>
      <c r="D98" s="84">
        <f>SUM(D97)</f>
        <v>0</v>
      </c>
      <c r="E98" s="84">
        <f>D98-C98</f>
        <v>0</v>
      </c>
      <c r="F98" s="85"/>
      <c r="G98" s="84">
        <f>SUM(G97)</f>
        <v>1880</v>
      </c>
      <c r="H98" s="84">
        <f>AA98</f>
        <v>0</v>
      </c>
      <c r="I98" s="84">
        <f>H98-G98</f>
        <v>-1880</v>
      </c>
      <c r="J98" s="86"/>
      <c r="K98" s="86"/>
      <c r="L98" s="84">
        <f>SUM(L97)</f>
        <v>3180</v>
      </c>
      <c r="M98" s="51"/>
      <c r="N98" s="83" t="s">
        <v>99</v>
      </c>
      <c r="O98" s="84">
        <f t="shared" ref="O98:AA98" si="35">SUM(O97)</f>
        <v>0</v>
      </c>
      <c r="P98" s="84">
        <f t="shared" si="35"/>
        <v>0</v>
      </c>
      <c r="Q98" s="84">
        <f t="shared" si="35"/>
        <v>0</v>
      </c>
      <c r="R98" s="84">
        <f t="shared" si="35"/>
        <v>0</v>
      </c>
      <c r="S98" s="84">
        <f t="shared" si="35"/>
        <v>0</v>
      </c>
      <c r="T98" s="124">
        <f t="shared" si="35"/>
        <v>0</v>
      </c>
      <c r="U98" s="84">
        <f t="shared" si="35"/>
        <v>0</v>
      </c>
      <c r="V98" s="84">
        <f t="shared" si="35"/>
        <v>0</v>
      </c>
      <c r="W98" s="84">
        <f t="shared" si="35"/>
        <v>0</v>
      </c>
      <c r="X98" s="84">
        <f t="shared" si="35"/>
        <v>0</v>
      </c>
      <c r="Y98" s="84">
        <f t="shared" si="35"/>
        <v>0</v>
      </c>
      <c r="Z98" s="84">
        <f t="shared" si="35"/>
        <v>0</v>
      </c>
      <c r="AA98" s="84">
        <f t="shared" si="35"/>
        <v>0</v>
      </c>
    </row>
    <row r="99" spans="1:28" s="23" customFormat="1" ht="15.75" outlineLevel="1" x14ac:dyDescent="0.25">
      <c r="A99" s="61"/>
      <c r="B99" s="87"/>
      <c r="C99" s="81"/>
      <c r="D99" s="81"/>
      <c r="E99" s="81"/>
      <c r="F99" s="81"/>
      <c r="G99" s="81"/>
      <c r="H99" s="81"/>
      <c r="I99" s="81"/>
      <c r="J99" s="61"/>
      <c r="K99" s="61"/>
      <c r="L99" s="81"/>
      <c r="M99" s="61"/>
      <c r="N99" s="87"/>
      <c r="O99" s="81"/>
      <c r="P99" s="81"/>
      <c r="Q99" s="81"/>
      <c r="R99" s="81"/>
      <c r="S99" s="81"/>
      <c r="T99" s="123"/>
      <c r="U99" s="81"/>
      <c r="V99" s="81"/>
      <c r="W99" s="81"/>
      <c r="X99" s="81"/>
      <c r="Y99" s="81"/>
      <c r="Z99" s="81"/>
      <c r="AA99" s="89"/>
    </row>
    <row r="100" spans="1:28" s="23" customFormat="1" ht="15" outlineLevel="1" x14ac:dyDescent="0.2">
      <c r="A100" s="61"/>
      <c r="B100" s="88" t="s">
        <v>100</v>
      </c>
      <c r="C100" s="81"/>
      <c r="D100" s="81"/>
      <c r="E100" s="81"/>
      <c r="F100" s="81"/>
      <c r="G100" s="81"/>
      <c r="H100" s="81"/>
      <c r="I100" s="81"/>
      <c r="J100" s="61"/>
      <c r="K100" s="61"/>
      <c r="L100" s="81"/>
      <c r="M100" s="61"/>
      <c r="N100" s="88" t="s">
        <v>100</v>
      </c>
      <c r="O100" s="81"/>
      <c r="P100" s="81"/>
      <c r="Q100" s="81"/>
      <c r="R100" s="81"/>
      <c r="S100" s="81"/>
      <c r="T100" s="123"/>
      <c r="U100" s="81"/>
      <c r="V100" s="81"/>
      <c r="W100" s="81"/>
      <c r="X100" s="81"/>
      <c r="Y100" s="81"/>
      <c r="Z100" s="81"/>
      <c r="AA100" s="81"/>
    </row>
    <row r="101" spans="1:28" s="50" customFormat="1" ht="15" outlineLevel="1" x14ac:dyDescent="0.2">
      <c r="A101" s="61"/>
      <c r="B101" s="77" t="s">
        <v>101</v>
      </c>
      <c r="C101" s="169">
        <f>[3]CF14_TP!$Q$208-[3]CF14_TP!$Q$212</f>
        <v>0</v>
      </c>
      <c r="D101" s="169">
        <f>[3]CF14_TP!$R$208-[3]CF14_TP!$R$212</f>
        <v>0</v>
      </c>
      <c r="E101" s="80">
        <f>D101-C101</f>
        <v>0</v>
      </c>
      <c r="F101" s="81"/>
      <c r="G101" s="169">
        <f>[3]CF14_TP!$AD$208-[3]CF14_TP!$AD$212</f>
        <v>0</v>
      </c>
      <c r="H101" s="169">
        <f>[3]CF14_TP!$AF$208-[3]CF14_TP!$AF$212</f>
        <v>0</v>
      </c>
      <c r="I101" s="80">
        <f>H101-G101</f>
        <v>0</v>
      </c>
      <c r="J101" s="61"/>
      <c r="K101" s="61"/>
      <c r="L101" s="169">
        <f>[3]CF14_TP!$AS$208-[3]CF14_TP!$AS$212</f>
        <v>0</v>
      </c>
      <c r="M101" s="61"/>
      <c r="N101" s="77" t="s">
        <v>101</v>
      </c>
      <c r="O101" s="169">
        <v>0</v>
      </c>
      <c r="P101" s="169">
        <v>0</v>
      </c>
      <c r="Q101" s="169">
        <v>0</v>
      </c>
      <c r="R101" s="169">
        <v>0</v>
      </c>
      <c r="S101" s="169">
        <v>0</v>
      </c>
      <c r="T101" s="169">
        <v>0</v>
      </c>
      <c r="U101" s="169">
        <v>0</v>
      </c>
      <c r="V101" s="169">
        <v>0</v>
      </c>
      <c r="W101" s="169">
        <v>0</v>
      </c>
      <c r="X101" s="169">
        <v>0</v>
      </c>
      <c r="Y101" s="169">
        <v>0</v>
      </c>
      <c r="Z101" s="169">
        <v>0</v>
      </c>
      <c r="AA101" s="82">
        <v>0</v>
      </c>
    </row>
    <row r="102" spans="1:28" s="50" customFormat="1" ht="15" outlineLevel="1" x14ac:dyDescent="0.2">
      <c r="A102" s="61"/>
      <c r="B102" s="77" t="s">
        <v>102</v>
      </c>
      <c r="C102" s="169">
        <f>([3]CF14_TP!$Q$206+[3]CF14_TP!$Q$207-[3]CF14_TP!$Q$210-[3]CF14_TP!$Q$211)/1000</f>
        <v>-262.5</v>
      </c>
      <c r="D102" s="169">
        <f>([3]CF14_TP!$R$206+[3]CF14_TP!$R$207-[3]CF14_TP!$R$210-[3]CF14_TP!$R$211)/1000</f>
        <v>-267.95325000000003</v>
      </c>
      <c r="E102" s="80">
        <f>D102-C102</f>
        <v>-5.4532500000000255</v>
      </c>
      <c r="F102" s="81"/>
      <c r="G102" s="169">
        <f>([3]CF14_TP!$AD$206+[3]CF14_TP!$AD$207-[3]CF14_TP!$AD$210-[3]CF14_TP!$AD$211)/1000</f>
        <v>-1050</v>
      </c>
      <c r="H102" s="169">
        <f>([3]CF14_TP!$AF$206+[3]CF14_TP!$AF$207-[3]CF14_TP!$AF$210-[3]CF14_TP!$AF$211)/1000</f>
        <v>-1832.74125</v>
      </c>
      <c r="I102" s="80">
        <f>H102-G102</f>
        <v>-782.74125000000004</v>
      </c>
      <c r="J102" s="61"/>
      <c r="K102" s="61"/>
      <c r="L102" s="169">
        <f>([3]CF14_TP!$AS$206+[3]CF14_TP!$AS$207-[3]CF14_TP!$AS$210-[3]CF14_TP!$AS$211)/1000</f>
        <v>-2362.5</v>
      </c>
      <c r="M102" s="61"/>
      <c r="N102" s="77" t="s">
        <v>102</v>
      </c>
      <c r="O102" s="169">
        <f>([3]CF14_TP!$F$206+[3]CF14_TP!$F$207-[3]CF14_TP!$F$210-[3]CF14_TP!$F$211)/1000</f>
        <v>-250.50975</v>
      </c>
      <c r="P102" s="169">
        <f>([3]CF14_TP!$H$206+[3]CF14_TP!$H$207-[3]CF14_TP!$H$210-[3]CF14_TP!$H$211)/1000</f>
        <v>-266.75175000000002</v>
      </c>
      <c r="Q102" s="169">
        <f>([3]CF14_TP!$J$206+[3]CF14_TP!$J$207-[3]CF14_TP!$J$210-[3]CF14_TP!$J$211)/1000</f>
        <v>-266.85750000000002</v>
      </c>
      <c r="R102" s="169">
        <f>([3]CF14_TP!$L$206+[3]CF14_TP!$L$207-[3]CF14_TP!$L$210-[3]CF14_TP!$L$211)/1000</f>
        <v>-270.18374999999997</v>
      </c>
      <c r="S102" s="169">
        <f>([3]CF14_TP!$N$206+[3]CF14_TP!$N$207-[3]CF14_TP!$N$210-[3]CF14_TP!$N$211)/1000</f>
        <v>-257.35424999999998</v>
      </c>
      <c r="T102" s="169">
        <f>([3]CF14_TP!$P$206+[3]CF14_TP!$P$207-[3]CF14_TP!$P$210-[3]CF14_TP!$P$211)/1000</f>
        <v>-253.131</v>
      </c>
      <c r="U102" s="169">
        <f>([3]CF14_TP!$R$206+[3]CF14_TP!$R$207-[3]CF14_TP!$R$210-[3]CF14_TP!$R$211)/1000</f>
        <v>-267.95325000000003</v>
      </c>
      <c r="V102" s="169"/>
      <c r="W102" s="169"/>
      <c r="X102" s="169"/>
      <c r="Y102" s="169"/>
      <c r="Z102" s="169"/>
      <c r="AA102" s="82">
        <f>SUM(O102:Z102)</f>
        <v>-1832.7412500000003</v>
      </c>
    </row>
    <row r="103" spans="1:28" s="50" customFormat="1" ht="15" outlineLevel="1" x14ac:dyDescent="0.2">
      <c r="A103" s="61"/>
      <c r="B103" s="77" t="s">
        <v>91</v>
      </c>
      <c r="C103" s="169">
        <f>[3]CF14_TP!$Q$192/1000</f>
        <v>0</v>
      </c>
      <c r="D103" s="169">
        <f>[3]CF14_TP!$R$192/1000</f>
        <v>0</v>
      </c>
      <c r="E103" s="80">
        <f>D103-C103</f>
        <v>0</v>
      </c>
      <c r="F103" s="81"/>
      <c r="G103" s="169">
        <f>[3]CF14_TP!$AD$192/1000</f>
        <v>-1575</v>
      </c>
      <c r="H103" s="169">
        <f>[3]CF14_TP!$AF$192/1000</f>
        <v>0</v>
      </c>
      <c r="I103" s="80">
        <f>H103-G103</f>
        <v>1575</v>
      </c>
      <c r="J103" s="61"/>
      <c r="K103" s="61"/>
      <c r="L103" s="169">
        <f>[3]CF14_TP!$AS$192/1000</f>
        <v>-1575</v>
      </c>
      <c r="M103" s="61"/>
      <c r="N103" s="77" t="s">
        <v>91</v>
      </c>
      <c r="O103" s="169">
        <v>0</v>
      </c>
      <c r="P103" s="169">
        <v>0</v>
      </c>
      <c r="Q103" s="169">
        <v>0</v>
      </c>
      <c r="R103" s="169">
        <v>0</v>
      </c>
      <c r="S103" s="169">
        <v>0</v>
      </c>
      <c r="T103" s="169">
        <v>0</v>
      </c>
      <c r="U103" s="169">
        <v>0</v>
      </c>
      <c r="V103" s="169">
        <v>0</v>
      </c>
      <c r="W103" s="169">
        <v>0</v>
      </c>
      <c r="X103" s="169">
        <v>0</v>
      </c>
      <c r="Y103" s="169">
        <v>0</v>
      </c>
      <c r="Z103" s="169">
        <v>0</v>
      </c>
      <c r="AA103" s="82">
        <v>0</v>
      </c>
    </row>
    <row r="104" spans="1:28" s="23" customFormat="1" ht="15" outlineLevel="1" x14ac:dyDescent="0.2">
      <c r="A104" s="51"/>
      <c r="B104" s="83" t="s">
        <v>103</v>
      </c>
      <c r="C104" s="84">
        <f>SUM(C101:C103)</f>
        <v>-262.5</v>
      </c>
      <c r="D104" s="84">
        <f>SUM(D101:D103)</f>
        <v>-267.95325000000003</v>
      </c>
      <c r="E104" s="84">
        <f>D104-C104</f>
        <v>-5.4532500000000255</v>
      </c>
      <c r="F104" s="85"/>
      <c r="G104" s="84">
        <f>SUM(G101:G103)</f>
        <v>-2625</v>
      </c>
      <c r="H104" s="84">
        <f>SUM(H101:H103)</f>
        <v>-1832.74125</v>
      </c>
      <c r="I104" s="84">
        <f>H104-G104</f>
        <v>792.25874999999996</v>
      </c>
      <c r="J104" s="86"/>
      <c r="K104" s="86"/>
      <c r="L104" s="84">
        <f>SUM(L101:L103)</f>
        <v>-3937.5</v>
      </c>
      <c r="M104" s="51"/>
      <c r="N104" s="83" t="s">
        <v>103</v>
      </c>
      <c r="O104" s="84">
        <f t="shared" ref="O104:AA104" si="36">SUM(O101:O103)</f>
        <v>-250.50975</v>
      </c>
      <c r="P104" s="84">
        <f t="shared" si="36"/>
        <v>-266.75175000000002</v>
      </c>
      <c r="Q104" s="84">
        <f t="shared" si="36"/>
        <v>-266.85750000000002</v>
      </c>
      <c r="R104" s="84">
        <f t="shared" si="36"/>
        <v>-270.18374999999997</v>
      </c>
      <c r="S104" s="84">
        <f t="shared" si="36"/>
        <v>-257.35424999999998</v>
      </c>
      <c r="T104" s="124">
        <f>SUM(T101:T103)</f>
        <v>-253.131</v>
      </c>
      <c r="U104" s="84">
        <f>SUM(U101:U103)</f>
        <v>-267.95325000000003</v>
      </c>
      <c r="V104" s="84">
        <f t="shared" si="36"/>
        <v>0</v>
      </c>
      <c r="W104" s="84">
        <f t="shared" si="36"/>
        <v>0</v>
      </c>
      <c r="X104" s="84">
        <f t="shared" si="36"/>
        <v>0</v>
      </c>
      <c r="Y104" s="84">
        <f t="shared" si="36"/>
        <v>0</v>
      </c>
      <c r="Z104" s="84">
        <f t="shared" si="36"/>
        <v>0</v>
      </c>
      <c r="AA104" s="84">
        <f t="shared" si="36"/>
        <v>-1832.7412500000003</v>
      </c>
    </row>
    <row r="105" spans="1:28" s="23" customFormat="1" ht="15.75" outlineLevel="1" x14ac:dyDescent="0.25">
      <c r="A105" s="61"/>
      <c r="B105" s="87"/>
      <c r="C105" s="81"/>
      <c r="D105" s="81"/>
      <c r="E105" s="81"/>
      <c r="F105" s="81"/>
      <c r="G105" s="81"/>
      <c r="H105" s="81"/>
      <c r="I105" s="81"/>
      <c r="J105" s="61"/>
      <c r="K105" s="61"/>
      <c r="L105" s="81"/>
      <c r="M105" s="61"/>
      <c r="N105" s="87"/>
      <c r="O105" s="81"/>
      <c r="P105" s="81"/>
      <c r="Q105" s="81"/>
      <c r="R105" s="81"/>
      <c r="S105" s="81"/>
      <c r="T105" s="123"/>
      <c r="U105" s="81"/>
      <c r="V105" s="81"/>
      <c r="W105" s="81"/>
      <c r="X105" s="81"/>
      <c r="Y105" s="81"/>
      <c r="Z105" s="81"/>
      <c r="AA105" s="82"/>
    </row>
    <row r="106" spans="1:28" s="23" customFormat="1" ht="15" outlineLevel="1" x14ac:dyDescent="0.2">
      <c r="A106" s="61"/>
      <c r="B106" s="77" t="s">
        <v>104</v>
      </c>
      <c r="C106" s="80" t="e">
        <f>C94+C98+C104</f>
        <v>#REF!</v>
      </c>
      <c r="D106" s="80" t="e">
        <f>D94+D98+D104</f>
        <v>#REF!</v>
      </c>
      <c r="E106" s="80" t="e">
        <f>D106-C106</f>
        <v>#REF!</v>
      </c>
      <c r="F106" s="81"/>
      <c r="G106" s="80" t="e">
        <f>G94+G98+G104</f>
        <v>#REF!</v>
      </c>
      <c r="H106" s="80" t="e">
        <f>H94+H98+H104</f>
        <v>#REF!</v>
      </c>
      <c r="I106" s="80" t="e">
        <f>H106-G106</f>
        <v>#REF!</v>
      </c>
      <c r="J106" s="61"/>
      <c r="K106" s="61"/>
      <c r="L106" s="80" t="e">
        <f>L94+L98+L104</f>
        <v>#REF!</v>
      </c>
      <c r="M106" s="61"/>
      <c r="N106" s="77" t="s">
        <v>104</v>
      </c>
      <c r="O106" s="80" t="e">
        <f t="shared" ref="O106:Z106" si="37">O94+O98+O104</f>
        <v>#REF!</v>
      </c>
      <c r="P106" s="80" t="e">
        <f t="shared" si="37"/>
        <v>#REF!</v>
      </c>
      <c r="Q106" s="80" t="e">
        <f t="shared" si="37"/>
        <v>#REF!</v>
      </c>
      <c r="R106" s="80" t="e">
        <f t="shared" si="37"/>
        <v>#REF!</v>
      </c>
      <c r="S106" s="80" t="e">
        <f t="shared" si="37"/>
        <v>#REF!</v>
      </c>
      <c r="T106" s="107" t="e">
        <f t="shared" si="37"/>
        <v>#REF!</v>
      </c>
      <c r="U106" s="80" t="e">
        <f>U94+U98+U104</f>
        <v>#REF!</v>
      </c>
      <c r="V106" s="80" t="e">
        <f t="shared" si="37"/>
        <v>#REF!</v>
      </c>
      <c r="W106" s="80" t="e">
        <f t="shared" si="37"/>
        <v>#REF!</v>
      </c>
      <c r="X106" s="80" t="e">
        <f t="shared" si="37"/>
        <v>#REF!</v>
      </c>
      <c r="Y106" s="80" t="e">
        <f t="shared" si="37"/>
        <v>#REF!</v>
      </c>
      <c r="Z106" s="80" t="e">
        <f t="shared" si="37"/>
        <v>#REF!</v>
      </c>
      <c r="AA106" s="80" t="e">
        <f>AA94+AA98+AA104</f>
        <v>#REF!</v>
      </c>
    </row>
    <row r="107" spans="1:28" s="23" customFormat="1" ht="15.75" outlineLevel="1" x14ac:dyDescent="0.25">
      <c r="A107" s="61"/>
      <c r="B107" s="87"/>
      <c r="C107" s="81"/>
      <c r="D107" s="81"/>
      <c r="E107" s="81"/>
      <c r="F107" s="81"/>
      <c r="G107" s="81"/>
      <c r="H107" s="81"/>
      <c r="I107" s="81"/>
      <c r="J107" s="61"/>
      <c r="K107" s="61"/>
      <c r="L107" s="81"/>
      <c r="M107" s="61"/>
      <c r="N107" s="87"/>
      <c r="O107" s="81"/>
      <c r="P107" s="81"/>
      <c r="Q107" s="81"/>
      <c r="R107" s="81"/>
      <c r="S107" s="81"/>
      <c r="T107" s="123"/>
      <c r="U107" s="81"/>
      <c r="V107" s="81"/>
      <c r="W107" s="81"/>
      <c r="X107" s="81"/>
      <c r="Y107" s="81"/>
      <c r="Z107" s="81"/>
      <c r="AA107" s="82"/>
    </row>
    <row r="108" spans="1:28" s="50" customFormat="1" ht="15" outlineLevel="1" x14ac:dyDescent="0.2">
      <c r="A108" s="61"/>
      <c r="B108" s="77" t="s">
        <v>105</v>
      </c>
      <c r="C108" s="171">
        <f>[3]CF14_TP!$Q$11/1000</f>
        <v>3845.7165136922745</v>
      </c>
      <c r="D108" s="171">
        <f>[3]CF14_TP!$R$11/1000</f>
        <v>4503.1616600000043</v>
      </c>
      <c r="E108" s="169">
        <f>D108-C108</f>
        <v>657.44514630772983</v>
      </c>
      <c r="F108" s="171"/>
      <c r="G108" s="171">
        <f>[3]CF14_TP!$AD$11/1000</f>
        <v>4493.917009999931</v>
      </c>
      <c r="H108" s="171">
        <f>[3]CF14_TP!$AF$11/1000</f>
        <v>4383.5318499999976</v>
      </c>
      <c r="I108" s="169">
        <f>H108-G108</f>
        <v>-110.38515999993342</v>
      </c>
      <c r="J108" s="172"/>
      <c r="K108" s="172"/>
      <c r="L108" s="171">
        <f>[3]CF14_TP!$AS$11/1000</f>
        <v>4493.917009999931</v>
      </c>
      <c r="M108" s="61"/>
      <c r="N108" s="77" t="s">
        <v>105</v>
      </c>
      <c r="O108" s="171">
        <f>[3]CF14_TP!$F$11/1000</f>
        <v>4383.5318499999976</v>
      </c>
      <c r="P108" s="171">
        <f>O109</f>
        <v>6005.5253700000012</v>
      </c>
      <c r="Q108" s="171">
        <f t="shared" ref="Q108:Z108" si="38">P109</f>
        <v>2920.3047899999956</v>
      </c>
      <c r="R108" s="171">
        <f t="shared" si="38"/>
        <v>3688.5455900000111</v>
      </c>
      <c r="S108" s="171">
        <f t="shared" si="38"/>
        <v>3857.2592700000146</v>
      </c>
      <c r="T108" s="171">
        <f t="shared" si="38"/>
        <v>3672.9746900000086</v>
      </c>
      <c r="U108" s="171">
        <f t="shared" si="38"/>
        <v>4503.1616600000043</v>
      </c>
      <c r="V108" s="171">
        <f t="shared" si="38"/>
        <v>2632.6402700000071</v>
      </c>
      <c r="W108" s="171">
        <f t="shared" si="38"/>
        <v>2632.6402700000071</v>
      </c>
      <c r="X108" s="171">
        <f t="shared" si="38"/>
        <v>2632.6402700000071</v>
      </c>
      <c r="Y108" s="171">
        <f t="shared" si="38"/>
        <v>2632.6402700000071</v>
      </c>
      <c r="Z108" s="171">
        <f t="shared" si="38"/>
        <v>2632.6402700000071</v>
      </c>
      <c r="AA108" s="82">
        <f>O108</f>
        <v>4383.5318499999976</v>
      </c>
      <c r="AB108" s="49"/>
    </row>
    <row r="109" spans="1:28" s="23" customFormat="1" ht="15" outlineLevel="1" x14ac:dyDescent="0.2">
      <c r="A109" s="51"/>
      <c r="B109" s="83" t="s">
        <v>106</v>
      </c>
      <c r="C109" s="85">
        <f>[3]CF14_TP!$Q$222/1000</f>
        <v>9843.535025842275</v>
      </c>
      <c r="D109" s="85">
        <f>[3]CF14_TP!$R$222/1000</f>
        <v>2632.6402700000071</v>
      </c>
      <c r="E109" s="84">
        <f>D109-C109</f>
        <v>-7210.8947558422678</v>
      </c>
      <c r="F109" s="85"/>
      <c r="G109" s="85">
        <f>[3]CF14_TP!$AD$222/1000</f>
        <v>9843.5350258422786</v>
      </c>
      <c r="H109" s="85">
        <f>[3]CF14_TP!$AF$222/1000</f>
        <v>2632.6402700000108</v>
      </c>
      <c r="I109" s="84">
        <f>H109-G109</f>
        <v>-7210.8947558422678</v>
      </c>
      <c r="J109" s="86"/>
      <c r="K109" s="86"/>
      <c r="L109" s="85">
        <f>[3]CF14_TP!$AS$222/1000</f>
        <v>13426.778524987221</v>
      </c>
      <c r="M109" s="51"/>
      <c r="N109" s="83" t="s">
        <v>106</v>
      </c>
      <c r="O109" s="85">
        <f>[3]CF14_TP!$F$222/1000</f>
        <v>6005.5253700000012</v>
      </c>
      <c r="P109" s="85">
        <f>[3]CF14_TP!$H$222/1000</f>
        <v>2920.3047899999956</v>
      </c>
      <c r="Q109" s="85">
        <f>[3]CF14_TP!$J$222/1000</f>
        <v>3688.5455900000111</v>
      </c>
      <c r="R109" s="85">
        <f>[3]CF14_TP!$L$222/1000</f>
        <v>3857.2592700000146</v>
      </c>
      <c r="S109" s="85">
        <f>[3]CF14_TP!$N$222/1000</f>
        <v>3672.9746900000086</v>
      </c>
      <c r="T109" s="85">
        <f>[3]CF14_TP!$P$222/1000</f>
        <v>4503.1616600000043</v>
      </c>
      <c r="U109" s="85">
        <f>$D109</f>
        <v>2632.6402700000071</v>
      </c>
      <c r="V109" s="85">
        <f t="shared" ref="V109:Z109" si="39">$D109</f>
        <v>2632.6402700000071</v>
      </c>
      <c r="W109" s="85">
        <f t="shared" si="39"/>
        <v>2632.6402700000071</v>
      </c>
      <c r="X109" s="85">
        <f t="shared" si="39"/>
        <v>2632.6402700000071</v>
      </c>
      <c r="Y109" s="85">
        <f t="shared" si="39"/>
        <v>2632.6402700000071</v>
      </c>
      <c r="Z109" s="85">
        <f t="shared" si="39"/>
        <v>2632.6402700000071</v>
      </c>
      <c r="AA109" s="84" t="e">
        <f>AA108+AA106</f>
        <v>#REF!</v>
      </c>
      <c r="AB109" s="29"/>
    </row>
    <row r="110" spans="1:28" s="23" customFormat="1" ht="15" x14ac:dyDescent="0.2"/>
    <row r="111" spans="1:28" s="23" customFormat="1" ht="15" x14ac:dyDescent="0.2"/>
  </sheetData>
  <pageMargins left="0" right="0" top="0.31496062992125984" bottom="0.31496062992125984" header="0.15748031496062992" footer="0.15748031496062992"/>
  <pageSetup paperSize="9" scale="41" fitToWidth="2" orientation="portrait" r:id="rId1"/>
  <headerFooter>
    <oddHeader>&amp;R&amp;8Printed &amp;D &amp;T</oddHeader>
    <oddFooter>&amp;L&amp;8&amp;Z&amp;C&amp;8&amp;F / &amp;A&amp;R&amp;8Page &amp;P of &amp;N</oddFooter>
  </headerFooter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мес!$A$1:$A$12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G24"/>
  <sheetViews>
    <sheetView showGridLines="0" tabSelected="1" view="pageBreakPreview" zoomScale="60" zoomScaleNormal="60" workbookViewId="0">
      <pane xSplit="3" ySplit="10" topLeftCell="D21" activePane="bottomRight" state="frozen"/>
      <selection pane="topRight" activeCell="E1" sqref="E1"/>
      <selection pane="bottomLeft" activeCell="A11" sqref="A11"/>
      <selection pane="bottomRight" activeCell="T39" sqref="T39"/>
    </sheetView>
  </sheetViews>
  <sheetFormatPr defaultColWidth="10.140625" defaultRowHeight="13.7" customHeight="1" outlineLevelRow="2" outlineLevelCol="1" x14ac:dyDescent="0.2"/>
  <cols>
    <col min="1" max="1" width="8.85546875" style="2" customWidth="1"/>
    <col min="2" max="3" width="30.7109375" style="1" customWidth="1"/>
    <col min="4" max="4" width="13.28515625" style="3" hidden="1" customWidth="1" outlineLevel="1"/>
    <col min="5" max="5" width="13.28515625" style="3" customWidth="1" collapsed="1"/>
    <col min="6" max="6" width="13.28515625" style="3" hidden="1" customWidth="1" outlineLevel="1"/>
    <col min="7" max="7" width="10.140625" style="2" collapsed="1"/>
    <col min="8" max="16384" width="10.140625" style="2"/>
  </cols>
  <sheetData>
    <row r="1" spans="1:6" s="6" customFormat="1" ht="12.75" x14ac:dyDescent="0.2">
      <c r="B1" s="7"/>
      <c r="C1" s="7"/>
      <c r="D1" s="8"/>
      <c r="E1" s="8"/>
      <c r="F1" s="8"/>
    </row>
    <row r="2" spans="1:6" s="6" customFormat="1" ht="12.75" x14ac:dyDescent="0.2">
      <c r="B2" s="7"/>
      <c r="C2" s="7"/>
      <c r="D2" s="8"/>
      <c r="E2" s="8"/>
      <c r="F2" s="8"/>
    </row>
    <row r="3" spans="1:6" s="6" customFormat="1" ht="12.75" x14ac:dyDescent="0.2">
      <c r="B3" s="7"/>
      <c r="C3" s="7"/>
      <c r="D3" s="8"/>
      <c r="E3" s="8"/>
      <c r="F3" s="8"/>
    </row>
    <row r="4" spans="1:6" s="6" customFormat="1" ht="18" x14ac:dyDescent="0.25">
      <c r="A4" s="9" t="s">
        <v>121</v>
      </c>
      <c r="B4" s="7"/>
      <c r="C4" s="7"/>
      <c r="D4" s="8"/>
      <c r="E4" s="8"/>
      <c r="F4" s="8"/>
    </row>
    <row r="5" spans="1:6" s="6" customFormat="1" ht="12.75" x14ac:dyDescent="0.2">
      <c r="A5" s="10" t="s">
        <v>0</v>
      </c>
      <c r="B5" s="5"/>
      <c r="C5" s="11"/>
      <c r="D5" s="8"/>
      <c r="E5" s="8"/>
      <c r="F5" s="8"/>
    </row>
    <row r="6" spans="1:6" s="6" customFormat="1" ht="12.75" x14ac:dyDescent="0.2">
      <c r="D6" s="8"/>
      <c r="E6" s="8"/>
      <c r="F6" s="8"/>
    </row>
    <row r="7" spans="1:6" s="6" customFormat="1" ht="12.75" x14ac:dyDescent="0.2">
      <c r="B7" s="7"/>
      <c r="C7" s="7"/>
      <c r="D7" s="8"/>
      <c r="E7" s="8"/>
      <c r="F7" s="8"/>
    </row>
    <row r="8" spans="1:6" s="6" customFormat="1" ht="13.5" thickBot="1" x14ac:dyDescent="0.25">
      <c r="B8" s="7"/>
      <c r="C8" s="7"/>
      <c r="D8" s="8"/>
      <c r="E8" s="8"/>
      <c r="F8" s="8"/>
    </row>
    <row r="9" spans="1:6" s="13" customFormat="1" ht="12.75" x14ac:dyDescent="0.2">
      <c r="A9" s="178" t="s">
        <v>1</v>
      </c>
      <c r="B9" s="180" t="s">
        <v>2</v>
      </c>
      <c r="C9" s="182" t="s">
        <v>3</v>
      </c>
      <c r="D9" s="184">
        <v>41640</v>
      </c>
      <c r="E9" s="185"/>
      <c r="F9" s="174">
        <v>41671</v>
      </c>
    </row>
    <row r="10" spans="1:6" s="14" customFormat="1" ht="13.5" thickBot="1" x14ac:dyDescent="0.25">
      <c r="A10" s="179"/>
      <c r="B10" s="181"/>
      <c r="C10" s="183"/>
      <c r="D10" s="175" t="s">
        <v>119</v>
      </c>
      <c r="E10" s="176" t="s">
        <v>120</v>
      </c>
      <c r="F10" s="55" t="s">
        <v>119</v>
      </c>
    </row>
    <row r="11" spans="1:6" s="16" customFormat="1" ht="5.25" customHeight="1" x14ac:dyDescent="0.2">
      <c r="A11" s="56"/>
      <c r="B11" s="17"/>
      <c r="C11" s="17"/>
      <c r="D11" s="18"/>
      <c r="E11" s="57"/>
      <c r="F11" s="18"/>
    </row>
    <row r="12" spans="1:6" s="16" customFormat="1" ht="12.75" outlineLevel="1" x14ac:dyDescent="0.2">
      <c r="A12" s="56" t="s">
        <v>24</v>
      </c>
      <c r="B12" s="17" t="s">
        <v>7</v>
      </c>
      <c r="C12" s="17" t="s">
        <v>8</v>
      </c>
      <c r="D12" s="18">
        <v>4491190.9249554751</v>
      </c>
      <c r="E12" s="57">
        <f ca="1">SUM(E13:E18)</f>
        <v>0</v>
      </c>
      <c r="F12" s="18">
        <v>2053575.2817365474</v>
      </c>
    </row>
    <row r="13" spans="1:6" s="12" customFormat="1" ht="12.75" outlineLevel="2" x14ac:dyDescent="0.2">
      <c r="A13" s="58" t="s">
        <v>25</v>
      </c>
      <c r="B13" s="4" t="s">
        <v>44</v>
      </c>
      <c r="C13" s="94" t="s">
        <v>45</v>
      </c>
      <c r="D13" s="20">
        <v>2884552.8334797216</v>
      </c>
      <c r="E13" s="59">
        <f t="shared" ref="E13:E18" ca="1" si="0">SUMIFS(INDIRECT("Costs_"&amp;TEXT(D$9,"ММ")&amp;"!$N:$N"),INDIRECT("Costs_"&amp;TEXT(D$9,"ММ")&amp;"!$L:$L"),$A13)</f>
        <v>0</v>
      </c>
      <c r="F13" s="20">
        <v>257388.8410585814</v>
      </c>
    </row>
    <row r="14" spans="1:6" s="12" customFormat="1" ht="12.75" outlineLevel="2" x14ac:dyDescent="0.2">
      <c r="A14" s="58" t="s">
        <v>26</v>
      </c>
      <c r="B14" s="19" t="s">
        <v>46</v>
      </c>
      <c r="C14" s="95" t="s">
        <v>47</v>
      </c>
      <c r="D14" s="20">
        <v>305084.74576271186</v>
      </c>
      <c r="E14" s="59">
        <f t="shared" ca="1" si="0"/>
        <v>0</v>
      </c>
      <c r="F14" s="20">
        <v>307627.11864406778</v>
      </c>
    </row>
    <row r="15" spans="1:6" s="12" customFormat="1" ht="12.75" outlineLevel="2" x14ac:dyDescent="0.2">
      <c r="A15" s="58" t="s">
        <v>27</v>
      </c>
      <c r="B15" s="4" t="s">
        <v>48</v>
      </c>
      <c r="C15" s="94" t="s">
        <v>49</v>
      </c>
      <c r="D15" s="20">
        <v>35033.731200000002</v>
      </c>
      <c r="E15" s="59">
        <f t="shared" ca="1" si="0"/>
        <v>0</v>
      </c>
      <c r="F15" s="20">
        <v>84745.762711864416</v>
      </c>
    </row>
    <row r="16" spans="1:6" s="12" customFormat="1" ht="12.75" outlineLevel="2" x14ac:dyDescent="0.2">
      <c r="A16" s="58" t="s">
        <v>28</v>
      </c>
      <c r="B16" s="19" t="s">
        <v>9</v>
      </c>
      <c r="C16" s="95" t="s">
        <v>10</v>
      </c>
      <c r="D16" s="20">
        <v>797701.27888406778</v>
      </c>
      <c r="E16" s="59">
        <f t="shared" ca="1" si="0"/>
        <v>0</v>
      </c>
      <c r="F16" s="20">
        <v>525847.45762711868</v>
      </c>
    </row>
    <row r="17" spans="1:6" s="12" customFormat="1" ht="12.75" outlineLevel="2" x14ac:dyDescent="0.2">
      <c r="A17" s="58" t="s">
        <v>29</v>
      </c>
      <c r="B17" s="19" t="s">
        <v>19</v>
      </c>
      <c r="C17" s="95" t="s">
        <v>21</v>
      </c>
      <c r="D17" s="20">
        <v>465852.2339340591</v>
      </c>
      <c r="E17" s="59">
        <f t="shared" ca="1" si="0"/>
        <v>0</v>
      </c>
      <c r="F17" s="20">
        <v>857627.11864406778</v>
      </c>
    </row>
    <row r="18" spans="1:6" s="12" customFormat="1" ht="12.75" outlineLevel="2" x14ac:dyDescent="0.2">
      <c r="A18" s="58" t="s">
        <v>30</v>
      </c>
      <c r="B18" s="19" t="s">
        <v>20</v>
      </c>
      <c r="C18" s="95" t="s">
        <v>11</v>
      </c>
      <c r="D18" s="20">
        <v>2966.1016949152545</v>
      </c>
      <c r="E18" s="59">
        <f t="shared" ca="1" si="0"/>
        <v>0</v>
      </c>
      <c r="F18" s="20">
        <v>20338.983050847459</v>
      </c>
    </row>
    <row r="19" spans="1:6" s="16" customFormat="1" ht="12.75" outlineLevel="1" x14ac:dyDescent="0.2">
      <c r="A19" s="56" t="s">
        <v>31</v>
      </c>
      <c r="B19" s="21" t="s">
        <v>12</v>
      </c>
      <c r="C19" s="98" t="s">
        <v>22</v>
      </c>
      <c r="D19" s="18">
        <v>8482836.5800000001</v>
      </c>
      <c r="E19" s="57">
        <f>SUM(E20:E20)</f>
        <v>2534429.6954782493</v>
      </c>
      <c r="F19" s="18">
        <v>8168655.6044915253</v>
      </c>
    </row>
    <row r="20" spans="1:6" s="12" customFormat="1" ht="12.75" outlineLevel="2" x14ac:dyDescent="0.2">
      <c r="A20" s="58" t="s">
        <v>32</v>
      </c>
      <c r="B20" s="22" t="s">
        <v>13</v>
      </c>
      <c r="C20" s="97" t="s">
        <v>33</v>
      </c>
      <c r="D20" s="20">
        <v>5148195.28</v>
      </c>
      <c r="E20" s="59">
        <v>2534429.6954782493</v>
      </c>
      <c r="F20" s="20">
        <v>4865383.04</v>
      </c>
    </row>
    <row r="21" spans="1:6" s="16" customFormat="1" ht="5.25" customHeight="1" x14ac:dyDescent="0.2">
      <c r="A21" s="56"/>
      <c r="B21" s="17"/>
      <c r="C21" s="17"/>
      <c r="D21" s="18"/>
      <c r="E21" s="15"/>
      <c r="F21" s="15"/>
    </row>
    <row r="22" spans="1:6" s="16" customFormat="1" ht="12.75" outlineLevel="1" x14ac:dyDescent="0.2">
      <c r="A22" s="56" t="s">
        <v>38</v>
      </c>
      <c r="B22" s="17" t="s">
        <v>35</v>
      </c>
      <c r="C22" s="17" t="s">
        <v>36</v>
      </c>
      <c r="D22" s="18">
        <v>8364926.0519321356</v>
      </c>
      <c r="E22" s="15">
        <f ca="1">SUM(E23:E24)</f>
        <v>7605.8799999999992</v>
      </c>
      <c r="F22" s="15">
        <v>8654264.0274921507</v>
      </c>
    </row>
    <row r="23" spans="1:6" s="12" customFormat="1" ht="12.75" outlineLevel="2" x14ac:dyDescent="0.2">
      <c r="A23" s="58" t="s">
        <v>39</v>
      </c>
      <c r="B23" s="19" t="s">
        <v>37</v>
      </c>
      <c r="C23" s="95" t="s">
        <v>14</v>
      </c>
      <c r="D23" s="20">
        <v>6145416.3538538171</v>
      </c>
      <c r="E23" s="177">
        <f ca="1">SUMIFS(INDIRECT("Costs_"&amp;TEXT(D$9,"ММ")&amp;"!$N:$N"),INDIRECT("Costs_"&amp;TEXT(D$9,"ММ")&amp;"!$L:$L"),$A23)</f>
        <v>3000.4</v>
      </c>
      <c r="F23" s="177">
        <v>6370294.3627384212</v>
      </c>
    </row>
    <row r="24" spans="1:6" s="12" customFormat="1" ht="12.75" outlineLevel="2" x14ac:dyDescent="0.2">
      <c r="A24" s="58" t="s">
        <v>40</v>
      </c>
      <c r="B24" s="19" t="s">
        <v>15</v>
      </c>
      <c r="C24" s="95" t="s">
        <v>16</v>
      </c>
      <c r="D24" s="20">
        <v>1846628.3421461154</v>
      </c>
      <c r="E24" s="177">
        <f ca="1">SUMIFS(INDIRECT("Costs_"&amp;TEXT(D$9,"ММ")&amp;"!$N:$N"),INDIRECT("Costs_"&amp;TEXT(D$9,"ММ")&amp;"!$L:$L"),$A24)</f>
        <v>4605.4799999999996</v>
      </c>
      <c r="F24" s="177">
        <v>1911088.3088215259</v>
      </c>
    </row>
  </sheetData>
  <sheetProtection autoFilter="0"/>
  <mergeCells count="4">
    <mergeCell ref="A9:A10"/>
    <mergeCell ref="B9:B10"/>
    <mergeCell ref="C9:C10"/>
    <mergeCell ref="D9:E9"/>
  </mergeCells>
  <printOptions horizontalCentered="1"/>
  <pageMargins left="0.31496062992125984" right="0.31496062992125984" top="0.31496062992125984" bottom="0.31496062992125984" header="0.15748031496062992" footer="0.15748031496062992"/>
  <pageSetup paperSize="9" scale="39" fitToHeight="2" orientation="landscape" r:id="rId1"/>
  <headerFooter>
    <oddHeader>&amp;R&amp;8Printed &amp;D &amp;T</oddHeader>
    <oddFooter>&amp;L&amp;8&amp;Z&amp;C&amp;8&amp;F / &amp;A&amp;R&amp;8Page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N12"/>
  <sheetViews>
    <sheetView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K4445" sqref="K4445"/>
    </sheetView>
  </sheetViews>
  <sheetFormatPr defaultColWidth="18.85546875" defaultRowHeight="12.75" x14ac:dyDescent="0.2"/>
  <cols>
    <col min="1" max="1" width="3.42578125" customWidth="1"/>
    <col min="2" max="2" width="8.7109375" customWidth="1"/>
    <col min="3" max="3" width="27.7109375" customWidth="1"/>
    <col min="5" max="5" width="6.140625" bestFit="1" customWidth="1"/>
    <col min="6" max="6" width="11.7109375" bestFit="1" customWidth="1"/>
    <col min="7" max="7" width="6.140625" bestFit="1" customWidth="1"/>
    <col min="8" max="8" width="9.5703125" bestFit="1" customWidth="1"/>
    <col min="9" max="9" width="2.140625" bestFit="1" customWidth="1"/>
    <col min="10" max="10" width="11.7109375" bestFit="1" customWidth="1"/>
    <col min="11" max="11" width="60.7109375" bestFit="1" customWidth="1"/>
    <col min="12" max="12" width="15.28515625" bestFit="1" customWidth="1"/>
    <col min="13" max="14" width="10.85546875" bestFit="1" customWidth="1"/>
  </cols>
  <sheetData>
    <row r="1" spans="1:14" s="162" customFormat="1" ht="13.5" thickBot="1" x14ac:dyDescent="0.25"/>
    <row r="2" spans="1:14" s="162" customFormat="1" ht="13.5" thickBot="1" x14ac:dyDescent="0.25">
      <c r="A2" s="165" t="s">
        <v>158</v>
      </c>
      <c r="B2" s="186" t="s">
        <v>127</v>
      </c>
      <c r="C2" s="187" t="s">
        <v>145</v>
      </c>
      <c r="D2" s="188" t="s">
        <v>146</v>
      </c>
      <c r="E2" s="189" t="s">
        <v>133</v>
      </c>
      <c r="F2" s="189"/>
      <c r="G2" s="189" t="s">
        <v>134</v>
      </c>
      <c r="H2" s="189"/>
      <c r="I2" s="188" t="s">
        <v>147</v>
      </c>
      <c r="J2" s="188"/>
    </row>
    <row r="3" spans="1:14" s="162" customFormat="1" ht="13.5" thickBot="1" x14ac:dyDescent="0.25">
      <c r="A3" s="165" t="s">
        <v>157</v>
      </c>
      <c r="B3" s="186"/>
      <c r="C3" s="187"/>
      <c r="D3" s="188"/>
      <c r="E3" s="163" t="s">
        <v>131</v>
      </c>
      <c r="F3" s="164" t="s">
        <v>148</v>
      </c>
      <c r="G3" s="163" t="s">
        <v>131</v>
      </c>
      <c r="H3" s="164" t="s">
        <v>148</v>
      </c>
      <c r="I3" s="188"/>
      <c r="J3" s="188"/>
    </row>
    <row r="4" spans="1:14" ht="13.5" customHeight="1" thickBot="1" x14ac:dyDescent="0.25">
      <c r="B4" s="159" t="s">
        <v>149</v>
      </c>
      <c r="C4" s="160"/>
      <c r="D4" s="161"/>
      <c r="E4" s="130"/>
      <c r="F4" s="131">
        <v>168496661.86000001</v>
      </c>
      <c r="G4" s="130"/>
      <c r="H4" s="132">
        <v>0</v>
      </c>
      <c r="I4" s="130"/>
      <c r="J4" s="133"/>
      <c r="K4" s="96" t="s">
        <v>129</v>
      </c>
      <c r="L4" s="96" t="s">
        <v>132</v>
      </c>
      <c r="M4" s="96" t="s">
        <v>154</v>
      </c>
      <c r="N4" s="96" t="s">
        <v>155</v>
      </c>
    </row>
    <row r="5" spans="1:14" ht="33.75" customHeight="1" x14ac:dyDescent="0.2">
      <c r="B5" s="134" t="s">
        <v>160</v>
      </c>
      <c r="C5" s="190" t="s">
        <v>161</v>
      </c>
      <c r="D5" s="135" t="s">
        <v>137</v>
      </c>
      <c r="E5" s="136" t="s">
        <v>135</v>
      </c>
      <c r="F5" s="137">
        <v>4605.4799999999996</v>
      </c>
      <c r="G5" s="136" t="s">
        <v>136</v>
      </c>
      <c r="H5" s="139"/>
      <c r="I5" s="140" t="s">
        <v>150</v>
      </c>
      <c r="J5" s="141">
        <v>21637863.449999999</v>
      </c>
      <c r="K5" s="147" t="str">
        <f ca="1">IF(D8="Нэт Бай Нэт Холдинг",Catalog_costs!#REF!,IF(D8="ВЫМПЕЛКОМ ОАО",Catalog_costs!#REF!,IF(D7="Трапеза ООО",Catalog_costs!#REF!,IF(D5="РЕАЛИЗАЦИЯ","вне P&amp;L",IF(D6="Представительские расходы",Catalog_costs!#REF!,IF(D6="Содержание ветеранской организации",Catalog_costs!#REF!,IF(AND(E5="91.02.1",D6="подарки"),Catalog_costs!#REF!,IF(AND(E5="91.02.1",D5="Реализация материалов "),#REF!,IFERROR(IFERROR(IFERROR(IFERROR(VLOOKUP(OFFSET(K5,4,-7),Catalog_costs!B:E,4,0),VLOOKUP(OFFSET(K5,3,-7),Catalog_costs!B:E,4,0)),VLOOKUP(OFFSET(K5,2,-7),Catalog_costs!B:E,4,0)),VLOOKUP(OFFSET(K5,1,-7),Catalog_costs!B:E,4,0)),IF(AND(G5="67.24",D5="Переоценка активов и обязательств в валюте"),Catalog_costs!#REF!,IF(AND(G5="67.23",D5="Переоценка активов и обязательств в валюте"),Catalog_costs!#REF!,IF(AND(E5="67.24",D5="Переоценка активов и обязательств в валюте"),Catalog_costs!#REF!,IF(D5="Страховая часть трудовой пенсии",Catalog_costs!$E$5,IF(D5="Федеральный фонд ОМС",Catalog_costs!$E$5,IF(D5="Расчеты с персоналом по оплате труда",Catalog_costs!$E$2,IF(D5="Расчеты по социальному страхованию",Catalog_costs!$E$5,IF(D5="Расчеты по обязательному социальному страхованию от несчастных случаев на производстве и профессиональных заболеваний",Catalog_costs!$E$5,IF(AND(E5="91.02.1",D5="Прочее списание денежных средств",G5="51"),"Конвертация",IF(AND(E5="91.02.1",D5="Переоценка активов и обязательств в валюте"),Catalog_costs!#REF!,IF(AND(G5="91.01",D5="Переоценка активов и обязательств в валюте"),Catalog_costs!#REF!,IF(AND(G5="91.01",D5="Реализация  "),#REF!,IF(D5="Списание полуфабрикатов в производство ",#REF!,IF(D5="Списание продукции в производство ",#REF!,IF(AND(D5="РЕАЛИЗАЦИЯ",E5="91.02.1"),#REF!,IF(D6="гостиница",Catalog_costs!#REF!,IF(D5="НДС на затраты  (медицина)","вне p&amp;l",IF(AND(E5="91.02.1",D5="Прочее списание денежных средств",D6="Средства от продажи(покупки) валюты"),Catalog_costs!#REF!,IF(AND(G5="91.01",D7="Средства от продажи(покупки) валюты"),Catalog_costs!#REF!,IF(AND(D5="Прочее списание денежных средств",D8="Средства от продажи(покупки) валюты"),Catalog_costs!#REF!,$A$2)))))))))))))))))))))))))))))</f>
        <v>2.1.2.1.3 - Налоги на ФОТ</v>
      </c>
      <c r="L5" s="92" t="str">
        <f ca="1">IFERROR(INDEX(Catalog_costs!D:D, MATCH(K5, Catalog_costs!E:E, 0)),$A$3)</f>
        <v>2.1.2.1.3</v>
      </c>
      <c r="M5" s="93">
        <f>F5-H5</f>
        <v>4605.4799999999996</v>
      </c>
      <c r="N5" s="93">
        <f>IF(AND(E5="67.24",D5="Переоценка активов и обязательств в валюте"),-(ABS(M5)),IF(AND(E5="67.23",D5="Переоценка активов и обязательств в валюте"),-(ABS(M5)),IF(AND(G5="91.01",D5="Переоценка активов и обязательств в валюте"),-(ABS(M5)),ABS(M5))))</f>
        <v>4605.4799999999996</v>
      </c>
    </row>
    <row r="6" spans="1:14" ht="22.5" customHeight="1" x14ac:dyDescent="0.2">
      <c r="B6" s="142"/>
      <c r="C6" s="190"/>
      <c r="D6" s="143" t="s">
        <v>139</v>
      </c>
      <c r="E6" s="144"/>
      <c r="F6" s="145"/>
      <c r="G6" s="144"/>
      <c r="H6" s="145"/>
      <c r="I6" s="146"/>
      <c r="J6" s="145"/>
    </row>
    <row r="7" spans="1:14" ht="12.75" customHeight="1" x14ac:dyDescent="0.2">
      <c r="B7" s="142"/>
      <c r="C7" s="190"/>
      <c r="D7" s="143" t="s">
        <v>140</v>
      </c>
      <c r="E7" s="144"/>
      <c r="F7" s="145"/>
      <c r="G7" s="144"/>
      <c r="H7" s="145"/>
      <c r="I7" s="146"/>
      <c r="J7" s="145"/>
    </row>
    <row r="8" spans="1:14" ht="22.5" customHeight="1" x14ac:dyDescent="0.2">
      <c r="B8" s="142"/>
      <c r="C8" s="190"/>
      <c r="D8" s="143" t="s">
        <v>143</v>
      </c>
      <c r="E8" s="144"/>
      <c r="F8" s="145"/>
      <c r="G8" s="144"/>
      <c r="H8" s="145"/>
      <c r="I8" s="146"/>
      <c r="J8" s="145"/>
    </row>
    <row r="9" spans="1:14" ht="22.5" customHeight="1" x14ac:dyDescent="0.2">
      <c r="B9" s="134" t="s">
        <v>160</v>
      </c>
      <c r="C9" s="190" t="s">
        <v>161</v>
      </c>
      <c r="D9" s="135" t="s">
        <v>138</v>
      </c>
      <c r="E9" s="136" t="s">
        <v>135</v>
      </c>
      <c r="F9" s="137">
        <v>3000.4</v>
      </c>
      <c r="G9" s="138">
        <v>70</v>
      </c>
      <c r="H9" s="139"/>
      <c r="I9" s="140" t="s">
        <v>150</v>
      </c>
      <c r="J9" s="141">
        <v>21640863.850000001</v>
      </c>
      <c r="K9" s="147" t="str">
        <f ca="1">IF(D12="Нэт Бай Нэт Холдинг",Catalog_costs!#REF!,IF(D12="ВЫМПЕЛКОМ ОАО",Catalog_costs!#REF!,IF(D11="Трапеза ООО",Catalog_costs!#REF!,IF(D9="РЕАЛИЗАЦИЯ","вне P&amp;L",IF(D10="Представительские расходы",Catalog_costs!#REF!,IF(D10="Содержание ветеранской организации",Catalog_costs!#REF!,IF(AND(E9="91.02.1",D10="подарки"),Catalog_costs!#REF!,IF(AND(E9="91.02.1",D9="Реализация материалов "),#REF!,IFERROR(IFERROR(IFERROR(IFERROR(VLOOKUP(OFFSET(K9,4,-7),Catalog_costs!B:E,4,0),VLOOKUP(OFFSET(K9,3,-7),Catalog_costs!B:E,4,0)),VLOOKUP(OFFSET(K9,2,-7),Catalog_costs!B:E,4,0)),VLOOKUP(OFFSET(K9,1,-7),Catalog_costs!B:E,4,0)),IF(AND(G9="67.24",D9="Переоценка активов и обязательств в валюте"),Catalog_costs!#REF!,IF(AND(G9="67.23",D9="Переоценка активов и обязательств в валюте"),Catalog_costs!#REF!,IF(AND(E9="67.24",D9="Переоценка активов и обязательств в валюте"),Catalog_costs!#REF!,IF(D9="Страховая часть трудовой пенсии",Catalog_costs!$E$5,IF(D9="Федеральный фонд ОМС",Catalog_costs!$E$5,IF(D9="Расчеты с персоналом по оплате труда",Catalog_costs!$E$2,IF(D9="Расчеты по социальному страхованию",Catalog_costs!$E$5,IF(D9="Расчеты по обязательному социальному страхованию от несчастных случаев на производстве и профессиональных заболеваний",Catalog_costs!$E$5,IF(AND(E9="91.02.1",D9="Прочее списание денежных средств",G9="51"),"Конвертация",IF(AND(E9="91.02.1",D9="Переоценка активов и обязательств в валюте"),Catalog_costs!#REF!,IF(AND(G9="91.01",D9="Переоценка активов и обязательств в валюте"),Catalog_costs!#REF!,IF(AND(G9="91.01",D9="Реализация  "),#REF!,IF(D9="Списание полуфабрикатов в производство ",#REF!,IF(D9="Списание продукции в производство ",#REF!,IF(AND(D9="РЕАЛИЗАЦИЯ",E9="91.02.1"),#REF!,IF(D10="гостиница",Catalog_costs!#REF!,IF(D9="НДС на затраты  (медицина)","вне p&amp;l",IF(AND(E9="91.02.1",D9="Прочее списание денежных средств",D10="Средства от продажи(покупки) валюты"),Catalog_costs!#REF!,IF(AND(G9="91.01",D11="Средства от продажи(покупки) валюты"),Catalog_costs!#REF!,IF(AND(D9="Прочее списание денежных средств",D12="Средства от продажи(покупки) валюты"),Catalog_costs!#REF!,$A$2)))))))))))))))))))))))))))))</f>
        <v>2.1.2.1.1 - ФОТ</v>
      </c>
      <c r="L9" s="92" t="str">
        <f ca="1">IFERROR(INDEX(Catalog_costs!D:D, MATCH(K9, Catalog_costs!E:E, 0)),$A$3)</f>
        <v>2.1.2.1.1</v>
      </c>
      <c r="M9" s="93">
        <f>F9-H9</f>
        <v>3000.4</v>
      </c>
      <c r="N9" s="93">
        <f>IF(AND(E9="67.24",D9="Переоценка активов и обязательств в валюте"),-(ABS(M9)),IF(AND(E9="67.23",D9="Переоценка активов и обязательств в валюте"),-(ABS(M9)),IF(AND(G9="91.01",D9="Переоценка активов и обязательств в валюте"),-(ABS(M9)),ABS(M9))))</f>
        <v>3000.4</v>
      </c>
    </row>
    <row r="10" spans="1:14" ht="12.75" customHeight="1" x14ac:dyDescent="0.2">
      <c r="B10" s="142"/>
      <c r="C10" s="190"/>
      <c r="D10" s="143" t="s">
        <v>142</v>
      </c>
      <c r="E10" s="144"/>
      <c r="F10" s="145"/>
      <c r="G10" s="144"/>
      <c r="H10" s="145"/>
      <c r="I10" s="146"/>
      <c r="J10" s="145"/>
    </row>
    <row r="11" spans="1:14" ht="33.75" customHeight="1" x14ac:dyDescent="0.2">
      <c r="B11" s="142"/>
      <c r="C11" s="190"/>
      <c r="D11" s="143" t="s">
        <v>141</v>
      </c>
      <c r="E11" s="144"/>
      <c r="F11" s="145"/>
      <c r="G11" s="144"/>
      <c r="H11" s="145"/>
      <c r="I11" s="146"/>
      <c r="J11" s="145"/>
    </row>
    <row r="12" spans="1:14" ht="12.75" customHeight="1" x14ac:dyDescent="0.2">
      <c r="B12" s="142"/>
      <c r="C12" s="190"/>
      <c r="D12" s="143" t="s">
        <v>144</v>
      </c>
      <c r="E12" s="144"/>
      <c r="F12" s="145"/>
      <c r="G12" s="144"/>
      <c r="H12" s="145"/>
      <c r="I12" s="146"/>
      <c r="J12" s="145"/>
    </row>
  </sheetData>
  <autoFilter ref="B4:N12"/>
  <mergeCells count="8">
    <mergeCell ref="I2:J3"/>
    <mergeCell ref="C5:C8"/>
    <mergeCell ref="C9:C12"/>
    <mergeCell ref="B2:B3"/>
    <mergeCell ref="C2:C3"/>
    <mergeCell ref="D2:D3"/>
    <mergeCell ref="E2:F2"/>
    <mergeCell ref="G2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1:E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8" sqref="C18"/>
    </sheetView>
  </sheetViews>
  <sheetFormatPr defaultRowHeight="15" customHeight="1" x14ac:dyDescent="0.2"/>
  <cols>
    <col min="1" max="1" width="2.5703125" style="158" customWidth="1"/>
    <col min="2" max="2" width="63.28515625" style="158" bestFit="1" customWidth="1"/>
    <col min="3" max="3" width="50.5703125" style="158" bestFit="1" customWidth="1"/>
    <col min="4" max="4" width="10.7109375" style="158" bestFit="1" customWidth="1"/>
    <col min="5" max="5" width="60.7109375" style="158" bestFit="1" customWidth="1"/>
    <col min="6" max="12" width="9.140625" style="158"/>
    <col min="13" max="13" width="13.42578125" style="158" customWidth="1"/>
    <col min="14" max="16384" width="9.140625" style="158"/>
  </cols>
  <sheetData>
    <row r="1" spans="2:5" ht="15" customHeight="1" x14ac:dyDescent="0.2">
      <c r="B1" s="156" t="s">
        <v>159</v>
      </c>
      <c r="C1" s="156" t="s">
        <v>128</v>
      </c>
      <c r="D1" s="157" t="s">
        <v>152</v>
      </c>
      <c r="E1" s="156" t="s">
        <v>153</v>
      </c>
    </row>
    <row r="2" spans="2:5" ht="15" customHeight="1" x14ac:dyDescent="0.2">
      <c r="B2" s="158" t="s">
        <v>151</v>
      </c>
      <c r="C2" s="158" t="s">
        <v>14</v>
      </c>
      <c r="D2" s="158" t="s">
        <v>39</v>
      </c>
      <c r="E2" s="158" t="str">
        <f t="shared" ref="E2:E5" si="0">CONCATENATE(D2," - ",C2)</f>
        <v>2.1.2.1.1 - ФОТ</v>
      </c>
    </row>
    <row r="3" spans="2:5" ht="15" customHeight="1" x14ac:dyDescent="0.2">
      <c r="B3" s="158" t="s">
        <v>156</v>
      </c>
      <c r="C3" s="158" t="s">
        <v>14</v>
      </c>
      <c r="D3" s="158" t="s">
        <v>39</v>
      </c>
      <c r="E3" s="158" t="str">
        <f t="shared" si="0"/>
        <v>2.1.2.1.1 - ФОТ</v>
      </c>
    </row>
    <row r="4" spans="2:5" ht="15" customHeight="1" x14ac:dyDescent="0.2">
      <c r="B4" s="158" t="s">
        <v>141</v>
      </c>
      <c r="C4" s="158" t="s">
        <v>14</v>
      </c>
      <c r="D4" s="158" t="s">
        <v>39</v>
      </c>
      <c r="E4" s="158" t="str">
        <f t="shared" si="0"/>
        <v>2.1.2.1.1 - ФОТ</v>
      </c>
    </row>
    <row r="5" spans="2:5" ht="15" customHeight="1" x14ac:dyDescent="0.2">
      <c r="B5" s="158" t="s">
        <v>140</v>
      </c>
      <c r="C5" s="158" t="s">
        <v>16</v>
      </c>
      <c r="D5" s="158" t="s">
        <v>40</v>
      </c>
      <c r="E5" s="158" t="str">
        <f t="shared" si="0"/>
        <v>2.1.2.1.3 - Налоги на ФОТ</v>
      </c>
    </row>
  </sheetData>
  <sheetProtection formatCells="0" formatColumns="0" formatRows="0" insertColumns="0" insertRows="0" insertHyperlinks="0" deleteColumns="0" deleteRows="0" sort="0" autoFilter="0" pivotTables="0"/>
  <autoFilter ref="B1:E5"/>
  <sortState ref="B4:E1414">
    <sortCondition ref="B2:B1414"/>
  </sortState>
  <conditionalFormatting sqref="B6:B1048576 B1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мес</vt:lpstr>
      <vt:lpstr>FM_07_TP</vt:lpstr>
      <vt:lpstr>PL14_TP</vt:lpstr>
      <vt:lpstr>Costs_01</vt:lpstr>
      <vt:lpstr>Catalog_costs</vt:lpstr>
      <vt:lpstr>sales_08</vt:lpstr>
      <vt:lpstr>sales_09</vt:lpstr>
      <vt:lpstr>sales_10</vt:lpstr>
      <vt:lpstr>sales_11</vt:lpstr>
      <vt:lpstr>sales_12</vt:lpstr>
      <vt:lpstr>PL14_TP!Заголовки_для_печати</vt:lpstr>
      <vt:lpstr>PL14_TP!Область_печати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Piryugin</dc:creator>
  <cp:lastModifiedBy>Aleksandr Nemtsev</cp:lastModifiedBy>
  <cp:lastPrinted>2014-08-25T08:28:59Z</cp:lastPrinted>
  <dcterms:created xsi:type="dcterms:W3CDTF">2012-12-07T06:38:32Z</dcterms:created>
  <dcterms:modified xsi:type="dcterms:W3CDTF">2014-08-25T13:34:11Z</dcterms:modified>
</cp:coreProperties>
</file>