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960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5" i="1" l="1"/>
  <c r="E64" i="1"/>
  <c r="E63" i="1"/>
  <c r="E62" i="1"/>
  <c r="E61" i="1"/>
  <c r="E60" i="1"/>
  <c r="E59" i="1"/>
  <c r="E58" i="1"/>
  <c r="E57" i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F37" i="1"/>
  <c r="L36" i="1"/>
  <c r="M36" i="1" s="1"/>
  <c r="F36" i="1"/>
  <c r="L35" i="1"/>
  <c r="M35" i="1" s="1"/>
  <c r="P14" i="1"/>
  <c r="K14" i="1"/>
  <c r="O14" i="1" s="1"/>
  <c r="J43" i="1" s="1"/>
  <c r="D14" i="1"/>
  <c r="P13" i="1"/>
  <c r="K13" i="1"/>
  <c r="O13" i="1" s="1"/>
  <c r="J42" i="1" s="1"/>
  <c r="D13" i="1"/>
  <c r="P12" i="1"/>
  <c r="K12" i="1"/>
  <c r="F41" i="1" s="1"/>
  <c r="D12" i="1"/>
  <c r="P11" i="1"/>
  <c r="K11" i="1"/>
  <c r="O11" i="1" s="1"/>
  <c r="J40" i="1" s="1"/>
  <c r="D11" i="1"/>
  <c r="P10" i="1"/>
  <c r="K10" i="1"/>
  <c r="O10" i="1" s="1"/>
  <c r="J39" i="1" s="1"/>
  <c r="D10" i="1"/>
  <c r="P9" i="1"/>
  <c r="K9" i="1"/>
  <c r="O9" i="1" s="1"/>
  <c r="J38" i="1" s="1"/>
  <c r="D9" i="1"/>
  <c r="P8" i="1"/>
  <c r="O8" i="1"/>
  <c r="J37" i="1" s="1"/>
  <c r="N8" i="1"/>
  <c r="H37" i="1" s="1"/>
  <c r="D8" i="1"/>
  <c r="P7" i="1"/>
  <c r="O7" i="1"/>
  <c r="J36" i="1" s="1"/>
  <c r="N7" i="1"/>
  <c r="H36" i="1" s="1"/>
  <c r="I7" i="1"/>
  <c r="D7" i="1"/>
  <c r="P6" i="1"/>
  <c r="I6" i="1"/>
  <c r="K6" i="1" s="1"/>
  <c r="N6" i="1" s="1"/>
  <c r="D6" i="1"/>
  <c r="P26" i="1" l="1"/>
  <c r="F38" i="1"/>
  <c r="O12" i="1"/>
  <c r="J41" i="1" s="1"/>
  <c r="N9" i="1"/>
  <c r="H38" i="1" s="1"/>
  <c r="O6" i="1"/>
  <c r="F35" i="1"/>
  <c r="M44" i="1"/>
  <c r="N14" i="1"/>
  <c r="H43" i="1" s="1"/>
  <c r="F43" i="1"/>
  <c r="L44" i="1"/>
  <c r="N11" i="1"/>
  <c r="H40" i="1" s="1"/>
  <c r="F40" i="1"/>
  <c r="N13" i="1"/>
  <c r="H42" i="1" s="1"/>
  <c r="F42" i="1"/>
  <c r="N10" i="1"/>
  <c r="H39" i="1" s="1"/>
  <c r="F39" i="1"/>
  <c r="N12" i="1"/>
  <c r="H41" i="1" s="1"/>
  <c r="F44" i="1" l="1"/>
  <c r="H35" i="1"/>
  <c r="H44" i="1" s="1"/>
  <c r="C57" i="1" s="1"/>
  <c r="O25" i="1"/>
  <c r="J35" i="1"/>
  <c r="J44" i="1" s="1"/>
  <c r="M25" i="1" l="1"/>
  <c r="E25" i="1"/>
</calcChain>
</file>

<file path=xl/comments1.xml><?xml version="1.0" encoding="utf-8"?>
<comments xmlns="http://schemas.openxmlformats.org/spreadsheetml/2006/main">
  <authors>
    <author>User</author>
  </authors>
  <commentList>
    <comment ref="E45" authorId="0">
      <text>
        <r>
          <rPr>
            <b/>
            <sz val="9"/>
            <color indexed="81"/>
            <rFont val="Tahoma"/>
            <family val="2"/>
            <charset val="204"/>
          </rPr>
          <t>ВНИМАНИЕ !!!
Ссылка приходит с таб по работе с Транспортной компание на момент назночения рейса и водителя.</t>
        </r>
      </text>
    </comment>
    <comment ref="C46" authorId="0">
      <text>
        <r>
          <rPr>
            <b/>
            <sz val="9"/>
            <color indexed="81"/>
            <rFont val="Tahoma"/>
            <family val="2"/>
            <charset val="204"/>
          </rPr>
          <t>ВНИМАНИЕ !!!</t>
        </r>
        <r>
          <rPr>
            <sz val="9"/>
            <color indexed="81"/>
            <rFont val="Tahoma"/>
            <family val="2"/>
            <charset val="204"/>
          </rPr>
          <t xml:space="preserve">
Ссылка приходит с таб. По формировании бригад и должностных полномочии по данному проекту.
</t>
        </r>
      </text>
    </comment>
  </commentList>
</comments>
</file>

<file path=xl/sharedStrings.xml><?xml version="1.0" encoding="utf-8"?>
<sst xmlns="http://schemas.openxmlformats.org/spreadsheetml/2006/main" count="130" uniqueCount="89">
  <si>
    <t>№</t>
  </si>
  <si>
    <t>Название материала</t>
  </si>
  <si>
    <t>Габариты</t>
  </si>
  <si>
    <t>Не изменный параметр</t>
  </si>
  <si>
    <t xml:space="preserve"> Номер ТУ, марка Транспорта</t>
  </si>
  <si>
    <t>Объем работ</t>
  </si>
  <si>
    <t>Упаковка</t>
  </si>
  <si>
    <t>Ед.из.</t>
  </si>
  <si>
    <t>Расход</t>
  </si>
  <si>
    <t>Цена за кв.м.</t>
  </si>
  <si>
    <t>Кол-во товара</t>
  </si>
  <si>
    <t>Вес за ед. в гр.</t>
  </si>
  <si>
    <t>Вес товара в кг.</t>
  </si>
  <si>
    <t>Транспортный объем куб</t>
  </si>
  <si>
    <t>Итого в  рублях</t>
  </si>
  <si>
    <t>куб.см</t>
  </si>
  <si>
    <t>Техноэласт ЭПП (0,10 х 1м.)</t>
  </si>
  <si>
    <t>0,10 х 1 х 0,10</t>
  </si>
  <si>
    <t>ТУ 5774-003-00287852-99</t>
  </si>
  <si>
    <t>м2</t>
  </si>
  <si>
    <t>шт.рул.</t>
  </si>
  <si>
    <t>Экструзионный пенополистирол XPS CARBON 35 300, 1180х58х40</t>
  </si>
  <si>
    <t>0,58 х 1,18 х 0,40</t>
  </si>
  <si>
    <t>ТУ 2244-047-17925162-2006</t>
  </si>
  <si>
    <t xml:space="preserve">шт.лист. </t>
  </si>
  <si>
    <t>Профилированные мембраны PLANTER (2,0 м х 20 м х 8мм) R-25</t>
  </si>
  <si>
    <t>0,20 х 2 х 0,20</t>
  </si>
  <si>
    <t>ТУ 5774-041-72746455-2010</t>
  </si>
  <si>
    <t>Технониколь №01  20л.</t>
  </si>
  <si>
    <t>0,2 х 0,4 х 0,2</t>
  </si>
  <si>
    <t>ТУ 5775-042-17925162-2006</t>
  </si>
  <si>
    <t>л.</t>
  </si>
  <si>
    <t>банок.</t>
  </si>
  <si>
    <t>ТЕХНОНИКОЛЬ №27</t>
  </si>
  <si>
    <t>ТУ 5775-039-72746455-2010</t>
  </si>
  <si>
    <t>Бентонитовый шнур 15 х 20х6250мм</t>
  </si>
  <si>
    <t>0,015 х 2 х 0,625</t>
  </si>
  <si>
    <t>ТУ 5775-001-85453252-2008</t>
  </si>
  <si>
    <t>м.п.</t>
  </si>
  <si>
    <t>шт.</t>
  </si>
  <si>
    <t>Уплотнитель (шнур типа «Вилатерм»); 0,6х3, 450п.м.</t>
  </si>
  <si>
    <t>0,06 х 3 х 0,06</t>
  </si>
  <si>
    <t>ТУ 2291-009-03989419-2006</t>
  </si>
  <si>
    <t>NICOBAND лента герметизирующая (10 м*150 мм)</t>
  </si>
  <si>
    <t>0,2 х 0,15 х 0,2</t>
  </si>
  <si>
    <t>ТУ 5774-033-72746455-2009</t>
  </si>
  <si>
    <t xml:space="preserve">Гидрошпонка ПВХ ТехноНИКОЛЬ ДЗ-270/320 </t>
  </si>
  <si>
    <t>0,27 х 0,32 х 0,27</t>
  </si>
  <si>
    <t>ТУ 5775-002-46603100-03.</t>
  </si>
  <si>
    <t>Сума закупки без доставки:</t>
  </si>
  <si>
    <t>Сумма доставки</t>
  </si>
  <si>
    <t>Итоговая сумма</t>
  </si>
  <si>
    <t xml:space="preserve"> Номер ТУ</t>
  </si>
  <si>
    <t xml:space="preserve">Закупочная цена за ед. руб. </t>
  </si>
  <si>
    <t>Цена со скидкой руб.</t>
  </si>
  <si>
    <t>Доставка товара транспортом</t>
  </si>
  <si>
    <t>ТЕХНОНИКОЛЬ №27, 20л.</t>
  </si>
  <si>
    <t>Бентонитовый шнур 15 х 20мм</t>
  </si>
  <si>
    <t>Уплотнитель (шнур типа «Вилатерм»); 3м. Х 60мм, 450п.м.</t>
  </si>
  <si>
    <t>Гидрошпонка ПВХ ТехноНИКОЛЬ ДЗ-270/320 рулон 20 м</t>
  </si>
  <si>
    <t>Копия заказа прорабу и водителью</t>
  </si>
  <si>
    <t>Автотранспорт для перевозок грузов Список</t>
  </si>
  <si>
    <t>Грузоподемность. В кг.</t>
  </si>
  <si>
    <t>объем в Куб./м.</t>
  </si>
  <si>
    <t>Марки авто транспорта</t>
  </si>
  <si>
    <t>СОБОЛЬ</t>
  </si>
  <si>
    <t>Газель</t>
  </si>
  <si>
    <t>Газель большая</t>
  </si>
  <si>
    <t>ЗИЛ-Бычок</t>
  </si>
  <si>
    <t>ЗИЛ</t>
  </si>
  <si>
    <t>10-тонник тентованный МИНИ</t>
  </si>
  <si>
    <t>10-тонник тентованный  СТАНДАРТ</t>
  </si>
  <si>
    <t>10-тонник тентованный МАКСИ</t>
  </si>
  <si>
    <t>Евротент</t>
  </si>
  <si>
    <t>Евротент 25</t>
  </si>
  <si>
    <t xml:space="preserve"> </t>
  </si>
  <si>
    <t>Вес и объем, цена и марка транспортного средства:</t>
  </si>
  <si>
    <t>Расчет Заказ-Наряда на доставку товара транспортом с учетом цен, закупки и транспортировки и ответственных лиц.</t>
  </si>
  <si>
    <t>цена за час</t>
  </si>
  <si>
    <t xml:space="preserve">ЛИСТ ЗАКАЗА ТОВАРА </t>
  </si>
  <si>
    <t>Ответственный приемщик товара :</t>
  </si>
  <si>
    <t>Иванов И.В</t>
  </si>
  <si>
    <t xml:space="preserve">тел. 8 911 911 01 02 </t>
  </si>
  <si>
    <t>Водитель или транспортная компания</t>
  </si>
  <si>
    <t>Сидоров А.Г.</t>
  </si>
  <si>
    <t>тел. 8 925 555 22 33</t>
  </si>
  <si>
    <t>Стоимость перевозки</t>
  </si>
  <si>
    <t>Расчет загрузочных мощностей и цен по транспорту</t>
  </si>
  <si>
    <t>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</si>
</sst>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&quot;р.&quot;"/>
    <numFmt numFmtId="165" formatCode="0.0"/>
  </numFmts>
  <fonts count="34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9C0006"/>
      <name val="Times New Roman"/>
      <family val="2"/>
      <charset val="204"/>
    </font>
    <font>
      <b/>
      <sz val="12"/>
      <color rgb="FF006100"/>
      <name val="Times New Roman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4C4C4C"/>
      <name val="Times New Roman"/>
      <family val="1"/>
      <charset val="204"/>
    </font>
    <font>
      <i/>
      <sz val="24"/>
      <color rgb="FF4C4C4C"/>
      <name val="Trebuchet MS"/>
      <family val="2"/>
      <charset val="204"/>
    </font>
    <font>
      <b/>
      <sz val="11"/>
      <color rgb="FF4C4C4C"/>
      <name val="Times New Roman"/>
      <family val="1"/>
      <charset val="204"/>
    </font>
    <font>
      <b/>
      <sz val="18"/>
      <color rgb="FF4C4C4C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1"/>
      <color rgb="FF444444"/>
      <name val="Segoe UI"/>
      <family val="2"/>
      <charset val="204"/>
    </font>
    <font>
      <b/>
      <sz val="13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FF0000"/>
      <name val="Arial"/>
      <family val="2"/>
      <charset val="204"/>
    </font>
    <font>
      <b/>
      <sz val="2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6" borderId="1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4" fillId="4" borderId="1" xfId="4" applyBorder="1" applyAlignment="1">
      <alignment horizontal="center" vertical="distributed"/>
    </xf>
    <xf numFmtId="0" fontId="8" fillId="2" borderId="1" xfId="2" applyFont="1" applyBorder="1" applyAlignment="1">
      <alignment horizontal="center" vertical="distributed"/>
    </xf>
    <xf numFmtId="0" fontId="4" fillId="5" borderId="1" xfId="5" applyBorder="1" applyAlignment="1">
      <alignment horizontal="center" vertical="distributed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6" borderId="1" xfId="0" applyFont="1" applyFill="1" applyBorder="1" applyAlignment="1">
      <alignment horizontal="center"/>
    </xf>
    <xf numFmtId="2" fontId="0" fillId="6" borderId="1" xfId="0" applyNumberFormat="1" applyFill="1" applyBorder="1"/>
    <xf numFmtId="0" fontId="0" fillId="0" borderId="0" xfId="0" applyBorder="1"/>
    <xf numFmtId="2" fontId="0" fillId="0" borderId="0" xfId="0" applyNumberFormat="1" applyBorder="1"/>
    <xf numFmtId="2" fontId="4" fillId="4" borderId="0" xfId="4" applyNumberFormat="1" applyBorder="1"/>
    <xf numFmtId="2" fontId="2" fillId="2" borderId="0" xfId="2" applyNumberFormat="1" applyBorder="1"/>
    <xf numFmtId="0" fontId="4" fillId="5" borderId="1" xfId="5" applyBorder="1"/>
    <xf numFmtId="0" fontId="0" fillId="7" borderId="1" xfId="0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0" fontId="10" fillId="7" borderId="1" xfId="0" applyFont="1" applyFill="1" applyBorder="1"/>
    <xf numFmtId="0" fontId="11" fillId="7" borderId="1" xfId="0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" fontId="4" fillId="4" borderId="1" xfId="4" applyNumberFormat="1" applyBorder="1" applyAlignment="1">
      <alignment horizontal="center"/>
    </xf>
    <xf numFmtId="4" fontId="2" fillId="2" borderId="1" xfId="2" applyNumberFormat="1" applyBorder="1" applyAlignment="1">
      <alignment horizontal="center"/>
    </xf>
    <xf numFmtId="0" fontId="4" fillId="5" borderId="1" xfId="5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0" applyNumberFormat="1"/>
    <xf numFmtId="2" fontId="0" fillId="0" borderId="0" xfId="0" applyNumberFormat="1"/>
    <xf numFmtId="2" fontId="0" fillId="7" borderId="1" xfId="0" applyNumberFormat="1" applyFill="1" applyBorder="1" applyAlignment="1">
      <alignment horizontal="center"/>
    </xf>
    <xf numFmtId="43" fontId="0" fillId="6" borderId="0" xfId="1" applyFont="1" applyFill="1" applyAlignment="1">
      <alignment horizontal="center"/>
    </xf>
    <xf numFmtId="43" fontId="0" fillId="6" borderId="0" xfId="0" applyNumberFormat="1" applyFill="1"/>
    <xf numFmtId="0" fontId="9" fillId="7" borderId="1" xfId="6" applyFont="1" applyFill="1" applyBorder="1"/>
    <xf numFmtId="0" fontId="9" fillId="7" borderId="1" xfId="6" applyFont="1" applyFill="1" applyBorder="1" applyAlignment="1">
      <alignment horizontal="center"/>
    </xf>
    <xf numFmtId="3" fontId="9" fillId="7" borderId="1" xfId="6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9" fillId="7" borderId="0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center" vertical="center" wrapText="1"/>
    </xf>
    <xf numFmtId="3" fontId="9" fillId="7" borderId="0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/>
    <xf numFmtId="1" fontId="0" fillId="7" borderId="0" xfId="0" applyNumberFormat="1" applyFill="1" applyBorder="1" applyAlignment="1">
      <alignment horizontal="center"/>
    </xf>
    <xf numFmtId="1" fontId="4" fillId="4" borderId="0" xfId="4" applyNumberFormat="1" applyBorder="1" applyAlignment="1">
      <alignment horizontal="center"/>
    </xf>
    <xf numFmtId="4" fontId="2" fillId="2" borderId="0" xfId="2" applyNumberFormat="1" applyBorder="1" applyAlignment="1">
      <alignment horizontal="center"/>
    </xf>
    <xf numFmtId="0" fontId="4" fillId="5" borderId="0" xfId="5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5" fillId="0" borderId="0" xfId="0" applyFont="1" applyFill="1" applyBorder="1" applyAlignment="1">
      <alignment horizontal="center"/>
    </xf>
    <xf numFmtId="43" fontId="0" fillId="0" borderId="0" xfId="1" applyFont="1"/>
    <xf numFmtId="0" fontId="13" fillId="0" borderId="0" xfId="0" applyFont="1"/>
    <xf numFmtId="0" fontId="5" fillId="0" borderId="0" xfId="0" applyFont="1"/>
    <xf numFmtId="0" fontId="14" fillId="4" borderId="0" xfId="4" applyNumberFormat="1" applyFont="1"/>
    <xf numFmtId="0" fontId="6" fillId="0" borderId="0" xfId="0" applyFont="1"/>
    <xf numFmtId="0" fontId="5" fillId="6" borderId="0" xfId="0" applyFont="1" applyFill="1"/>
    <xf numFmtId="0" fontId="16" fillId="6" borderId="0" xfId="0" applyFont="1" applyFill="1"/>
    <xf numFmtId="0" fontId="0" fillId="0" borderId="0" xfId="1" applyNumberFormat="1" applyFont="1" applyBorder="1"/>
    <xf numFmtId="0" fontId="16" fillId="0" borderId="0" xfId="0" applyFont="1"/>
    <xf numFmtId="1" fontId="16" fillId="0" borderId="0" xfId="0" applyNumberFormat="1" applyFont="1"/>
    <xf numFmtId="164" fontId="6" fillId="0" borderId="0" xfId="1" applyNumberFormat="1" applyFont="1" applyBorder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6" borderId="0" xfId="0" applyFont="1" applyFill="1" applyAlignment="1">
      <alignment vertical="center" wrapText="1"/>
    </xf>
    <xf numFmtId="165" fontId="0" fillId="0" borderId="0" xfId="0" applyNumberFormat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distributed"/>
    </xf>
    <xf numFmtId="0" fontId="21" fillId="0" borderId="1" xfId="0" applyFont="1" applyBorder="1" applyAlignment="1">
      <alignment horizontal="center" vertical="distributed"/>
    </xf>
    <xf numFmtId="0" fontId="4" fillId="4" borderId="1" xfId="4" applyBorder="1" applyAlignment="1">
      <alignment horizontal="center" vertical="distributed"/>
    </xf>
    <xf numFmtId="0" fontId="2" fillId="2" borderId="1" xfId="2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" fontId="2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4" fillId="4" borderId="1" xfId="4" applyNumberFormat="1" applyBorder="1" applyAlignment="1">
      <alignment horizontal="center"/>
    </xf>
    <xf numFmtId="4" fontId="2" fillId="2" borderId="1" xfId="2" applyNumberFormat="1" applyBorder="1" applyAlignment="1">
      <alignment horizontal="center"/>
    </xf>
    <xf numFmtId="0" fontId="2" fillId="2" borderId="1" xfId="2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9" fillId="6" borderId="2" xfId="6" applyFont="1" applyFill="1" applyBorder="1" applyAlignment="1">
      <alignment horizontal="center"/>
    </xf>
    <xf numFmtId="0" fontId="9" fillId="6" borderId="3" xfId="6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3" fontId="4" fillId="4" borderId="1" xfId="4" applyNumberFormat="1" applyBorder="1" applyAlignment="1">
      <alignment horizontal="center" vertical="center" wrapText="1"/>
    </xf>
    <xf numFmtId="4" fontId="0" fillId="6" borderId="0" xfId="0" applyNumberFormat="1" applyFill="1"/>
    <xf numFmtId="1" fontId="22" fillId="0" borderId="1" xfId="0" applyNumberFormat="1" applyFont="1" applyBorder="1" applyAlignment="1">
      <alignment horizontal="center"/>
    </xf>
    <xf numFmtId="0" fontId="23" fillId="0" borderId="1" xfId="0" applyFont="1" applyBorder="1"/>
    <xf numFmtId="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/>
    <xf numFmtId="1" fontId="22" fillId="0" borderId="0" xfId="0" applyNumberFormat="1" applyFont="1" applyBorder="1" applyAlignment="1">
      <alignment horizontal="center"/>
    </xf>
    <xf numFmtId="0" fontId="23" fillId="0" borderId="0" xfId="0" applyFont="1" applyBorder="1"/>
    <xf numFmtId="4" fontId="22" fillId="6" borderId="0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/>
    <xf numFmtId="164" fontId="0" fillId="0" borderId="0" xfId="0" applyNumberFormat="1" applyBorder="1"/>
    <xf numFmtId="0" fontId="15" fillId="0" borderId="0" xfId="0" applyFont="1"/>
    <xf numFmtId="0" fontId="24" fillId="0" borderId="0" xfId="0" applyFont="1"/>
    <xf numFmtId="164" fontId="0" fillId="0" borderId="0" xfId="0" applyNumberFormat="1"/>
    <xf numFmtId="0" fontId="15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distributed"/>
    </xf>
    <xf numFmtId="0" fontId="0" fillId="6" borderId="0" xfId="0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3" fontId="26" fillId="6" borderId="1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25" fillId="0" borderId="1" xfId="0" applyFont="1" applyBorder="1"/>
    <xf numFmtId="3" fontId="15" fillId="6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27" fillId="0" borderId="1" xfId="0" applyFont="1" applyBorder="1"/>
    <xf numFmtId="3" fontId="0" fillId="6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0" xfId="0" applyFont="1" applyBorder="1"/>
    <xf numFmtId="3" fontId="0" fillId="6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64" fontId="26" fillId="0" borderId="1" xfId="0" applyNumberFormat="1" applyFont="1" applyBorder="1"/>
    <xf numFmtId="4" fontId="22" fillId="6" borderId="1" xfId="0" applyNumberFormat="1" applyFont="1" applyFill="1" applyBorder="1" applyAlignment="1">
      <alignment horizontal="center"/>
    </xf>
    <xf numFmtId="0" fontId="32" fillId="0" borderId="0" xfId="0" applyFont="1"/>
    <xf numFmtId="4" fontId="32" fillId="6" borderId="0" xfId="0" applyNumberFormat="1" applyFont="1" applyFill="1"/>
    <xf numFmtId="0" fontId="32" fillId="0" borderId="0" xfId="0" applyFont="1" applyAlignment="1"/>
    <xf numFmtId="0" fontId="15" fillId="0" borderId="4" xfId="0" applyFont="1" applyFill="1" applyBorder="1" applyAlignment="1">
      <alignment horizontal="center" vertical="distributed"/>
    </xf>
    <xf numFmtId="0" fontId="33" fillId="0" borderId="5" xfId="0" applyFont="1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7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29" fillId="0" borderId="5" xfId="0" applyFont="1" applyBorder="1" applyAlignment="1">
      <alignment horizontal="center" vertical="distributed"/>
    </xf>
    <xf numFmtId="4" fontId="13" fillId="7" borderId="0" xfId="0" applyNumberFormat="1" applyFont="1" applyFill="1" applyAlignment="1">
      <alignment horizontal="center"/>
    </xf>
    <xf numFmtId="4" fontId="15" fillId="7" borderId="0" xfId="0" applyNumberFormat="1" applyFont="1" applyFill="1" applyAlignment="1">
      <alignment horizontal="center"/>
    </xf>
  </cellXfs>
  <cellStyles count="7">
    <cellStyle name="60% - Акцент1" xfId="4" builtinId="32"/>
    <cellStyle name="60% - Акцент6" xfId="5" builtinId="52"/>
    <cellStyle name="Гиперссылка" xfId="6" builtinId="8"/>
    <cellStyle name="Обычный" xfId="0" builtinId="0"/>
    <cellStyle name="Плохой" xfId="3" builtinId="27"/>
    <cellStyle name="Финансовый" xfId="1" builtin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pbrik.ru/product/nicoband-brand/nicoband-10-150/" TargetMode="External"/><Relationship Id="rId1" Type="http://schemas.openxmlformats.org/officeDocument/2006/relationships/hyperlink" Target="http://spbrik.ru/product/nicoband-brand/nicoband-10-150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80"/>
  <sheetViews>
    <sheetView tabSelected="1" workbookViewId="0">
      <selection activeCell="N25" sqref="N25"/>
    </sheetView>
  </sheetViews>
  <sheetFormatPr defaultRowHeight="15.75" x14ac:dyDescent="0.25"/>
  <cols>
    <col min="1" max="1" width="4.375" style="1" customWidth="1"/>
    <col min="2" max="2" width="60.625" customWidth="1"/>
    <col min="3" max="3" width="14.75" customWidth="1"/>
    <col min="4" max="4" width="10.375" style="2" customWidth="1"/>
    <col min="5" max="5" width="24.125" customWidth="1"/>
    <col min="6" max="6" width="11.75" customWidth="1"/>
    <col min="7" max="7" width="12.625" customWidth="1"/>
    <col min="8" max="8" width="6" customWidth="1"/>
    <col min="9" max="9" width="6.875" customWidth="1"/>
    <col min="10" max="10" width="7" customWidth="1"/>
    <col min="11" max="11" width="9" style="2" customWidth="1"/>
    <col min="12" max="12" width="10.25" customWidth="1"/>
    <col min="13" max="13" width="12.375" customWidth="1"/>
    <col min="14" max="14" width="13" customWidth="1"/>
    <col min="15" max="15" width="16" customWidth="1"/>
    <col min="16" max="16" width="13.375" customWidth="1"/>
    <col min="17" max="17" width="15" customWidth="1"/>
    <col min="18" max="18" width="10.5" customWidth="1"/>
    <col min="19" max="19" width="10.375" customWidth="1"/>
  </cols>
  <sheetData>
    <row r="2" spans="1:20" ht="30" x14ac:dyDescent="0.4">
      <c r="B2" s="129" t="s">
        <v>77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20" ht="23.25" customHeight="1" x14ac:dyDescent="0.25"/>
    <row r="4" spans="1:20" s="13" customFormat="1" ht="47.25" x14ac:dyDescent="0.25">
      <c r="A4" s="3" t="s">
        <v>0</v>
      </c>
      <c r="B4" s="4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7" t="s">
        <v>10</v>
      </c>
      <c r="L4" s="8" t="s">
        <v>7</v>
      </c>
      <c r="M4" s="6" t="s">
        <v>11</v>
      </c>
      <c r="N4" s="9" t="s">
        <v>12</v>
      </c>
      <c r="O4" s="10" t="s">
        <v>13</v>
      </c>
      <c r="P4" s="11" t="s">
        <v>14</v>
      </c>
      <c r="Q4" s="12"/>
    </row>
    <row r="5" spans="1:20" x14ac:dyDescent="0.25">
      <c r="A5" s="14"/>
      <c r="B5" s="15"/>
      <c r="C5" s="15"/>
      <c r="D5" s="16" t="s">
        <v>15</v>
      </c>
      <c r="E5" s="15"/>
      <c r="F5" s="15"/>
      <c r="G5" s="15"/>
      <c r="H5" s="15"/>
      <c r="I5" s="15"/>
      <c r="J5" s="15"/>
      <c r="K5" s="17"/>
      <c r="L5" s="18"/>
      <c r="M5" s="19"/>
      <c r="N5" s="20"/>
      <c r="O5" s="21"/>
      <c r="P5" s="22"/>
      <c r="Q5" s="1"/>
    </row>
    <row r="6" spans="1:20" x14ac:dyDescent="0.25">
      <c r="A6" s="23">
        <v>1</v>
      </c>
      <c r="B6" s="24" t="s">
        <v>16</v>
      </c>
      <c r="C6" s="25" t="s">
        <v>17</v>
      </c>
      <c r="D6" s="26">
        <f>100*1000</f>
        <v>100000</v>
      </c>
      <c r="E6" s="27" t="s">
        <v>18</v>
      </c>
      <c r="F6" s="23">
        <v>1000</v>
      </c>
      <c r="G6" s="23">
        <v>10</v>
      </c>
      <c r="H6" s="23" t="s">
        <v>19</v>
      </c>
      <c r="I6" s="28">
        <f>(G6-0.15)-(1-0.12)</f>
        <v>8.9699999999999989</v>
      </c>
      <c r="J6" s="23">
        <v>130</v>
      </c>
      <c r="K6" s="29">
        <f>_xlfn.CEILING.PRECISE(F6/I6)</f>
        <v>112</v>
      </c>
      <c r="L6" s="30" t="s">
        <v>20</v>
      </c>
      <c r="M6" s="29">
        <v>5000</v>
      </c>
      <c r="N6" s="31">
        <f>K6*M6/1000</f>
        <v>560</v>
      </c>
      <c r="O6" s="32">
        <f>(0.1*1*0.1)*K6</f>
        <v>1.1200000000000001</v>
      </c>
      <c r="P6" s="33">
        <f>G6*J6</f>
        <v>1300</v>
      </c>
      <c r="Q6" s="34"/>
      <c r="S6" s="35"/>
      <c r="T6" s="36"/>
    </row>
    <row r="7" spans="1:20" s="2" customFormat="1" x14ac:dyDescent="0.25">
      <c r="A7" s="23">
        <v>2</v>
      </c>
      <c r="B7" s="24" t="s">
        <v>21</v>
      </c>
      <c r="C7" s="25" t="s">
        <v>22</v>
      </c>
      <c r="D7" s="26">
        <f>1180*580</f>
        <v>684400</v>
      </c>
      <c r="E7" s="27" t="s">
        <v>23</v>
      </c>
      <c r="F7" s="23">
        <v>1000</v>
      </c>
      <c r="G7" s="29">
        <v>10</v>
      </c>
      <c r="H7" s="23" t="s">
        <v>19</v>
      </c>
      <c r="I7" s="37">
        <f>1.18*0.58</f>
        <v>0.6843999999999999</v>
      </c>
      <c r="J7" s="23">
        <v>142</v>
      </c>
      <c r="K7" s="29">
        <v>10</v>
      </c>
      <c r="L7" s="30" t="s">
        <v>24</v>
      </c>
      <c r="M7" s="29">
        <v>821.3</v>
      </c>
      <c r="N7" s="31">
        <f>G7*M7/1000</f>
        <v>8.2129999999999992</v>
      </c>
      <c r="O7" s="32">
        <f>(0.58*1.18*0.04)*K7</f>
        <v>0.27376</v>
      </c>
      <c r="P7" s="33">
        <f>G7*J7</f>
        <v>1420</v>
      </c>
      <c r="Q7" s="38"/>
      <c r="S7" s="39"/>
    </row>
    <row r="8" spans="1:20" x14ac:dyDescent="0.25">
      <c r="A8" s="23">
        <v>3</v>
      </c>
      <c r="B8" s="24" t="s">
        <v>25</v>
      </c>
      <c r="C8" s="25" t="s">
        <v>26</v>
      </c>
      <c r="D8" s="26">
        <f>2000*250</f>
        <v>500000</v>
      </c>
      <c r="E8" s="27" t="s">
        <v>27</v>
      </c>
      <c r="F8" s="23">
        <v>1000</v>
      </c>
      <c r="G8" s="23">
        <v>1</v>
      </c>
      <c r="H8" s="23" t="s">
        <v>19</v>
      </c>
      <c r="I8" s="23">
        <v>20</v>
      </c>
      <c r="J8" s="23">
        <v>195</v>
      </c>
      <c r="K8" s="29">
        <v>3</v>
      </c>
      <c r="L8" s="30" t="s">
        <v>20</v>
      </c>
      <c r="M8" s="29">
        <v>18000</v>
      </c>
      <c r="N8" s="31">
        <f t="shared" ref="N8:N14" si="0">K8*M8/1000</f>
        <v>54</v>
      </c>
      <c r="O8" s="32">
        <f>0.2*2*0.2*K8</f>
        <v>0.24000000000000005</v>
      </c>
      <c r="P8" s="33">
        <f>F8*J8</f>
        <v>195000</v>
      </c>
      <c r="Q8" s="38"/>
      <c r="S8" s="35"/>
    </row>
    <row r="9" spans="1:20" x14ac:dyDescent="0.25">
      <c r="A9" s="23">
        <v>4</v>
      </c>
      <c r="B9" s="24" t="s">
        <v>28</v>
      </c>
      <c r="C9" s="25" t="s">
        <v>29</v>
      </c>
      <c r="D9" s="26">
        <f>100*200</f>
        <v>20000</v>
      </c>
      <c r="E9" s="27" t="s">
        <v>30</v>
      </c>
      <c r="F9" s="23">
        <v>1000</v>
      </c>
      <c r="G9" s="23">
        <v>20</v>
      </c>
      <c r="H9" s="23" t="s">
        <v>31</v>
      </c>
      <c r="I9" s="28">
        <v>0.3</v>
      </c>
      <c r="J9" s="23">
        <v>93.5</v>
      </c>
      <c r="K9" s="29">
        <f>F9*I9/G9</f>
        <v>15</v>
      </c>
      <c r="L9" s="30" t="s">
        <v>32</v>
      </c>
      <c r="M9" s="29">
        <v>20000</v>
      </c>
      <c r="N9" s="31">
        <f t="shared" si="0"/>
        <v>300</v>
      </c>
      <c r="O9" s="32">
        <f>0.2*0.4*0.2*K9</f>
        <v>0.24000000000000005</v>
      </c>
      <c r="P9" s="33">
        <f>G9*J9</f>
        <v>1870</v>
      </c>
      <c r="Q9" s="38"/>
      <c r="S9" s="35"/>
    </row>
    <row r="10" spans="1:20" x14ac:dyDescent="0.25">
      <c r="A10" s="23">
        <v>5</v>
      </c>
      <c r="B10" s="24" t="s">
        <v>33</v>
      </c>
      <c r="C10" s="25" t="s">
        <v>29</v>
      </c>
      <c r="D10" s="26">
        <f>100*200</f>
        <v>20000</v>
      </c>
      <c r="E10" s="27" t="s">
        <v>34</v>
      </c>
      <c r="F10" s="23">
        <v>1000</v>
      </c>
      <c r="G10" s="23">
        <v>20</v>
      </c>
      <c r="H10" s="23" t="s">
        <v>31</v>
      </c>
      <c r="I10" s="23">
        <v>0.75</v>
      </c>
      <c r="J10" s="23">
        <v>48</v>
      </c>
      <c r="K10" s="29">
        <f>F10*I10/G10</f>
        <v>37.5</v>
      </c>
      <c r="L10" s="30" t="s">
        <v>32</v>
      </c>
      <c r="M10" s="29">
        <v>20000</v>
      </c>
      <c r="N10" s="31">
        <f t="shared" si="0"/>
        <v>750</v>
      </c>
      <c r="O10" s="32">
        <f>0.2*0.4*0.2*K10</f>
        <v>0.60000000000000009</v>
      </c>
      <c r="P10" s="33">
        <f>G10*J10</f>
        <v>960</v>
      </c>
      <c r="Q10" s="38"/>
      <c r="S10" s="35"/>
    </row>
    <row r="11" spans="1:20" x14ac:dyDescent="0.25">
      <c r="A11" s="23">
        <v>6</v>
      </c>
      <c r="B11" s="24" t="s">
        <v>35</v>
      </c>
      <c r="C11" s="25" t="s">
        <v>36</v>
      </c>
      <c r="D11" s="26">
        <f>150*200</f>
        <v>30000</v>
      </c>
      <c r="E11" s="27" t="s">
        <v>37</v>
      </c>
      <c r="F11" s="23">
        <v>1000</v>
      </c>
      <c r="G11" s="23">
        <v>10</v>
      </c>
      <c r="H11" s="23" t="s">
        <v>38</v>
      </c>
      <c r="I11" s="23">
        <v>1</v>
      </c>
      <c r="J11" s="23">
        <v>40</v>
      </c>
      <c r="K11" s="29">
        <f>F11*I11/G11</f>
        <v>100</v>
      </c>
      <c r="L11" s="30" t="s">
        <v>39</v>
      </c>
      <c r="M11" s="29">
        <v>320</v>
      </c>
      <c r="N11" s="31">
        <f t="shared" si="0"/>
        <v>32</v>
      </c>
      <c r="O11" s="32">
        <f>0.015*2*0.625*K11</f>
        <v>1.875</v>
      </c>
      <c r="P11" s="33">
        <f>G11*J11</f>
        <v>400</v>
      </c>
      <c r="Q11" s="34"/>
      <c r="S11" s="35"/>
    </row>
    <row r="12" spans="1:20" x14ac:dyDescent="0.25">
      <c r="A12" s="23">
        <v>7</v>
      </c>
      <c r="B12" s="24" t="s">
        <v>40</v>
      </c>
      <c r="C12" s="25" t="s">
        <v>41</v>
      </c>
      <c r="D12" s="26">
        <f>60*60</f>
        <v>3600</v>
      </c>
      <c r="E12" s="27" t="s">
        <v>42</v>
      </c>
      <c r="F12" s="23">
        <v>1000</v>
      </c>
      <c r="G12" s="23">
        <v>116</v>
      </c>
      <c r="H12" s="23" t="s">
        <v>38</v>
      </c>
      <c r="I12" s="23">
        <v>1</v>
      </c>
      <c r="J12" s="23">
        <v>6</v>
      </c>
      <c r="K12" s="29">
        <f>F12*I12/3</f>
        <v>333.33333333333331</v>
      </c>
      <c r="L12" s="30" t="s">
        <v>39</v>
      </c>
      <c r="M12" s="29">
        <v>500</v>
      </c>
      <c r="N12" s="31">
        <f t="shared" si="0"/>
        <v>166.66666666666666</v>
      </c>
      <c r="O12" s="32">
        <f>0.06*3*0.06*K12</f>
        <v>3.5999999999999992</v>
      </c>
      <c r="P12" s="33">
        <f>F12*J12</f>
        <v>6000</v>
      </c>
      <c r="Q12" s="34"/>
      <c r="S12" s="35"/>
    </row>
    <row r="13" spans="1:20" x14ac:dyDescent="0.25">
      <c r="A13" s="23">
        <v>8</v>
      </c>
      <c r="B13" s="40" t="s">
        <v>43</v>
      </c>
      <c r="C13" s="41" t="s">
        <v>44</v>
      </c>
      <c r="D13" s="42">
        <f>200*150</f>
        <v>30000</v>
      </c>
      <c r="E13" s="24" t="s">
        <v>45</v>
      </c>
      <c r="F13" s="23">
        <v>1000</v>
      </c>
      <c r="G13" s="23">
        <v>10</v>
      </c>
      <c r="H13" s="23" t="s">
        <v>38</v>
      </c>
      <c r="I13" s="23">
        <v>1</v>
      </c>
      <c r="J13" s="23">
        <v>80</v>
      </c>
      <c r="K13" s="29">
        <f>F13/G13</f>
        <v>100</v>
      </c>
      <c r="L13" s="30" t="s">
        <v>20</v>
      </c>
      <c r="M13" s="29">
        <v>1800</v>
      </c>
      <c r="N13" s="31">
        <f t="shared" si="0"/>
        <v>180</v>
      </c>
      <c r="O13" s="32">
        <f>0.2*0.15*0.2*K13</f>
        <v>0.6</v>
      </c>
      <c r="P13" s="33">
        <f>G13*J13</f>
        <v>800</v>
      </c>
      <c r="Q13" s="34"/>
      <c r="S13" s="35"/>
    </row>
    <row r="14" spans="1:20" x14ac:dyDescent="0.25">
      <c r="A14" s="23">
        <v>9</v>
      </c>
      <c r="B14" s="43" t="s">
        <v>46</v>
      </c>
      <c r="C14" s="44" t="s">
        <v>47</v>
      </c>
      <c r="D14" s="45">
        <f>270*320</f>
        <v>86400</v>
      </c>
      <c r="E14" s="24" t="s">
        <v>48</v>
      </c>
      <c r="F14" s="23">
        <v>1000</v>
      </c>
      <c r="G14" s="23">
        <v>20</v>
      </c>
      <c r="H14" s="23" t="s">
        <v>38</v>
      </c>
      <c r="I14" s="23">
        <v>1</v>
      </c>
      <c r="J14" s="23">
        <v>36.5</v>
      </c>
      <c r="K14" s="29">
        <f>F14/I14</f>
        <v>1000</v>
      </c>
      <c r="L14" s="30" t="s">
        <v>39</v>
      </c>
      <c r="M14" s="29">
        <v>1000</v>
      </c>
      <c r="N14" s="31">
        <f t="shared" si="0"/>
        <v>1000</v>
      </c>
      <c r="O14" s="32">
        <f>0.27*0.32*0.27*K14</f>
        <v>23.328000000000003</v>
      </c>
      <c r="P14" s="33">
        <f>G14*J14</f>
        <v>730</v>
      </c>
      <c r="Q14" s="34"/>
      <c r="S14" s="35"/>
    </row>
    <row r="15" spans="1:20" x14ac:dyDescent="0.25">
      <c r="A15" s="46"/>
      <c r="B15" s="47"/>
      <c r="C15" s="48"/>
      <c r="D15" s="49"/>
      <c r="E15" s="50"/>
      <c r="F15" s="46"/>
      <c r="G15" s="46"/>
      <c r="H15" s="46"/>
      <c r="I15" s="46"/>
      <c r="J15" s="46"/>
      <c r="K15" s="51"/>
      <c r="L15" s="46"/>
      <c r="M15" s="51"/>
      <c r="N15" s="52"/>
      <c r="O15" s="53"/>
      <c r="P15" s="54"/>
      <c r="Q15" s="34"/>
      <c r="S15" s="35"/>
    </row>
    <row r="16" spans="1:20" x14ac:dyDescent="0.25">
      <c r="A16" s="46"/>
      <c r="B16" s="47"/>
      <c r="C16" s="48"/>
      <c r="D16" s="49"/>
      <c r="E16" s="50"/>
      <c r="F16" s="46"/>
      <c r="G16" s="46"/>
      <c r="H16" s="46"/>
      <c r="I16" s="46"/>
      <c r="J16" s="46"/>
      <c r="K16" s="51"/>
      <c r="L16" s="46"/>
      <c r="M16" s="51"/>
      <c r="N16" s="52"/>
      <c r="O16" s="53"/>
      <c r="P16" s="54"/>
      <c r="Q16" s="34"/>
      <c r="S16" s="35"/>
    </row>
    <row r="17" spans="1:19" x14ac:dyDescent="0.25">
      <c r="A17" s="46"/>
      <c r="B17" s="47"/>
      <c r="C17" s="48"/>
      <c r="D17" s="49"/>
      <c r="E17" s="50"/>
      <c r="F17" s="46"/>
      <c r="G17" s="46"/>
      <c r="H17" s="46"/>
      <c r="I17" s="46"/>
      <c r="J17" s="46"/>
      <c r="K17" s="51"/>
      <c r="L17" s="46"/>
      <c r="M17" s="51"/>
      <c r="N17" s="52"/>
      <c r="O17" s="53"/>
      <c r="P17" s="54"/>
      <c r="Q17" s="34"/>
      <c r="S17" s="35"/>
    </row>
    <row r="18" spans="1:19" x14ac:dyDescent="0.25">
      <c r="A18" s="46"/>
      <c r="B18" s="47"/>
      <c r="C18" s="48"/>
      <c r="D18" s="49"/>
      <c r="E18" s="50"/>
      <c r="F18" s="46"/>
      <c r="G18" s="46"/>
      <c r="H18" s="46"/>
      <c r="I18" s="46"/>
      <c r="J18" s="46"/>
      <c r="K18" s="51"/>
      <c r="L18" s="46"/>
      <c r="M18" s="51"/>
      <c r="N18" s="52"/>
      <c r="O18" s="53"/>
      <c r="P18" s="54"/>
      <c r="Q18" s="34"/>
      <c r="S18" s="35"/>
    </row>
    <row r="19" spans="1:19" x14ac:dyDescent="0.25">
      <c r="A19" s="46"/>
      <c r="B19" s="47"/>
      <c r="C19" s="48"/>
      <c r="D19" s="49"/>
      <c r="E19" s="50"/>
      <c r="F19" s="46"/>
      <c r="G19" s="46"/>
      <c r="H19" s="46"/>
      <c r="I19" s="46"/>
      <c r="J19" s="46"/>
      <c r="K19" s="51"/>
      <c r="L19" s="46"/>
      <c r="M19" s="51"/>
      <c r="N19" s="52"/>
      <c r="O19" s="53"/>
      <c r="P19" s="54"/>
      <c r="Q19" s="34"/>
      <c r="S19" s="35"/>
    </row>
    <row r="20" spans="1:19" x14ac:dyDescent="0.25">
      <c r="A20" s="46"/>
      <c r="B20" s="47"/>
      <c r="C20" s="48"/>
      <c r="D20" s="49"/>
      <c r="E20" s="50"/>
      <c r="F20" s="46"/>
      <c r="G20" s="46"/>
      <c r="H20" s="46"/>
      <c r="I20" s="46"/>
      <c r="J20" s="46"/>
      <c r="K20" s="51"/>
      <c r="L20" s="46"/>
      <c r="M20" s="51"/>
      <c r="N20" s="52"/>
      <c r="O20" s="53"/>
      <c r="P20" s="54"/>
      <c r="Q20" s="34"/>
      <c r="S20" s="35"/>
    </row>
    <row r="21" spans="1:19" x14ac:dyDescent="0.25">
      <c r="A21" s="46"/>
      <c r="B21" s="47"/>
      <c r="C21" s="48"/>
      <c r="D21" s="49"/>
      <c r="E21" s="50"/>
      <c r="F21" s="46"/>
      <c r="G21" s="46"/>
      <c r="H21" s="46"/>
      <c r="I21" s="46"/>
      <c r="J21" s="46"/>
      <c r="K21" s="51"/>
      <c r="L21" s="46"/>
      <c r="M21" s="51"/>
      <c r="N21" s="52"/>
      <c r="O21" s="53"/>
      <c r="P21" s="54"/>
      <c r="Q21" s="34"/>
      <c r="S21" s="35"/>
    </row>
    <row r="22" spans="1:19" x14ac:dyDescent="0.25">
      <c r="A22" s="46"/>
      <c r="B22" s="47"/>
      <c r="C22" s="48"/>
      <c r="D22" s="49"/>
      <c r="E22" s="50"/>
      <c r="F22" s="46"/>
      <c r="G22" s="46"/>
      <c r="H22" s="46"/>
      <c r="I22" s="46"/>
      <c r="J22" s="46"/>
      <c r="K22" s="51"/>
      <c r="L22" s="46"/>
      <c r="M22" s="51"/>
      <c r="N22" s="52"/>
      <c r="O22" s="53"/>
      <c r="P22" s="54"/>
      <c r="Q22" s="34"/>
      <c r="S22" s="35"/>
    </row>
    <row r="23" spans="1:19" x14ac:dyDescent="0.25">
      <c r="A23" s="46"/>
      <c r="B23" s="47"/>
      <c r="C23" s="48"/>
      <c r="D23" s="49"/>
      <c r="E23" s="50"/>
      <c r="F23" s="46"/>
      <c r="G23" s="46"/>
      <c r="H23" s="46"/>
      <c r="I23" s="46"/>
      <c r="J23" s="46"/>
      <c r="K23" s="51"/>
      <c r="L23" s="46"/>
      <c r="M23" s="51"/>
      <c r="N23" s="52"/>
      <c r="O23" s="53"/>
      <c r="P23" s="54"/>
      <c r="Q23" s="34"/>
      <c r="S23" s="35"/>
    </row>
    <row r="24" spans="1:19" x14ac:dyDescent="0.25">
      <c r="N24" s="55"/>
      <c r="O24" s="56"/>
      <c r="P24" s="57"/>
      <c r="Q24" s="58"/>
    </row>
    <row r="25" spans="1:19" ht="21" x14ac:dyDescent="0.35">
      <c r="B25" s="59" t="s">
        <v>76</v>
      </c>
      <c r="C25" s="60"/>
      <c r="E25" s="61" t="str">
        <f>IF(N25&lt;=D57,"Соболь",IF(N25&lt;=D58,"Газель",IF(N25&lt;=D59,"Газель большая",IF(N25&lt;=D60,"ЗИЛ Бычок",IF(N25&lt;=D61,"ЗИЛ",IF(N25&lt;=D62,"10 Тонник Мини",IF(N25&lt;=D63,"10 Тонник Стандарт",IF(N25&lt;=D64,"10 Тонник Мини",IF(N25&lt;=D65,"Евротент","Евротент 25")))))))))</f>
        <v>ЗИЛ Бычок</v>
      </c>
      <c r="M25" s="61" t="str">
        <f>IF(N25&lt;=D57,"Соболь",IF(N25&lt;=D58,"Газель",IF(N25&lt;=D59,"Газель большая",IF(N25&lt;=D60,"ЗИЛ Бычок",IF(N25&lt;=D61,"ЗИЛ",IF(N25&lt;=D62,"10 Тонник Мини",IF(N25&lt;=D63,"10 Тонник Стандарт",IF(N25&lt;=D64,"10 Тонник Мини",IF(N25&lt;=D65,"Евротент","Евротент 25")))))))))</f>
        <v>ЗИЛ Бычок</v>
      </c>
      <c r="N25" s="144">
        <v>3500</v>
      </c>
      <c r="O25" s="145">
        <f>SUM(O6:O24)</f>
        <v>31.876760000000004</v>
      </c>
      <c r="P25" s="57"/>
      <c r="Q25" s="58"/>
    </row>
    <row r="26" spans="1:19" x14ac:dyDescent="0.25">
      <c r="B26" s="62" t="s">
        <v>49</v>
      </c>
      <c r="C26" s="60"/>
      <c r="D26" s="63"/>
      <c r="K26" s="64"/>
      <c r="L26" s="65"/>
      <c r="M26" s="66"/>
      <c r="N26" s="67"/>
      <c r="O26" s="66"/>
      <c r="P26" s="68">
        <f>SUM(P6:P24)</f>
        <v>208480</v>
      </c>
    </row>
    <row r="27" spans="1:19" x14ac:dyDescent="0.25">
      <c r="B27" s="60"/>
    </row>
    <row r="28" spans="1:19" ht="30.75" x14ac:dyDescent="0.25">
      <c r="B28" s="69" t="s">
        <v>50</v>
      </c>
      <c r="C28" s="70"/>
      <c r="D28" s="71"/>
      <c r="L28" s="72"/>
      <c r="P28" s="72"/>
    </row>
    <row r="29" spans="1:19" ht="30.75" x14ac:dyDescent="0.25">
      <c r="B29" s="73"/>
      <c r="C29" s="70"/>
      <c r="D29" s="71"/>
      <c r="L29" s="72"/>
      <c r="P29" s="72"/>
    </row>
    <row r="30" spans="1:19" ht="30.75" customHeight="1" x14ac:dyDescent="0.25">
      <c r="B30" s="74" t="s">
        <v>51</v>
      </c>
      <c r="C30" s="70"/>
      <c r="D30" s="71"/>
      <c r="L30" s="72"/>
      <c r="P30" s="72"/>
    </row>
    <row r="31" spans="1:19" ht="30.75" customHeight="1" x14ac:dyDescent="0.25">
      <c r="B31" s="74"/>
      <c r="C31" s="70"/>
      <c r="D31" s="71"/>
      <c r="L31" s="72"/>
      <c r="P31" s="72"/>
    </row>
    <row r="32" spans="1:19" x14ac:dyDescent="0.25">
      <c r="A32" s="143" t="s">
        <v>79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9"/>
    </row>
    <row r="33" spans="1:14" x14ac:dyDescent="0.25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2"/>
    </row>
    <row r="34" spans="1:14" ht="47.25" x14ac:dyDescent="0.25">
      <c r="A34" s="14"/>
      <c r="B34" s="4" t="s">
        <v>1</v>
      </c>
      <c r="C34" s="4"/>
      <c r="D34" s="75" t="s">
        <v>52</v>
      </c>
      <c r="E34" s="76"/>
      <c r="F34" s="6" t="s">
        <v>10</v>
      </c>
      <c r="G34" s="6" t="s">
        <v>7</v>
      </c>
      <c r="H34" s="77" t="s">
        <v>12</v>
      </c>
      <c r="I34" s="77"/>
      <c r="J34" s="78" t="s">
        <v>13</v>
      </c>
      <c r="K34" s="78"/>
      <c r="L34" s="79" t="s">
        <v>53</v>
      </c>
      <c r="M34" s="79" t="s">
        <v>54</v>
      </c>
      <c r="N34" s="79" t="s">
        <v>55</v>
      </c>
    </row>
    <row r="35" spans="1:14" x14ac:dyDescent="0.25">
      <c r="A35" s="14">
        <v>1</v>
      </c>
      <c r="B35" s="80" t="s">
        <v>16</v>
      </c>
      <c r="C35" s="81"/>
      <c r="D35" s="82" t="s">
        <v>18</v>
      </c>
      <c r="E35" s="82"/>
      <c r="F35" s="83">
        <f>K6</f>
        <v>112</v>
      </c>
      <c r="G35" s="84" t="s">
        <v>20</v>
      </c>
      <c r="H35" s="85">
        <f>N6</f>
        <v>560</v>
      </c>
      <c r="I35" s="85"/>
      <c r="J35" s="86">
        <f>O6</f>
        <v>1.1200000000000001</v>
      </c>
      <c r="K35" s="87"/>
      <c r="L35" s="88">
        <f>J6</f>
        <v>130</v>
      </c>
      <c r="M35" s="89">
        <f>L35-(L35*0.05)</f>
        <v>123.5</v>
      </c>
      <c r="N35" s="15"/>
    </row>
    <row r="36" spans="1:14" x14ac:dyDescent="0.25">
      <c r="A36" s="14">
        <v>2</v>
      </c>
      <c r="B36" s="80" t="s">
        <v>21</v>
      </c>
      <c r="C36" s="81"/>
      <c r="D36" s="82" t="s">
        <v>23</v>
      </c>
      <c r="E36" s="82"/>
      <c r="F36" s="83">
        <f>K7</f>
        <v>10</v>
      </c>
      <c r="G36" s="84" t="s">
        <v>24</v>
      </c>
      <c r="H36" s="85">
        <f>N7</f>
        <v>8.2129999999999992</v>
      </c>
      <c r="I36" s="85"/>
      <c r="J36" s="86">
        <f>O7</f>
        <v>0.27376</v>
      </c>
      <c r="K36" s="87"/>
      <c r="L36" s="88">
        <f>J7</f>
        <v>142</v>
      </c>
      <c r="M36" s="89">
        <f t="shared" ref="M36:M43" si="1">L36-(L36*0.05)</f>
        <v>134.9</v>
      </c>
      <c r="N36" s="15"/>
    </row>
    <row r="37" spans="1:14" x14ac:dyDescent="0.25">
      <c r="A37" s="14">
        <v>3</v>
      </c>
      <c r="B37" s="80" t="s">
        <v>25</v>
      </c>
      <c r="C37" s="81"/>
      <c r="D37" s="82" t="s">
        <v>27</v>
      </c>
      <c r="E37" s="82"/>
      <c r="F37" s="83">
        <f>K8</f>
        <v>3</v>
      </c>
      <c r="G37" s="84" t="s">
        <v>20</v>
      </c>
      <c r="H37" s="85">
        <f>N8</f>
        <v>54</v>
      </c>
      <c r="I37" s="85"/>
      <c r="J37" s="86">
        <f>O8</f>
        <v>0.24000000000000005</v>
      </c>
      <c r="K37" s="87"/>
      <c r="L37" s="88">
        <f>J8</f>
        <v>195</v>
      </c>
      <c r="M37" s="89">
        <f t="shared" si="1"/>
        <v>185.25</v>
      </c>
      <c r="N37" s="15"/>
    </row>
    <row r="38" spans="1:14" x14ac:dyDescent="0.25">
      <c r="A38" s="14">
        <v>4</v>
      </c>
      <c r="B38" s="80" t="s">
        <v>28</v>
      </c>
      <c r="C38" s="81"/>
      <c r="D38" s="82" t="s">
        <v>30</v>
      </c>
      <c r="E38" s="82"/>
      <c r="F38" s="83">
        <f>K9</f>
        <v>15</v>
      </c>
      <c r="G38" s="84" t="s">
        <v>32</v>
      </c>
      <c r="H38" s="85">
        <f>N9</f>
        <v>300</v>
      </c>
      <c r="I38" s="85"/>
      <c r="J38" s="86">
        <f>O9</f>
        <v>0.24000000000000005</v>
      </c>
      <c r="K38" s="87"/>
      <c r="L38" s="88">
        <f>J9</f>
        <v>93.5</v>
      </c>
      <c r="M38" s="89">
        <f t="shared" si="1"/>
        <v>88.825000000000003</v>
      </c>
      <c r="N38" s="15"/>
    </row>
    <row r="39" spans="1:14" x14ac:dyDescent="0.25">
      <c r="A39" s="14">
        <v>5</v>
      </c>
      <c r="B39" s="80" t="s">
        <v>56</v>
      </c>
      <c r="C39" s="81"/>
      <c r="D39" s="82" t="s">
        <v>34</v>
      </c>
      <c r="E39" s="82"/>
      <c r="F39" s="83">
        <f>K10</f>
        <v>37.5</v>
      </c>
      <c r="G39" s="84" t="s">
        <v>32</v>
      </c>
      <c r="H39" s="85">
        <f>N10</f>
        <v>750</v>
      </c>
      <c r="I39" s="85"/>
      <c r="J39" s="86">
        <f>O10</f>
        <v>0.60000000000000009</v>
      </c>
      <c r="K39" s="87"/>
      <c r="L39" s="88">
        <f>J10</f>
        <v>48</v>
      </c>
      <c r="M39" s="89">
        <f t="shared" si="1"/>
        <v>45.6</v>
      </c>
      <c r="N39" s="15"/>
    </row>
    <row r="40" spans="1:14" x14ac:dyDescent="0.25">
      <c r="A40" s="14">
        <v>6</v>
      </c>
      <c r="B40" s="80" t="s">
        <v>57</v>
      </c>
      <c r="C40" s="81"/>
      <c r="D40" s="82" t="s">
        <v>37</v>
      </c>
      <c r="E40" s="82"/>
      <c r="F40" s="83">
        <f>K11</f>
        <v>100</v>
      </c>
      <c r="G40" s="84" t="s">
        <v>39</v>
      </c>
      <c r="H40" s="85">
        <f>N11</f>
        <v>32</v>
      </c>
      <c r="I40" s="85"/>
      <c r="J40" s="86">
        <f>O11</f>
        <v>1.875</v>
      </c>
      <c r="K40" s="87"/>
      <c r="L40" s="88">
        <f>J11</f>
        <v>40</v>
      </c>
      <c r="M40" s="89">
        <f t="shared" si="1"/>
        <v>38</v>
      </c>
      <c r="N40" s="15"/>
    </row>
    <row r="41" spans="1:14" x14ac:dyDescent="0.25">
      <c r="A41" s="14">
        <v>7</v>
      </c>
      <c r="B41" s="80" t="s">
        <v>58</v>
      </c>
      <c r="C41" s="81"/>
      <c r="D41" s="82" t="s">
        <v>42</v>
      </c>
      <c r="E41" s="82"/>
      <c r="F41" s="83">
        <f>K12</f>
        <v>333.33333333333331</v>
      </c>
      <c r="G41" s="84" t="s">
        <v>39</v>
      </c>
      <c r="H41" s="85">
        <f>N12</f>
        <v>166.66666666666666</v>
      </c>
      <c r="I41" s="85"/>
      <c r="J41" s="86">
        <f>O12</f>
        <v>3.5999999999999992</v>
      </c>
      <c r="K41" s="87"/>
      <c r="L41" s="88">
        <f>J12</f>
        <v>6</v>
      </c>
      <c r="M41" s="89">
        <f t="shared" si="1"/>
        <v>5.7</v>
      </c>
      <c r="N41" s="15"/>
    </row>
    <row r="42" spans="1:14" x14ac:dyDescent="0.25">
      <c r="A42" s="14">
        <v>8</v>
      </c>
      <c r="B42" s="90" t="s">
        <v>43</v>
      </c>
      <c r="C42" s="91"/>
      <c r="D42" s="92" t="s">
        <v>45</v>
      </c>
      <c r="E42" s="92"/>
      <c r="F42" s="83">
        <f>K13</f>
        <v>100</v>
      </c>
      <c r="G42" s="84" t="s">
        <v>20</v>
      </c>
      <c r="H42" s="85">
        <f>N13</f>
        <v>180</v>
      </c>
      <c r="I42" s="85"/>
      <c r="J42" s="86">
        <f>O13</f>
        <v>0.6</v>
      </c>
      <c r="K42" s="87"/>
      <c r="L42" s="88">
        <f>J13</f>
        <v>80</v>
      </c>
      <c r="M42" s="89">
        <f t="shared" si="1"/>
        <v>76</v>
      </c>
      <c r="N42" s="15"/>
    </row>
    <row r="43" spans="1:14" x14ac:dyDescent="0.25">
      <c r="A43" s="14">
        <v>9</v>
      </c>
      <c r="B43" s="93" t="s">
        <v>59</v>
      </c>
      <c r="C43" s="94"/>
      <c r="D43" s="92" t="s">
        <v>48</v>
      </c>
      <c r="E43" s="92"/>
      <c r="F43" s="83">
        <f>K14</f>
        <v>1000</v>
      </c>
      <c r="G43" s="84" t="s">
        <v>39</v>
      </c>
      <c r="H43" s="95">
        <f>N14</f>
        <v>1000</v>
      </c>
      <c r="I43" s="95"/>
      <c r="J43" s="86">
        <f>O14</f>
        <v>23.328000000000003</v>
      </c>
      <c r="K43" s="87"/>
      <c r="L43" s="88">
        <f>J14</f>
        <v>36.5</v>
      </c>
      <c r="M43" s="89">
        <f t="shared" si="1"/>
        <v>34.674999999999997</v>
      </c>
      <c r="N43" s="15"/>
    </row>
    <row r="44" spans="1:14" ht="17.25" x14ac:dyDescent="0.3">
      <c r="D44" s="96"/>
      <c r="F44" s="97">
        <f>SUM(F35:F43)</f>
        <v>1710.8333333333333</v>
      </c>
      <c r="G44" s="98"/>
      <c r="H44" s="132">
        <f>SUM(H35:H43)</f>
        <v>3050.8796666666667</v>
      </c>
      <c r="I44" s="132"/>
      <c r="J44" s="99">
        <f>SUM(J35:J43)</f>
        <v>31.876760000000004</v>
      </c>
      <c r="K44" s="100"/>
      <c r="L44" s="101">
        <f>SUM(L35:L43)</f>
        <v>771</v>
      </c>
      <c r="M44" s="101">
        <f>SUM(M35:M43)</f>
        <v>732.45</v>
      </c>
      <c r="N44" s="89"/>
    </row>
    <row r="45" spans="1:14" ht="17.25" x14ac:dyDescent="0.3">
      <c r="B45" s="133" t="s">
        <v>83</v>
      </c>
      <c r="C45" s="133" t="s">
        <v>84</v>
      </c>
      <c r="D45" s="134"/>
      <c r="E45" s="133" t="s">
        <v>85</v>
      </c>
      <c r="F45" s="102"/>
      <c r="G45" s="103"/>
      <c r="H45" s="104"/>
      <c r="I45" s="104"/>
      <c r="J45" s="105"/>
      <c r="K45" s="106"/>
      <c r="L45" s="107"/>
      <c r="M45" s="107"/>
      <c r="N45" s="108"/>
    </row>
    <row r="46" spans="1:14" ht="17.25" x14ac:dyDescent="0.3">
      <c r="B46" s="133" t="s">
        <v>80</v>
      </c>
      <c r="C46" s="135" t="s">
        <v>81</v>
      </c>
      <c r="D46" s="135"/>
      <c r="E46" s="133" t="s">
        <v>82</v>
      </c>
      <c r="F46" s="102"/>
      <c r="G46" s="103"/>
      <c r="H46" s="104"/>
      <c r="I46" s="104"/>
      <c r="J46" s="105"/>
      <c r="K46" s="106"/>
      <c r="L46" s="107"/>
      <c r="M46" s="107"/>
      <c r="N46" s="108"/>
    </row>
    <row r="47" spans="1:14" ht="17.25" x14ac:dyDescent="0.3">
      <c r="D47" s="96"/>
      <c r="F47" s="102"/>
      <c r="G47" s="103"/>
      <c r="H47" s="104"/>
      <c r="I47" s="104"/>
      <c r="J47" s="105"/>
      <c r="K47" s="106"/>
      <c r="L47" s="107"/>
      <c r="M47" s="107"/>
      <c r="N47" s="108"/>
    </row>
    <row r="48" spans="1:14" ht="17.25" x14ac:dyDescent="0.3">
      <c r="D48" s="96"/>
      <c r="F48" s="102"/>
      <c r="G48" s="103"/>
      <c r="H48" s="104"/>
      <c r="I48" s="104"/>
      <c r="J48" s="105"/>
      <c r="K48" s="106"/>
      <c r="L48" s="107"/>
      <c r="M48" s="107"/>
      <c r="N48" s="108"/>
    </row>
    <row r="49" spans="1:14" ht="17.25" x14ac:dyDescent="0.3">
      <c r="B49" t="s">
        <v>88</v>
      </c>
      <c r="D49" s="96"/>
      <c r="F49" s="102"/>
      <c r="G49" s="103"/>
      <c r="H49" s="104"/>
      <c r="I49" s="104"/>
      <c r="J49" s="105"/>
      <c r="K49" s="106"/>
      <c r="L49" s="107"/>
      <c r="M49" s="107"/>
      <c r="N49" s="108"/>
    </row>
    <row r="50" spans="1:14" ht="17.25" x14ac:dyDescent="0.3">
      <c r="D50" s="96"/>
      <c r="F50" s="102"/>
      <c r="G50" s="103"/>
      <c r="H50" s="104"/>
      <c r="I50" s="104"/>
      <c r="J50" s="105"/>
      <c r="K50" s="106"/>
      <c r="L50" s="107"/>
      <c r="M50" s="107"/>
      <c r="N50" s="108"/>
    </row>
    <row r="51" spans="1:14" ht="18.75" x14ac:dyDescent="0.3">
      <c r="B51" s="109" t="s">
        <v>60</v>
      </c>
      <c r="H51" s="18"/>
      <c r="I51" s="18"/>
      <c r="N51" s="110"/>
    </row>
    <row r="52" spans="1:14" x14ac:dyDescent="0.25">
      <c r="L52" s="111"/>
    </row>
    <row r="53" spans="1:14" x14ac:dyDescent="0.25">
      <c r="A53" s="137" t="s">
        <v>87</v>
      </c>
      <c r="B53" s="138"/>
      <c r="C53" s="138"/>
      <c r="D53" s="138"/>
      <c r="E53" s="138"/>
      <c r="F53" s="139"/>
    </row>
    <row r="54" spans="1:14" x14ac:dyDescent="0.25">
      <c r="A54" s="140"/>
      <c r="B54" s="141"/>
      <c r="C54" s="141"/>
      <c r="D54" s="141"/>
      <c r="E54" s="141"/>
      <c r="F54" s="142"/>
    </row>
    <row r="55" spans="1:14" ht="56.25" x14ac:dyDescent="0.25">
      <c r="A55" s="14"/>
      <c r="B55" s="112" t="s">
        <v>61</v>
      </c>
      <c r="C55" s="112"/>
      <c r="D55" s="113" t="s">
        <v>62</v>
      </c>
      <c r="E55" s="112" t="s">
        <v>63</v>
      </c>
      <c r="F55" s="112" t="s">
        <v>78</v>
      </c>
      <c r="G55" s="136" t="s">
        <v>86</v>
      </c>
      <c r="K55" s="114"/>
    </row>
    <row r="56" spans="1:14" ht="18.75" x14ac:dyDescent="0.3">
      <c r="A56" s="14"/>
      <c r="B56" s="115" t="s">
        <v>64</v>
      </c>
      <c r="C56" s="116"/>
      <c r="D56" s="117"/>
      <c r="E56" s="118"/>
      <c r="F56" s="116"/>
      <c r="K56" s="114"/>
    </row>
    <row r="57" spans="1:14" ht="18.75" x14ac:dyDescent="0.3">
      <c r="A57" s="14">
        <v>1</v>
      </c>
      <c r="B57" s="119" t="s">
        <v>65</v>
      </c>
      <c r="C57" s="110" t="str">
        <f>IF(H44&lt;=D57,"В пределах бюджета","Превышение бюджета")</f>
        <v>Превышение бюджета</v>
      </c>
      <c r="D57" s="120">
        <v>990</v>
      </c>
      <c r="E57" s="121">
        <f>1.8*2.4*1.4</f>
        <v>6.048</v>
      </c>
      <c r="F57" s="131">
        <v>400</v>
      </c>
      <c r="K57" s="114"/>
    </row>
    <row r="58" spans="1:14" ht="18.75" x14ac:dyDescent="0.3">
      <c r="A58" s="14">
        <v>2</v>
      </c>
      <c r="B58" s="119" t="s">
        <v>66</v>
      </c>
      <c r="C58" s="122"/>
      <c r="D58" s="120">
        <v>1500</v>
      </c>
      <c r="E58" s="121">
        <f>1.8*2.8*1.7</f>
        <v>8.5679999999999996</v>
      </c>
      <c r="F58" s="131">
        <v>500</v>
      </c>
      <c r="K58" s="114"/>
    </row>
    <row r="59" spans="1:14" ht="18.75" x14ac:dyDescent="0.3">
      <c r="A59" s="14">
        <v>3</v>
      </c>
      <c r="B59" s="119" t="s">
        <v>67</v>
      </c>
      <c r="C59" s="116"/>
      <c r="D59" s="120">
        <v>1700</v>
      </c>
      <c r="E59" s="121">
        <f>1.9*3.2*2</f>
        <v>12.16</v>
      </c>
      <c r="F59" s="131">
        <v>500</v>
      </c>
      <c r="K59" s="114"/>
    </row>
    <row r="60" spans="1:14" ht="18.75" x14ac:dyDescent="0.3">
      <c r="A60" s="14">
        <v>4</v>
      </c>
      <c r="B60" s="119" t="s">
        <v>68</v>
      </c>
      <c r="C60" s="116"/>
      <c r="D60" s="120">
        <v>3500</v>
      </c>
      <c r="E60" s="121">
        <f>2.1*3.7*2.2</f>
        <v>17.094000000000001</v>
      </c>
      <c r="F60" s="131">
        <v>600</v>
      </c>
      <c r="K60" s="114"/>
    </row>
    <row r="61" spans="1:14" ht="18.75" x14ac:dyDescent="0.3">
      <c r="A61" s="14">
        <v>5</v>
      </c>
      <c r="B61" s="119" t="s">
        <v>69</v>
      </c>
      <c r="C61" s="116"/>
      <c r="D61" s="120">
        <v>5000</v>
      </c>
      <c r="E61" s="121">
        <f>2.1*3.7*2.2</f>
        <v>17.094000000000001</v>
      </c>
      <c r="F61" s="131">
        <v>800</v>
      </c>
      <c r="K61" s="114"/>
    </row>
    <row r="62" spans="1:14" ht="18.75" x14ac:dyDescent="0.3">
      <c r="A62" s="14">
        <v>6</v>
      </c>
      <c r="B62" s="119" t="s">
        <v>70</v>
      </c>
      <c r="C62" s="116"/>
      <c r="D62" s="120">
        <v>7000</v>
      </c>
      <c r="E62" s="121">
        <f>2.4*5*1.8</f>
        <v>21.6</v>
      </c>
      <c r="F62" s="131">
        <v>800</v>
      </c>
      <c r="K62" s="114"/>
    </row>
    <row r="63" spans="1:14" ht="18.75" x14ac:dyDescent="0.3">
      <c r="A63" s="14">
        <v>7</v>
      </c>
      <c r="B63" s="119" t="s">
        <v>71</v>
      </c>
      <c r="C63" s="116"/>
      <c r="D63" s="120">
        <v>10000</v>
      </c>
      <c r="E63" s="121">
        <f>2.4*6*2.45</f>
        <v>35.28</v>
      </c>
      <c r="F63" s="131">
        <v>950</v>
      </c>
    </row>
    <row r="64" spans="1:14" ht="18.75" x14ac:dyDescent="0.3">
      <c r="A64" s="14">
        <v>8</v>
      </c>
      <c r="B64" s="119" t="s">
        <v>72</v>
      </c>
      <c r="C64" s="116"/>
      <c r="D64" s="120">
        <v>15000</v>
      </c>
      <c r="E64" s="121">
        <f>2.5*8*3</f>
        <v>60</v>
      </c>
      <c r="F64" s="131">
        <v>1000</v>
      </c>
    </row>
    <row r="65" spans="1:14" ht="18.75" x14ac:dyDescent="0.3">
      <c r="A65" s="14">
        <v>9</v>
      </c>
      <c r="B65" s="119" t="s">
        <v>73</v>
      </c>
      <c r="C65" s="116"/>
      <c r="D65" s="120">
        <v>20000</v>
      </c>
      <c r="E65" s="121">
        <f>2.45*13.6*2.45</f>
        <v>81.634</v>
      </c>
      <c r="F65" s="131">
        <v>1050</v>
      </c>
    </row>
    <row r="66" spans="1:14" ht="18.75" x14ac:dyDescent="0.3">
      <c r="A66" s="14">
        <v>10</v>
      </c>
      <c r="B66" s="119" t="s">
        <v>74</v>
      </c>
      <c r="C66" s="116"/>
      <c r="D66" s="117"/>
      <c r="E66" s="118"/>
      <c r="F66" s="131">
        <v>1200</v>
      </c>
    </row>
    <row r="67" spans="1:14" ht="16.5" x14ac:dyDescent="0.25">
      <c r="A67" s="14"/>
      <c r="B67" s="119"/>
      <c r="C67" s="15"/>
      <c r="D67" s="123"/>
      <c r="E67" s="124"/>
      <c r="F67" s="89"/>
    </row>
    <row r="68" spans="1:14" ht="16.5" x14ac:dyDescent="0.25">
      <c r="A68" s="14"/>
      <c r="B68" s="119"/>
      <c r="C68" s="15"/>
      <c r="D68" s="123"/>
      <c r="E68" s="124"/>
      <c r="F68" s="89"/>
      <c r="G68" s="18"/>
      <c r="H68" s="18"/>
    </row>
    <row r="69" spans="1:14" ht="16.5" x14ac:dyDescent="0.25">
      <c r="A69" s="125"/>
      <c r="B69" s="126"/>
      <c r="C69" s="18"/>
      <c r="D69" s="127"/>
      <c r="E69" s="128"/>
      <c r="F69" s="18"/>
      <c r="G69" s="18"/>
      <c r="H69" s="18"/>
    </row>
    <row r="70" spans="1:14" ht="16.5" x14ac:dyDescent="0.25">
      <c r="A70" s="125"/>
      <c r="B70" s="126"/>
      <c r="C70" s="18"/>
      <c r="D70" s="127"/>
      <c r="E70" s="128"/>
      <c r="F70" s="18"/>
      <c r="G70" s="18"/>
      <c r="H70" s="18"/>
    </row>
    <row r="71" spans="1:14" ht="16.5" x14ac:dyDescent="0.25">
      <c r="A71" s="125"/>
      <c r="B71" s="126"/>
      <c r="C71" s="18"/>
      <c r="D71" s="127"/>
      <c r="E71" s="128"/>
      <c r="F71" s="18"/>
      <c r="G71" s="18"/>
      <c r="H71" s="18"/>
    </row>
    <row r="72" spans="1:14" ht="16.5" x14ac:dyDescent="0.25">
      <c r="A72" s="125"/>
      <c r="B72" s="126"/>
      <c r="C72" s="18"/>
      <c r="D72" s="127"/>
      <c r="E72" s="128"/>
      <c r="F72" s="18"/>
      <c r="G72" s="18"/>
      <c r="H72" s="18"/>
    </row>
    <row r="73" spans="1:14" ht="16.5" x14ac:dyDescent="0.25">
      <c r="A73" s="125"/>
      <c r="B73" s="126"/>
      <c r="C73" s="18"/>
      <c r="D73" s="127"/>
      <c r="E73" s="128"/>
      <c r="F73" s="18"/>
      <c r="G73" s="18"/>
      <c r="H73" s="18"/>
    </row>
    <row r="74" spans="1:14" ht="16.5" x14ac:dyDescent="0.25">
      <c r="A74" s="125"/>
      <c r="B74" s="126"/>
      <c r="C74" s="18"/>
      <c r="D74" s="127"/>
      <c r="E74" s="128"/>
      <c r="F74" s="18"/>
      <c r="G74" s="18"/>
      <c r="H74" s="18"/>
      <c r="N74" t="s">
        <v>75</v>
      </c>
    </row>
    <row r="75" spans="1:14" ht="16.5" x14ac:dyDescent="0.25">
      <c r="A75" s="125"/>
      <c r="B75" s="126"/>
      <c r="C75" s="18"/>
      <c r="D75" s="127"/>
      <c r="E75" s="128"/>
      <c r="F75" s="18"/>
      <c r="G75" s="18"/>
      <c r="H75" s="18"/>
    </row>
    <row r="76" spans="1:14" x14ac:dyDescent="0.25">
      <c r="A76" s="125"/>
      <c r="B76" s="18"/>
      <c r="C76" s="18"/>
      <c r="D76" s="114"/>
      <c r="E76" s="18"/>
      <c r="F76" s="18"/>
      <c r="G76" s="18"/>
      <c r="H76" s="18"/>
    </row>
    <row r="77" spans="1:14" x14ac:dyDescent="0.25">
      <c r="A77" s="125"/>
      <c r="B77" s="18"/>
      <c r="C77" s="18"/>
      <c r="D77" s="114"/>
      <c r="E77" s="18"/>
      <c r="F77" s="18"/>
      <c r="G77" s="18"/>
      <c r="H77" s="18"/>
    </row>
    <row r="78" spans="1:14" x14ac:dyDescent="0.25">
      <c r="A78" s="125"/>
      <c r="B78" s="18"/>
      <c r="C78" s="18"/>
      <c r="D78" s="114"/>
      <c r="E78" s="18"/>
      <c r="F78" s="18"/>
      <c r="G78" s="18"/>
      <c r="H78" s="18"/>
    </row>
    <row r="79" spans="1:14" x14ac:dyDescent="0.25">
      <c r="A79" s="125"/>
      <c r="B79" s="18"/>
      <c r="C79" s="18"/>
      <c r="D79" s="114"/>
      <c r="E79" s="18"/>
      <c r="F79" s="18"/>
      <c r="G79" s="18"/>
      <c r="H79" s="18"/>
    </row>
    <row r="80" spans="1:14" x14ac:dyDescent="0.25">
      <c r="A80" s="125"/>
      <c r="B80" s="18"/>
      <c r="C80" s="18"/>
      <c r="D80" s="114"/>
      <c r="E80" s="18"/>
      <c r="F80" s="18"/>
      <c r="G80" s="18"/>
      <c r="H80" s="18"/>
    </row>
  </sheetData>
  <mergeCells count="45">
    <mergeCell ref="A53:F54"/>
    <mergeCell ref="A32:N33"/>
    <mergeCell ref="H44:I44"/>
    <mergeCell ref="J44:K44"/>
    <mergeCell ref="B2:P2"/>
    <mergeCell ref="C46:D46"/>
    <mergeCell ref="B42:C42"/>
    <mergeCell ref="D42:E42"/>
    <mergeCell ref="H42:I42"/>
    <mergeCell ref="J42:K42"/>
    <mergeCell ref="B43:C43"/>
    <mergeCell ref="D43:E43"/>
    <mergeCell ref="H43:I43"/>
    <mergeCell ref="J43:K43"/>
    <mergeCell ref="B40:C40"/>
    <mergeCell ref="D40:E40"/>
    <mergeCell ref="H40:I40"/>
    <mergeCell ref="J40:K40"/>
    <mergeCell ref="B41:C41"/>
    <mergeCell ref="D41:E41"/>
    <mergeCell ref="H41:I41"/>
    <mergeCell ref="J41:K41"/>
    <mergeCell ref="B38:C38"/>
    <mergeCell ref="D38:E38"/>
    <mergeCell ref="H38:I38"/>
    <mergeCell ref="J38:K38"/>
    <mergeCell ref="B39:C39"/>
    <mergeCell ref="D39:E39"/>
    <mergeCell ref="H39:I39"/>
    <mergeCell ref="J39:K39"/>
    <mergeCell ref="B36:C36"/>
    <mergeCell ref="D36:E36"/>
    <mergeCell ref="H36:I36"/>
    <mergeCell ref="J36:K36"/>
    <mergeCell ref="B37:C37"/>
    <mergeCell ref="D37:E37"/>
    <mergeCell ref="H37:I37"/>
    <mergeCell ref="J37:K37"/>
    <mergeCell ref="D34:E34"/>
    <mergeCell ref="H34:I34"/>
    <mergeCell ref="J34:K34"/>
    <mergeCell ref="B35:C35"/>
    <mergeCell ref="D35:E35"/>
    <mergeCell ref="H35:I35"/>
    <mergeCell ref="J35:K35"/>
  </mergeCells>
  <hyperlinks>
    <hyperlink ref="B13" r:id="rId1" display="http://spbrik.ru/product/nicoband-brand/nicoband-10-150/"/>
    <hyperlink ref="B42" r:id="rId2" display="http://spbrik.ru/product/nicoband-brand/nicoband-10-150/"/>
  </hyperlinks>
  <pageMargins left="0.7" right="0.7" top="0.75" bottom="0.75" header="0.3" footer="0.3"/>
  <pageSetup paperSize="9"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2014-08-29T09:32:50Z</dcterms:created>
  <dcterms:modified xsi:type="dcterms:W3CDTF">2014-08-29T18:57:17Z</dcterms:modified>
</cp:coreProperties>
</file>