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3"/>
  </bookViews>
  <sheets>
    <sheet name="Лист1" sheetId="1" r:id="rId1"/>
    <sheet name="баланс" sheetId="2" r:id="rId2"/>
    <sheet name="расчет" sheetId="3" r:id="rId3"/>
    <sheet name="рейтинг" sheetId="4" r:id="rId4"/>
  </sheets>
  <calcPr calcId="145621"/>
</workbook>
</file>

<file path=xl/calcChain.xml><?xml version="1.0" encoding="utf-8"?>
<calcChain xmlns="http://schemas.openxmlformats.org/spreadsheetml/2006/main">
  <c r="L30" i="1" l="1"/>
  <c r="L24" i="1"/>
  <c r="L18" i="1"/>
  <c r="L10" i="1"/>
  <c r="K16" i="1" l="1"/>
  <c r="C24" i="4" l="1"/>
  <c r="J17" i="1" l="1"/>
  <c r="K17" i="1" s="1"/>
  <c r="G28" i="3" l="1"/>
  <c r="J35" i="1" s="1"/>
  <c r="K35" i="1" s="1"/>
  <c r="F28" i="3"/>
  <c r="E28" i="3"/>
  <c r="D28" i="3"/>
  <c r="C28" i="3"/>
  <c r="C27" i="3"/>
  <c r="G27" i="3"/>
  <c r="J34" i="1" s="1"/>
  <c r="K34" i="1" s="1"/>
  <c r="F27" i="3"/>
  <c r="E27" i="3"/>
  <c r="D27" i="3"/>
  <c r="C26" i="3"/>
  <c r="G26" i="3"/>
  <c r="J33" i="1" s="1"/>
  <c r="K33" i="1" s="1"/>
  <c r="F26" i="3"/>
  <c r="E26" i="3"/>
  <c r="D26" i="3"/>
  <c r="C25" i="3"/>
  <c r="G25" i="3"/>
  <c r="J32" i="1" s="1"/>
  <c r="K32" i="1" s="1"/>
  <c r="F25" i="3"/>
  <c r="E25" i="3"/>
  <c r="D25" i="3"/>
  <c r="C24" i="3"/>
  <c r="G24" i="3"/>
  <c r="J31" i="1" s="1"/>
  <c r="K31" i="1" s="1"/>
  <c r="F24" i="3"/>
  <c r="E24" i="3"/>
  <c r="D24" i="3"/>
  <c r="C23" i="3"/>
  <c r="G23" i="3"/>
  <c r="J30" i="1" s="1"/>
  <c r="K30" i="1" s="1"/>
  <c r="F23" i="3"/>
  <c r="E23" i="3"/>
  <c r="D23" i="3"/>
  <c r="G22" i="3"/>
  <c r="J29" i="1" s="1"/>
  <c r="K29" i="1" s="1"/>
  <c r="F22" i="3"/>
  <c r="E22" i="3"/>
  <c r="D22" i="3"/>
  <c r="C22" i="3"/>
  <c r="C21" i="3"/>
  <c r="G21" i="3"/>
  <c r="J28" i="1" s="1"/>
  <c r="K28" i="1" s="1"/>
  <c r="F21" i="3"/>
  <c r="E21" i="3"/>
  <c r="D21" i="3"/>
  <c r="C20" i="3"/>
  <c r="G20" i="3"/>
  <c r="J27" i="1" s="1"/>
  <c r="K27" i="1" s="1"/>
  <c r="F20" i="3"/>
  <c r="E20" i="3"/>
  <c r="D20" i="3"/>
  <c r="C19" i="3"/>
  <c r="G19" i="3"/>
  <c r="F19" i="3"/>
  <c r="E19" i="3"/>
  <c r="D19" i="3"/>
  <c r="G18" i="3"/>
  <c r="J25" i="1" s="1"/>
  <c r="K25" i="1" s="1"/>
  <c r="F18" i="3"/>
  <c r="E18" i="3"/>
  <c r="D18" i="3"/>
  <c r="C18" i="3"/>
  <c r="C17" i="3"/>
  <c r="G17" i="3"/>
  <c r="J24" i="1" s="1"/>
  <c r="K24" i="1" s="1"/>
  <c r="F17" i="3"/>
  <c r="E17" i="3"/>
  <c r="D17" i="3"/>
  <c r="J26" i="1" l="1"/>
  <c r="K26" i="1" s="1"/>
  <c r="J36" i="1"/>
  <c r="K36" i="1" s="1"/>
  <c r="G16" i="3"/>
  <c r="J23" i="1" s="1"/>
  <c r="K23" i="1" s="1"/>
  <c r="G15" i="3"/>
  <c r="J22" i="1" s="1"/>
  <c r="K22" i="1" s="1"/>
  <c r="G14" i="3"/>
  <c r="J21" i="1" s="1"/>
  <c r="K21" i="1" s="1"/>
  <c r="F16" i="3"/>
  <c r="F15" i="3"/>
  <c r="F14" i="3"/>
  <c r="E16" i="3"/>
  <c r="E15" i="3"/>
  <c r="E14" i="3"/>
  <c r="D16" i="3"/>
  <c r="D15" i="3"/>
  <c r="D14" i="3"/>
  <c r="C16" i="3"/>
  <c r="C15" i="3"/>
  <c r="C14" i="3"/>
  <c r="G13" i="3"/>
  <c r="J20" i="1" s="1"/>
  <c r="K20" i="1" s="1"/>
  <c r="F13" i="3"/>
  <c r="E13" i="3"/>
  <c r="D13" i="3"/>
  <c r="C13" i="3"/>
  <c r="G12" i="3"/>
  <c r="J19" i="1" s="1"/>
  <c r="K19" i="1" s="1"/>
  <c r="F12" i="3"/>
  <c r="E12" i="3"/>
  <c r="D12" i="3"/>
  <c r="C12" i="3"/>
  <c r="G11" i="3"/>
  <c r="J18" i="1" s="1"/>
  <c r="K18" i="1" s="1"/>
  <c r="F11" i="3"/>
  <c r="E11" i="3"/>
  <c r="D11" i="3"/>
  <c r="C11" i="3"/>
  <c r="C3" i="3"/>
  <c r="G8" i="3"/>
  <c r="J15" i="1" s="1"/>
  <c r="K15" i="1" s="1"/>
  <c r="F8" i="3"/>
  <c r="E8" i="3"/>
  <c r="D8" i="3"/>
  <c r="C8" i="3"/>
  <c r="G7" i="3"/>
  <c r="J14" i="1" s="1"/>
  <c r="K14" i="1" s="1"/>
  <c r="F7" i="3"/>
  <c r="E7" i="3"/>
  <c r="D7" i="3"/>
  <c r="C7" i="3"/>
  <c r="G6" i="3"/>
  <c r="J13" i="1" s="1"/>
  <c r="K13" i="1" s="1"/>
  <c r="F6" i="3"/>
  <c r="E6" i="3"/>
  <c r="D6" i="3"/>
  <c r="C6" i="3"/>
  <c r="G5" i="3"/>
  <c r="J12" i="1" s="1"/>
  <c r="K12" i="1" s="1"/>
  <c r="F5" i="3"/>
  <c r="E5" i="3"/>
  <c r="D5" i="3"/>
  <c r="C5" i="3"/>
  <c r="G4" i="3"/>
  <c r="J11" i="1" s="1"/>
  <c r="K11" i="1" s="1"/>
  <c r="F4" i="3"/>
  <c r="E4" i="3"/>
  <c r="D4" i="3"/>
  <c r="C4" i="3"/>
  <c r="G3" i="3"/>
  <c r="J10" i="1" s="1"/>
  <c r="F3" i="3"/>
  <c r="E3" i="3"/>
  <c r="D3" i="3"/>
  <c r="D33" i="3" l="1"/>
  <c r="E33" i="3"/>
  <c r="F33" i="3"/>
  <c r="G33" i="3"/>
  <c r="C33" i="3"/>
  <c r="D32" i="3"/>
  <c r="E32" i="3"/>
  <c r="F32" i="3"/>
  <c r="G32" i="3"/>
  <c r="C32" i="3"/>
  <c r="G31" i="3"/>
  <c r="F31" i="3"/>
  <c r="E31" i="3"/>
  <c r="D31" i="3"/>
  <c r="C31" i="3"/>
  <c r="G30" i="3"/>
  <c r="F30" i="3"/>
  <c r="E30" i="3"/>
  <c r="D30" i="3"/>
  <c r="C30" i="3"/>
  <c r="D29" i="3"/>
  <c r="E29" i="3"/>
  <c r="F29" i="3"/>
  <c r="G29" i="3"/>
  <c r="C29" i="3"/>
  <c r="F10" i="3"/>
  <c r="E10" i="3"/>
  <c r="D10" i="3"/>
  <c r="G10" i="3"/>
  <c r="C10" i="3"/>
  <c r="D9" i="3"/>
  <c r="E9" i="3"/>
  <c r="F9" i="3"/>
  <c r="G9" i="3"/>
  <c r="C9" i="3"/>
  <c r="B14" i="3"/>
  <c r="B15" i="3"/>
  <c r="B11" i="3" l="1"/>
  <c r="B17" i="3" s="1"/>
  <c r="B23" i="3" s="1"/>
  <c r="B13" i="3"/>
  <c r="B19" i="3" s="1"/>
  <c r="B25" i="3" s="1"/>
  <c r="B16" i="3"/>
  <c r="B22" i="3" s="1"/>
  <c r="B28" i="3" s="1"/>
  <c r="B12" i="3"/>
  <c r="B18" i="3" s="1"/>
  <c r="B24" i="3" s="1"/>
  <c r="B21" i="3"/>
  <c r="B27" i="3" s="1"/>
  <c r="B20" i="3"/>
  <c r="B26" i="3" s="1"/>
  <c r="L58" i="1"/>
  <c r="L60" i="1"/>
  <c r="L62" i="1"/>
  <c r="L54" i="1"/>
  <c r="L56" i="1"/>
  <c r="L52" i="1"/>
  <c r="L50" i="1"/>
  <c r="L48" i="1"/>
  <c r="L46" i="1"/>
  <c r="L44" i="1"/>
  <c r="L41" i="1"/>
  <c r="L42" i="1"/>
  <c r="L43" i="1"/>
  <c r="L38" i="1"/>
  <c r="L39" i="1"/>
  <c r="L40" i="1"/>
  <c r="L37" i="1"/>
  <c r="L36" i="1"/>
  <c r="L17" i="1"/>
  <c r="L16" i="1"/>
  <c r="L64" i="1" s="1"/>
  <c r="C22" i="4" s="1"/>
  <c r="C23" i="4" s="1"/>
  <c r="C25" i="4" s="1"/>
  <c r="C26" i="4" s="1"/>
  <c r="J40" i="1" l="1"/>
  <c r="J39" i="1"/>
  <c r="J38" i="1"/>
  <c r="J37" i="1"/>
  <c r="J16" i="1"/>
  <c r="K10" i="1"/>
  <c r="K64" i="1" l="1"/>
  <c r="D2" i="3"/>
  <c r="E2" i="3"/>
  <c r="F2" i="3"/>
  <c r="G2" i="3"/>
  <c r="C2" i="3"/>
  <c r="I64" i="1" l="1"/>
</calcChain>
</file>

<file path=xl/sharedStrings.xml><?xml version="1.0" encoding="utf-8"?>
<sst xmlns="http://schemas.openxmlformats.org/spreadsheetml/2006/main" count="476" uniqueCount="394">
  <si>
    <t>К1</t>
  </si>
  <si>
    <t>К2</t>
  </si>
  <si>
    <t>К3</t>
  </si>
  <si>
    <t>К4</t>
  </si>
  <si>
    <t>К5</t>
  </si>
  <si>
    <t>К6</t>
  </si>
  <si>
    <t>К7</t>
  </si>
  <si>
    <t>К8</t>
  </si>
  <si>
    <t>К9</t>
  </si>
  <si>
    <t>К10</t>
  </si>
  <si>
    <t>К11</t>
  </si>
  <si>
    <t>К12</t>
  </si>
  <si>
    <t>К13</t>
  </si>
  <si>
    <t>К14</t>
  </si>
  <si>
    <t>К15</t>
  </si>
  <si>
    <t>К16</t>
  </si>
  <si>
    <t>К17</t>
  </si>
  <si>
    <t>К18</t>
  </si>
  <si>
    <t>К19</t>
  </si>
  <si>
    <t>К20</t>
  </si>
  <si>
    <t>К21</t>
  </si>
  <si>
    <t>К22</t>
  </si>
  <si>
    <t>К23</t>
  </si>
  <si>
    <t>К24</t>
  </si>
  <si>
    <r>
      <t xml:space="preserve">Коэффициент финансовой независимости (Коэффициент автономии) (К1) </t>
    </r>
    <r>
      <rPr>
        <sz val="12"/>
        <color rgb="FFFF0000"/>
        <rFont val="Times New Roman"/>
        <family val="1"/>
        <charset val="204"/>
      </rPr>
      <t>(1300/1600*100)</t>
    </r>
  </si>
  <si>
    <r>
      <t xml:space="preserve">Коэффициент обеспеченности собственными оборотными средствами (К2) </t>
    </r>
    <r>
      <rPr>
        <sz val="12"/>
        <color rgb="FFFF0000"/>
        <rFont val="Times New Roman"/>
        <family val="1"/>
        <charset val="204"/>
      </rPr>
      <t>(1300-1100)/1200</t>
    </r>
  </si>
  <si>
    <r>
      <t xml:space="preserve">Рентабельность активов (K4) </t>
    </r>
    <r>
      <rPr>
        <sz val="12"/>
        <color rgb="FFFF0000"/>
        <rFont val="Times New Roman"/>
        <family val="1"/>
        <charset val="204"/>
      </rPr>
      <t>(2400/1600*100)</t>
    </r>
  </si>
  <si>
    <r>
      <t xml:space="preserve">Рентабельность собственного капитала (K7) </t>
    </r>
    <r>
      <rPr>
        <sz val="12"/>
        <color rgb="FFFF0000"/>
        <rFont val="Times New Roman"/>
        <family val="1"/>
        <charset val="204"/>
      </rPr>
      <t>(2400/1300*100)</t>
    </r>
  </si>
  <si>
    <t>100 баллов</t>
  </si>
  <si>
    <t>75 баллов</t>
  </si>
  <si>
    <t>50 баллов</t>
  </si>
  <si>
    <t>25 баллов</t>
  </si>
  <si>
    <t>0 баллов</t>
  </si>
  <si>
    <t>&gt;=0.1</t>
  </si>
  <si>
    <t>0.1&gt;x&gt;=0.05</t>
  </si>
  <si>
    <t>0.05&gt;x&gt;=0.01</t>
  </si>
  <si>
    <t>0.01&gt;x&gt;=0</t>
  </si>
  <si>
    <t>&lt;0</t>
  </si>
  <si>
    <t>&lt;=1</t>
  </si>
  <si>
    <t>1&lt;=х&gt;=1,2</t>
  </si>
  <si>
    <t>1,2&lt;=х&gt;=1,4</t>
  </si>
  <si>
    <t>1,4&lt;=х&gt;=1,6</t>
  </si>
  <si>
    <t>&gt;1,6</t>
  </si>
  <si>
    <t>х&gt;=12%</t>
  </si>
  <si>
    <t>12%&gt;x&gt;=10%</t>
  </si>
  <si>
    <t>10%&gt;x&gt;=8%</t>
  </si>
  <si>
    <t>8%&gt;x&gt;=6%</t>
  </si>
  <si>
    <t>6%&gt;x</t>
  </si>
  <si>
    <r>
      <t>Выручка (К8)</t>
    </r>
    <r>
      <rPr>
        <sz val="8"/>
        <color rgb="FFFF0000"/>
        <rFont val="Times New Roman"/>
        <family val="1"/>
        <charset val="204"/>
      </rPr>
      <t xml:space="preserve"> а) по итогам 1 квартала: стр.2110 1 кв./3;б) по итогам 2 квартала: (стр.2110 6 мес. – стр.2110 1 кв.)/3;в) по итогам 3 квартала: (стр.2110 9 мес. – стр.2110 6 мес.)/3;г) по итогам года: (стр.2110 год. – стр.2110 9 мес.)/3.
</t>
    </r>
  </si>
  <si>
    <t xml:space="preserve">Рост среднемесячного значения выручки за отчетный квартал относительно аналогичного периода прошлого года (при наличии сезонности)
и/или
Рост среднемесячного значения выручки за отчетный квартал относительно предыдущего отчетного квартала (при отсутствии сезонности)
</t>
  </si>
  <si>
    <t xml:space="preserve">Среднемесячное значение выручки за отчетный квартал стабильно относительно аналогичного периода прошлого года (при наличии сезонности), допустимая волатильность менее 10% 
и/или
Среднемесячное значение выручки за отчетный квартал стабильно относительно предыдущего отчетного квартала (при отсутствии сезонности), допустимая волатильность менее 10% 
</t>
  </si>
  <si>
    <t>Среднемесячное значение выручки за отчетный квартал снизилось не более, чем на 25% относительно аналогичного периода прошлого года (при наличии сезонности)
и/или
Среднемесячное значение выручки за отчетный квартал снизилось не более, чем на 25% относительно предыдущего отчетного квартала (при отсутствии сезонности)</t>
  </si>
  <si>
    <t>Валюта баланса (К11)</t>
  </si>
  <si>
    <r>
      <t xml:space="preserve">Чистая прибыль (К9) </t>
    </r>
    <r>
      <rPr>
        <sz val="8"/>
        <color rgb="FFFF0000"/>
        <rFont val="Times New Roman"/>
        <family val="1"/>
        <charset val="204"/>
      </rPr>
      <t>а) по итогам 1 квартала: стр.2400 1 кв. /3;б) по итогам 2 квартала: (стр.2400 2 кв. – стр.2400 1 кв.)/3;в) по итогам 3 квартала: (стр.2400 3 кв. – стр.2400 2 кв.)/3;г) по итогам года: (стр.2400 4 кв. – стр.2400 3 кв.)/3.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</si>
  <si>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Рост среднемесячного значения чистой прибыли (ЧП) за отчетный квартал относительно аналогичного периода прошлого года (при наличии сезонности)
и/или
Рост среднемесячного значения чистой прибыли (ЧП) за отчетный квартал относительно предыдущего отчетного квартала (при отсутствии сезонности)
</t>
  </si>
  <si>
    <t xml:space="preserve">Среднемесячное значение чистой прибыли (ЧП) за отчетный квартал стабильно относительно аналогичного периода прошлого года (при наличии сезонности), допустимая волатильность менее 10% 
и/или
Среднемесячное значение чистой прибыли (ЧП) за отчетный квартал стабильно относительно предыдущего отчетного квартала (при отсутствии сезонности), допустимая волатильность менее 10%
</t>
  </si>
  <si>
    <t xml:space="preserve">Среднемесячное значение чистой прибыли (ЧП) за отчетный квартал снизилось не более, чем на 25% относительно аналогичного периода прошлого года (при наличии сезонности)
и/или
Среднемесячное значение чистой прибыли (ЧП) за отчетный квартал снизилось не более, чем на 25% относительно предыдущего отчетного квартала (при отсутствии сезонности)
</t>
  </si>
  <si>
    <t>Среднемесячное значение чистой прибыли (ЧП) на отчетную дату отрицательно (убыток)</t>
  </si>
  <si>
    <r>
      <t xml:space="preserve">Чистые активы, собственные средства (капитал) (К10) </t>
    </r>
    <r>
      <rPr>
        <sz val="12"/>
        <color rgb="FFFF0000"/>
        <rFont val="Times New Roman"/>
        <family val="1"/>
        <charset val="204"/>
      </rPr>
      <t>(ЧА) = (стр.1600-ЗУ)-(стр.1400+стр.1500-стр.1530)</t>
    </r>
  </si>
  <si>
    <t xml:space="preserve">Рост Чистых активов (ЧА) за отчетный квартал относительно аналогичного периода прошлого года (при наличии сезонности)
и/или
Рост Чистых активов (ЧА) за отчетный квартал относительно предыдущего отчетного квартала (при отсутствии сезонности)
</t>
  </si>
  <si>
    <t xml:space="preserve">Величина Чистых активов (ЧА) за отчетный квартал стабильна относительно аналогичного периода прошлого года (при наличии сезонности), допустимая волатильность менее 10% 
и/или
Величина Чистых активов (ЧА) за отчетный квартал стабильна относительно предыдущего отчетного квартала (при отсутствии сезонности), допустимая волатильность менее 10%
</t>
  </si>
  <si>
    <t xml:space="preserve">Величина Чистых активов (ЧА) за отчетный квартал снизилась не более, чем на 25% относительно аналогичного периода прошлого года (при наличии сезонности)
и/или
Величина Чистых активов (ЧА) за отчетный квартал снизилась не более, чем на 25% относительно предыдущего отчетного квартала (при отсутствии сезонности)
</t>
  </si>
  <si>
    <t>Величина Чистых активов (ЧА) на отчетную дату отрицательна</t>
  </si>
  <si>
    <t xml:space="preserve">Рост валюты баланса за отчетный квартал относительно аналогичного периода прошлого года (при наличии сезонности)
и/или
Рост валюты баланса за отчетный квартал относительно предыдущего отчетного квартала (при отсутствии сезонности)
</t>
  </si>
  <si>
    <t xml:space="preserve">Показатель валюты баланса за отчетный квартал стабилен относительно аналогичного периода прошлого года (при наличии сезонности), допустимая волатильность менее 10% 
и/или
Показатель валюты баланса за отчетный квартал стабилен относительно предыдущего отчетного квартала (при отсутствии сезонности), допустимая волатильность менее 10%
</t>
  </si>
  <si>
    <t xml:space="preserve">Показатель валюты баланса за отчетный квартал снизился не более, чем на 25% относительно аналогичного периода прошлого года (при наличии сезонности), при этом данное снижение более, чем на 75% обусловлено уменьшением дебиторской (активы) и соответственно кредиторской (пассивы) задолженности, а также финансовых вложений (активы) и соответственно кредитов и займов (пассивы) 
и/или
Показатель валюты баланса за отчетный квартал снизился не более, чем на 25% относительно предыдущего отчетного квартала (при отсутствии сезонности), при этом данное снижение более, чем на 75% обусловлено уменьшением дебиторской (активы) и соответственно кредиторской (пассивы) задолженности, а также финансовых вложений (активы) и соответственно кредитов и займов (пассивы) 
</t>
  </si>
  <si>
    <t xml:space="preserve">Показатель валюты баланса за отчетный квартал снизился не более, чем на 25% относительно аналогичного периода прошлого года (при наличии сезонности), при этом данное снижение не более, чем на 50% обусловлено снижением собственного капитала заемщика
и/или
Показатель валюты баланса за отчетный квартал снизился не более, чем на 25% относительно предыдущего отчетного квартала (при отсутствии сезонности), при этом данное снижение не более, чем на 50% обусловлено снижением собственного капитала заемщика
</t>
  </si>
  <si>
    <t xml:space="preserve">Показатель валюты баланса за отчетный квартал снизился более, чем на 25% относительно аналогичного периода прошлого года (при наличии сезонности)
и/или
Показатель валюты баланса за отчетный квартал снизился более, чем на 25% относительно предыдущего отчетного квартала (при отсутствии сезонности)
</t>
  </si>
  <si>
    <t>1&gt;=x&gt;=0.8</t>
  </si>
  <si>
    <t>0.8&gt;x&gt;=0.6</t>
  </si>
  <si>
    <t>0.6&gt;x&gt;=0.3</t>
  </si>
  <si>
    <t>0.3&gt;x&gt;=0.1</t>
  </si>
  <si>
    <t>&lt;0.1</t>
  </si>
  <si>
    <t>&gt;=1</t>
  </si>
  <si>
    <t>1&gt;x&gt;=0.8</t>
  </si>
  <si>
    <t>0.8&gt;x&gt;=0.5</t>
  </si>
  <si>
    <t>0.5&gt;x&gt;=0.3</t>
  </si>
  <si>
    <t>&lt;0.3</t>
  </si>
  <si>
    <t>Состояние отрасли, к которой относится компания-заемщик (К15)</t>
  </si>
  <si>
    <t>Конкурентная среда компании (К16)</t>
  </si>
  <si>
    <t>Зависимость от поставщиков (К17)</t>
  </si>
  <si>
    <t>Зависимость от потребителей продукции (К18)</t>
  </si>
  <si>
    <t>Деловая репутация (К19)</t>
  </si>
  <si>
    <t>Наличие пролонгированных ссуд в Банке (К20)</t>
  </si>
  <si>
    <t>80 баллов</t>
  </si>
  <si>
    <t>60 баллов</t>
  </si>
  <si>
    <t>40 баллов</t>
  </si>
  <si>
    <t>20 баллов</t>
  </si>
  <si>
    <t>Потенциальный объем  рынка  превышает  объемы имеющегося производства.</t>
  </si>
  <si>
    <t>Потенциальный объем рынка равен объему имеющегося производства, рынок близок к насыщению.</t>
  </si>
  <si>
    <t>Имеются негативные тенденции. Наблюдается снижение  объемов производства, для рынка характерна затоваренность.</t>
  </si>
  <si>
    <t>Имеются  негативные тенденции. Спрос существенно ниже предложения, наблюдается падение цен.</t>
  </si>
  <si>
    <t xml:space="preserve">Сокращается число участников рынка. </t>
  </si>
  <si>
    <t>Кризисная ситуация в отрасли</t>
  </si>
  <si>
    <t>Предприятие имеет конкурентные преимущества на рынке.</t>
  </si>
  <si>
    <t>Уровень конкуренции невысок. Предприятие имеет стабильные позиции на рынке.</t>
  </si>
  <si>
    <t>Конкуренция высока, однако предприятие имеет возможность противостоять основным конкурентам на рынке.</t>
  </si>
  <si>
    <t>Уровень конкуренции высок, но рынок защищен от конкурентной зарубежной продукции.</t>
  </si>
  <si>
    <t>Продукция конкурентов имеет ценовые и качественные преимущества (имеются основания предполагать, что конкуренты вытеснят Заемщика с рынка).</t>
  </si>
  <si>
    <t>Рынок сбыта утрачен.</t>
  </si>
  <si>
    <t xml:space="preserve">Сырье, материалы, комплектующие, используемые компанией в производстве, являются товарами, широко предлагающимися на рынке, либо имеются в неограниченном запасе. </t>
  </si>
  <si>
    <t xml:space="preserve">Утрата одного из поставщиков не может существенно повлиять на деятельность компании. </t>
  </si>
  <si>
    <t>Компания полностью зависит от поставщика, однако деловые отношения между контрагентами имеют долгосрочный характер.</t>
  </si>
  <si>
    <t xml:space="preserve">Утрата одного из поставщиков может вызвать заметные (но временные) организационные проблемы в деятельности компании. </t>
  </si>
  <si>
    <t>Утрата одного из поставщиков может вызвать серьезные проблемы в производственной деятельности  компании.</t>
  </si>
  <si>
    <t>Компания полностью зависит от поставщика, занимающего монопольное положение на рынке, либо зарубежных поставщиков, либо поставщиков, испытывающих существенные производственные трудности по объективным причинам.</t>
  </si>
  <si>
    <t>Компания  работает с массовым покупателем и производит товары/услуги повседневного устойчивого спроса.</t>
  </si>
  <si>
    <t xml:space="preserve">Изменение финансового положения любого из покупателей не может существенно повлиять на деятельность компании.  </t>
  </si>
  <si>
    <t xml:space="preserve">Компания имеет высокую долю одного из покупателей в общем объеме деятельности, однако деловые отношения между контрагентами имеют долгосрочный характер. </t>
  </si>
  <si>
    <t>Утрата одного из покупателей может вызвать заметные, но временные трудности в сбыте товаров.</t>
  </si>
  <si>
    <t>Компания имеет значительную долю (более 50%) государственных заказов и/или неплатежеспособных покупателей.</t>
  </si>
  <si>
    <t>Компания полностью зависит от неплатежеспособных покупателей.</t>
  </si>
  <si>
    <t>Высокий уровень топ - менеджмента. Отсутствие негативной информации характера о топ - менеджменте, компании, учредителях (собственниках бизнеса) по данным ДСП Банка. Финансовое положение собственников (учредителей) не вызывает сомнений.</t>
  </si>
  <si>
    <t>Информация  в  СМИ  неблагоприятного характера  о топ - менеджменте, компании, учредителях (собственниках бизнеса). Финансовое положение собственников (учредителей) не вызывает сомнений.</t>
  </si>
  <si>
    <t>Негативная информация в СМИ о учредителях, компании и топ - менеджерах, способная отрицательно повлиять на имидж компании. Финансовое положение собственников (учредителей) не вызывает сомнений.</t>
  </si>
  <si>
    <t>Негативная информации о компании и ее руководителях, полученная из различных источников. Финансовое состояние собственников (учредителей) вызывает сомнения.</t>
  </si>
  <si>
    <t xml:space="preserve">Имеются случаи судебных разбирательств, снижающие эффективность работы компании. </t>
  </si>
  <si>
    <t>Установлены факты возбуждения уголовного разбирательства в отношении  топ-менеджеров, собственников бизнеса. Возможна смена руководства.</t>
  </si>
  <si>
    <t>На момент оценки отсутствуют ссуды, пролонгация которых не предусмотрена первоначальными условиями кредитного договора.</t>
  </si>
  <si>
    <t>На момент оценки имеется одна ссуда по Заемщику, пролонгация которой не предусмотрена первоначальными условиями кредитного договора.</t>
  </si>
  <si>
    <t>На момент оценки имеется более 2-х пролонгированных ссуд (или 2-х фактов пролонгации одной ссуды), пролонгация которых не предусмотрена условиями кредитных договоров.</t>
  </si>
  <si>
    <t>Наличие просроченной задолженности (ДЗ) (К21)</t>
  </si>
  <si>
    <t>Наличие просроченной задолженности (КЗ) (К22)</t>
  </si>
  <si>
    <t>Удельный вес крупнейшего дебитора в активах (К23)</t>
  </si>
  <si>
    <t>Удельный вес крупнейшего кредитора в активах (К24)</t>
  </si>
  <si>
    <t>Отсутствует либо является незначительным (менее 5%) объем просроченной задолженности (*) от объема всей дебиторской задолженности</t>
  </si>
  <si>
    <t>Объем просроченной дебиторской задолженности (менее 10%, но более 5%) от объема всей дебиторской задолженности</t>
  </si>
  <si>
    <t>Объем просроченной дебиторской задолженности (менее 25%, но более 10%) от объема всей дебиторской задолженности</t>
  </si>
  <si>
    <t>Объем просроченной дебиторской задолженности (менее 50%, но более 25%) от объема всей дебиторской задолженности</t>
  </si>
  <si>
    <t>Просроченная дебиторская задолженность составляет более 50% от объема всей дебиторской задолженности</t>
  </si>
  <si>
    <t>Отсутствует либо является незначительным (менее 5%) объем просроченной задолженности (*) от объема всей кредиторской задолженности</t>
  </si>
  <si>
    <t>Объем просроченной кредиторской задолженности (менее 10%, но более 5%) от объема всей кредиторской задолженности</t>
  </si>
  <si>
    <t>Объем просроченной кредиторской задолженности (менее 25%, но более 10%) от объема всей кредиторской задолженности</t>
  </si>
  <si>
    <t>Объем просроченной кредиторской задолженности (менее 50%, но более 25%) от объема всей кредиторской задолженности</t>
  </si>
  <si>
    <t>Просроченная кредиторская задолженность составляет более 50% от объема всей кредиторской задолженности</t>
  </si>
  <si>
    <t xml:space="preserve">Объем задолженности крупнейшего дебитора на отчетную дату составляет менее 20% от общего объема всех активов предприятия (валюты баланса) </t>
  </si>
  <si>
    <t>Объем задолженности перед крупнейшим кредитором составляет менее 20% от общего объема всех активов предприятия (валюты баланса)</t>
  </si>
  <si>
    <t xml:space="preserve">Объем задолженности перед крупнейшим кредитором составляет более 20% от общего объема всех активов предприятия (валюты баланса)
Или
Нет данных
</t>
  </si>
  <si>
    <t>Доля оборотов по  расчетным счетам в Банке в общих оборотах Заемщика (К12)</t>
  </si>
  <si>
    <t>Достаточность оборотов в Банке – кредиторе (К13)</t>
  </si>
  <si>
    <t>Достаточность оборота во всех банках сумме кредитных обязательств (К14)</t>
  </si>
  <si>
    <t xml:space="preserve">Среднемесячное значение выручки за отчетный квартал снизилось более, чем на 25% относительно аналогичного периода прошлого года (при наличии сезонности), данное снижение не было согласовано с Банком (в форме уточненного бизнес-плана).
и/или
Среднемесячное значение выручки за отчетный квартал снизилось более, чем на 25% относительно предыдущего отчетного квартала (при отсутствии сезонности), данное снижение не было согласовано с Банком (в форме уточненного бизнес-плана).
</t>
  </si>
  <si>
    <t>Вес показателя</t>
  </si>
  <si>
    <t xml:space="preserve">Итого внеоборотных активов                                  </t>
  </si>
  <si>
    <t xml:space="preserve">Нематериальные активы                                       </t>
  </si>
  <si>
    <t xml:space="preserve">Результаты исследований и разработок                        </t>
  </si>
  <si>
    <t xml:space="preserve">Нематериальные поисковые активы                             </t>
  </si>
  <si>
    <t xml:space="preserve">Материальные поисковые активы                               </t>
  </si>
  <si>
    <t xml:space="preserve">Основные средства                                           </t>
  </si>
  <si>
    <t xml:space="preserve">Доходные вложения в материальные ценности                   </t>
  </si>
  <si>
    <t xml:space="preserve">Финансовые вложения                                         </t>
  </si>
  <si>
    <t xml:space="preserve">Отложенные налоговые активы                                 </t>
  </si>
  <si>
    <t xml:space="preserve">Прочие внеоборотные активы                                  </t>
  </si>
  <si>
    <t xml:space="preserve">Итого оборотных активов                                     </t>
  </si>
  <si>
    <t xml:space="preserve">Запасы </t>
  </si>
  <si>
    <t xml:space="preserve">Налог на добавленную стоимость по приобретенным ценностям   </t>
  </si>
  <si>
    <t xml:space="preserve">Дебиторская задолженность                                   </t>
  </si>
  <si>
    <t xml:space="preserve">Финансовые вложения </t>
  </si>
  <si>
    <t xml:space="preserve">Денежные средства и денежные эквиваленты                    </t>
  </si>
  <si>
    <t xml:space="preserve">Прочие оборотные активы                                     </t>
  </si>
  <si>
    <t xml:space="preserve">БАЛАНС (актив)                                              </t>
  </si>
  <si>
    <t xml:space="preserve">ИТОГО капитал                                               </t>
  </si>
  <si>
    <t xml:space="preserve">Уставный капитал </t>
  </si>
  <si>
    <t xml:space="preserve">Собственные акции, выкупленные у акционеров </t>
  </si>
  <si>
    <t xml:space="preserve">Переоценка внеоборотных активов                             </t>
  </si>
  <si>
    <t xml:space="preserve">Добавочный капитал (без переоценки) </t>
  </si>
  <si>
    <t xml:space="preserve">Резервный капитал </t>
  </si>
  <si>
    <t xml:space="preserve">Нераспределенная прибыль (непокрытый убыток) </t>
  </si>
  <si>
    <t xml:space="preserve">Долгосрочные заемные средства                               </t>
  </si>
  <si>
    <t xml:space="preserve">Отложенные налоговые обязательства                          </t>
  </si>
  <si>
    <t xml:space="preserve">Оценочные обязательства                                     </t>
  </si>
  <si>
    <t xml:space="preserve">Прочие долгосрочные обязательства                           </t>
  </si>
  <si>
    <t xml:space="preserve">ИТОГО долгосрочных обязательств                             </t>
  </si>
  <si>
    <t xml:space="preserve">Краткосрочные заемные обязательства                         </t>
  </si>
  <si>
    <t xml:space="preserve">Краткосрочная кредиторская задолженность                    </t>
  </si>
  <si>
    <t xml:space="preserve">Доходы будущих периодов                                     </t>
  </si>
  <si>
    <t xml:space="preserve">Прочие краткосрочные обязательства                          </t>
  </si>
  <si>
    <t xml:space="preserve">ИТОГО краткосрочных обязательств                            </t>
  </si>
  <si>
    <t xml:space="preserve">БАЛАНС (пассив)                                             </t>
  </si>
  <si>
    <t xml:space="preserve">ОТЧЕТ О ПРИБЫЛЯХ И УБЫТКАХ                 </t>
  </si>
  <si>
    <t>Выручка</t>
  </si>
  <si>
    <t xml:space="preserve">Себестоимость продаж                                        </t>
  </si>
  <si>
    <t xml:space="preserve">Валовая прибыль (убыток)                                    </t>
  </si>
  <si>
    <t xml:space="preserve">Коммерческие расходы                                        </t>
  </si>
  <si>
    <t xml:space="preserve">Управленческие расходы                                      </t>
  </si>
  <si>
    <t xml:space="preserve">Прибыль (убыток) от продаж                                  </t>
  </si>
  <si>
    <t xml:space="preserve">Доходы от участия в других организациях                     </t>
  </si>
  <si>
    <t xml:space="preserve">Проценты к получению                                        </t>
  </si>
  <si>
    <t xml:space="preserve">Проценты к уплате                                           </t>
  </si>
  <si>
    <t xml:space="preserve">Прочие доходы                                               </t>
  </si>
  <si>
    <t xml:space="preserve">Прочие расходы                                              </t>
  </si>
  <si>
    <t xml:space="preserve">Прибыль (убыток) до налогообложения                         </t>
  </si>
  <si>
    <t xml:space="preserve">Текущий налог на прибыль                                    </t>
  </si>
  <si>
    <t xml:space="preserve">Постоянные налоговые обязательства (активы)                 </t>
  </si>
  <si>
    <t xml:space="preserve">Изменение отложенных налоговых обязательств                 </t>
  </si>
  <si>
    <t xml:space="preserve">Изменение отложенных налоговых активов                      </t>
  </si>
  <si>
    <t>Прочее</t>
  </si>
  <si>
    <t xml:space="preserve">Чистая прибыль (убыток)                                     </t>
  </si>
  <si>
    <t xml:space="preserve">Результат от переоценки внеоборотных активов, не включаемый в чистую прибыль (убыток)                                   </t>
  </si>
  <si>
    <t xml:space="preserve">Совокупный финансовый результат периода                     </t>
  </si>
  <si>
    <t xml:space="preserve">Базовая прибыль (убыток) на акцию                           </t>
  </si>
  <si>
    <t xml:space="preserve">Разводненная прибыль (убыток) на акцию                      </t>
  </si>
  <si>
    <t xml:space="preserve">Результат от прочих операций, не включаемый в чистую прибыль (убыток) периода                                            </t>
  </si>
  <si>
    <t xml:space="preserve">БУХГАЛТЕРСКИЙ БАЛАНС                    </t>
  </si>
  <si>
    <t>код</t>
  </si>
  <si>
    <t>1 кв. 2013</t>
  </si>
  <si>
    <t>2 кв. 2013</t>
  </si>
  <si>
    <t>3 кв. 2013</t>
  </si>
  <si>
    <t>4 кв. 2013</t>
  </si>
  <si>
    <t>1 кв. 2014</t>
  </si>
  <si>
    <t xml:space="preserve">Среднемесячное значение выручки за отчетный квартал снизилось более, чем на 25% относительно аналогичного периода прошлого года (при наличии сезонности), было согласовано с Банком (в форме уточненного бизнес-плана).
и/или
Среднемесячное значение выручки за отчетный квартал снизилось более, чем на 25% относительно предыдущего отчетного квартала (при отсутствии сезонности), и было согласовано с Банком (в форме уточненного бизнес-плана).
</t>
  </si>
  <si>
    <t xml:space="preserve">Среднемесячное значение чистой прибыли (ЧП) за отчетный квартал снизилось более, чем на 25% относительно аналогичного периода прошлого года (при наличии сезонности), и было согласовано с Банком (в форме уточненного бизнес-плана).
и/или
Среднемесячное значение чистой прибыли (ЧП) за отчетный квартал снизилось более, чем на 25% относительно предыдущего отчетного квартала (при отсутствии сезонности), и было согласовано с Банком (в форме уточненного бизнес-плана).
</t>
  </si>
  <si>
    <t xml:space="preserve">Величина Чистых активов (ЧА) за отчетный квартал снизилась более, чем на 25% относительно аналогичного периода прошлого года (при наличии сезонности), и было согласовано с Банком (в форме уточненного бизнес-плана).
и/или
Величина Чистых активов (ЧА) за отчетный квартал снизилась более, чем на 25% относительно предыдущего отчетного квартала (при отсутствии сезонности), и было согласовано с Банком (в форме уточненного бизнес-плана).
</t>
  </si>
  <si>
    <t>итого:</t>
  </si>
  <si>
    <t>баллы:</t>
  </si>
  <si>
    <r>
      <t xml:space="preserve">Рентабельность продаж (K6) </t>
    </r>
    <r>
      <rPr>
        <sz val="12"/>
        <color rgb="FFFF0000"/>
        <rFont val="Times New Roman"/>
        <family val="1"/>
        <charset val="204"/>
      </rPr>
      <t>(2200/2110*100)</t>
    </r>
  </si>
  <si>
    <t xml:space="preserve">Объем задолженности крупнейшего дебитора на отчетную дату составляет более 20% от общего объема всех активов предприятия (валюты баланса)
Или
Нет данных
</t>
  </si>
  <si>
    <t>Финансовое положение Заемщика</t>
  </si>
  <si>
    <t>Баллы</t>
  </si>
  <si>
    <t>Хорошее</t>
  </si>
  <si>
    <t>От 100 до 80 баллов</t>
  </si>
  <si>
    <t>Среднее</t>
  </si>
  <si>
    <t>От  79  до 40 баллов</t>
  </si>
  <si>
    <t>Плохое</t>
  </si>
  <si>
    <t>От  39 до 0 баллов</t>
  </si>
  <si>
    <t>В зависимости от количества баллов, финансовое положение классифицируется как «хорошее», «среднее», «плохое»:</t>
  </si>
  <si>
    <t>Определение категории качества ссуды с учетом финансового положения Заемщика и качества обслуживания долга</t>
  </si>
  <si>
    <t>Неудовлетворительное</t>
  </si>
  <si>
    <t>Обрабатывающее производство:
х&gt;=41,6</t>
  </si>
  <si>
    <t>Оптовая торговля:
х&gt;=50,7</t>
  </si>
  <si>
    <t>Строительство:
х&gt;=18,2</t>
  </si>
  <si>
    <t>Сельское хозяйство:
х&gt;=40,3</t>
  </si>
  <si>
    <t>Финансовая деятельность:
х&gt;=54,0</t>
  </si>
  <si>
    <t>Обрабатывающее производство:
41,6&gt;x&gt;=37,4</t>
  </si>
  <si>
    <t>Оптовая торговля:
50,7&gt;x&gt;=45,6</t>
  </si>
  <si>
    <t>Строительство:
18,2&gt;x&gt;=16,3</t>
  </si>
  <si>
    <t>Сельское хозяйство:
40,3&gt;x&gt;=36,2</t>
  </si>
  <si>
    <t>Финансовая деятельность:
54,0&gt;x&gt;=48,6</t>
  </si>
  <si>
    <t>Обрабатывающее производство:
37,4&gt;x&gt;=33,7</t>
  </si>
  <si>
    <t>Оптовая торговля:
45,6&gt;x&gt;=41</t>
  </si>
  <si>
    <t>Строительство:
16,3&gt;x&gt;=14,6</t>
  </si>
  <si>
    <t>Сельское хозяйство:
36,2&gt;x&gt;=32,5</t>
  </si>
  <si>
    <t>Финансовая деятельность:
48,6&gt;x&gt;=43,7</t>
  </si>
  <si>
    <t>Обрабатывающее производство:
33,7&gt;x&gt;=30,3</t>
  </si>
  <si>
    <t>Оптовая торговля:
41&gt;x&gt;=36,9</t>
  </si>
  <si>
    <t>Строительство:
14,6&gt;x&gt;=13,1</t>
  </si>
  <si>
    <t>Сельское хозяйство:
32,5&gt;x&gt;=29,2</t>
  </si>
  <si>
    <t>Финансовая деятельность:
43,7&gt;x&gt;=39,3</t>
  </si>
  <si>
    <t>Обрабатывающее производство:
30,3&gt;x</t>
  </si>
  <si>
    <t>Оптовая торговля:
36,9&gt;x</t>
  </si>
  <si>
    <t>Строительство:
13,1&gt;x</t>
  </si>
  <si>
    <t>Сельское хозяйство:
29,2&gt;x</t>
  </si>
  <si>
    <t>Финансовая деятельность:
39,3&gt;x</t>
  </si>
  <si>
    <t xml:space="preserve">Прочие:
х&gt;=50,8
</t>
  </si>
  <si>
    <t xml:space="preserve">Прочие:
50,8&gt;x&gt;=45,7
</t>
  </si>
  <si>
    <t xml:space="preserve">Прочие:
45,7&gt;x&gt;=41,1
</t>
  </si>
  <si>
    <t xml:space="preserve">Прочие:
41,1&gt;x&gt;=37,0
</t>
  </si>
  <si>
    <t xml:space="preserve">Прочие:
37,0&gt;x
</t>
  </si>
  <si>
    <t>Обрабатывающее производство:
х&gt;=8,1</t>
  </si>
  <si>
    <t>Оптовая торговля:
х&gt;=7,9</t>
  </si>
  <si>
    <t>Строительство:
х&gt;=2,9</t>
  </si>
  <si>
    <t>Сельское хозяйство:
х&gt;=3,5</t>
  </si>
  <si>
    <t>Финансовая деятельность:
х&gt;=2,8</t>
  </si>
  <si>
    <t xml:space="preserve">Прочие:
х&gt;=6,1
</t>
  </si>
  <si>
    <t>Обрабатывающее производство:
8,1&gt;x&gt;=7,3</t>
  </si>
  <si>
    <t>Оптовая торговля:
7,9&gt;x&gt;=7,1</t>
  </si>
  <si>
    <t>Строительство:
2,9&gt;x&gt;=2,6</t>
  </si>
  <si>
    <t>Сельское хозяйство:
3,5&gt;x&gt;=3,1</t>
  </si>
  <si>
    <t>Финансовая деятельность:
2,8&gt;x&gt;=2,5</t>
  </si>
  <si>
    <t>Обрабатывающее производство:
7,3&gt;x&gt;=6,5</t>
  </si>
  <si>
    <t>Оптовая торговля:
7,1&gt;x&gt;=6,4</t>
  </si>
  <si>
    <t>Строительство:
2,6&gt;x&gt;=2,3</t>
  </si>
  <si>
    <t xml:space="preserve">
Сельское хозяйство:
3,1&gt;x&gt;=2,8</t>
  </si>
  <si>
    <t>Финансовая деятельность:
2,5&gt;x&gt;=2,2</t>
  </si>
  <si>
    <t>Обрабатывающее производство:
6,5&gt;x&gt;=5,8</t>
  </si>
  <si>
    <t>Оптовая торговля:
6,4&gt;x&gt;=5,7</t>
  </si>
  <si>
    <t>Строительство:
2,3&gt;x&gt;=2</t>
  </si>
  <si>
    <t>Сельское хозяйство:
2,8&gt;x&gt;=2,5</t>
  </si>
  <si>
    <t>Финансовая деятельность:
2,2&gt;x&gt;=2</t>
  </si>
  <si>
    <t>Обрабатывающее производство:
5,8&gt;x</t>
  </si>
  <si>
    <t>Оптовая торговля:
5,7&gt;x</t>
  </si>
  <si>
    <t>Строительство:
2&gt;x</t>
  </si>
  <si>
    <t>Сельское хозяйство:
2,5&gt;x</t>
  </si>
  <si>
    <t>Финансовая деятельность:
2&gt;x</t>
  </si>
  <si>
    <t xml:space="preserve">Прочие:
6,1&gt;x&gt;=5,5
</t>
  </si>
  <si>
    <t xml:space="preserve">Прочие:
5,5&gt;x&gt;=5
</t>
  </si>
  <si>
    <t xml:space="preserve">Прочие:
5&gt;x&gt;=4,5
</t>
  </si>
  <si>
    <t xml:space="preserve">Прочие:
4,5&gt;x
</t>
  </si>
  <si>
    <r>
      <t xml:space="preserve">Степень платежеспособности (К3) </t>
    </r>
    <r>
      <rPr>
        <sz val="12"/>
        <color rgb="FFFF0000"/>
        <rFont val="Times New Roman"/>
        <family val="1"/>
        <charset val="204"/>
      </rPr>
      <t>(1500-1530+1400)/(2110/т*12), т-срок 3/6/9/12 мес.</t>
    </r>
  </si>
  <si>
    <r>
      <t xml:space="preserve">Коэффициент текущий ликвидности (К5) </t>
    </r>
    <r>
      <rPr>
        <sz val="12"/>
        <color rgb="FFFF0000"/>
        <rFont val="Times New Roman"/>
        <family val="1"/>
        <charset val="204"/>
      </rPr>
      <t>(1200/1500*100)</t>
    </r>
  </si>
  <si>
    <t>Обрабатывающее производство:
х&gt;=145,6</t>
  </si>
  <si>
    <t>Оптовая торговля:
х&gt;=149,7</t>
  </si>
  <si>
    <t>Строительство:
х&gt;=106,5</t>
  </si>
  <si>
    <t>Сельское хозяйство:
х&gt;=163,1</t>
  </si>
  <si>
    <t>Финансовая деятельность:
х&gt;=153,6</t>
  </si>
  <si>
    <t>Обрабатывающее производство:
145,6&gt;x&gt;=131</t>
  </si>
  <si>
    <t>Оптовая торговля:
149,7&gt;x&gt;=134,7</t>
  </si>
  <si>
    <t>Строительство:
106,5&gt;x&gt;=104,5</t>
  </si>
  <si>
    <t>Сельское хозяйство:
163,1&gt;x&gt;=146,8</t>
  </si>
  <si>
    <t>Финансовая деятельность:
153,6&gt;x&gt;=138,2</t>
  </si>
  <si>
    <t>Обрабатывающее производство:
131&gt;x&gt;=117,9</t>
  </si>
  <si>
    <t>Оптовая торговля:
134,7&gt;x&gt;=121,2</t>
  </si>
  <si>
    <t>Строительство:
104,5&gt;x&gt;=102</t>
  </si>
  <si>
    <t>Сельское хозяйство:
146,8&gt;x&gt;=132,1</t>
  </si>
  <si>
    <t>Финансовая деятельность:
138,2&gt;x&gt;=124,4</t>
  </si>
  <si>
    <t>Обрабатывающее производство:
117,9&gt;x&gt;=106,1</t>
  </si>
  <si>
    <t>Оптовая торговля:
121,2&gt;x&gt;=109</t>
  </si>
  <si>
    <t>Строительство:
102&gt;x&gt;=100</t>
  </si>
  <si>
    <t>Сельское хозяйство:
132,1&gt;x&gt;=118,9</t>
  </si>
  <si>
    <t>Финансовая деятельность:
124,4&gt;x&gt;=112</t>
  </si>
  <si>
    <t>Обрабатывающее производство:
106,1&gt;x</t>
  </si>
  <si>
    <t>Оптовая торговля:
109&gt;x</t>
  </si>
  <si>
    <t>Строительство:
100&gt;x</t>
  </si>
  <si>
    <t>Сельское хозяйство:
118,9&gt;x</t>
  </si>
  <si>
    <t>Финансовая деятельность:
112&gt;x</t>
  </si>
  <si>
    <t xml:space="preserve">Прочие:
100&gt;x
</t>
  </si>
  <si>
    <t xml:space="preserve">Прочие:
110,2&gt;x&gt;=100
</t>
  </si>
  <si>
    <t xml:space="preserve">Прочие:
122,5&gt;x&gt;=110,2
</t>
  </si>
  <si>
    <t xml:space="preserve">Прочие:
136,2&gt;x&gt;=122,5
</t>
  </si>
  <si>
    <t xml:space="preserve">Прочие:
х&gt;=136,2
</t>
  </si>
  <si>
    <t>Обрабатывающее производство:
х&gt;=10,7</t>
  </si>
  <si>
    <t>Оптовая торговля:
х&gt;=6,7</t>
  </si>
  <si>
    <t xml:space="preserve">
Строительство:
х&gt;=5,0</t>
  </si>
  <si>
    <t>Сельское хозяйство:
х&gt;=10,7</t>
  </si>
  <si>
    <t>Финансовая деятельность:
х&gt;=0,8</t>
  </si>
  <si>
    <t>Обрабатывающее производство:
10,7&gt;x&gt;=9,6</t>
  </si>
  <si>
    <t>Оптовая торговля:
6,7&gt;x&gt;=6</t>
  </si>
  <si>
    <t>Строительство:
5,0&gt;x&gt;=4,5</t>
  </si>
  <si>
    <t>Сельское хозяйство:
10,7&gt;x&gt;=9,6</t>
  </si>
  <si>
    <t xml:space="preserve">
Финансовая деятельность:
0,8&gt;x&gt;=0,7</t>
  </si>
  <si>
    <t>Обрабатывающее производство:
9,6&gt;x&gt;=8,6</t>
  </si>
  <si>
    <t>Оптовая торговля:
6&gt;x&gt;=5,4</t>
  </si>
  <si>
    <t>Строительство:
4,5&gt;x&gt;=4</t>
  </si>
  <si>
    <t>Сельское хозяйство:
9,6&gt;x&gt;=8,6</t>
  </si>
  <si>
    <t>Финансовая деятельность:
0,7&gt;x&gt;=0,6</t>
  </si>
  <si>
    <t>Обрабатывающее производство:
8,6&gt;x&gt;=7,7</t>
  </si>
  <si>
    <t>Оптовая торговля:
5,4&gt;x&gt;=4,8</t>
  </si>
  <si>
    <t>Строительство:
4&gt;x&gt;=3,6</t>
  </si>
  <si>
    <t>Сельское хозяйство:
8,6&gt;x&gt;=7,7</t>
  </si>
  <si>
    <t>Финансовая деятельность:
0,8&gt;x&gt;=0,5</t>
  </si>
  <si>
    <t>Обрабатывающее производство:
7,7&gt;x</t>
  </si>
  <si>
    <t xml:space="preserve">
Оптовая торговля:
4,8&gt;x</t>
  </si>
  <si>
    <t>Строительство:
3,6&gt;x</t>
  </si>
  <si>
    <t>Сельское хозяйство:
7,7&gt;x</t>
  </si>
  <si>
    <t>Финансовая деятельность:
0,5&gt;x</t>
  </si>
  <si>
    <t xml:space="preserve">Прочие:
х&gt;=8,6
</t>
  </si>
  <si>
    <t xml:space="preserve">Прочие:
8,6&gt;x&gt;=7,7
</t>
  </si>
  <si>
    <t xml:space="preserve">Прочие:
7,7&gt;x&gt;=6,9
</t>
  </si>
  <si>
    <t xml:space="preserve">Прочие:
6,9&gt;x&gt;=6,2
</t>
  </si>
  <si>
    <t xml:space="preserve">Прочие:
6,2&gt;x
</t>
  </si>
  <si>
    <t>Сфера деятельности:</t>
  </si>
  <si>
    <t>1. Обрабатывающее производство</t>
  </si>
  <si>
    <t>2. Оптовая торговля</t>
  </si>
  <si>
    <t>3. Строительство</t>
  </si>
  <si>
    <t>4. Сельское хозяйство</t>
  </si>
  <si>
    <t>5. Финансовая деятельность</t>
  </si>
  <si>
    <t>6. Прочие</t>
  </si>
  <si>
    <t>(Коэффициент автономии) (К1)</t>
  </si>
  <si>
    <t>Коэффициент обеспеченности (К2)</t>
  </si>
  <si>
    <t>Степень платежеспособности (К3)</t>
  </si>
  <si>
    <t>Рентабельность активов (K4)</t>
  </si>
  <si>
    <t>Коэффициент текущий ликвидности (К5)</t>
  </si>
  <si>
    <t>Рентабельность продаж (K6)</t>
  </si>
  <si>
    <t>Рентабельность собственного капитала (K7)</t>
  </si>
  <si>
    <t>Выручка (К8)</t>
  </si>
  <si>
    <t>Чистая прибыль (К9)</t>
  </si>
  <si>
    <t>Чистые активы (К10)</t>
  </si>
  <si>
    <t>1,2,3,4,5,6</t>
  </si>
  <si>
    <t>сфера деятельности:</t>
  </si>
  <si>
    <t>Заемщик:</t>
  </si>
  <si>
    <t>ООО «ПАРМА»</t>
  </si>
  <si>
    <t>Фин. положение Заемщика:</t>
  </si>
  <si>
    <t>Качество обслуживания долга:</t>
  </si>
  <si>
    <t>Качество обслуживания долга «хорошее», «среднее», «плохое»:</t>
  </si>
  <si>
    <t>Качество Заемщика</t>
  </si>
  <si>
    <t>Расчетный резерв:</t>
  </si>
  <si>
    <t>Категория качества:</t>
  </si>
  <si>
    <t>Стандартные (I категория качества)</t>
  </si>
  <si>
    <t>100 – 80 баллов</t>
  </si>
  <si>
    <t>Нестандартные (II категория качества)</t>
  </si>
  <si>
    <t>Сомнительные (III категория качества)</t>
  </si>
  <si>
    <t>1% (79 - 65 баллов)</t>
  </si>
  <si>
    <t>3% (64 - 55 баллов)</t>
  </si>
  <si>
    <t>10% (54 - 40 баллов)</t>
  </si>
  <si>
    <t>21% (79-60 баллов)</t>
  </si>
  <si>
    <t>35% (59–40 баллов)</t>
  </si>
  <si>
    <t>Проблемные (IV категория качества)</t>
  </si>
  <si>
    <t>51%  (79 - 65 баллов)</t>
  </si>
  <si>
    <t>61%  (64 - 55 баллов)</t>
  </si>
  <si>
    <t>71%  (54 - 40 баллов)</t>
  </si>
  <si>
    <t>79-40 баллов</t>
  </si>
  <si>
    <t>39 – 0 баллов</t>
  </si>
  <si>
    <t>Безнадежные (V категория качества)</t>
  </si>
  <si>
    <t>Итоговый балл: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</si>
</sst>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0E0E0"/>
        <bgColor indexed="64"/>
      </patternFill>
    </fill>
    <fill>
      <patternFill patternType="mediumGray">
        <fgColor rgb="FFCCFFFF"/>
        <bgColor rgb="FFB4E7FF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2" fillId="11" borderId="1" xfId="0" applyFont="1" applyFill="1" applyBorder="1"/>
    <xf numFmtId="0" fontId="2" fillId="12" borderId="1" xfId="0" applyFont="1" applyFill="1" applyBorder="1"/>
    <xf numFmtId="0" fontId="2" fillId="14" borderId="1" xfId="0" applyFont="1" applyFill="1" applyBorder="1"/>
    <xf numFmtId="0" fontId="2" fillId="15" borderId="1" xfId="0" applyFont="1" applyFill="1" applyBorder="1"/>
    <xf numFmtId="0" fontId="2" fillId="17" borderId="1" xfId="0" applyFont="1" applyFill="1" applyBorder="1"/>
    <xf numFmtId="0" fontId="2" fillId="18" borderId="1" xfId="0" applyFont="1" applyFill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/>
    <xf numFmtId="0" fontId="8" fillId="11" borderId="1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3" fillId="0" borderId="1" xfId="0" applyFont="1" applyBorder="1"/>
    <xf numFmtId="0" fontId="9" fillId="12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3" fillId="0" borderId="0" xfId="0" applyFont="1"/>
    <xf numFmtId="0" fontId="8" fillId="12" borderId="1" xfId="0" applyFont="1" applyFill="1" applyBorder="1" applyAlignment="1">
      <alignment horizontal="left"/>
    </xf>
    <xf numFmtId="0" fontId="8" fillId="14" borderId="1" xfId="0" applyFont="1" applyFill="1" applyBorder="1" applyAlignment="1">
      <alignment horizontal="left"/>
    </xf>
    <xf numFmtId="0" fontId="8" fillId="15" borderId="1" xfId="0" applyFont="1" applyFill="1" applyBorder="1" applyAlignment="1">
      <alignment horizontal="left"/>
    </xf>
    <xf numFmtId="0" fontId="8" fillId="17" borderId="1" xfId="0" applyFont="1" applyFill="1" applyBorder="1" applyAlignment="1">
      <alignment horizontal="left"/>
    </xf>
    <xf numFmtId="0" fontId="8" fillId="18" borderId="1" xfId="0" applyFont="1" applyFill="1" applyBorder="1" applyAlignment="1">
      <alignment horizontal="left"/>
    </xf>
    <xf numFmtId="0" fontId="8" fillId="16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13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1" fillId="12" borderId="1" xfId="0" applyFont="1" applyFill="1" applyBorder="1"/>
    <xf numFmtId="0" fontId="11" fillId="16" borderId="1" xfId="0" applyFont="1" applyFill="1" applyBorder="1"/>
    <xf numFmtId="0" fontId="11" fillId="2" borderId="1" xfId="0" applyFont="1" applyFill="1" applyBorder="1"/>
    <xf numFmtId="0" fontId="11" fillId="13" borderId="1" xfId="0" applyFont="1" applyFill="1" applyBorder="1"/>
    <xf numFmtId="0" fontId="8" fillId="4" borderId="5" xfId="0" applyFont="1" applyFill="1" applyBorder="1" applyAlignment="1"/>
    <xf numFmtId="0" fontId="10" fillId="19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/>
    <xf numFmtId="0" fontId="8" fillId="0" borderId="0" xfId="0" applyFont="1"/>
    <xf numFmtId="0" fontId="2" fillId="10" borderId="11" xfId="0" applyFont="1" applyFill="1" applyBorder="1" applyAlignment="1">
      <alignment horizontal="justify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9" fontId="2" fillId="10" borderId="6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9" fontId="2" fillId="10" borderId="7" xfId="0" applyNumberFormat="1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9" fontId="2" fillId="1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0" borderId="1" xfId="0" applyNumberFormat="1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8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9" borderId="8" xfId="0" applyFont="1" applyFill="1" applyBorder="1" applyAlignment="1">
      <alignment horizontal="justify" vertical="center" wrapText="1"/>
    </xf>
    <xf numFmtId="0" fontId="8" fillId="9" borderId="10" xfId="0" applyFont="1" applyFill="1" applyBorder="1" applyAlignment="1">
      <alignment horizontal="justify" vertical="center" wrapText="1"/>
    </xf>
    <xf numFmtId="0" fontId="8" fillId="9" borderId="9" xfId="0" applyFont="1" applyFill="1" applyBorder="1" applyAlignment="1">
      <alignment horizontal="justify" vertical="center" wrapText="1"/>
    </xf>
    <xf numFmtId="0" fontId="2" fillId="10" borderId="5" xfId="0" applyFont="1" applyFill="1" applyBorder="1" applyAlignment="1">
      <alignment horizontal="center" vertical="center" wrapText="1"/>
    </xf>
    <xf numFmtId="9" fontId="2" fillId="10" borderId="16" xfId="0" applyNumberFormat="1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9" fontId="2" fillId="10" borderId="13" xfId="0" applyNumberFormat="1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9" fontId="2" fillId="10" borderId="12" xfId="0" applyNumberFormat="1" applyFont="1" applyFill="1" applyBorder="1" applyAlignment="1">
      <alignment horizontal="center" vertical="center" wrapText="1"/>
    </xf>
    <xf numFmtId="9" fontId="2" fillId="10" borderId="14" xfId="0" applyNumberFormat="1" applyFont="1" applyFill="1" applyBorder="1" applyAlignment="1">
      <alignment horizontal="center" vertical="center" wrapText="1"/>
    </xf>
    <xf numFmtId="9" fontId="2" fillId="10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opLeftCell="A57" workbookViewId="0">
      <selection activeCell="O64" sqref="O64"/>
    </sheetView>
  </sheetViews>
  <sheetFormatPr defaultRowHeight="15.75" x14ac:dyDescent="0.25"/>
  <cols>
    <col min="1" max="1" width="7.42578125" style="1" customWidth="1"/>
    <col min="2" max="2" width="52.140625" style="2" customWidth="1"/>
    <col min="3" max="3" width="18.28515625" customWidth="1"/>
    <col min="4" max="4" width="17" customWidth="1"/>
    <col min="5" max="5" width="16.140625" customWidth="1"/>
    <col min="6" max="6" width="17.7109375" customWidth="1"/>
    <col min="7" max="7" width="8" customWidth="1"/>
    <col min="8" max="8" width="10" customWidth="1"/>
    <col min="9" max="9" width="13.5703125" style="3" customWidth="1"/>
    <col min="10" max="10" width="12.140625" style="3" customWidth="1"/>
    <col min="11" max="11" width="9.140625" style="35"/>
    <col min="12" max="12" width="9.140625" style="3"/>
  </cols>
  <sheetData>
    <row r="2" spans="1:12" x14ac:dyDescent="0.25">
      <c r="B2" s="47" t="s">
        <v>350</v>
      </c>
      <c r="C2" s="139" t="s">
        <v>351</v>
      </c>
      <c r="D2" s="139"/>
      <c r="E2" s="139"/>
      <c r="F2" s="50"/>
      <c r="G2" s="48"/>
    </row>
    <row r="3" spans="1:12" x14ac:dyDescent="0.25">
      <c r="B3" s="72" t="s">
        <v>367</v>
      </c>
      <c r="C3" s="139" t="s">
        <v>352</v>
      </c>
      <c r="D3" s="139"/>
      <c r="E3" s="139"/>
      <c r="F3" s="50"/>
    </row>
    <row r="4" spans="1:12" x14ac:dyDescent="0.25">
      <c r="C4" s="139" t="s">
        <v>353</v>
      </c>
      <c r="D4" s="139"/>
      <c r="E4" s="139"/>
      <c r="F4" s="50"/>
    </row>
    <row r="5" spans="1:12" x14ac:dyDescent="0.25">
      <c r="C5" s="139" t="s">
        <v>354</v>
      </c>
      <c r="D5" s="139"/>
      <c r="E5" s="139"/>
      <c r="F5" s="50"/>
    </row>
    <row r="6" spans="1:12" x14ac:dyDescent="0.25">
      <c r="C6" s="139" t="s">
        <v>355</v>
      </c>
      <c r="D6" s="139"/>
      <c r="E6" s="139"/>
      <c r="F6" s="50"/>
    </row>
    <row r="7" spans="1:12" x14ac:dyDescent="0.25">
      <c r="C7" s="139" t="s">
        <v>356</v>
      </c>
      <c r="D7" s="139"/>
      <c r="E7" s="139"/>
      <c r="F7" s="50"/>
    </row>
    <row r="9" spans="1:12" ht="31.5" x14ac:dyDescent="0.25">
      <c r="A9" s="17"/>
      <c r="B9" s="18"/>
      <c r="C9" s="19" t="s">
        <v>28</v>
      </c>
      <c r="D9" s="19" t="s">
        <v>29</v>
      </c>
      <c r="E9" s="19" t="s">
        <v>30</v>
      </c>
      <c r="F9" s="19" t="s">
        <v>31</v>
      </c>
      <c r="G9" s="131" t="s">
        <v>32</v>
      </c>
      <c r="H9" s="132"/>
      <c r="I9" s="20" t="s">
        <v>142</v>
      </c>
      <c r="J9" s="21"/>
      <c r="K9" s="33" t="s">
        <v>214</v>
      </c>
      <c r="L9" s="21" t="s">
        <v>213</v>
      </c>
    </row>
    <row r="10" spans="1:12" ht="34.5" x14ac:dyDescent="0.25">
      <c r="A10" s="90" t="s">
        <v>0</v>
      </c>
      <c r="B10" s="93" t="s">
        <v>24</v>
      </c>
      <c r="C10" s="46" t="s">
        <v>228</v>
      </c>
      <c r="D10" s="46" t="s">
        <v>233</v>
      </c>
      <c r="E10" s="46" t="s">
        <v>238</v>
      </c>
      <c r="F10" s="46" t="s">
        <v>243</v>
      </c>
      <c r="G10" s="96" t="s">
        <v>248</v>
      </c>
      <c r="H10" s="97"/>
      <c r="I10" s="104">
        <v>4</v>
      </c>
      <c r="J10" s="71">
        <f>расчет!G3</f>
        <v>0</v>
      </c>
      <c r="K10" s="73">
        <f>IF(J10&gt;=41.6,100,IF(J10&gt;=37.4,75,IF(J10&gt;=33.7,50,IF(J10&gt;=30.3,25,0))))</f>
        <v>0</v>
      </c>
      <c r="L10" s="99">
        <f>SUM(K10:K15)*I10/100</f>
        <v>0</v>
      </c>
    </row>
    <row r="11" spans="1:12" ht="23.25" x14ac:dyDescent="0.25">
      <c r="A11" s="91"/>
      <c r="B11" s="94"/>
      <c r="C11" s="46" t="s">
        <v>229</v>
      </c>
      <c r="D11" s="46" t="s">
        <v>234</v>
      </c>
      <c r="E11" s="46" t="s">
        <v>239</v>
      </c>
      <c r="F11" s="46" t="s">
        <v>244</v>
      </c>
      <c r="G11" s="96" t="s">
        <v>249</v>
      </c>
      <c r="H11" s="98"/>
      <c r="I11" s="105"/>
      <c r="J11" s="71">
        <f>расчет!G4</f>
        <v>12.678646490121901</v>
      </c>
      <c r="K11" s="73">
        <f>IF(J11&gt;=50.7,100,IF(J11&gt;=45.6,75,IF(J11&gt;=41,50,IF(J11&gt;=36.9,25,0))))</f>
        <v>0</v>
      </c>
      <c r="L11" s="100"/>
    </row>
    <row r="12" spans="1:12" ht="23.25" x14ac:dyDescent="0.25">
      <c r="A12" s="91"/>
      <c r="B12" s="94"/>
      <c r="C12" s="46" t="s">
        <v>230</v>
      </c>
      <c r="D12" s="46" t="s">
        <v>235</v>
      </c>
      <c r="E12" s="46" t="s">
        <v>240</v>
      </c>
      <c r="F12" s="46" t="s">
        <v>245</v>
      </c>
      <c r="G12" s="96" t="s">
        <v>250</v>
      </c>
      <c r="H12" s="98"/>
      <c r="I12" s="105"/>
      <c r="J12" s="71">
        <f>расчет!G5</f>
        <v>0</v>
      </c>
      <c r="K12" s="73">
        <f>IF(J12&gt;=18.2,100,IF(J12&gt;=16.3,75,IF(J12&gt;=14.6,50,IF(J12&gt;=13.1,25,0))))</f>
        <v>0</v>
      </c>
      <c r="L12" s="100"/>
    </row>
    <row r="13" spans="1:12" ht="23.25" x14ac:dyDescent="0.25">
      <c r="A13" s="91"/>
      <c r="B13" s="94"/>
      <c r="C13" s="46" t="s">
        <v>231</v>
      </c>
      <c r="D13" s="46" t="s">
        <v>236</v>
      </c>
      <c r="E13" s="46" t="s">
        <v>241</v>
      </c>
      <c r="F13" s="46" t="s">
        <v>246</v>
      </c>
      <c r="G13" s="96" t="s">
        <v>251</v>
      </c>
      <c r="H13" s="98"/>
      <c r="I13" s="105"/>
      <c r="J13" s="71">
        <f>расчет!G6</f>
        <v>0</v>
      </c>
      <c r="K13" s="73">
        <f>IF(J13&gt;=40.3,100,IF(J13&gt;=36.2,75,IF(J13&gt;=32.5,50,IF(J13&gt;=29.2,25,0))))</f>
        <v>0</v>
      </c>
      <c r="L13" s="100"/>
    </row>
    <row r="14" spans="1:12" ht="34.5" x14ac:dyDescent="0.25">
      <c r="A14" s="91"/>
      <c r="B14" s="94"/>
      <c r="C14" s="46" t="s">
        <v>232</v>
      </c>
      <c r="D14" s="46" t="s">
        <v>237</v>
      </c>
      <c r="E14" s="46" t="s">
        <v>242</v>
      </c>
      <c r="F14" s="46" t="s">
        <v>247</v>
      </c>
      <c r="G14" s="96" t="s">
        <v>252</v>
      </c>
      <c r="H14" s="98"/>
      <c r="I14" s="105"/>
      <c r="J14" s="71">
        <f>расчет!G7</f>
        <v>0</v>
      </c>
      <c r="K14" s="73">
        <f>IF(J14&gt;=54.3,100,IF(J14&gt;=48.6,75,IF(J14&gt;=43.7,50,IF(J14&gt;=39.3,25,0))))</f>
        <v>0</v>
      </c>
      <c r="L14" s="100"/>
    </row>
    <row r="15" spans="1:12" ht="28.5" customHeight="1" x14ac:dyDescent="0.25">
      <c r="A15" s="92"/>
      <c r="B15" s="95"/>
      <c r="C15" s="45" t="s">
        <v>253</v>
      </c>
      <c r="D15" s="45" t="s">
        <v>254</v>
      </c>
      <c r="E15" s="45" t="s">
        <v>255</v>
      </c>
      <c r="F15" s="45" t="s">
        <v>256</v>
      </c>
      <c r="G15" s="114" t="s">
        <v>257</v>
      </c>
      <c r="H15" s="116"/>
      <c r="I15" s="106"/>
      <c r="J15" s="71">
        <f>расчет!G8</f>
        <v>0</v>
      </c>
      <c r="K15" s="73">
        <f>IF(J15&gt;=50,100,IF(J15&gt;=45.7,75,IF(J15&gt;=41.1,50,IF(J15&gt;=37,25,0))))</f>
        <v>0</v>
      </c>
      <c r="L15" s="101"/>
    </row>
    <row r="16" spans="1:12" ht="35.25" customHeight="1" x14ac:dyDescent="0.25">
      <c r="A16" s="23" t="s">
        <v>1</v>
      </c>
      <c r="B16" s="9" t="s">
        <v>25</v>
      </c>
      <c r="C16" s="11" t="s">
        <v>33</v>
      </c>
      <c r="D16" s="11" t="s">
        <v>34</v>
      </c>
      <c r="E16" s="11" t="s">
        <v>35</v>
      </c>
      <c r="F16" s="11" t="s">
        <v>36</v>
      </c>
      <c r="G16" s="123" t="s">
        <v>37</v>
      </c>
      <c r="H16" s="108"/>
      <c r="I16" s="21">
        <v>2</v>
      </c>
      <c r="J16" s="32">
        <f>расчет!G9</f>
        <v>0.12471034337476301</v>
      </c>
      <c r="K16" s="34">
        <f>IF(J16&gt;=0.1,100,IF(J16&gt;=0.05,75,IF(J16&gt;=0.01,50,IF(J16&gt;=0,25,0))))</f>
        <v>100</v>
      </c>
      <c r="L16" s="36">
        <f>K16*I16/100</f>
        <v>2</v>
      </c>
    </row>
    <row r="17" spans="1:12" ht="42" customHeight="1" x14ac:dyDescent="0.25">
      <c r="A17" s="23" t="s">
        <v>2</v>
      </c>
      <c r="B17" s="9" t="s">
        <v>288</v>
      </c>
      <c r="C17" s="11" t="s">
        <v>38</v>
      </c>
      <c r="D17" s="11" t="s">
        <v>39</v>
      </c>
      <c r="E17" s="11" t="s">
        <v>40</v>
      </c>
      <c r="F17" s="11" t="s">
        <v>41</v>
      </c>
      <c r="G17" s="123" t="s">
        <v>42</v>
      </c>
      <c r="H17" s="108"/>
      <c r="I17" s="21">
        <v>5</v>
      </c>
      <c r="J17" s="32">
        <f>расчет!G10</f>
        <v>0.41753071114617379</v>
      </c>
      <c r="K17" s="34">
        <f>IF(J17&lt;=1,100,IF(J17&lt;=1.2,75,IF(J17&lt;=1.4,50,IF(J17&lt;=1.6,25,0))))</f>
        <v>100</v>
      </c>
      <c r="L17" s="36">
        <f t="shared" ref="L17:L62" si="0">K17*I17/100</f>
        <v>5</v>
      </c>
    </row>
    <row r="18" spans="1:12" ht="41.25" customHeight="1" x14ac:dyDescent="0.25">
      <c r="A18" s="90" t="s">
        <v>3</v>
      </c>
      <c r="B18" s="93" t="s">
        <v>26</v>
      </c>
      <c r="C18" s="12" t="s">
        <v>258</v>
      </c>
      <c r="D18" s="12" t="s">
        <v>264</v>
      </c>
      <c r="E18" s="12" t="s">
        <v>269</v>
      </c>
      <c r="F18" s="12" t="s">
        <v>274</v>
      </c>
      <c r="G18" s="107" t="s">
        <v>279</v>
      </c>
      <c r="H18" s="108"/>
      <c r="I18" s="104">
        <v>4</v>
      </c>
      <c r="J18" s="71">
        <f>расчет!G11</f>
        <v>0</v>
      </c>
      <c r="K18" s="73">
        <f>IF(J18&gt;=8.1,100,IF(J18&gt;=7.3,75,IF(J18&gt;=6.5,50,IF(J18&gt;=5.8,25,0))))</f>
        <v>0</v>
      </c>
      <c r="L18" s="99">
        <f>SUM(K18:K23)*I18/100</f>
        <v>0</v>
      </c>
    </row>
    <row r="19" spans="1:12" ht="42" customHeight="1" x14ac:dyDescent="0.25">
      <c r="A19" s="91"/>
      <c r="B19" s="94"/>
      <c r="C19" s="12" t="s">
        <v>259</v>
      </c>
      <c r="D19" s="12" t="s">
        <v>265</v>
      </c>
      <c r="E19" s="12" t="s">
        <v>270</v>
      </c>
      <c r="F19" s="12" t="s">
        <v>275</v>
      </c>
      <c r="G19" s="107" t="s">
        <v>280</v>
      </c>
      <c r="H19" s="108"/>
      <c r="I19" s="105"/>
      <c r="J19" s="71">
        <f>расчет!G12</f>
        <v>2.7374947456914671</v>
      </c>
      <c r="K19" s="73">
        <f>IF(J19&gt;=7.9,100,IF(J19&gt;=7.1,75,IF(J19&gt;=6.4,50,IF(J19&gt;=5.7,25,0))))</f>
        <v>0</v>
      </c>
      <c r="L19" s="100"/>
    </row>
    <row r="20" spans="1:12" ht="42" customHeight="1" x14ac:dyDescent="0.25">
      <c r="A20" s="91"/>
      <c r="B20" s="94"/>
      <c r="C20" s="12" t="s">
        <v>260</v>
      </c>
      <c r="D20" s="12" t="s">
        <v>266</v>
      </c>
      <c r="E20" s="12" t="s">
        <v>271</v>
      </c>
      <c r="F20" s="12" t="s">
        <v>276</v>
      </c>
      <c r="G20" s="107" t="s">
        <v>281</v>
      </c>
      <c r="H20" s="108"/>
      <c r="I20" s="105"/>
      <c r="J20" s="71">
        <f>расчет!G13</f>
        <v>0</v>
      </c>
      <c r="K20" s="73">
        <f>IF(J20&gt;=2.9,100,IF(J20&gt;=2.6,75,IF(J20&gt;=2.3,50,IF(J20&gt;=2,25,0))))</f>
        <v>0</v>
      </c>
      <c r="L20" s="100"/>
    </row>
    <row r="21" spans="1:12" ht="42" customHeight="1" x14ac:dyDescent="0.25">
      <c r="A21" s="91"/>
      <c r="B21" s="94"/>
      <c r="C21" s="12" t="s">
        <v>261</v>
      </c>
      <c r="D21" s="12" t="s">
        <v>267</v>
      </c>
      <c r="E21" s="12" t="s">
        <v>272</v>
      </c>
      <c r="F21" s="12" t="s">
        <v>277</v>
      </c>
      <c r="G21" s="107" t="s">
        <v>282</v>
      </c>
      <c r="H21" s="108"/>
      <c r="I21" s="105"/>
      <c r="J21" s="71">
        <f>расчет!G14</f>
        <v>0</v>
      </c>
      <c r="K21" s="73">
        <f>IF(J21&gt;=3.5,100,IF(J21&gt;=3.1,75,IF(J21&gt;=2.8,50,IF(J21&gt;=2.5,25,0))))</f>
        <v>0</v>
      </c>
      <c r="L21" s="100"/>
    </row>
    <row r="22" spans="1:12" ht="42" customHeight="1" x14ac:dyDescent="0.25">
      <c r="A22" s="91"/>
      <c r="B22" s="94"/>
      <c r="C22" s="12" t="s">
        <v>262</v>
      </c>
      <c r="D22" s="12" t="s">
        <v>268</v>
      </c>
      <c r="E22" s="12" t="s">
        <v>273</v>
      </c>
      <c r="F22" s="12" t="s">
        <v>278</v>
      </c>
      <c r="G22" s="107" t="s">
        <v>283</v>
      </c>
      <c r="H22" s="108"/>
      <c r="I22" s="105"/>
      <c r="J22" s="71">
        <f>расчет!G15</f>
        <v>0</v>
      </c>
      <c r="K22" s="73">
        <f>IF(J22&gt;=2.8,100,IF(J22&gt;=2.5,75,IF(J22&gt;=2.2,50,IF(J22&gt;=2,25,0))))</f>
        <v>0</v>
      </c>
      <c r="L22" s="100"/>
    </row>
    <row r="23" spans="1:12" ht="36" customHeight="1" x14ac:dyDescent="0.25">
      <c r="A23" s="92"/>
      <c r="B23" s="95"/>
      <c r="C23" s="10" t="s">
        <v>263</v>
      </c>
      <c r="D23" s="10" t="s">
        <v>284</v>
      </c>
      <c r="E23" s="10" t="s">
        <v>285</v>
      </c>
      <c r="F23" s="10" t="s">
        <v>286</v>
      </c>
      <c r="G23" s="102" t="s">
        <v>287</v>
      </c>
      <c r="H23" s="103"/>
      <c r="I23" s="106"/>
      <c r="J23" s="71">
        <f>расчет!G16</f>
        <v>0</v>
      </c>
      <c r="K23" s="73">
        <f>IF(J23&gt;=6.1,100,IF(J23&gt;=5.5,75,IF(J23&gt;=5,50,IF(J23&gt;=4.5,25,0))))</f>
        <v>0</v>
      </c>
      <c r="L23" s="101"/>
    </row>
    <row r="24" spans="1:12" ht="36" customHeight="1" x14ac:dyDescent="0.25">
      <c r="A24" s="90" t="s">
        <v>4</v>
      </c>
      <c r="B24" s="93" t="s">
        <v>289</v>
      </c>
      <c r="C24" s="10" t="s">
        <v>290</v>
      </c>
      <c r="D24" s="10" t="s">
        <v>295</v>
      </c>
      <c r="E24" s="10" t="s">
        <v>300</v>
      </c>
      <c r="F24" s="10" t="s">
        <v>305</v>
      </c>
      <c r="G24" s="102" t="s">
        <v>310</v>
      </c>
      <c r="H24" s="103"/>
      <c r="I24" s="104">
        <v>6</v>
      </c>
      <c r="J24" s="71">
        <f>расчет!G17</f>
        <v>0</v>
      </c>
      <c r="K24" s="73">
        <f>IF(J24&gt;=145.6,100,IF(J24&gt;=131,75,IF(J24&gt;=117.9,50,IF(J24&gt;=106.1,25,0))))</f>
        <v>0</v>
      </c>
      <c r="L24" s="99">
        <f>SUM(K24:K29)*I24/100</f>
        <v>1.5</v>
      </c>
    </row>
    <row r="25" spans="1:12" ht="36" customHeight="1" x14ac:dyDescent="0.25">
      <c r="A25" s="91"/>
      <c r="B25" s="94"/>
      <c r="C25" s="10" t="s">
        <v>291</v>
      </c>
      <c r="D25" s="10" t="s">
        <v>296</v>
      </c>
      <c r="E25" s="10" t="s">
        <v>301</v>
      </c>
      <c r="F25" s="10" t="s">
        <v>306</v>
      </c>
      <c r="G25" s="102" t="s">
        <v>311</v>
      </c>
      <c r="H25" s="103"/>
      <c r="I25" s="105"/>
      <c r="J25" s="71">
        <f>расчет!G18</f>
        <v>114.25476863830555</v>
      </c>
      <c r="K25" s="73">
        <f>IF(J25&gt;=149.7,100,IF(J25&gt;=134.7,75,IF(J25&gt;=121.2,50,IF(J25&gt;=109,25,0))))</f>
        <v>25</v>
      </c>
      <c r="L25" s="100"/>
    </row>
    <row r="26" spans="1:12" ht="36" customHeight="1" x14ac:dyDescent="0.25">
      <c r="A26" s="91"/>
      <c r="B26" s="94"/>
      <c r="C26" s="10" t="s">
        <v>292</v>
      </c>
      <c r="D26" s="10" t="s">
        <v>297</v>
      </c>
      <c r="E26" s="10" t="s">
        <v>302</v>
      </c>
      <c r="F26" s="10" t="s">
        <v>307</v>
      </c>
      <c r="G26" s="102" t="s">
        <v>312</v>
      </c>
      <c r="H26" s="103"/>
      <c r="I26" s="105"/>
      <c r="J26" s="71">
        <f>расчет!G19</f>
        <v>0</v>
      </c>
      <c r="K26" s="73">
        <f>IF(J26&gt;=106.5,100,IF(J26&gt;=104.5,75,IF(J26&gt;=102,50,IF(J26&gt;=100,25,0))))</f>
        <v>0</v>
      </c>
      <c r="L26" s="100"/>
    </row>
    <row r="27" spans="1:12" ht="36" customHeight="1" x14ac:dyDescent="0.25">
      <c r="A27" s="91"/>
      <c r="B27" s="94"/>
      <c r="C27" s="10" t="s">
        <v>293</v>
      </c>
      <c r="D27" s="10" t="s">
        <v>298</v>
      </c>
      <c r="E27" s="10" t="s">
        <v>303</v>
      </c>
      <c r="F27" s="10" t="s">
        <v>308</v>
      </c>
      <c r="G27" s="102" t="s">
        <v>313</v>
      </c>
      <c r="H27" s="103"/>
      <c r="I27" s="105"/>
      <c r="J27" s="71">
        <f>расчет!G20</f>
        <v>0</v>
      </c>
      <c r="K27" s="73">
        <f>IF(J27&gt;=163.1,100,IF(J27&gt;=146.8,75,IF(J27&gt;=132.1,50,IF(J27&gt;=118.9,25,0))))</f>
        <v>0</v>
      </c>
      <c r="L27" s="100"/>
    </row>
    <row r="28" spans="1:12" ht="36" customHeight="1" x14ac:dyDescent="0.25">
      <c r="A28" s="91"/>
      <c r="B28" s="94"/>
      <c r="C28" s="10" t="s">
        <v>294</v>
      </c>
      <c r="D28" s="10" t="s">
        <v>299</v>
      </c>
      <c r="E28" s="10" t="s">
        <v>304</v>
      </c>
      <c r="F28" s="10" t="s">
        <v>309</v>
      </c>
      <c r="G28" s="102" t="s">
        <v>314</v>
      </c>
      <c r="H28" s="103"/>
      <c r="I28" s="105"/>
      <c r="J28" s="71">
        <f>расчет!G21</f>
        <v>0</v>
      </c>
      <c r="K28" s="73">
        <f>IF(J28&gt;=153.6,100,IF(J28&gt;=138.2,75,IF(J28&gt;=124.4,50,IF(J28&gt;=112,25,0))))</f>
        <v>0</v>
      </c>
      <c r="L28" s="100"/>
    </row>
    <row r="29" spans="1:12" ht="27" customHeight="1" x14ac:dyDescent="0.25">
      <c r="A29" s="92"/>
      <c r="B29" s="95"/>
      <c r="C29" s="45" t="s">
        <v>319</v>
      </c>
      <c r="D29" s="45" t="s">
        <v>318</v>
      </c>
      <c r="E29" s="45" t="s">
        <v>317</v>
      </c>
      <c r="F29" s="45" t="s">
        <v>316</v>
      </c>
      <c r="G29" s="114" t="s">
        <v>315</v>
      </c>
      <c r="H29" s="116"/>
      <c r="I29" s="106"/>
      <c r="J29" s="71">
        <f>расчет!G22</f>
        <v>0</v>
      </c>
      <c r="K29" s="73">
        <f>IF(J29&gt;=136.2,100,IF(J29&gt;=122.5,75,IF(J29&gt;=110.2,50,IF(J29&gt;=100,25,0))))</f>
        <v>0</v>
      </c>
      <c r="L29" s="101"/>
    </row>
    <row r="30" spans="1:12" ht="34.5" x14ac:dyDescent="0.25">
      <c r="A30" s="90" t="s">
        <v>5</v>
      </c>
      <c r="B30" s="93" t="s">
        <v>215</v>
      </c>
      <c r="C30" s="10" t="s">
        <v>320</v>
      </c>
      <c r="D30" s="10" t="s">
        <v>325</v>
      </c>
      <c r="E30" s="10" t="s">
        <v>330</v>
      </c>
      <c r="F30" s="10" t="s">
        <v>335</v>
      </c>
      <c r="G30" s="102" t="s">
        <v>340</v>
      </c>
      <c r="H30" s="103"/>
      <c r="I30" s="104">
        <v>4</v>
      </c>
      <c r="J30" s="71">
        <f>расчет!G23</f>
        <v>0</v>
      </c>
      <c r="K30" s="73">
        <f>IF(J30&gt;=10.7,100,IF(J30&gt;=9.6,75,IF(J30&gt;=8.6,50,IF(J30&gt;=7.7,25,0))))</f>
        <v>0</v>
      </c>
      <c r="L30" s="99">
        <f>SUM(K30:K35)*I30/100</f>
        <v>3</v>
      </c>
    </row>
    <row r="31" spans="1:12" ht="23.25" x14ac:dyDescent="0.25">
      <c r="A31" s="91"/>
      <c r="B31" s="94"/>
      <c r="C31" s="10" t="s">
        <v>321</v>
      </c>
      <c r="D31" s="10" t="s">
        <v>326</v>
      </c>
      <c r="E31" s="10" t="s">
        <v>331</v>
      </c>
      <c r="F31" s="10" t="s">
        <v>336</v>
      </c>
      <c r="G31" s="102" t="s">
        <v>341</v>
      </c>
      <c r="H31" s="103"/>
      <c r="I31" s="105"/>
      <c r="J31" s="71">
        <f>расчет!G24</f>
        <v>6.3000112701453848</v>
      </c>
      <c r="K31" s="73">
        <f>IF(J31&gt;=6.7,100,IF(J31&gt;=6,75,IF(J31&gt;=5.4,50,IF(J31&gt;=4.8,25,0))))</f>
        <v>75</v>
      </c>
      <c r="L31" s="100"/>
    </row>
    <row r="32" spans="1:12" ht="34.5" x14ac:dyDescent="0.25">
      <c r="A32" s="91"/>
      <c r="B32" s="94"/>
      <c r="C32" s="10" t="s">
        <v>322</v>
      </c>
      <c r="D32" s="10" t="s">
        <v>327</v>
      </c>
      <c r="E32" s="10" t="s">
        <v>332</v>
      </c>
      <c r="F32" s="10" t="s">
        <v>337</v>
      </c>
      <c r="G32" s="102" t="s">
        <v>342</v>
      </c>
      <c r="H32" s="103"/>
      <c r="I32" s="105"/>
      <c r="J32" s="71">
        <f>расчет!G25</f>
        <v>0</v>
      </c>
      <c r="K32" s="73">
        <f>IF(J32&gt;=5,100,IF(J32&gt;=4.5,75,IF(J32&gt;=4,50,IF(J32&gt;=3.6,25,0))))</f>
        <v>0</v>
      </c>
      <c r="L32" s="100"/>
    </row>
    <row r="33" spans="1:12" ht="23.25" x14ac:dyDescent="0.25">
      <c r="A33" s="91"/>
      <c r="B33" s="94"/>
      <c r="C33" s="10" t="s">
        <v>323</v>
      </c>
      <c r="D33" s="10" t="s">
        <v>328</v>
      </c>
      <c r="E33" s="10" t="s">
        <v>333</v>
      </c>
      <c r="F33" s="10" t="s">
        <v>338</v>
      </c>
      <c r="G33" s="102" t="s">
        <v>343</v>
      </c>
      <c r="H33" s="103"/>
      <c r="I33" s="105"/>
      <c r="J33" s="71">
        <f>расчет!G26</f>
        <v>0</v>
      </c>
      <c r="K33" s="73">
        <f>IF(J33&gt;=10.7,100,IF(J33&gt;=9.6,75,IF(J33&gt;=8.6,50,IF(J33&gt;=7.7,25,0))))</f>
        <v>0</v>
      </c>
      <c r="L33" s="100"/>
    </row>
    <row r="34" spans="1:12" ht="36" customHeight="1" x14ac:dyDescent="0.25">
      <c r="A34" s="91"/>
      <c r="B34" s="94"/>
      <c r="C34" s="10" t="s">
        <v>324</v>
      </c>
      <c r="D34" s="10" t="s">
        <v>329</v>
      </c>
      <c r="E34" s="10" t="s">
        <v>334</v>
      </c>
      <c r="F34" s="10" t="s">
        <v>339</v>
      </c>
      <c r="G34" s="102" t="s">
        <v>344</v>
      </c>
      <c r="H34" s="103"/>
      <c r="I34" s="105"/>
      <c r="J34" s="71">
        <f>расчет!G27</f>
        <v>0</v>
      </c>
      <c r="K34" s="73">
        <f>IF(J34&gt;=0.8,100,IF(J34&gt;=0.7,75,IF(J34&gt;=0.6,50,IF(J34&gt;=0.5,25,0))))</f>
        <v>0</v>
      </c>
      <c r="L34" s="100"/>
    </row>
    <row r="35" spans="1:12" ht="28.5" customHeight="1" x14ac:dyDescent="0.25">
      <c r="A35" s="92"/>
      <c r="B35" s="95"/>
      <c r="C35" s="45" t="s">
        <v>345</v>
      </c>
      <c r="D35" s="45" t="s">
        <v>346</v>
      </c>
      <c r="E35" s="45" t="s">
        <v>347</v>
      </c>
      <c r="F35" s="45" t="s">
        <v>348</v>
      </c>
      <c r="G35" s="114" t="s">
        <v>349</v>
      </c>
      <c r="H35" s="116"/>
      <c r="I35" s="106"/>
      <c r="J35" s="71">
        <f>расчет!G28</f>
        <v>0</v>
      </c>
      <c r="K35" s="73">
        <f>IF(J35&gt;=8.6,100,IF(J35&gt;=7.7,75,IF(J35&gt;=6.9,50,IF(J35&gt;=6.2,25,0))))</f>
        <v>0</v>
      </c>
      <c r="L35" s="101"/>
    </row>
    <row r="36" spans="1:12" ht="31.5" x14ac:dyDescent="0.25">
      <c r="A36" s="23" t="s">
        <v>6</v>
      </c>
      <c r="B36" s="9" t="s">
        <v>27</v>
      </c>
      <c r="C36" s="12" t="s">
        <v>43</v>
      </c>
      <c r="D36" s="11" t="s">
        <v>44</v>
      </c>
      <c r="E36" s="11" t="s">
        <v>45</v>
      </c>
      <c r="F36" s="11" t="s">
        <v>46</v>
      </c>
      <c r="G36" s="123" t="s">
        <v>47</v>
      </c>
      <c r="H36" s="108"/>
      <c r="I36" s="21">
        <v>5</v>
      </c>
      <c r="J36" s="32">
        <f>расчет!G19</f>
        <v>0</v>
      </c>
      <c r="K36" s="34">
        <f>IF(J36&gt;=12,100,IF(J36&gt;=10,75,IF(J36&gt;=8,50,IF(J36&gt;=6,25,0))))</f>
        <v>0</v>
      </c>
      <c r="L36" s="36">
        <f t="shared" si="0"/>
        <v>0</v>
      </c>
    </row>
    <row r="37" spans="1:12" ht="292.5" x14ac:dyDescent="0.25">
      <c r="A37" s="23" t="s">
        <v>7</v>
      </c>
      <c r="B37" s="9" t="s">
        <v>48</v>
      </c>
      <c r="C37" s="13" t="s">
        <v>49</v>
      </c>
      <c r="D37" s="13" t="s">
        <v>50</v>
      </c>
      <c r="E37" s="13" t="s">
        <v>51</v>
      </c>
      <c r="F37" s="13" t="s">
        <v>210</v>
      </c>
      <c r="G37" s="124" t="s">
        <v>141</v>
      </c>
      <c r="H37" s="125"/>
      <c r="I37" s="21">
        <v>6</v>
      </c>
      <c r="J37" s="32">
        <f>расчет!G23</f>
        <v>0</v>
      </c>
      <c r="K37" s="34">
        <v>75</v>
      </c>
      <c r="L37" s="36">
        <f t="shared" si="0"/>
        <v>4.5</v>
      </c>
    </row>
    <row r="38" spans="1:12" ht="409.5" customHeight="1" x14ac:dyDescent="0.25">
      <c r="A38" s="23" t="s">
        <v>8</v>
      </c>
      <c r="B38" s="9" t="s">
        <v>53</v>
      </c>
      <c r="C38" s="13" t="s">
        <v>54</v>
      </c>
      <c r="D38" s="13" t="s">
        <v>55</v>
      </c>
      <c r="E38" s="13" t="s">
        <v>56</v>
      </c>
      <c r="F38" s="13" t="s">
        <v>211</v>
      </c>
      <c r="G38" s="124" t="s">
        <v>57</v>
      </c>
      <c r="H38" s="125"/>
      <c r="I38" s="21">
        <v>6</v>
      </c>
      <c r="J38" s="32">
        <f>расчет!G27</f>
        <v>0</v>
      </c>
      <c r="K38" s="34">
        <v>100</v>
      </c>
      <c r="L38" s="36">
        <f t="shared" si="0"/>
        <v>6</v>
      </c>
    </row>
    <row r="39" spans="1:12" ht="292.5" x14ac:dyDescent="0.25">
      <c r="A39" s="23" t="s">
        <v>9</v>
      </c>
      <c r="B39" s="9" t="s">
        <v>58</v>
      </c>
      <c r="C39" s="13" t="s">
        <v>59</v>
      </c>
      <c r="D39" s="13" t="s">
        <v>60</v>
      </c>
      <c r="E39" s="13" t="s">
        <v>61</v>
      </c>
      <c r="F39" s="13" t="s">
        <v>212</v>
      </c>
      <c r="G39" s="102" t="s">
        <v>62</v>
      </c>
      <c r="H39" s="103"/>
      <c r="I39" s="21">
        <v>6</v>
      </c>
      <c r="J39" s="32" t="e">
        <f>расчет!#REF!</f>
        <v>#REF!</v>
      </c>
      <c r="K39" s="34">
        <v>100</v>
      </c>
      <c r="L39" s="36">
        <f t="shared" si="0"/>
        <v>6</v>
      </c>
    </row>
    <row r="40" spans="1:12" ht="409.5" x14ac:dyDescent="0.25">
      <c r="A40" s="23" t="s">
        <v>10</v>
      </c>
      <c r="B40" s="9" t="s">
        <v>52</v>
      </c>
      <c r="C40" s="13" t="s">
        <v>63</v>
      </c>
      <c r="D40" s="13" t="s">
        <v>64</v>
      </c>
      <c r="E40" s="13" t="s">
        <v>65</v>
      </c>
      <c r="F40" s="13" t="s">
        <v>66</v>
      </c>
      <c r="G40" s="124" t="s">
        <v>67</v>
      </c>
      <c r="H40" s="125"/>
      <c r="I40" s="21">
        <v>6</v>
      </c>
      <c r="J40" s="32">
        <f>расчет!G30</f>
        <v>2957.6666666666665</v>
      </c>
      <c r="K40" s="34">
        <v>100</v>
      </c>
      <c r="L40" s="36">
        <f t="shared" si="0"/>
        <v>6</v>
      </c>
    </row>
    <row r="41" spans="1:12" ht="31.5" x14ac:dyDescent="0.25">
      <c r="A41" s="23" t="s">
        <v>11</v>
      </c>
      <c r="B41" s="9" t="s">
        <v>138</v>
      </c>
      <c r="C41" s="13" t="s">
        <v>68</v>
      </c>
      <c r="D41" s="14" t="s">
        <v>69</v>
      </c>
      <c r="E41" s="14" t="s">
        <v>70</v>
      </c>
      <c r="F41" s="14" t="s">
        <v>71</v>
      </c>
      <c r="G41" s="137" t="s">
        <v>72</v>
      </c>
      <c r="H41" s="138"/>
      <c r="I41" s="21">
        <v>6</v>
      </c>
      <c r="J41" s="32"/>
      <c r="K41" s="34">
        <v>0</v>
      </c>
      <c r="L41" s="36">
        <f t="shared" si="0"/>
        <v>0</v>
      </c>
    </row>
    <row r="42" spans="1:12" ht="31.5" x14ac:dyDescent="0.25">
      <c r="A42" s="23" t="s">
        <v>12</v>
      </c>
      <c r="B42" s="9" t="s">
        <v>139</v>
      </c>
      <c r="C42" s="13" t="s">
        <v>73</v>
      </c>
      <c r="D42" s="14" t="s">
        <v>74</v>
      </c>
      <c r="E42" s="14" t="s">
        <v>75</v>
      </c>
      <c r="F42" s="14" t="s">
        <v>76</v>
      </c>
      <c r="G42" s="137" t="s">
        <v>77</v>
      </c>
      <c r="H42" s="138"/>
      <c r="I42" s="21">
        <v>3</v>
      </c>
      <c r="J42" s="32"/>
      <c r="K42" s="34">
        <v>0</v>
      </c>
      <c r="L42" s="36">
        <f t="shared" si="0"/>
        <v>0</v>
      </c>
    </row>
    <row r="43" spans="1:12" ht="31.5" x14ac:dyDescent="0.25">
      <c r="A43" s="23" t="s">
        <v>13</v>
      </c>
      <c r="B43" s="9" t="s">
        <v>140</v>
      </c>
      <c r="C43" s="15" t="s">
        <v>73</v>
      </c>
      <c r="D43" s="14" t="s">
        <v>74</v>
      </c>
      <c r="E43" s="14" t="s">
        <v>75</v>
      </c>
      <c r="F43" s="14" t="s">
        <v>76</v>
      </c>
      <c r="G43" s="137" t="s">
        <v>77</v>
      </c>
      <c r="H43" s="138"/>
      <c r="I43" s="21">
        <v>3</v>
      </c>
      <c r="J43" s="32"/>
      <c r="K43" s="34">
        <v>25</v>
      </c>
      <c r="L43" s="36">
        <f t="shared" si="0"/>
        <v>0.75</v>
      </c>
    </row>
    <row r="44" spans="1:12" ht="15.75" customHeight="1" x14ac:dyDescent="0.25">
      <c r="A44" s="119" t="s">
        <v>14</v>
      </c>
      <c r="B44" s="120" t="s">
        <v>78</v>
      </c>
      <c r="C44" s="24" t="s">
        <v>28</v>
      </c>
      <c r="D44" s="24" t="s">
        <v>84</v>
      </c>
      <c r="E44" s="24" t="s">
        <v>85</v>
      </c>
      <c r="F44" s="24" t="s">
        <v>86</v>
      </c>
      <c r="G44" s="24" t="s">
        <v>87</v>
      </c>
      <c r="H44" s="24" t="s">
        <v>32</v>
      </c>
      <c r="I44" s="104">
        <v>4</v>
      </c>
      <c r="J44" s="121"/>
      <c r="K44" s="109">
        <v>100</v>
      </c>
      <c r="L44" s="99">
        <f t="shared" si="0"/>
        <v>4</v>
      </c>
    </row>
    <row r="45" spans="1:12" ht="105.75" customHeight="1" x14ac:dyDescent="0.25">
      <c r="A45" s="119"/>
      <c r="B45" s="120"/>
      <c r="C45" s="13" t="s">
        <v>88</v>
      </c>
      <c r="D45" s="13" t="s">
        <v>89</v>
      </c>
      <c r="E45" s="13" t="s">
        <v>90</v>
      </c>
      <c r="F45" s="13" t="s">
        <v>91</v>
      </c>
      <c r="G45" s="13" t="s">
        <v>92</v>
      </c>
      <c r="H45" s="13" t="s">
        <v>93</v>
      </c>
      <c r="I45" s="106"/>
      <c r="J45" s="122"/>
      <c r="K45" s="110"/>
      <c r="L45" s="101"/>
    </row>
    <row r="46" spans="1:12" ht="15.75" customHeight="1" x14ac:dyDescent="0.25">
      <c r="A46" s="119" t="s">
        <v>15</v>
      </c>
      <c r="B46" s="120" t="s">
        <v>79</v>
      </c>
      <c r="C46" s="24" t="s">
        <v>28</v>
      </c>
      <c r="D46" s="24" t="s">
        <v>84</v>
      </c>
      <c r="E46" s="24" t="s">
        <v>85</v>
      </c>
      <c r="F46" s="24" t="s">
        <v>86</v>
      </c>
      <c r="G46" s="24" t="s">
        <v>87</v>
      </c>
      <c r="H46" s="24" t="s">
        <v>32</v>
      </c>
      <c r="I46" s="104">
        <v>4</v>
      </c>
      <c r="J46" s="117"/>
      <c r="K46" s="109">
        <v>60</v>
      </c>
      <c r="L46" s="99">
        <f t="shared" si="0"/>
        <v>2.4</v>
      </c>
    </row>
    <row r="47" spans="1:12" ht="102.75" customHeight="1" x14ac:dyDescent="0.25">
      <c r="A47" s="119"/>
      <c r="B47" s="120"/>
      <c r="C47" s="30" t="s">
        <v>94</v>
      </c>
      <c r="D47" s="13" t="s">
        <v>95</v>
      </c>
      <c r="E47" s="13" t="s">
        <v>96</v>
      </c>
      <c r="F47" s="13" t="s">
        <v>97</v>
      </c>
      <c r="G47" s="13" t="s">
        <v>98</v>
      </c>
      <c r="H47" s="13" t="s">
        <v>99</v>
      </c>
      <c r="I47" s="106"/>
      <c r="J47" s="118"/>
      <c r="K47" s="110"/>
      <c r="L47" s="101"/>
    </row>
    <row r="48" spans="1:12" ht="15.75" customHeight="1" x14ac:dyDescent="0.25">
      <c r="A48" s="119" t="s">
        <v>16</v>
      </c>
      <c r="B48" s="120" t="s">
        <v>80</v>
      </c>
      <c r="C48" s="24" t="s">
        <v>28</v>
      </c>
      <c r="D48" s="24" t="s">
        <v>84</v>
      </c>
      <c r="E48" s="24" t="s">
        <v>85</v>
      </c>
      <c r="F48" s="24" t="s">
        <v>86</v>
      </c>
      <c r="G48" s="24" t="s">
        <v>87</v>
      </c>
      <c r="H48" s="24" t="s">
        <v>32</v>
      </c>
      <c r="I48" s="104">
        <v>4</v>
      </c>
      <c r="J48" s="117"/>
      <c r="K48" s="109">
        <v>100</v>
      </c>
      <c r="L48" s="99">
        <f t="shared" si="0"/>
        <v>4</v>
      </c>
    </row>
    <row r="49" spans="1:12" ht="164.25" customHeight="1" x14ac:dyDescent="0.25">
      <c r="A49" s="119"/>
      <c r="B49" s="120"/>
      <c r="C49" s="13" t="s">
        <v>100</v>
      </c>
      <c r="D49" s="13" t="s">
        <v>101</v>
      </c>
      <c r="E49" s="13" t="s">
        <v>102</v>
      </c>
      <c r="F49" s="13" t="s">
        <v>103</v>
      </c>
      <c r="G49" s="13" t="s">
        <v>104</v>
      </c>
      <c r="H49" s="13" t="s">
        <v>105</v>
      </c>
      <c r="I49" s="106"/>
      <c r="J49" s="118"/>
      <c r="K49" s="110"/>
      <c r="L49" s="101"/>
    </row>
    <row r="50" spans="1:12" ht="15.75" customHeight="1" x14ac:dyDescent="0.25">
      <c r="A50" s="119" t="s">
        <v>17</v>
      </c>
      <c r="B50" s="120" t="s">
        <v>81</v>
      </c>
      <c r="C50" s="24" t="s">
        <v>28</v>
      </c>
      <c r="D50" s="24" t="s">
        <v>84</v>
      </c>
      <c r="E50" s="24" t="s">
        <v>85</v>
      </c>
      <c r="F50" s="24" t="s">
        <v>86</v>
      </c>
      <c r="G50" s="24" t="s">
        <v>87</v>
      </c>
      <c r="H50" s="24" t="s">
        <v>32</v>
      </c>
      <c r="I50" s="104">
        <v>4</v>
      </c>
      <c r="J50" s="117"/>
      <c r="K50" s="109">
        <v>100</v>
      </c>
      <c r="L50" s="99">
        <f t="shared" si="0"/>
        <v>4</v>
      </c>
    </row>
    <row r="51" spans="1:12" ht="98.25" customHeight="1" x14ac:dyDescent="0.25">
      <c r="A51" s="119"/>
      <c r="B51" s="120"/>
      <c r="C51" s="13" t="s">
        <v>106</v>
      </c>
      <c r="D51" s="13" t="s">
        <v>107</v>
      </c>
      <c r="E51" s="13" t="s">
        <v>108</v>
      </c>
      <c r="F51" s="13" t="s">
        <v>109</v>
      </c>
      <c r="G51" s="13" t="s">
        <v>110</v>
      </c>
      <c r="H51" s="13" t="s">
        <v>111</v>
      </c>
      <c r="I51" s="106"/>
      <c r="J51" s="118"/>
      <c r="K51" s="110"/>
      <c r="L51" s="101"/>
    </row>
    <row r="52" spans="1:12" ht="14.25" customHeight="1" x14ac:dyDescent="0.25">
      <c r="A52" s="119" t="s">
        <v>18</v>
      </c>
      <c r="B52" s="120" t="s">
        <v>82</v>
      </c>
      <c r="C52" s="24" t="s">
        <v>28</v>
      </c>
      <c r="D52" s="24" t="s">
        <v>84</v>
      </c>
      <c r="E52" s="24" t="s">
        <v>85</v>
      </c>
      <c r="F52" s="24" t="s">
        <v>86</v>
      </c>
      <c r="G52" s="24" t="s">
        <v>87</v>
      </c>
      <c r="H52" s="24" t="s">
        <v>32</v>
      </c>
      <c r="I52" s="104">
        <v>4</v>
      </c>
      <c r="J52" s="117"/>
      <c r="K52" s="109">
        <v>100</v>
      </c>
      <c r="L52" s="99">
        <f t="shared" si="0"/>
        <v>4</v>
      </c>
    </row>
    <row r="53" spans="1:12" ht="160.5" customHeight="1" x14ac:dyDescent="0.25">
      <c r="A53" s="119"/>
      <c r="B53" s="120"/>
      <c r="C53" s="13" t="s">
        <v>112</v>
      </c>
      <c r="D53" s="13" t="s">
        <v>113</v>
      </c>
      <c r="E53" s="13" t="s">
        <v>114</v>
      </c>
      <c r="F53" s="13" t="s">
        <v>115</v>
      </c>
      <c r="G53" s="13" t="s">
        <v>116</v>
      </c>
      <c r="H53" s="13" t="s">
        <v>117</v>
      </c>
      <c r="I53" s="106"/>
      <c r="J53" s="118"/>
      <c r="K53" s="110"/>
      <c r="L53" s="101"/>
    </row>
    <row r="54" spans="1:12" ht="15" customHeight="1" x14ac:dyDescent="0.25">
      <c r="A54" s="119" t="s">
        <v>19</v>
      </c>
      <c r="B54" s="120" t="s">
        <v>83</v>
      </c>
      <c r="C54" s="129" t="s">
        <v>28</v>
      </c>
      <c r="D54" s="129"/>
      <c r="E54" s="129" t="s">
        <v>30</v>
      </c>
      <c r="F54" s="129"/>
      <c r="G54" s="129" t="s">
        <v>32</v>
      </c>
      <c r="H54" s="129"/>
      <c r="I54" s="104">
        <v>2</v>
      </c>
      <c r="J54" s="117"/>
      <c r="K54" s="109">
        <v>100</v>
      </c>
      <c r="L54" s="99">
        <f t="shared" si="0"/>
        <v>2</v>
      </c>
    </row>
    <row r="55" spans="1:12" ht="94.5" customHeight="1" x14ac:dyDescent="0.25">
      <c r="A55" s="119"/>
      <c r="B55" s="120"/>
      <c r="C55" s="130" t="s">
        <v>118</v>
      </c>
      <c r="D55" s="130"/>
      <c r="E55" s="130" t="s">
        <v>119</v>
      </c>
      <c r="F55" s="130"/>
      <c r="G55" s="114" t="s">
        <v>120</v>
      </c>
      <c r="H55" s="116"/>
      <c r="I55" s="106"/>
      <c r="J55" s="118"/>
      <c r="K55" s="110"/>
      <c r="L55" s="101"/>
    </row>
    <row r="56" spans="1:12" ht="16.5" customHeight="1" x14ac:dyDescent="0.25">
      <c r="A56" s="119" t="s">
        <v>20</v>
      </c>
      <c r="B56" s="120" t="s">
        <v>121</v>
      </c>
      <c r="C56" s="19" t="s">
        <v>28</v>
      </c>
      <c r="D56" s="19" t="s">
        <v>29</v>
      </c>
      <c r="E56" s="19" t="s">
        <v>30</v>
      </c>
      <c r="F56" s="19" t="s">
        <v>31</v>
      </c>
      <c r="G56" s="131" t="s">
        <v>32</v>
      </c>
      <c r="H56" s="132"/>
      <c r="I56" s="104">
        <v>3</v>
      </c>
      <c r="J56" s="117"/>
      <c r="K56" s="109">
        <v>100</v>
      </c>
      <c r="L56" s="99">
        <f t="shared" si="0"/>
        <v>3</v>
      </c>
    </row>
    <row r="57" spans="1:12" ht="101.25" x14ac:dyDescent="0.25">
      <c r="A57" s="119"/>
      <c r="B57" s="120"/>
      <c r="C57" s="13" t="s">
        <v>125</v>
      </c>
      <c r="D57" s="13" t="s">
        <v>126</v>
      </c>
      <c r="E57" s="13" t="s">
        <v>127</v>
      </c>
      <c r="F57" s="13" t="s">
        <v>128</v>
      </c>
      <c r="G57" s="124" t="s">
        <v>129</v>
      </c>
      <c r="H57" s="125"/>
      <c r="I57" s="106"/>
      <c r="J57" s="118"/>
      <c r="K57" s="110"/>
      <c r="L57" s="101"/>
    </row>
    <row r="58" spans="1:12" ht="15.75" customHeight="1" x14ac:dyDescent="0.25">
      <c r="A58" s="119" t="s">
        <v>21</v>
      </c>
      <c r="B58" s="120" t="s">
        <v>122</v>
      </c>
      <c r="C58" s="19" t="s">
        <v>28</v>
      </c>
      <c r="D58" s="19" t="s">
        <v>29</v>
      </c>
      <c r="E58" s="19" t="s">
        <v>30</v>
      </c>
      <c r="F58" s="19" t="s">
        <v>31</v>
      </c>
      <c r="G58" s="131" t="s">
        <v>32</v>
      </c>
      <c r="H58" s="132"/>
      <c r="I58" s="104">
        <v>3</v>
      </c>
      <c r="J58" s="117"/>
      <c r="K58" s="109">
        <v>100</v>
      </c>
      <c r="L58" s="99">
        <f t="shared" si="0"/>
        <v>3</v>
      </c>
    </row>
    <row r="59" spans="1:12" ht="101.25" x14ac:dyDescent="0.25">
      <c r="A59" s="119"/>
      <c r="B59" s="120"/>
      <c r="C59" s="13" t="s">
        <v>130</v>
      </c>
      <c r="D59" s="13" t="s">
        <v>131</v>
      </c>
      <c r="E59" s="13" t="s">
        <v>132</v>
      </c>
      <c r="F59" s="13" t="s">
        <v>133</v>
      </c>
      <c r="G59" s="124" t="s">
        <v>134</v>
      </c>
      <c r="H59" s="125"/>
      <c r="I59" s="106"/>
      <c r="J59" s="118"/>
      <c r="K59" s="110"/>
      <c r="L59" s="101"/>
    </row>
    <row r="60" spans="1:12" ht="15.75" customHeight="1" x14ac:dyDescent="0.25">
      <c r="A60" s="119" t="s">
        <v>22</v>
      </c>
      <c r="B60" s="120" t="s">
        <v>123</v>
      </c>
      <c r="C60" s="133" t="s">
        <v>28</v>
      </c>
      <c r="D60" s="134"/>
      <c r="E60" s="135"/>
      <c r="F60" s="111" t="s">
        <v>32</v>
      </c>
      <c r="G60" s="112"/>
      <c r="H60" s="113"/>
      <c r="I60" s="104">
        <v>3</v>
      </c>
      <c r="J60" s="117"/>
      <c r="K60" s="109">
        <v>100</v>
      </c>
      <c r="L60" s="99">
        <f t="shared" si="0"/>
        <v>3</v>
      </c>
    </row>
    <row r="61" spans="1:12" ht="64.5" customHeight="1" x14ac:dyDescent="0.25">
      <c r="A61" s="119"/>
      <c r="B61" s="120"/>
      <c r="C61" s="124" t="s">
        <v>135</v>
      </c>
      <c r="D61" s="136"/>
      <c r="E61" s="125"/>
      <c r="F61" s="114" t="s">
        <v>216</v>
      </c>
      <c r="G61" s="115"/>
      <c r="H61" s="116"/>
      <c r="I61" s="106"/>
      <c r="J61" s="118"/>
      <c r="K61" s="110"/>
      <c r="L61" s="101"/>
    </row>
    <row r="62" spans="1:12" ht="15" customHeight="1" x14ac:dyDescent="0.25">
      <c r="A62" s="119" t="s">
        <v>23</v>
      </c>
      <c r="B62" s="120" t="s">
        <v>124</v>
      </c>
      <c r="C62" s="129" t="s">
        <v>28</v>
      </c>
      <c r="D62" s="129"/>
      <c r="E62" s="111" t="s">
        <v>32</v>
      </c>
      <c r="F62" s="112"/>
      <c r="G62" s="112"/>
      <c r="H62" s="113"/>
      <c r="I62" s="104">
        <v>3</v>
      </c>
      <c r="J62" s="117"/>
      <c r="K62" s="109">
        <v>0</v>
      </c>
      <c r="L62" s="99">
        <f t="shared" si="0"/>
        <v>0</v>
      </c>
    </row>
    <row r="63" spans="1:12" ht="56.25" customHeight="1" x14ac:dyDescent="0.25">
      <c r="A63" s="119"/>
      <c r="B63" s="120"/>
      <c r="C63" s="130" t="s">
        <v>136</v>
      </c>
      <c r="D63" s="130"/>
      <c r="E63" s="114" t="s">
        <v>137</v>
      </c>
      <c r="F63" s="115"/>
      <c r="G63" s="115"/>
      <c r="H63" s="116"/>
      <c r="I63" s="106"/>
      <c r="J63" s="118"/>
      <c r="K63" s="110"/>
      <c r="L63" s="101"/>
    </row>
    <row r="64" spans="1:12" x14ac:dyDescent="0.25">
      <c r="A64" s="16"/>
      <c r="B64" s="126"/>
      <c r="C64" s="127"/>
      <c r="D64" s="127"/>
      <c r="E64" s="127"/>
      <c r="F64" s="127"/>
      <c r="G64" s="127"/>
      <c r="H64" s="128"/>
      <c r="I64" s="22">
        <f>SUM(I10:I62)</f>
        <v>100</v>
      </c>
      <c r="J64" s="32"/>
      <c r="K64" s="31">
        <f>SUM(K10:K63)</f>
        <v>1560</v>
      </c>
      <c r="L64" s="36">
        <f>SUM(L10:L63)</f>
        <v>64.150000000000006</v>
      </c>
    </row>
  </sheetData>
  <mergeCells count="136">
    <mergeCell ref="L30:L35"/>
    <mergeCell ref="C2:E2"/>
    <mergeCell ref="C3:E3"/>
    <mergeCell ref="C4:E4"/>
    <mergeCell ref="C5:E5"/>
    <mergeCell ref="C6:E6"/>
    <mergeCell ref="C7:E7"/>
    <mergeCell ref="A30:A35"/>
    <mergeCell ref="B30:B35"/>
    <mergeCell ref="G30:H30"/>
    <mergeCell ref="G31:H31"/>
    <mergeCell ref="G32:H32"/>
    <mergeCell ref="G33:H33"/>
    <mergeCell ref="G34:H34"/>
    <mergeCell ref="I30:I35"/>
    <mergeCell ref="G9:H9"/>
    <mergeCell ref="G15:H15"/>
    <mergeCell ref="G16:H16"/>
    <mergeCell ref="G17:H17"/>
    <mergeCell ref="G23:H23"/>
    <mergeCell ref="G29:H29"/>
    <mergeCell ref="G35:H35"/>
    <mergeCell ref="I10:I15"/>
    <mergeCell ref="L10:L15"/>
    <mergeCell ref="B46:B47"/>
    <mergeCell ref="G38:H38"/>
    <mergeCell ref="G58:H58"/>
    <mergeCell ref="C60:E60"/>
    <mergeCell ref="C61:E61"/>
    <mergeCell ref="G39:H39"/>
    <mergeCell ref="G40:H40"/>
    <mergeCell ref="G41:H41"/>
    <mergeCell ref="G42:H42"/>
    <mergeCell ref="G43:H43"/>
    <mergeCell ref="C55:D55"/>
    <mergeCell ref="E55:F55"/>
    <mergeCell ref="G55:H55"/>
    <mergeCell ref="C54:D54"/>
    <mergeCell ref="E54:F54"/>
    <mergeCell ref="G54:H54"/>
    <mergeCell ref="L48:L49"/>
    <mergeCell ref="G36:H36"/>
    <mergeCell ref="G37:H37"/>
    <mergeCell ref="A54:A55"/>
    <mergeCell ref="B54:B55"/>
    <mergeCell ref="B64:H64"/>
    <mergeCell ref="A56:A57"/>
    <mergeCell ref="B56:B57"/>
    <mergeCell ref="A58:A59"/>
    <mergeCell ref="B58:B59"/>
    <mergeCell ref="A62:A63"/>
    <mergeCell ref="B62:B63"/>
    <mergeCell ref="A60:A61"/>
    <mergeCell ref="C62:D62"/>
    <mergeCell ref="C63:D63"/>
    <mergeCell ref="B60:B61"/>
    <mergeCell ref="G56:H56"/>
    <mergeCell ref="G57:H57"/>
    <mergeCell ref="G59:H59"/>
    <mergeCell ref="E62:H62"/>
    <mergeCell ref="E63:H63"/>
    <mergeCell ref="A44:A45"/>
    <mergeCell ref="B44:B45"/>
    <mergeCell ref="A46:A47"/>
    <mergeCell ref="J54:J55"/>
    <mergeCell ref="L52:L53"/>
    <mergeCell ref="K44:K45"/>
    <mergeCell ref="K46:K47"/>
    <mergeCell ref="K48:K49"/>
    <mergeCell ref="K50:K51"/>
    <mergeCell ref="K52:K53"/>
    <mergeCell ref="A48:A49"/>
    <mergeCell ref="B48:B49"/>
    <mergeCell ref="A50:A51"/>
    <mergeCell ref="B50:B51"/>
    <mergeCell ref="A52:A53"/>
    <mergeCell ref="B52:B53"/>
    <mergeCell ref="I50:I51"/>
    <mergeCell ref="J50:J51"/>
    <mergeCell ref="I52:I53"/>
    <mergeCell ref="J52:J53"/>
    <mergeCell ref="I44:I45"/>
    <mergeCell ref="J44:J45"/>
    <mergeCell ref="I46:I47"/>
    <mergeCell ref="J46:J47"/>
    <mergeCell ref="I48:I49"/>
    <mergeCell ref="J48:J49"/>
    <mergeCell ref="L50:L51"/>
    <mergeCell ref="L18:L23"/>
    <mergeCell ref="L46:L47"/>
    <mergeCell ref="L44:L45"/>
    <mergeCell ref="L60:L61"/>
    <mergeCell ref="K62:K63"/>
    <mergeCell ref="L62:L63"/>
    <mergeCell ref="F60:H60"/>
    <mergeCell ref="F61:H61"/>
    <mergeCell ref="I62:I63"/>
    <mergeCell ref="J62:J63"/>
    <mergeCell ref="K60:K61"/>
    <mergeCell ref="L54:L55"/>
    <mergeCell ref="L56:L57"/>
    <mergeCell ref="K56:K57"/>
    <mergeCell ref="L58:L59"/>
    <mergeCell ref="K58:K59"/>
    <mergeCell ref="K54:K55"/>
    <mergeCell ref="I56:I57"/>
    <mergeCell ref="J56:J57"/>
    <mergeCell ref="I58:I59"/>
    <mergeCell ref="J58:J59"/>
    <mergeCell ref="I60:I61"/>
    <mergeCell ref="J60:J61"/>
    <mergeCell ref="I54:I55"/>
    <mergeCell ref="A10:A15"/>
    <mergeCell ref="B10:B15"/>
    <mergeCell ref="G10:H10"/>
    <mergeCell ref="G11:H11"/>
    <mergeCell ref="G12:H12"/>
    <mergeCell ref="G13:H13"/>
    <mergeCell ref="G14:H14"/>
    <mergeCell ref="L24:L29"/>
    <mergeCell ref="G24:H24"/>
    <mergeCell ref="G25:H25"/>
    <mergeCell ref="G26:H26"/>
    <mergeCell ref="G27:H27"/>
    <mergeCell ref="G28:H28"/>
    <mergeCell ref="I24:I29"/>
    <mergeCell ref="A24:A29"/>
    <mergeCell ref="B24:B29"/>
    <mergeCell ref="A18:A23"/>
    <mergeCell ref="B18:B23"/>
    <mergeCell ref="G18:H18"/>
    <mergeCell ref="G19:H19"/>
    <mergeCell ref="G20:H20"/>
    <mergeCell ref="G21:H21"/>
    <mergeCell ref="G22:H22"/>
    <mergeCell ref="I18:I2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6"/>
  <sheetViews>
    <sheetView workbookViewId="0">
      <selection activeCell="B4" sqref="B4"/>
    </sheetView>
  </sheetViews>
  <sheetFormatPr defaultRowHeight="15.75" x14ac:dyDescent="0.25"/>
  <cols>
    <col min="1" max="1" width="53.5703125" style="4" customWidth="1"/>
    <col min="2" max="2" width="9.140625" style="3"/>
    <col min="3" max="3" width="10.5703125" style="1" customWidth="1"/>
    <col min="4" max="4" width="10.42578125" style="1" customWidth="1"/>
    <col min="5" max="6" width="10.7109375" style="1" customWidth="1"/>
    <col min="7" max="7" width="10.140625" style="1" customWidth="1"/>
    <col min="8" max="16384" width="9.140625" style="1"/>
  </cols>
  <sheetData>
    <row r="3" spans="1:7" x14ac:dyDescent="0.25">
      <c r="A3" s="4" t="s">
        <v>368</v>
      </c>
      <c r="B3" s="3">
        <v>2</v>
      </c>
    </row>
    <row r="4" spans="1:7" x14ac:dyDescent="0.25">
      <c r="A4" s="5"/>
      <c r="B4" s="6" t="s">
        <v>204</v>
      </c>
      <c r="C4" s="28" t="s">
        <v>205</v>
      </c>
      <c r="D4" s="28" t="s">
        <v>206</v>
      </c>
      <c r="E4" s="28" t="s">
        <v>207</v>
      </c>
      <c r="F4" s="28" t="s">
        <v>208</v>
      </c>
      <c r="G4" s="28" t="s">
        <v>209</v>
      </c>
    </row>
    <row r="5" spans="1:7" x14ac:dyDescent="0.25">
      <c r="A5" s="6" t="s">
        <v>203</v>
      </c>
      <c r="B5" s="6">
        <v>1000</v>
      </c>
      <c r="C5" s="8"/>
      <c r="D5" s="8"/>
      <c r="E5" s="8"/>
      <c r="F5" s="8"/>
      <c r="G5" s="8"/>
    </row>
    <row r="6" spans="1:7" x14ac:dyDescent="0.25">
      <c r="A6" s="5" t="s">
        <v>144</v>
      </c>
      <c r="B6" s="6">
        <v>1110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5">
      <c r="A7" s="5" t="s">
        <v>145</v>
      </c>
      <c r="B7" s="6">
        <v>1120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</row>
    <row r="8" spans="1:7" x14ac:dyDescent="0.25">
      <c r="A8" s="5" t="s">
        <v>146</v>
      </c>
      <c r="B8" s="6">
        <v>1130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25">
      <c r="A9" s="5" t="s">
        <v>147</v>
      </c>
      <c r="B9" s="6">
        <v>1140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x14ac:dyDescent="0.25">
      <c r="A10" s="5" t="s">
        <v>148</v>
      </c>
      <c r="B10" s="6">
        <v>1150</v>
      </c>
      <c r="C10" s="29">
        <v>58</v>
      </c>
      <c r="D10" s="29">
        <v>54</v>
      </c>
      <c r="E10" s="29">
        <v>51</v>
      </c>
      <c r="F10" s="29">
        <v>48</v>
      </c>
      <c r="G10" s="29">
        <v>45</v>
      </c>
    </row>
    <row r="11" spans="1:7" x14ac:dyDescent="0.25">
      <c r="A11" s="5" t="s">
        <v>149</v>
      </c>
      <c r="B11" s="6">
        <v>1160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x14ac:dyDescent="0.25">
      <c r="A12" s="5" t="s">
        <v>150</v>
      </c>
      <c r="B12" s="6">
        <v>1170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25">
      <c r="A13" s="5" t="s">
        <v>151</v>
      </c>
      <c r="B13" s="6">
        <v>1180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25">
      <c r="A14" s="5" t="s">
        <v>152</v>
      </c>
      <c r="B14" s="6">
        <v>1190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25">
      <c r="A15" s="25" t="s">
        <v>143</v>
      </c>
      <c r="B15" s="6">
        <v>1100</v>
      </c>
      <c r="C15" s="29">
        <v>58</v>
      </c>
      <c r="D15" s="29">
        <v>54</v>
      </c>
      <c r="E15" s="29">
        <v>51</v>
      </c>
      <c r="F15" s="29">
        <v>48</v>
      </c>
      <c r="G15" s="29">
        <v>45</v>
      </c>
    </row>
    <row r="16" spans="1:7" x14ac:dyDescent="0.25">
      <c r="A16" s="5" t="s">
        <v>154</v>
      </c>
      <c r="B16" s="6">
        <v>1210</v>
      </c>
      <c r="C16" s="29">
        <v>2882</v>
      </c>
      <c r="D16" s="29">
        <v>4909</v>
      </c>
      <c r="E16" s="29">
        <v>6393</v>
      </c>
      <c r="F16" s="29">
        <v>10569</v>
      </c>
      <c r="G16" s="29">
        <v>12395</v>
      </c>
    </row>
    <row r="17" spans="1:7" ht="31.5" x14ac:dyDescent="0.25">
      <c r="A17" s="5" t="s">
        <v>155</v>
      </c>
      <c r="B17" s="6">
        <v>1220</v>
      </c>
      <c r="C17" s="29">
        <v>117</v>
      </c>
      <c r="D17" s="29">
        <v>146</v>
      </c>
      <c r="E17" s="29">
        <v>87</v>
      </c>
      <c r="F17" s="29">
        <v>511</v>
      </c>
      <c r="G17" s="29">
        <v>856</v>
      </c>
    </row>
    <row r="18" spans="1:7" x14ac:dyDescent="0.25">
      <c r="A18" s="5" t="s">
        <v>156</v>
      </c>
      <c r="B18" s="6">
        <v>1230</v>
      </c>
      <c r="C18" s="29">
        <v>3109</v>
      </c>
      <c r="D18" s="29">
        <v>3565</v>
      </c>
      <c r="E18" s="29">
        <v>4166</v>
      </c>
      <c r="F18" s="29">
        <v>6469</v>
      </c>
      <c r="G18" s="29">
        <v>4643</v>
      </c>
    </row>
    <row r="19" spans="1:7" x14ac:dyDescent="0.25">
      <c r="A19" s="5" t="s">
        <v>157</v>
      </c>
      <c r="B19" s="6">
        <v>1240</v>
      </c>
      <c r="C19" s="29">
        <v>1031</v>
      </c>
      <c r="D19" s="29">
        <v>1052</v>
      </c>
      <c r="E19" s="29">
        <v>295</v>
      </c>
      <c r="F19" s="29">
        <v>155</v>
      </c>
      <c r="G19" s="29">
        <v>287</v>
      </c>
    </row>
    <row r="20" spans="1:7" x14ac:dyDescent="0.25">
      <c r="A20" s="5" t="s">
        <v>158</v>
      </c>
      <c r="B20" s="6">
        <v>1250</v>
      </c>
      <c r="C20" s="29">
        <v>24</v>
      </c>
      <c r="D20" s="29">
        <v>9</v>
      </c>
      <c r="E20" s="29">
        <v>25</v>
      </c>
      <c r="F20" s="29">
        <v>26</v>
      </c>
      <c r="G20" s="29">
        <v>273</v>
      </c>
    </row>
    <row r="21" spans="1:7" x14ac:dyDescent="0.25">
      <c r="A21" s="5" t="s">
        <v>159</v>
      </c>
      <c r="B21" s="6">
        <v>1260</v>
      </c>
      <c r="C21" s="29">
        <v>92</v>
      </c>
      <c r="D21" s="29">
        <v>0</v>
      </c>
      <c r="E21" s="29">
        <v>0</v>
      </c>
      <c r="F21" s="29">
        <v>319</v>
      </c>
      <c r="G21" s="29">
        <v>534</v>
      </c>
    </row>
    <row r="22" spans="1:7" x14ac:dyDescent="0.25">
      <c r="A22" s="25" t="s">
        <v>153</v>
      </c>
      <c r="B22" s="6">
        <v>1200</v>
      </c>
      <c r="C22" s="29">
        <v>7254</v>
      </c>
      <c r="D22" s="29">
        <v>9681</v>
      </c>
      <c r="E22" s="29">
        <v>10966</v>
      </c>
      <c r="F22" s="29">
        <v>18049</v>
      </c>
      <c r="G22" s="29">
        <v>18988</v>
      </c>
    </row>
    <row r="23" spans="1:7" x14ac:dyDescent="0.25">
      <c r="A23" s="26" t="s">
        <v>160</v>
      </c>
      <c r="B23" s="6">
        <v>1600</v>
      </c>
      <c r="C23" s="29">
        <v>7312</v>
      </c>
      <c r="D23" s="29">
        <v>9735</v>
      </c>
      <c r="E23" s="29">
        <v>11017</v>
      </c>
      <c r="F23" s="29">
        <v>18097</v>
      </c>
      <c r="G23" s="29">
        <v>19032</v>
      </c>
    </row>
    <row r="24" spans="1:7" x14ac:dyDescent="0.25">
      <c r="A24" s="5" t="s">
        <v>162</v>
      </c>
      <c r="B24" s="6">
        <v>1310</v>
      </c>
      <c r="C24" s="29">
        <v>10</v>
      </c>
      <c r="D24" s="29">
        <v>10</v>
      </c>
      <c r="E24" s="29">
        <v>10</v>
      </c>
      <c r="F24" s="29">
        <v>10</v>
      </c>
      <c r="G24" s="29">
        <v>10</v>
      </c>
    </row>
    <row r="25" spans="1:7" x14ac:dyDescent="0.25">
      <c r="A25" s="5" t="s">
        <v>163</v>
      </c>
      <c r="B25" s="6">
        <v>1320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25">
      <c r="A26" s="5" t="s">
        <v>164</v>
      </c>
      <c r="B26" s="6">
        <v>1340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5">
      <c r="A27" s="5" t="s">
        <v>165</v>
      </c>
      <c r="B27" s="6">
        <v>1350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25">
      <c r="A28" s="5" t="s">
        <v>166</v>
      </c>
      <c r="B28" s="6">
        <v>1360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x14ac:dyDescent="0.25">
      <c r="A29" s="5" t="s">
        <v>167</v>
      </c>
      <c r="B29" s="6">
        <v>1370</v>
      </c>
      <c r="C29" s="29">
        <v>684</v>
      </c>
      <c r="D29" s="29">
        <v>976</v>
      </c>
      <c r="E29" s="29">
        <v>1882</v>
      </c>
      <c r="F29" s="29">
        <v>1883</v>
      </c>
      <c r="G29" s="29">
        <v>2403</v>
      </c>
    </row>
    <row r="30" spans="1:7" x14ac:dyDescent="0.25">
      <c r="A30" s="26" t="s">
        <v>161</v>
      </c>
      <c r="B30" s="6">
        <v>1300</v>
      </c>
      <c r="C30" s="29">
        <v>694</v>
      </c>
      <c r="D30" s="29">
        <v>986</v>
      </c>
      <c r="E30" s="29">
        <v>1892</v>
      </c>
      <c r="F30" s="29">
        <v>1893</v>
      </c>
      <c r="G30" s="29">
        <v>2413</v>
      </c>
    </row>
    <row r="31" spans="1:7" x14ac:dyDescent="0.25">
      <c r="A31" s="5" t="s">
        <v>168</v>
      </c>
      <c r="B31" s="6">
        <v>1410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x14ac:dyDescent="0.25">
      <c r="A32" s="5" t="s">
        <v>169</v>
      </c>
      <c r="B32" s="6">
        <v>1420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</row>
    <row r="33" spans="1:7" x14ac:dyDescent="0.25">
      <c r="A33" s="5" t="s">
        <v>170</v>
      </c>
      <c r="B33" s="6">
        <v>1430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</row>
    <row r="34" spans="1:7" x14ac:dyDescent="0.25">
      <c r="A34" s="5" t="s">
        <v>171</v>
      </c>
      <c r="B34" s="6">
        <v>1450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x14ac:dyDescent="0.25">
      <c r="A35" s="25" t="s">
        <v>172</v>
      </c>
      <c r="B35" s="6">
        <v>1400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x14ac:dyDescent="0.25">
      <c r="A36" s="5" t="s">
        <v>173</v>
      </c>
      <c r="B36" s="6">
        <v>1510</v>
      </c>
      <c r="C36" s="29">
        <v>4694</v>
      </c>
      <c r="D36" s="29">
        <v>5732</v>
      </c>
      <c r="E36" s="29">
        <v>5811</v>
      </c>
      <c r="F36" s="29">
        <v>5970</v>
      </c>
      <c r="G36" s="29">
        <v>6757</v>
      </c>
    </row>
    <row r="37" spans="1:7" x14ac:dyDescent="0.25">
      <c r="A37" s="5" t="s">
        <v>174</v>
      </c>
      <c r="B37" s="6">
        <v>1520</v>
      </c>
      <c r="C37" s="29">
        <v>1924</v>
      </c>
      <c r="D37" s="29">
        <v>3017</v>
      </c>
      <c r="E37" s="29">
        <v>3314</v>
      </c>
      <c r="F37" s="29">
        <v>8433</v>
      </c>
      <c r="G37" s="29">
        <v>8062</v>
      </c>
    </row>
    <row r="38" spans="1:7" x14ac:dyDescent="0.25">
      <c r="A38" s="5" t="s">
        <v>175</v>
      </c>
      <c r="B38" s="6">
        <v>1530</v>
      </c>
      <c r="C38" s="29">
        <v>0</v>
      </c>
      <c r="D38" s="29">
        <v>0</v>
      </c>
      <c r="E38" s="29">
        <v>0</v>
      </c>
      <c r="F38" s="29">
        <v>1800</v>
      </c>
      <c r="G38" s="29">
        <v>1800</v>
      </c>
    </row>
    <row r="39" spans="1:7" x14ac:dyDescent="0.25">
      <c r="A39" s="5" t="s">
        <v>170</v>
      </c>
      <c r="B39" s="6">
        <v>1540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</row>
    <row r="40" spans="1:7" x14ac:dyDescent="0.25">
      <c r="A40" s="5" t="s">
        <v>176</v>
      </c>
      <c r="B40" s="6">
        <v>1550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</row>
    <row r="41" spans="1:7" x14ac:dyDescent="0.25">
      <c r="A41" s="25" t="s">
        <v>177</v>
      </c>
      <c r="B41" s="6">
        <v>1500</v>
      </c>
      <c r="C41" s="29">
        <v>6618</v>
      </c>
      <c r="D41" s="29">
        <v>8749</v>
      </c>
      <c r="E41" s="29">
        <v>9125</v>
      </c>
      <c r="F41" s="29">
        <v>16203</v>
      </c>
      <c r="G41" s="29">
        <v>16619</v>
      </c>
    </row>
    <row r="42" spans="1:7" x14ac:dyDescent="0.25">
      <c r="A42" s="27" t="s">
        <v>178</v>
      </c>
      <c r="B42" s="6">
        <v>1700</v>
      </c>
      <c r="C42" s="29">
        <v>7312</v>
      </c>
      <c r="D42" s="29">
        <v>9735</v>
      </c>
      <c r="E42" s="29">
        <v>11017</v>
      </c>
      <c r="F42" s="29">
        <v>18097</v>
      </c>
      <c r="G42" s="29">
        <v>19032</v>
      </c>
    </row>
    <row r="43" spans="1:7" x14ac:dyDescent="0.25">
      <c r="A43" s="7" t="s">
        <v>179</v>
      </c>
      <c r="B43" s="6">
        <v>2000</v>
      </c>
      <c r="C43" s="29"/>
      <c r="D43" s="29"/>
      <c r="E43" s="29"/>
      <c r="F43" s="29"/>
      <c r="G43" s="29"/>
    </row>
    <row r="44" spans="1:7" x14ac:dyDescent="0.25">
      <c r="A44" s="5" t="s">
        <v>180</v>
      </c>
      <c r="B44" s="6">
        <v>2110</v>
      </c>
      <c r="C44" s="29">
        <v>2826</v>
      </c>
      <c r="D44" s="29">
        <v>7424</v>
      </c>
      <c r="E44" s="29">
        <v>15439</v>
      </c>
      <c r="F44" s="29">
        <v>25356</v>
      </c>
      <c r="G44" s="29">
        <v>8873</v>
      </c>
    </row>
    <row r="45" spans="1:7" x14ac:dyDescent="0.25">
      <c r="A45" s="5" t="s">
        <v>181</v>
      </c>
      <c r="B45" s="6">
        <v>2120</v>
      </c>
      <c r="C45" s="29">
        <v>-2241</v>
      </c>
      <c r="D45" s="29">
        <v>-5885</v>
      </c>
      <c r="E45" s="29">
        <v>-12079</v>
      </c>
      <c r="F45" s="29">
        <v>-19596</v>
      </c>
      <c r="G45" s="29">
        <v>-6744</v>
      </c>
    </row>
    <row r="46" spans="1:7" x14ac:dyDescent="0.25">
      <c r="A46" s="37" t="s">
        <v>182</v>
      </c>
      <c r="B46" s="38">
        <v>2100</v>
      </c>
      <c r="C46" s="29">
        <v>585</v>
      </c>
      <c r="D46" s="29">
        <v>1539</v>
      </c>
      <c r="E46" s="29">
        <v>3360</v>
      </c>
      <c r="F46" s="29">
        <v>5760</v>
      </c>
      <c r="G46" s="29">
        <v>2129</v>
      </c>
    </row>
    <row r="47" spans="1:7" x14ac:dyDescent="0.25">
      <c r="A47" s="5" t="s">
        <v>183</v>
      </c>
      <c r="B47" s="6">
        <v>2210</v>
      </c>
      <c r="C47" s="29">
        <v>-586</v>
      </c>
      <c r="D47" s="29">
        <v>-1253</v>
      </c>
      <c r="E47" s="29">
        <v>-2071</v>
      </c>
      <c r="F47" s="29">
        <v>-4148</v>
      </c>
      <c r="G47" s="29">
        <v>-1570</v>
      </c>
    </row>
    <row r="48" spans="1:7" x14ac:dyDescent="0.25">
      <c r="A48" s="5" t="s">
        <v>184</v>
      </c>
      <c r="B48" s="6">
        <v>2220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</row>
    <row r="49" spans="1:7" x14ac:dyDescent="0.25">
      <c r="A49" s="25" t="s">
        <v>185</v>
      </c>
      <c r="B49" s="6">
        <v>2200</v>
      </c>
      <c r="C49" s="29">
        <v>-1</v>
      </c>
      <c r="D49" s="29">
        <v>286</v>
      </c>
      <c r="E49" s="29">
        <v>1289</v>
      </c>
      <c r="F49" s="29">
        <v>1612</v>
      </c>
      <c r="G49" s="29">
        <v>559</v>
      </c>
    </row>
    <row r="50" spans="1:7" x14ac:dyDescent="0.25">
      <c r="A50" s="5" t="s">
        <v>186</v>
      </c>
      <c r="B50" s="6">
        <v>2310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</row>
    <row r="51" spans="1:7" x14ac:dyDescent="0.25">
      <c r="A51" s="5" t="s">
        <v>187</v>
      </c>
      <c r="B51" s="6">
        <v>2320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</row>
    <row r="52" spans="1:7" x14ac:dyDescent="0.25">
      <c r="A52" s="5" t="s">
        <v>188</v>
      </c>
      <c r="B52" s="6">
        <v>2330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</row>
    <row r="53" spans="1:7" x14ac:dyDescent="0.25">
      <c r="A53" s="5" t="s">
        <v>189</v>
      </c>
      <c r="B53" s="6">
        <v>2340</v>
      </c>
      <c r="C53" s="29">
        <v>20</v>
      </c>
      <c r="D53" s="29">
        <v>63</v>
      </c>
      <c r="E53" s="29">
        <v>114</v>
      </c>
      <c r="F53" s="29">
        <v>182</v>
      </c>
      <c r="G53" s="29">
        <v>62</v>
      </c>
    </row>
    <row r="54" spans="1:7" x14ac:dyDescent="0.25">
      <c r="A54" s="5" t="s">
        <v>190</v>
      </c>
      <c r="B54" s="6">
        <v>2350</v>
      </c>
      <c r="C54" s="29">
        <v>-7</v>
      </c>
      <c r="D54" s="29">
        <v>-16</v>
      </c>
      <c r="E54" s="29">
        <v>-33</v>
      </c>
      <c r="F54" s="29">
        <v>-267</v>
      </c>
      <c r="G54" s="29">
        <v>-41</v>
      </c>
    </row>
    <row r="55" spans="1:7" x14ac:dyDescent="0.25">
      <c r="A55" s="25" t="s">
        <v>191</v>
      </c>
      <c r="B55" s="6">
        <v>2300</v>
      </c>
      <c r="C55" s="29">
        <v>12</v>
      </c>
      <c r="D55" s="29">
        <v>333</v>
      </c>
      <c r="E55" s="29">
        <v>1370</v>
      </c>
      <c r="F55" s="29">
        <v>1527</v>
      </c>
      <c r="G55" s="29">
        <v>580</v>
      </c>
    </row>
    <row r="56" spans="1:7" x14ac:dyDescent="0.25">
      <c r="A56" s="5" t="s">
        <v>192</v>
      </c>
      <c r="B56" s="6">
        <v>2410</v>
      </c>
      <c r="C56" s="29">
        <v>-15</v>
      </c>
      <c r="D56" s="29">
        <v>-41</v>
      </c>
      <c r="E56" s="29">
        <v>-173</v>
      </c>
      <c r="F56" s="29">
        <v>-327</v>
      </c>
      <c r="G56" s="29">
        <v>-58</v>
      </c>
    </row>
    <row r="57" spans="1:7" x14ac:dyDescent="0.25">
      <c r="A57" s="5" t="s">
        <v>193</v>
      </c>
      <c r="B57" s="6">
        <v>2421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</row>
    <row r="58" spans="1:7" x14ac:dyDescent="0.25">
      <c r="A58" s="5" t="s">
        <v>194</v>
      </c>
      <c r="B58" s="6">
        <v>2430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</row>
    <row r="59" spans="1:7" x14ac:dyDescent="0.25">
      <c r="A59" s="5" t="s">
        <v>195</v>
      </c>
      <c r="B59" s="6">
        <v>2450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</row>
    <row r="60" spans="1:7" x14ac:dyDescent="0.25">
      <c r="A60" s="5" t="s">
        <v>196</v>
      </c>
      <c r="B60" s="6">
        <v>2460</v>
      </c>
      <c r="C60" s="29">
        <v>0</v>
      </c>
      <c r="D60" s="29">
        <v>0</v>
      </c>
      <c r="E60" s="29">
        <v>-2</v>
      </c>
      <c r="F60" s="29">
        <v>-4</v>
      </c>
      <c r="G60" s="29">
        <v>-1</v>
      </c>
    </row>
    <row r="61" spans="1:7" x14ac:dyDescent="0.25">
      <c r="A61" s="25" t="s">
        <v>197</v>
      </c>
      <c r="B61" s="6">
        <v>2400</v>
      </c>
      <c r="C61" s="29">
        <v>-3</v>
      </c>
      <c r="D61" s="29">
        <v>292</v>
      </c>
      <c r="E61" s="29">
        <v>1195</v>
      </c>
      <c r="F61" s="29">
        <v>1196</v>
      </c>
      <c r="G61" s="29">
        <v>521</v>
      </c>
    </row>
    <row r="62" spans="1:7" ht="31.5" x14ac:dyDescent="0.25">
      <c r="A62" s="5" t="s">
        <v>198</v>
      </c>
      <c r="B62" s="6">
        <v>2510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</row>
    <row r="63" spans="1:7" ht="31.5" x14ac:dyDescent="0.25">
      <c r="A63" s="5" t="s">
        <v>202</v>
      </c>
      <c r="B63" s="6">
        <v>2520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</row>
    <row r="64" spans="1:7" x14ac:dyDescent="0.25">
      <c r="A64" s="25" t="s">
        <v>199</v>
      </c>
      <c r="B64" s="6">
        <v>2500</v>
      </c>
      <c r="C64" s="29">
        <v>-3</v>
      </c>
      <c r="D64" s="29">
        <v>292</v>
      </c>
      <c r="E64" s="29">
        <v>1195</v>
      </c>
      <c r="F64" s="29">
        <v>1196</v>
      </c>
      <c r="G64" s="29">
        <v>521</v>
      </c>
    </row>
    <row r="65" spans="1:7" x14ac:dyDescent="0.25">
      <c r="A65" s="5" t="s">
        <v>200</v>
      </c>
      <c r="B65" s="6">
        <v>2900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</row>
    <row r="66" spans="1:7" x14ac:dyDescent="0.25">
      <c r="A66" s="5" t="s">
        <v>201</v>
      </c>
      <c r="B66" s="6">
        <v>2910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workbookViewId="0">
      <selection activeCell="K27" sqref="K27"/>
    </sheetView>
  </sheetViews>
  <sheetFormatPr defaultRowHeight="15.75" x14ac:dyDescent="0.25"/>
  <cols>
    <col min="1" max="1" width="47" style="66" customWidth="1"/>
    <col min="2" max="2" width="8.42578125" style="56" customWidth="1"/>
    <col min="3" max="3" width="13.5703125" style="1" customWidth="1"/>
    <col min="4" max="4" width="14.7109375" style="1" customWidth="1"/>
    <col min="5" max="5" width="13.85546875" style="1" customWidth="1"/>
    <col min="6" max="6" width="14" style="1" customWidth="1"/>
    <col min="7" max="7" width="14.5703125" style="1" customWidth="1"/>
    <col min="8" max="16384" width="9.140625" style="1"/>
  </cols>
  <sheetData>
    <row r="2" spans="1:8" x14ac:dyDescent="0.25">
      <c r="A2" s="64"/>
      <c r="B2" s="52"/>
      <c r="C2" s="6" t="str">
        <f>баланс!C4</f>
        <v>1 кв. 2013</v>
      </c>
      <c r="D2" s="6" t="str">
        <f>баланс!D4</f>
        <v>2 кв. 2013</v>
      </c>
      <c r="E2" s="6" t="str">
        <f>баланс!E4</f>
        <v>3 кв. 2013</v>
      </c>
      <c r="F2" s="6" t="str">
        <f>баланс!F4</f>
        <v>4 кв. 2013</v>
      </c>
      <c r="G2" s="6" t="str">
        <f>баланс!G4</f>
        <v>1 кв. 2014</v>
      </c>
      <c r="H2" s="3"/>
    </row>
    <row r="3" spans="1:8" x14ac:dyDescent="0.25">
      <c r="A3" s="49" t="s">
        <v>357</v>
      </c>
      <c r="B3" s="51">
        <v>1</v>
      </c>
      <c r="C3" s="39">
        <f>IF(баланс!B3=1,баланс!C30/баланс!C23*100,0)</f>
        <v>0</v>
      </c>
      <c r="D3" s="39">
        <f>IF(баланс!B3=1,баланс!D30/баланс!D23*100,0)</f>
        <v>0</v>
      </c>
      <c r="E3" s="39">
        <f>IF(баланс!B3=1,баланс!E30/баланс!E23*100,0)</f>
        <v>0</v>
      </c>
      <c r="F3" s="39">
        <f>IF(баланс!B3=1,баланс!F30/баланс!F23*100,0)</f>
        <v>0</v>
      </c>
      <c r="G3" s="39">
        <f>IF(баланс!B3=1,баланс!G30/баланс!G23*100,0)</f>
        <v>0</v>
      </c>
    </row>
    <row r="4" spans="1:8" x14ac:dyDescent="0.25">
      <c r="A4" s="49" t="s">
        <v>357</v>
      </c>
      <c r="B4" s="51">
        <v>2</v>
      </c>
      <c r="C4" s="39">
        <f>IF(баланс!B3=2,баланс!C30/баланс!C23*100,0)</f>
        <v>9.4912472647702408</v>
      </c>
      <c r="D4" s="39">
        <f>IF(баланс!B3=2,баланс!D30/баланс!D23*100,0)</f>
        <v>10.128402670775552</v>
      </c>
      <c r="E4" s="39">
        <f>IF(баланс!B3=2,баланс!E30/баланс!E23*100,0)</f>
        <v>17.173459199419082</v>
      </c>
      <c r="F4" s="39">
        <f>IF(баланс!B3=2,баланс!F30/баланс!F23*100,0)</f>
        <v>10.460297286843122</v>
      </c>
      <c r="G4" s="39">
        <f>IF(баланс!B3=2,баланс!G30/баланс!G23*100,0)</f>
        <v>12.678646490121901</v>
      </c>
    </row>
    <row r="5" spans="1:8" x14ac:dyDescent="0.25">
      <c r="A5" s="49" t="s">
        <v>357</v>
      </c>
      <c r="B5" s="51">
        <v>3</v>
      </c>
      <c r="C5" s="39">
        <f>IF(баланс!B3=3,баланс!C30/баланс!C23*100,0)</f>
        <v>0</v>
      </c>
      <c r="D5" s="39">
        <f>IF(баланс!B3=3,баланс!D30/баланс!D23*100,0)</f>
        <v>0</v>
      </c>
      <c r="E5" s="39">
        <f>IF(баланс!B3=3,баланс!E30/баланс!E23*100,0)</f>
        <v>0</v>
      </c>
      <c r="F5" s="39">
        <f>IF(баланс!B3=3,баланс!F30/баланс!F23*100,0)</f>
        <v>0</v>
      </c>
      <c r="G5" s="39">
        <f>IF(баланс!B3=3,баланс!G30/баланс!G23*100,0)</f>
        <v>0</v>
      </c>
    </row>
    <row r="6" spans="1:8" x14ac:dyDescent="0.25">
      <c r="A6" s="49" t="s">
        <v>357</v>
      </c>
      <c r="B6" s="51">
        <v>4</v>
      </c>
      <c r="C6" s="39">
        <f>IF(баланс!B3=4,баланс!C30/баланс!C23*100,0)</f>
        <v>0</v>
      </c>
      <c r="D6" s="39">
        <f>IF(баланс!B3=4,баланс!D30/баланс!D23*100,0)</f>
        <v>0</v>
      </c>
      <c r="E6" s="39">
        <f>IF(баланс!B3=4,баланс!E30/баланс!E23*100,0)</f>
        <v>0</v>
      </c>
      <c r="F6" s="39">
        <f>IF(баланс!B3=4,баланс!F30/баланс!F23*100,0)</f>
        <v>0</v>
      </c>
      <c r="G6" s="39">
        <f>IF(баланс!B3=4,баланс!G30/баланс!G23*100,0)</f>
        <v>0</v>
      </c>
    </row>
    <row r="7" spans="1:8" x14ac:dyDescent="0.25">
      <c r="A7" s="49" t="s">
        <v>357</v>
      </c>
      <c r="B7" s="51">
        <v>5</v>
      </c>
      <c r="C7" s="39">
        <f>IF(баланс!B3=5,баланс!C30/баланс!C23*100,0)</f>
        <v>0</v>
      </c>
      <c r="D7" s="39">
        <f>IF(баланс!B3=5,баланс!D30/баланс!D23*100,0)</f>
        <v>0</v>
      </c>
      <c r="E7" s="39">
        <f>IF(баланс!B3=5,баланс!E30/баланс!E23*100,0)</f>
        <v>0</v>
      </c>
      <c r="F7" s="39">
        <f>IF(баланс!B3=5,баланс!F30/баланс!F23*100,0)</f>
        <v>0</v>
      </c>
      <c r="G7" s="39">
        <f>IF(баланс!B3=5,баланс!G30/баланс!G23*100,0)</f>
        <v>0</v>
      </c>
    </row>
    <row r="8" spans="1:8" x14ac:dyDescent="0.25">
      <c r="A8" s="49" t="s">
        <v>357</v>
      </c>
      <c r="B8" s="51">
        <v>6</v>
      </c>
      <c r="C8" s="39">
        <f>IF(баланс!B3=6,баланс!C30/баланс!C23*100,0)</f>
        <v>0</v>
      </c>
      <c r="D8" s="39">
        <f>IF(баланс!B3=6,баланс!D30/баланс!D23*100,0)</f>
        <v>0</v>
      </c>
      <c r="E8" s="39">
        <f>IF(баланс!B3=6,баланс!E30/баланс!E23*100,0)</f>
        <v>0</v>
      </c>
      <c r="F8" s="39">
        <f>IF(баланс!B3=6,баланс!F30/баланс!F23*100,0)</f>
        <v>0</v>
      </c>
      <c r="G8" s="39">
        <f>IF(баланс!B3=6,баланс!G30/баланс!G23*100,0)</f>
        <v>0</v>
      </c>
    </row>
    <row r="9" spans="1:8" x14ac:dyDescent="0.25">
      <c r="A9" s="57" t="s">
        <v>358</v>
      </c>
      <c r="B9" s="53"/>
      <c r="C9" s="40">
        <f>(баланс!C30-баланс!C15)/баланс!C22</f>
        <v>8.7675765095119929E-2</v>
      </c>
      <c r="D9" s="40">
        <f>(баланс!D30-баланс!D15)/баланс!D22</f>
        <v>9.6271046379506245E-2</v>
      </c>
      <c r="E9" s="40">
        <f>(баланс!E30-баланс!E15)/баланс!E22</f>
        <v>0.16788254605143169</v>
      </c>
      <c r="F9" s="40">
        <f>(баланс!F30-баланс!F15)/баланс!F22</f>
        <v>0.10222172973571943</v>
      </c>
      <c r="G9" s="40">
        <f>(баланс!G30-баланс!G15)/баланс!G22</f>
        <v>0.12471034337476301</v>
      </c>
    </row>
    <row r="10" spans="1:8" x14ac:dyDescent="0.25">
      <c r="A10" s="58" t="s">
        <v>359</v>
      </c>
      <c r="B10" s="54"/>
      <c r="C10" s="41">
        <f>(баланс!C41-баланс!C38+баланс!C35)/(баланс!C44/3*12)</f>
        <v>0.58545647558386416</v>
      </c>
      <c r="D10" s="41">
        <f>(баланс!D41-баланс!D38+баланс!D35)/(баланс!D44/6*12)</f>
        <v>0.58923760775862066</v>
      </c>
      <c r="E10" s="41">
        <f>(баланс!E41-баланс!E38+баланс!E35)/(баланс!E44/9*12)</f>
        <v>0.44327676662996313</v>
      </c>
      <c r="F10" s="41">
        <f>(баланс!F41-баланс!F38+баланс!F35)/(баланс!F44/12*12)</f>
        <v>0.56803123521060106</v>
      </c>
      <c r="G10" s="41">
        <f>(баланс!G41-баланс!G38+баланс!G35)/(баланс!G44/3*12)</f>
        <v>0.41753071114617379</v>
      </c>
    </row>
    <row r="11" spans="1:8" x14ac:dyDescent="0.25">
      <c r="A11" s="59" t="s">
        <v>360</v>
      </c>
      <c r="B11" s="55">
        <f>B3</f>
        <v>1</v>
      </c>
      <c r="C11" s="42">
        <f>IF(баланс!B3=1,баланс!C61/баланс!C23*100,0)</f>
        <v>0</v>
      </c>
      <c r="D11" s="42">
        <f>IF(баланс!B3=1,баланс!D61/баланс!D23*100,0)</f>
        <v>0</v>
      </c>
      <c r="E11" s="42">
        <f>IF(баланс!B3=1,баланс!E61/баланс!E23*100,0)</f>
        <v>0</v>
      </c>
      <c r="F11" s="42">
        <f>IF(баланс!B3=1,баланс!F61/баланс!F23*100,0)</f>
        <v>0</v>
      </c>
      <c r="G11" s="42">
        <f>IF(баланс!B3=1,баланс!G61/баланс!G23*100,0)</f>
        <v>0</v>
      </c>
    </row>
    <row r="12" spans="1:8" x14ac:dyDescent="0.25">
      <c r="A12" s="59" t="s">
        <v>360</v>
      </c>
      <c r="B12" s="55">
        <f t="shared" ref="B12:B16" si="0">B4</f>
        <v>2</v>
      </c>
      <c r="C12" s="42">
        <f>IF(баланс!B3=2,баланс!C61/баланс!C23*100,0)</f>
        <v>-4.1028446389496716E-2</v>
      </c>
      <c r="D12" s="42">
        <f>IF(баланс!B3=2,баланс!D61/баланс!D23*100,0)</f>
        <v>2.9994863893168975</v>
      </c>
      <c r="E12" s="42">
        <f>IF(баланс!B3=2,баланс!E61/баланс!E23*100,0)</f>
        <v>10.846873014432241</v>
      </c>
      <c r="F12" s="42">
        <f>IF(баланс!B3=2,баланс!F61/баланс!F23*100,0)</f>
        <v>6.6088301928496431</v>
      </c>
      <c r="G12" s="42">
        <f>IF(баланс!B3=2,баланс!G61/баланс!G23*100,0)</f>
        <v>2.7374947456914671</v>
      </c>
    </row>
    <row r="13" spans="1:8" x14ac:dyDescent="0.25">
      <c r="A13" s="59" t="s">
        <v>360</v>
      </c>
      <c r="B13" s="55">
        <f t="shared" si="0"/>
        <v>3</v>
      </c>
      <c r="C13" s="42">
        <f>IF(баланс!B3=3,баланс!C61/баланс!C23*100,0)</f>
        <v>0</v>
      </c>
      <c r="D13" s="42">
        <f>IF(баланс!B3=3,баланс!D61/баланс!D23*100,0)</f>
        <v>0</v>
      </c>
      <c r="E13" s="42">
        <f>IF(баланс!B3=3,баланс!E61/баланс!E23*100,0)</f>
        <v>0</v>
      </c>
      <c r="F13" s="42">
        <f>IF(баланс!B3=3,баланс!F61/баланс!F23*100,0)</f>
        <v>0</v>
      </c>
      <c r="G13" s="42">
        <f>IF(баланс!B3=3,баланс!G61/баланс!G23*100,0)</f>
        <v>0</v>
      </c>
    </row>
    <row r="14" spans="1:8" x14ac:dyDescent="0.25">
      <c r="A14" s="59" t="s">
        <v>360</v>
      </c>
      <c r="B14" s="55">
        <f t="shared" si="0"/>
        <v>4</v>
      </c>
      <c r="C14" s="42">
        <f>IF(баланс!B3=4,баланс!C61/баланс!C23*100,0)</f>
        <v>0</v>
      </c>
      <c r="D14" s="42">
        <f>IF(баланс!B3=4,баланс!D61/баланс!D23*100,0)</f>
        <v>0</v>
      </c>
      <c r="E14" s="42">
        <f>IF(баланс!B3=4,баланс!E61/баланс!E23*100,0)</f>
        <v>0</v>
      </c>
      <c r="F14" s="42">
        <f>IF(баланс!B3=4,баланс!F61/баланс!F23*100,0)</f>
        <v>0</v>
      </c>
      <c r="G14" s="42">
        <f>IF(баланс!B3=4,баланс!G61/баланс!G23*100,0)</f>
        <v>0</v>
      </c>
    </row>
    <row r="15" spans="1:8" x14ac:dyDescent="0.25">
      <c r="A15" s="59" t="s">
        <v>360</v>
      </c>
      <c r="B15" s="55">
        <f t="shared" si="0"/>
        <v>5</v>
      </c>
      <c r="C15" s="42">
        <f>IF(баланс!B3=5,баланс!C61/баланс!C23*100,0)</f>
        <v>0</v>
      </c>
      <c r="D15" s="42">
        <f>IF(баланс!B3=5,баланс!D61/баланс!D23*100,0)</f>
        <v>0</v>
      </c>
      <c r="E15" s="42">
        <f>IF(баланс!B3=5,баланс!E61/баланс!E23*100,0)</f>
        <v>0</v>
      </c>
      <c r="F15" s="42">
        <f>IF(баланс!B3=5,баланс!F61/баланс!F23*100,0)</f>
        <v>0</v>
      </c>
      <c r="G15" s="42">
        <f>IF(баланс!B3=5,баланс!G61/баланс!G23*100,0)</f>
        <v>0</v>
      </c>
    </row>
    <row r="16" spans="1:8" x14ac:dyDescent="0.25">
      <c r="A16" s="59" t="s">
        <v>360</v>
      </c>
      <c r="B16" s="55">
        <f t="shared" si="0"/>
        <v>6</v>
      </c>
      <c r="C16" s="42">
        <f>IF(баланс!B3=6,баланс!C61/баланс!C23*100,0)</f>
        <v>0</v>
      </c>
      <c r="D16" s="42">
        <f>IF(баланс!B3=6,баланс!D61/баланс!D23*100,0)</f>
        <v>0</v>
      </c>
      <c r="E16" s="42">
        <f>IF(баланс!B3=6,баланс!E61/баланс!E23*100,0)</f>
        <v>0</v>
      </c>
      <c r="F16" s="42">
        <f>IF(баланс!B3=6,баланс!F61/баланс!F23*100,0)</f>
        <v>0</v>
      </c>
      <c r="G16" s="42">
        <f>IF(баланс!B3=6,баланс!G61/баланс!G23*100,0)</f>
        <v>0</v>
      </c>
    </row>
    <row r="17" spans="1:7" x14ac:dyDescent="0.25">
      <c r="A17" s="60" t="s">
        <v>361</v>
      </c>
      <c r="B17" s="55">
        <f>B11</f>
        <v>1</v>
      </c>
      <c r="C17" s="43">
        <f>IF(баланс!B3=1,баланс!C22/баланс!C41*100,0)</f>
        <v>0</v>
      </c>
      <c r="D17" s="43">
        <f>IF(баланс!B3=1,баланс!D22/баланс!D41*100,0)</f>
        <v>0</v>
      </c>
      <c r="E17" s="43">
        <f>IF(баланс!B3=1,баланс!E22/баланс!E41*100,0)</f>
        <v>0</v>
      </c>
      <c r="F17" s="43">
        <f>IF(баланс!B3=1,баланс!F22/баланс!F41*100,0)</f>
        <v>0</v>
      </c>
      <c r="G17" s="43">
        <f>IF(баланс!B3=1,баланс!G22/баланс!G41*100,0)</f>
        <v>0</v>
      </c>
    </row>
    <row r="18" spans="1:7" x14ac:dyDescent="0.25">
      <c r="A18" s="60" t="s">
        <v>361</v>
      </c>
      <c r="B18" s="55">
        <f t="shared" ref="B18:B28" si="1">B12</f>
        <v>2</v>
      </c>
      <c r="C18" s="43">
        <f>IF(баланс!B3=2,баланс!C22/баланс!C41*100,0)</f>
        <v>109.61015412511333</v>
      </c>
      <c r="D18" s="43">
        <f>IF(баланс!B3=2,баланс!D22/баланс!D41*100,0)</f>
        <v>110.65264601668763</v>
      </c>
      <c r="E18" s="43">
        <f>IF(баланс!B3=2,баланс!E22/баланс!E41*100,0)</f>
        <v>120.17534246575343</v>
      </c>
      <c r="F18" s="43">
        <f>IF(баланс!B3=2,баланс!F22/баланс!F41*100,0)</f>
        <v>111.39295192248349</v>
      </c>
      <c r="G18" s="43">
        <f>IF(баланс!B3=2,баланс!G22/баланс!G41*100,0)</f>
        <v>114.25476863830555</v>
      </c>
    </row>
    <row r="19" spans="1:7" x14ac:dyDescent="0.25">
      <c r="A19" s="60" t="s">
        <v>361</v>
      </c>
      <c r="B19" s="55">
        <f t="shared" si="1"/>
        <v>3</v>
      </c>
      <c r="C19" s="43">
        <f>IF(баланс!B3=3,баланс!C22/баланс!C41*100,0)</f>
        <v>0</v>
      </c>
      <c r="D19" s="43">
        <f>IF(баланс!B3=3,баланс!D22/баланс!D41*100,0)</f>
        <v>0</v>
      </c>
      <c r="E19" s="43">
        <f>IF(баланс!B3=3,баланс!E22/баланс!E41*100,0)</f>
        <v>0</v>
      </c>
      <c r="F19" s="43">
        <f>IF(баланс!B3=3,баланс!F22/баланс!F41*100,0)</f>
        <v>0</v>
      </c>
      <c r="G19" s="43">
        <f>IF(баланс!B3=3,баланс!G22/баланс!G41*100,0)</f>
        <v>0</v>
      </c>
    </row>
    <row r="20" spans="1:7" x14ac:dyDescent="0.25">
      <c r="A20" s="60" t="s">
        <v>361</v>
      </c>
      <c r="B20" s="55">
        <f t="shared" si="1"/>
        <v>4</v>
      </c>
      <c r="C20" s="43">
        <f>IF(баланс!B3=4,баланс!C22/баланс!C41*100,0)</f>
        <v>0</v>
      </c>
      <c r="D20" s="43">
        <f>IF(баланс!B3=4,баланс!D22/баланс!D41*100,0)</f>
        <v>0</v>
      </c>
      <c r="E20" s="43">
        <f>IF(баланс!B3=4,баланс!E22/баланс!E41*100,0)</f>
        <v>0</v>
      </c>
      <c r="F20" s="43">
        <f>IF(баланс!B3=4,баланс!F22/баланс!F41*100,0)</f>
        <v>0</v>
      </c>
      <c r="G20" s="43">
        <f>IF(баланс!B3=4,баланс!G22/баланс!G41*100,0)</f>
        <v>0</v>
      </c>
    </row>
    <row r="21" spans="1:7" x14ac:dyDescent="0.25">
      <c r="A21" s="60" t="s">
        <v>361</v>
      </c>
      <c r="B21" s="55">
        <f t="shared" si="1"/>
        <v>5</v>
      </c>
      <c r="C21" s="43">
        <f>IF(баланс!B3=5,баланс!C22/баланс!C41*100,0)</f>
        <v>0</v>
      </c>
      <c r="D21" s="43">
        <f>IF(баланс!B3=5,баланс!D22/баланс!D41*100,0)</f>
        <v>0</v>
      </c>
      <c r="E21" s="43">
        <f>IF(баланс!B3=5,баланс!E22/баланс!E41*100,0)</f>
        <v>0</v>
      </c>
      <c r="F21" s="43">
        <f>IF(баланс!B3=5,баланс!F22/баланс!F41*100,0)</f>
        <v>0</v>
      </c>
      <c r="G21" s="43">
        <f>IF(баланс!B3=5,баланс!G22/баланс!G41*100,0)</f>
        <v>0</v>
      </c>
    </row>
    <row r="22" spans="1:7" x14ac:dyDescent="0.25">
      <c r="A22" s="60" t="s">
        <v>361</v>
      </c>
      <c r="B22" s="55">
        <f t="shared" si="1"/>
        <v>6</v>
      </c>
      <c r="C22" s="43">
        <f>IF(баланс!B3=6,баланс!C22/баланс!C41*100,0)</f>
        <v>0</v>
      </c>
      <c r="D22" s="43">
        <f>IF(баланс!B3=6,баланс!D22/баланс!D41*100,0)</f>
        <v>0</v>
      </c>
      <c r="E22" s="43">
        <f>IF(баланс!B3=6,баланс!E22/баланс!E41*100,0)</f>
        <v>0</v>
      </c>
      <c r="F22" s="43">
        <f>IF(баланс!B3=6,баланс!F22/баланс!F41*100,0)</f>
        <v>0</v>
      </c>
      <c r="G22" s="43">
        <f>IF(баланс!B3=6,баланс!G22/баланс!G41*100,0)</f>
        <v>0</v>
      </c>
    </row>
    <row r="23" spans="1:7" x14ac:dyDescent="0.25">
      <c r="A23" s="59" t="s">
        <v>362</v>
      </c>
      <c r="B23" s="55">
        <f>B17</f>
        <v>1</v>
      </c>
      <c r="C23" s="42">
        <f>IF(баланс!B3=1,баланс!C49/баланс!C44*100,0)</f>
        <v>0</v>
      </c>
      <c r="D23" s="42">
        <f>IF(баланс!B3=1,баланс!D49/баланс!D44*100,0)</f>
        <v>0</v>
      </c>
      <c r="E23" s="42">
        <f>IF(баланс!B3=1,баланс!E49/баланс!E44*100,0)</f>
        <v>0</v>
      </c>
      <c r="F23" s="42">
        <f>IF(баланс!B3=1,баланс!F49/баланс!F44*100,0)</f>
        <v>0</v>
      </c>
      <c r="G23" s="42">
        <f>IF(баланс!B3=1,баланс!G49/баланс!G44*100,0)</f>
        <v>0</v>
      </c>
    </row>
    <row r="24" spans="1:7" x14ac:dyDescent="0.25">
      <c r="A24" s="59" t="s">
        <v>362</v>
      </c>
      <c r="B24" s="55">
        <f t="shared" si="1"/>
        <v>2</v>
      </c>
      <c r="C24" s="42">
        <f>IF(баланс!B3=2,баланс!C49/баланс!C44*100,0)</f>
        <v>-3.5385704175513094E-2</v>
      </c>
      <c r="D24" s="42">
        <f>IF(баланс!B3=2,баланс!D49/баланс!D44*100,0)</f>
        <v>3.8523706896551726</v>
      </c>
      <c r="E24" s="42">
        <f>IF(баланс!B3=2,баланс!E49/баланс!E44*100,0)</f>
        <v>8.3489863333117427</v>
      </c>
      <c r="F24" s="42">
        <f>IF(баланс!B3=2,баланс!F49/баланс!F44*100,0)</f>
        <v>6.3574696324341371</v>
      </c>
      <c r="G24" s="42">
        <f>IF(баланс!B3=2,баланс!G49/баланс!G44*100,0)</f>
        <v>6.3000112701453848</v>
      </c>
    </row>
    <row r="25" spans="1:7" x14ac:dyDescent="0.25">
      <c r="A25" s="59" t="s">
        <v>362</v>
      </c>
      <c r="B25" s="55">
        <f t="shared" si="1"/>
        <v>3</v>
      </c>
      <c r="C25" s="42">
        <f>IF(баланс!B3=3,баланс!C49/баланс!C44*100,0)</f>
        <v>0</v>
      </c>
      <c r="D25" s="42">
        <f>IF(баланс!B3=3,баланс!D49/баланс!D44*100,0)</f>
        <v>0</v>
      </c>
      <c r="E25" s="42">
        <f>IF(баланс!B3=3,баланс!E49/баланс!E44*100,0)</f>
        <v>0</v>
      </c>
      <c r="F25" s="42">
        <f>IF(баланс!B3=3,баланс!F49/баланс!F44*100,0)</f>
        <v>0</v>
      </c>
      <c r="G25" s="42">
        <f>IF(баланс!B3=3,баланс!G49/баланс!G44*100,0)</f>
        <v>0</v>
      </c>
    </row>
    <row r="26" spans="1:7" x14ac:dyDescent="0.25">
      <c r="A26" s="59" t="s">
        <v>362</v>
      </c>
      <c r="B26" s="55">
        <f t="shared" si="1"/>
        <v>4</v>
      </c>
      <c r="C26" s="42">
        <f>IF(баланс!B3=4,баланс!C49/баланс!C44*100,0)</f>
        <v>0</v>
      </c>
      <c r="D26" s="42">
        <f>IF(баланс!B3=4,баланс!D49/баланс!D44*100,0)</f>
        <v>0</v>
      </c>
      <c r="E26" s="42">
        <f>IF(баланс!B3=4,баланс!E49/баланс!E44*100,0)</f>
        <v>0</v>
      </c>
      <c r="F26" s="42">
        <f>IF(баланс!B3=4,баланс!F49/баланс!F44*100,0)</f>
        <v>0</v>
      </c>
      <c r="G26" s="42">
        <f>IF(баланс!B3=4,баланс!G49/баланс!G44*100,0)</f>
        <v>0</v>
      </c>
    </row>
    <row r="27" spans="1:7" x14ac:dyDescent="0.25">
      <c r="A27" s="59" t="s">
        <v>362</v>
      </c>
      <c r="B27" s="55">
        <f t="shared" si="1"/>
        <v>5</v>
      </c>
      <c r="C27" s="42">
        <f>IF(баланс!B3=5,баланс!C49/баланс!C44*100,0)</f>
        <v>0</v>
      </c>
      <c r="D27" s="42">
        <f>IF(баланс!B3=5,баланс!D49/баланс!D44*100,0)</f>
        <v>0</v>
      </c>
      <c r="E27" s="42">
        <f>IF(баланс!B3=5,баланс!E49/баланс!E44*100,0)</f>
        <v>0</v>
      </c>
      <c r="F27" s="42">
        <f>IF(баланс!B3=5,баланс!F49/баланс!F44*100,0)</f>
        <v>0</v>
      </c>
      <c r="G27" s="42">
        <f>IF(баланс!B3=5,баланс!G49/баланс!G44*100,0)</f>
        <v>0</v>
      </c>
    </row>
    <row r="28" spans="1:7" x14ac:dyDescent="0.25">
      <c r="A28" s="59" t="s">
        <v>362</v>
      </c>
      <c r="B28" s="55">
        <f t="shared" si="1"/>
        <v>6</v>
      </c>
      <c r="C28" s="42">
        <f>IF(баланс!B3=6,баланс!C49/баланс!C44*100,0)</f>
        <v>0</v>
      </c>
      <c r="D28" s="42">
        <f>IF(баланс!B3=6,баланс!D49/баланс!D44*100,0)</f>
        <v>0</v>
      </c>
      <c r="E28" s="42">
        <f>IF(баланс!B3=6,баланс!E49/баланс!E44*100,0)</f>
        <v>0</v>
      </c>
      <c r="F28" s="42">
        <f>IF(баланс!B3=6,баланс!F49/баланс!F44*100,0)</f>
        <v>0</v>
      </c>
      <c r="G28" s="42">
        <f>IF(баланс!B3=6,баланс!G49/баланс!G44*100,0)</f>
        <v>0</v>
      </c>
    </row>
    <row r="29" spans="1:7" x14ac:dyDescent="0.25">
      <c r="A29" s="61" t="s">
        <v>363</v>
      </c>
      <c r="B29" s="55"/>
      <c r="C29" s="44">
        <f>баланс!C61/баланс!C30*100</f>
        <v>-0.43227665706051877</v>
      </c>
      <c r="D29" s="44">
        <f>баланс!D61/баланс!D30*100</f>
        <v>29.614604462474649</v>
      </c>
      <c r="E29" s="44">
        <f>баланс!E61/баланс!E30*100</f>
        <v>63.160676532769557</v>
      </c>
      <c r="F29" s="44">
        <f>баланс!F61/баланс!F30*100</f>
        <v>63.180137348124667</v>
      </c>
      <c r="G29" s="44">
        <f>баланс!G61/баланс!G30*100</f>
        <v>21.591380024865316</v>
      </c>
    </row>
    <row r="30" spans="1:7" x14ac:dyDescent="0.25">
      <c r="A30" s="57" t="s">
        <v>364</v>
      </c>
      <c r="B30" s="55"/>
      <c r="C30" s="67">
        <f>баланс!C44/3</f>
        <v>942</v>
      </c>
      <c r="D30" s="67">
        <f>(баланс!D44-баланс!C44)/3</f>
        <v>1532.6666666666667</v>
      </c>
      <c r="E30" s="67">
        <f>(баланс!E44-баланс!D44)/3</f>
        <v>2671.6666666666665</v>
      </c>
      <c r="F30" s="67">
        <f>(баланс!F44-баланс!E44)/3</f>
        <v>3305.6666666666665</v>
      </c>
      <c r="G30" s="67">
        <f>баланс!G44/3</f>
        <v>2957.6666666666665</v>
      </c>
    </row>
    <row r="31" spans="1:7" x14ac:dyDescent="0.25">
      <c r="A31" s="62" t="s">
        <v>365</v>
      </c>
      <c r="B31" s="55"/>
      <c r="C31" s="68">
        <f>баланс!C61/3</f>
        <v>-1</v>
      </c>
      <c r="D31" s="68">
        <f>(баланс!D61-баланс!C61)/3</f>
        <v>98.333333333333329</v>
      </c>
      <c r="E31" s="68">
        <f>(баланс!E61-баланс!D61)/3</f>
        <v>301</v>
      </c>
      <c r="F31" s="68">
        <f>(баланс!F61-баланс!E61)/3</f>
        <v>0.33333333333333331</v>
      </c>
      <c r="G31" s="68">
        <f>баланс!G61/3</f>
        <v>173.66666666666666</v>
      </c>
    </row>
    <row r="32" spans="1:7" x14ac:dyDescent="0.25">
      <c r="A32" s="63" t="s">
        <v>366</v>
      </c>
      <c r="B32" s="55"/>
      <c r="C32" s="69">
        <f>баланс!C23-(баланс!C35+баланс!C41-баланс!C38)</f>
        <v>694</v>
      </c>
      <c r="D32" s="69">
        <f>баланс!D23-(баланс!D35+баланс!D41-баланс!D38)</f>
        <v>986</v>
      </c>
      <c r="E32" s="69">
        <f>баланс!E23-(баланс!E35+баланс!E41-баланс!E38)</f>
        <v>1892</v>
      </c>
      <c r="F32" s="69">
        <f>баланс!F23-(баланс!F35+баланс!F41-баланс!F38)</f>
        <v>3694</v>
      </c>
      <c r="G32" s="69">
        <f>баланс!G23-(баланс!G35+баланс!G41-баланс!G38)</f>
        <v>4213</v>
      </c>
    </row>
    <row r="33" spans="1:7" x14ac:dyDescent="0.25">
      <c r="A33" s="65" t="s">
        <v>52</v>
      </c>
      <c r="B33" s="55"/>
      <c r="C33" s="70">
        <f>баланс!C42</f>
        <v>7312</v>
      </c>
      <c r="D33" s="70">
        <f>баланс!D42</f>
        <v>9735</v>
      </c>
      <c r="E33" s="70">
        <f>баланс!E42</f>
        <v>11017</v>
      </c>
      <c r="F33" s="70">
        <f>баланс!F42</f>
        <v>18097</v>
      </c>
      <c r="G33" s="70">
        <f>баланс!G42</f>
        <v>19032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6"/>
  <sheetViews>
    <sheetView tabSelected="1" workbookViewId="0">
      <selection activeCell="F25" sqref="F25"/>
    </sheetView>
  </sheetViews>
  <sheetFormatPr defaultRowHeight="15.75" x14ac:dyDescent="0.25"/>
  <cols>
    <col min="1" max="1" width="9.140625" style="1"/>
    <col min="2" max="2" width="32" style="1" customWidth="1"/>
    <col min="3" max="3" width="38.140625" style="1" customWidth="1"/>
    <col min="4" max="4" width="5.28515625" style="1" customWidth="1"/>
    <col min="5" max="5" width="34.42578125" style="1" customWidth="1"/>
    <col min="6" max="6" width="36.7109375" style="1" customWidth="1"/>
    <col min="7" max="16384" width="9.140625" style="1"/>
  </cols>
  <sheetData>
    <row r="3" spans="2:6" ht="39.75" customHeight="1" x14ac:dyDescent="0.25">
      <c r="B3" s="140" t="s">
        <v>225</v>
      </c>
      <c r="C3" s="140"/>
      <c r="D3" s="147" t="s">
        <v>373</v>
      </c>
      <c r="E3" s="148"/>
      <c r="F3" s="149"/>
    </row>
    <row r="4" spans="2:6" ht="31.5" customHeight="1" x14ac:dyDescent="0.25">
      <c r="B4" s="87" t="s">
        <v>217</v>
      </c>
      <c r="C4" s="87" t="s">
        <v>218</v>
      </c>
      <c r="D4" s="150" t="s">
        <v>374</v>
      </c>
      <c r="E4" s="151"/>
      <c r="F4" s="152"/>
    </row>
    <row r="5" spans="2:6" x14ac:dyDescent="0.25">
      <c r="B5" s="84" t="s">
        <v>219</v>
      </c>
      <c r="C5" s="84" t="s">
        <v>220</v>
      </c>
      <c r="D5" s="84">
        <v>1</v>
      </c>
      <c r="E5" s="84" t="s">
        <v>219</v>
      </c>
      <c r="F5" s="140">
        <v>1</v>
      </c>
    </row>
    <row r="6" spans="2:6" x14ac:dyDescent="0.25">
      <c r="B6" s="84" t="s">
        <v>221</v>
      </c>
      <c r="C6" s="84" t="s">
        <v>222</v>
      </c>
      <c r="D6" s="84">
        <v>2</v>
      </c>
      <c r="E6" s="84" t="s">
        <v>221</v>
      </c>
      <c r="F6" s="140"/>
    </row>
    <row r="7" spans="2:6" x14ac:dyDescent="0.25">
      <c r="B7" s="84" t="s">
        <v>223</v>
      </c>
      <c r="C7" s="84" t="s">
        <v>224</v>
      </c>
      <c r="D7" s="84">
        <v>3</v>
      </c>
      <c r="E7" s="88" t="s">
        <v>227</v>
      </c>
      <c r="F7" s="140"/>
    </row>
    <row r="9" spans="2:6" ht="16.5" thickBot="1" x14ac:dyDescent="0.3"/>
    <row r="10" spans="2:6" ht="25.5" customHeight="1" x14ac:dyDescent="0.25">
      <c r="B10" s="141" t="s">
        <v>226</v>
      </c>
      <c r="C10" s="142"/>
      <c r="D10" s="142"/>
      <c r="E10" s="142"/>
      <c r="F10" s="143"/>
    </row>
    <row r="11" spans="2:6" x14ac:dyDescent="0.25">
      <c r="B11" s="75"/>
      <c r="C11" s="77" t="s">
        <v>219</v>
      </c>
      <c r="D11" s="144" t="s">
        <v>221</v>
      </c>
      <c r="E11" s="144"/>
      <c r="F11" s="77" t="s">
        <v>227</v>
      </c>
    </row>
    <row r="12" spans="2:6" ht="31.5" x14ac:dyDescent="0.25">
      <c r="B12" s="78" t="s">
        <v>219</v>
      </c>
      <c r="C12" s="77" t="s">
        <v>377</v>
      </c>
      <c r="D12" s="155" t="s">
        <v>379</v>
      </c>
      <c r="E12" s="156"/>
      <c r="F12" s="77" t="s">
        <v>380</v>
      </c>
    </row>
    <row r="13" spans="2:6" x14ac:dyDescent="0.25">
      <c r="B13" s="80" t="s">
        <v>378</v>
      </c>
      <c r="C13" s="81">
        <v>0</v>
      </c>
      <c r="D13" s="145">
        <v>0.01</v>
      </c>
      <c r="E13" s="146"/>
      <c r="F13" s="81">
        <v>0.21</v>
      </c>
    </row>
    <row r="14" spans="2:6" ht="15.75" customHeight="1" x14ac:dyDescent="0.25">
      <c r="B14" s="77" t="s">
        <v>221</v>
      </c>
      <c r="C14" s="83" t="s">
        <v>379</v>
      </c>
      <c r="D14" s="157" t="s">
        <v>380</v>
      </c>
      <c r="E14" s="158"/>
      <c r="F14" s="83" t="s">
        <v>386</v>
      </c>
    </row>
    <row r="15" spans="2:6" x14ac:dyDescent="0.25">
      <c r="B15" s="82" t="s">
        <v>390</v>
      </c>
      <c r="C15" s="81" t="s">
        <v>381</v>
      </c>
      <c r="D15" s="145" t="s">
        <v>384</v>
      </c>
      <c r="E15" s="159"/>
      <c r="F15" s="81" t="s">
        <v>387</v>
      </c>
    </row>
    <row r="16" spans="2:6" x14ac:dyDescent="0.25">
      <c r="B16" s="82"/>
      <c r="C16" s="81" t="s">
        <v>382</v>
      </c>
      <c r="D16" s="145" t="s">
        <v>385</v>
      </c>
      <c r="E16" s="159"/>
      <c r="F16" s="81" t="s">
        <v>388</v>
      </c>
    </row>
    <row r="17" spans="2:6" x14ac:dyDescent="0.25">
      <c r="B17" s="82"/>
      <c r="C17" s="81" t="s">
        <v>383</v>
      </c>
      <c r="D17" s="145"/>
      <c r="E17" s="159"/>
      <c r="F17" s="81" t="s">
        <v>389</v>
      </c>
    </row>
    <row r="18" spans="2:6" ht="31.5" x14ac:dyDescent="0.25">
      <c r="B18" s="77" t="s">
        <v>223</v>
      </c>
      <c r="C18" s="83" t="s">
        <v>380</v>
      </c>
      <c r="D18" s="157" t="s">
        <v>386</v>
      </c>
      <c r="E18" s="158"/>
      <c r="F18" s="83" t="s">
        <v>392</v>
      </c>
    </row>
    <row r="19" spans="2:6" x14ac:dyDescent="0.25">
      <c r="B19" s="76" t="s">
        <v>391</v>
      </c>
      <c r="C19" s="79">
        <v>0.21</v>
      </c>
      <c r="D19" s="153">
        <v>0.51</v>
      </c>
      <c r="E19" s="154"/>
      <c r="F19" s="79">
        <v>1</v>
      </c>
    </row>
    <row r="21" spans="2:6" x14ac:dyDescent="0.25">
      <c r="B21" s="89" t="s">
        <v>369</v>
      </c>
      <c r="C21" s="89" t="s">
        <v>370</v>
      </c>
      <c r="D21" s="74"/>
    </row>
    <row r="22" spans="2:6" x14ac:dyDescent="0.25">
      <c r="B22" s="29" t="s">
        <v>393</v>
      </c>
      <c r="C22" s="29">
        <f>Лист1!L64</f>
        <v>64.150000000000006</v>
      </c>
    </row>
    <row r="23" spans="2:6" x14ac:dyDescent="0.25">
      <c r="B23" s="29" t="s">
        <v>371</v>
      </c>
      <c r="C23" s="29" t="str">
        <f>IF(C22&gt;=80,рейтинг!B5,IF(C22&gt;=40,рейтинг!B6,IF(C22&gt;=0,рейтинг!B7)))</f>
        <v>Среднее</v>
      </c>
    </row>
    <row r="24" spans="2:6" x14ac:dyDescent="0.25">
      <c r="B24" s="29" t="s">
        <v>372</v>
      </c>
      <c r="C24" s="29" t="str">
        <f>IF(F5=1,E5,IF(F5=2,E6,IF(F5=3,E7)))</f>
        <v>Хорошее</v>
      </c>
    </row>
    <row r="25" spans="2:6" x14ac:dyDescent="0.25">
      <c r="B25" s="29" t="s">
        <v>376</v>
      </c>
      <c r="C25" s="85" t="str">
        <f>INDEX($B$11:$F$19,MATCH(C23,B12:B19,0)+1,MATCH(C24,C11:F11,0)+1)</f>
        <v>Нестандартные (II категория качества)</v>
      </c>
    </row>
    <row r="26" spans="2:6" x14ac:dyDescent="0.25">
      <c r="B26" s="29" t="s">
        <v>375</v>
      </c>
      <c r="C26" s="86" t="str">
        <f>IF(C22&gt;=80,INDEX(C12:F13,2,MATCH(C25,C12:F12,0)),IF(AND(C22&gt;=40,C22&lt;80),IF(MATCH(C25,C14:F14,0)=1,LOOKUP(C22,{40,55,79},{"10%","3%","1%"}),IF(MATCH(C25,C14:F14,0)=2,LOOKUP(C22,{40,60},{"35%","21%"}),LOOKUP(C22,{40,55,65},{"71%","61%","51%"}))),INDEX(C18:F19,2,MATCH(C25,C18:F18,0))))</f>
        <v>3%</v>
      </c>
    </row>
  </sheetData>
  <mergeCells count="14">
    <mergeCell ref="D19:E19"/>
    <mergeCell ref="D12:E12"/>
    <mergeCell ref="D14:E14"/>
    <mergeCell ref="D15:E15"/>
    <mergeCell ref="D16:E16"/>
    <mergeCell ref="D17:E17"/>
    <mergeCell ref="D18:E18"/>
    <mergeCell ref="F5:F7"/>
    <mergeCell ref="B10:F10"/>
    <mergeCell ref="D11:E11"/>
    <mergeCell ref="D13:E13"/>
    <mergeCell ref="B3:C3"/>
    <mergeCell ref="D3:F3"/>
    <mergeCell ref="D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баланс</vt:lpstr>
      <vt:lpstr>расчет</vt:lpstr>
      <vt:lpstr>рейтинг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Белозерцев Леонид Николаевич</dc:creator>
  <cp:lastModifiedBy>Белозерцев Леонид Николаевич</cp:lastModifiedBy>
  <cp:lastPrinted>2014-06-19T08:12:19Z</cp:lastPrinted>
  <dcterms:created xsi:type="dcterms:W3CDTF">2014-06-17T13:17:20Z</dcterms:created>
  <dcterms:modified xsi:type="dcterms:W3CDTF">2014-06-30T08:49:58Z</dcterms:modified>
</cp:coreProperties>
</file>