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7905"/>
  </bookViews>
  <sheets>
    <sheet name="Реестр" sheetId="1" r:id="rId1"/>
    <sheet name="Не учитывать" sheetId="3" r:id="rId2"/>
    <sheet name="Ф" sheetId="2" r:id="rId3"/>
  </sheets>
  <definedNames>
    <definedName name="_xlnm._FilterDatabase" localSheetId="0" hidden="1">Реестр!$A$6:$W$31</definedName>
  </definedNames>
  <calcPr calcId="145621"/>
</workbook>
</file>

<file path=xl/calcChain.xml><?xml version="1.0" encoding="utf-8"?>
<calcChain xmlns="http://schemas.openxmlformats.org/spreadsheetml/2006/main">
  <c r="K27" i="1" l="1"/>
  <c r="K28" i="1"/>
  <c r="S28" i="1" l="1"/>
  <c r="S27" i="1"/>
  <c r="N28" i="1"/>
  <c r="N27" i="1"/>
  <c r="J28" i="1"/>
  <c r="J27" i="1"/>
  <c r="A8" i="1"/>
  <c r="W8" i="1" s="1"/>
  <c r="A28" i="1"/>
  <c r="W28" i="1" s="1"/>
  <c r="A27" i="1"/>
  <c r="W27" i="1" s="1"/>
  <c r="A26" i="1"/>
  <c r="W26" i="1" s="1"/>
  <c r="A25" i="1"/>
  <c r="W25" i="1" s="1"/>
  <c r="A24" i="1"/>
  <c r="W24" i="1" s="1"/>
  <c r="A23" i="1"/>
  <c r="W23" i="1" s="1"/>
  <c r="A31" i="1"/>
  <c r="W31" i="1" s="1"/>
  <c r="A30" i="1"/>
  <c r="W30" i="1" s="1"/>
  <c r="A29" i="1"/>
  <c r="W29" i="1" s="1"/>
  <c r="A22" i="1"/>
  <c r="W22" i="1" s="1"/>
  <c r="A21" i="1"/>
  <c r="W21" i="1" s="1"/>
  <c r="A20" i="1"/>
  <c r="W20" i="1" s="1"/>
  <c r="A19" i="1"/>
  <c r="W19" i="1" s="1"/>
  <c r="A18" i="1"/>
  <c r="W18" i="1" s="1"/>
  <c r="A17" i="1"/>
  <c r="W17" i="1" s="1"/>
  <c r="A16" i="1"/>
  <c r="W16" i="1" s="1"/>
  <c r="A15" i="1"/>
  <c r="W15" i="1" s="1"/>
  <c r="A14" i="1"/>
  <c r="W14" i="1" s="1"/>
  <c r="A13" i="1"/>
  <c r="W13" i="1" s="1"/>
  <c r="A12" i="1"/>
  <c r="W12" i="1" s="1"/>
  <c r="A11" i="1"/>
  <c r="W11" i="1" s="1"/>
  <c r="A10" i="1"/>
  <c r="W10" i="1" s="1"/>
  <c r="A9" i="1"/>
  <c r="W9" i="1" s="1"/>
  <c r="A7" i="1"/>
  <c r="W7" i="1" s="1"/>
  <c r="J31" i="1"/>
  <c r="J30" i="1"/>
  <c r="J29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7" i="1"/>
  <c r="J8" i="1"/>
  <c r="I24" i="1"/>
  <c r="C2" i="1" s="1"/>
  <c r="S25" i="1"/>
  <c r="N25" i="1"/>
  <c r="C4" i="1" l="1"/>
  <c r="C3" i="1"/>
  <c r="J24" i="1"/>
  <c r="K5" i="1"/>
  <c r="D4" i="1"/>
  <c r="D3" i="1"/>
  <c r="B5" i="1"/>
  <c r="D2" i="1" l="1"/>
  <c r="S26" i="1" l="1"/>
  <c r="N26" i="1"/>
  <c r="N24" i="1"/>
  <c r="S24" i="1"/>
  <c r="N13" i="1" l="1"/>
  <c r="S13" i="1"/>
  <c r="S19" i="1" l="1"/>
  <c r="N19" i="1"/>
  <c r="N23" i="1" l="1"/>
  <c r="N22" i="1" l="1"/>
  <c r="S30" i="1" l="1"/>
  <c r="S29" i="1"/>
  <c r="S23" i="1"/>
  <c r="S22" i="1"/>
  <c r="N14" i="1" l="1"/>
  <c r="S14" i="1"/>
  <c r="S21" i="1" l="1"/>
  <c r="N21" i="1"/>
  <c r="S16" i="1" l="1"/>
  <c r="N16" i="1"/>
  <c r="S31" i="1" l="1"/>
  <c r="S20" i="1"/>
  <c r="S18" i="1"/>
  <c r="S17" i="1"/>
  <c r="S15" i="1"/>
  <c r="S12" i="1"/>
  <c r="S11" i="1"/>
  <c r="S10" i="1"/>
  <c r="S9" i="1"/>
  <c r="S8" i="1"/>
  <c r="S7" i="1"/>
  <c r="N31" i="1" l="1"/>
  <c r="N30" i="1"/>
  <c r="N29" i="1"/>
  <c r="N20" i="1"/>
  <c r="N18" i="1"/>
  <c r="N17" i="1"/>
  <c r="N15" i="1"/>
  <c r="N12" i="1"/>
  <c r="N11" i="1"/>
  <c r="N10" i="1"/>
  <c r="N9" i="1"/>
  <c r="N8" i="1"/>
  <c r="N7" i="1"/>
  <c r="I5" i="1" l="1"/>
  <c r="B7" i="2" l="1"/>
  <c r="B1" i="2"/>
  <c r="B5" i="2"/>
  <c r="B3" i="2"/>
  <c r="B9" i="2" l="1"/>
  <c r="C5" i="1"/>
  <c r="D5" i="1" s="1"/>
</calcChain>
</file>

<file path=xl/sharedStrings.xml><?xml version="1.0" encoding="utf-8"?>
<sst xmlns="http://schemas.openxmlformats.org/spreadsheetml/2006/main" count="222" uniqueCount="125">
  <si>
    <t>Поставщик</t>
  </si>
  <si>
    <t>Примечание</t>
  </si>
  <si>
    <t>х</t>
  </si>
  <si>
    <t>ЭУ, отд.</t>
  </si>
  <si>
    <t>Сумма с НДС</t>
  </si>
  <si>
    <t>Товар</t>
  </si>
  <si>
    <t>ГРОМ</t>
  </si>
  <si>
    <t>Изопласт</t>
  </si>
  <si>
    <t>ИП Андреев М.Ю.</t>
  </si>
  <si>
    <t>АДС</t>
  </si>
  <si>
    <t>Спенс</t>
  </si>
  <si>
    <t>Адм.</t>
  </si>
  <si>
    <t>26547</t>
  </si>
  <si>
    <t>Для отметок</t>
  </si>
  <si>
    <t>Департамент МТР</t>
  </si>
  <si>
    <t>Дата счёта</t>
  </si>
  <si>
    <t>№ счёта</t>
  </si>
  <si>
    <t>Стройматериалы</t>
  </si>
  <si>
    <t>28608</t>
  </si>
  <si>
    <t>Кольцо ж/б с  люком</t>
  </si>
  <si>
    <t>887</t>
  </si>
  <si>
    <t>Комплексн. пост.</t>
  </si>
  <si>
    <t>Лампы</t>
  </si>
  <si>
    <t>Комус</t>
  </si>
  <si>
    <t>885</t>
  </si>
  <si>
    <t>886</t>
  </si>
  <si>
    <t>692</t>
  </si>
  <si>
    <t>ВИВАС</t>
  </si>
  <si>
    <t>Почт. ящики</t>
  </si>
  <si>
    <t>АСКОН</t>
  </si>
  <si>
    <t>Вывеска</t>
  </si>
  <si>
    <t>Дата опл.</t>
  </si>
  <si>
    <t>36654</t>
  </si>
  <si>
    <t>Днище ж/б</t>
  </si>
  <si>
    <t>Статус</t>
  </si>
  <si>
    <t>Альфа-Спецодежда</t>
  </si>
  <si>
    <t>348</t>
  </si>
  <si>
    <t>Садыков</t>
  </si>
  <si>
    <t>Дней от пост.</t>
  </si>
  <si>
    <t>Инициатор заявки, фамилия</t>
  </si>
  <si>
    <t>Ящук</t>
  </si>
  <si>
    <t>Бурмисов</t>
  </si>
  <si>
    <t>Подп. в опл. ГД</t>
  </si>
  <si>
    <t>Перед. в опл. ГБ</t>
  </si>
  <si>
    <t>Жарова</t>
  </si>
  <si>
    <t>Торг-12</t>
  </si>
  <si>
    <t>Сч.-ф.</t>
  </si>
  <si>
    <t>Прокопашина</t>
  </si>
  <si>
    <t>-</t>
  </si>
  <si>
    <t>Кривцова</t>
  </si>
  <si>
    <t>Дата посл. пост.</t>
  </si>
  <si>
    <t>1320</t>
  </si>
  <si>
    <t>389</t>
  </si>
  <si>
    <t>368</t>
  </si>
  <si>
    <t>1324</t>
  </si>
  <si>
    <t xml:space="preserve"> 7422</t>
  </si>
  <si>
    <t>1385</t>
  </si>
  <si>
    <t>371</t>
  </si>
  <si>
    <t>372</t>
  </si>
  <si>
    <t>Спецодежда</t>
  </si>
  <si>
    <t>Донченко</t>
  </si>
  <si>
    <t>1355</t>
  </si>
  <si>
    <t>7477</t>
  </si>
  <si>
    <t>Гепард Плюс</t>
  </si>
  <si>
    <t>1391</t>
  </si>
  <si>
    <t>опл.-н/пол.</t>
  </si>
  <si>
    <t>н/опл.-пол.</t>
  </si>
  <si>
    <t>н/опл.-н/пол.</t>
  </si>
  <si>
    <t>опл.-пол.</t>
  </si>
  <si>
    <t>ГОСЗНАК, НПО</t>
  </si>
  <si>
    <t>909</t>
  </si>
  <si>
    <t>Табличка на дверь Сальченко</t>
  </si>
  <si>
    <t>45299</t>
  </si>
  <si>
    <t>Трубы ПП и ПВХ (скалдской запас)</t>
  </si>
  <si>
    <t>Кабакова</t>
  </si>
  <si>
    <t>1451</t>
  </si>
  <si>
    <t>46508</t>
  </si>
  <si>
    <t>Арматура, уголок</t>
  </si>
  <si>
    <t>46509</t>
  </si>
  <si>
    <t>Арматура, уголок, электроды, сгон</t>
  </si>
  <si>
    <t>1420</t>
  </si>
  <si>
    <t>1395</t>
  </si>
  <si>
    <t>22563</t>
  </si>
  <si>
    <t>22559</t>
  </si>
  <si>
    <t>22562</t>
  </si>
  <si>
    <t>нет ТН и С-Ф</t>
  </si>
  <si>
    <t>31144</t>
  </si>
  <si>
    <t>Стаканы</t>
  </si>
  <si>
    <t>15472</t>
  </si>
  <si>
    <t>1427</t>
  </si>
  <si>
    <t>1402</t>
  </si>
  <si>
    <t>1524</t>
  </si>
  <si>
    <t>Скачкова</t>
  </si>
  <si>
    <t>было в счёте 12537,73 - по факту меньше</t>
  </si>
  <si>
    <t>1508</t>
  </si>
  <si>
    <t>7722</t>
  </si>
  <si>
    <t>без 5 сгонов</t>
  </si>
  <si>
    <t>49643</t>
  </si>
  <si>
    <t>49684</t>
  </si>
  <si>
    <t>Тросы</t>
  </si>
  <si>
    <t>Радиаторы, трубы ПП, лист (ЭУ-1, Кривцова)</t>
  </si>
  <si>
    <t>23838</t>
  </si>
  <si>
    <t>23836</t>
  </si>
  <si>
    <t>ИП Шевченко В.И. (типогр.)</t>
  </si>
  <si>
    <t>Уч. в 1С</t>
  </si>
  <si>
    <t>ЭУ</t>
  </si>
  <si>
    <t>Лимит</t>
  </si>
  <si>
    <t>Расход</t>
  </si>
  <si>
    <t>Лимит-Расход</t>
  </si>
  <si>
    <t>сентябрь</t>
  </si>
  <si>
    <t>Получено по факту</t>
  </si>
  <si>
    <t>!!!
&lt; &gt;</t>
  </si>
  <si>
    <t>Н/уч.</t>
  </si>
  <si>
    <t>Не учитывать</t>
  </si>
  <si>
    <t>455</t>
  </si>
  <si>
    <t>432</t>
  </si>
  <si>
    <t>447</t>
  </si>
  <si>
    <t>424</t>
  </si>
  <si>
    <t>51800</t>
  </si>
  <si>
    <t>Уголок, арматура, электрод</t>
  </si>
  <si>
    <t>51804</t>
  </si>
  <si>
    <t>Электрод, каболка, лист оц.</t>
  </si>
  <si>
    <t>24999</t>
  </si>
  <si>
    <t>25000</t>
  </si>
  <si>
    <t>Повт.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</si>
</sst>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_ ;[Red]\-0\ "/>
    <numFmt numFmtId="166" formatCode="#,##0_ ;[Red]\-#,##0\ "/>
  </numFmts>
  <fonts count="3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rgb="FF800000"/>
      <name val="Arial"/>
      <family val="2"/>
      <charset val="204"/>
    </font>
    <font>
      <b/>
      <sz val="8"/>
      <color rgb="FF0000FF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rgb="FF002060"/>
      <name val="Arial"/>
      <family val="2"/>
      <charset val="204"/>
    </font>
    <font>
      <b/>
      <sz val="8"/>
      <color rgb="FF800000"/>
      <name val="Arial"/>
      <family val="2"/>
      <charset val="204"/>
    </font>
    <font>
      <b/>
      <sz val="8"/>
      <color rgb="FF7030A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/>
    <xf numFmtId="49" fontId="23" fillId="2" borderId="1" xfId="0" applyNumberFormat="1" applyFont="1" applyFill="1" applyBorder="1" applyAlignment="1">
      <alignment horizontal="right"/>
    </xf>
    <xf numFmtId="164" fontId="23" fillId="2" borderId="1" xfId="0" applyNumberFormat="1" applyFont="1" applyFill="1" applyBorder="1" applyAlignment="1">
      <alignment horizontal="center"/>
    </xf>
    <xf numFmtId="4" fontId="23" fillId="2" borderId="1" xfId="0" applyNumberFormat="1" applyFont="1" applyFill="1" applyBorder="1"/>
    <xf numFmtId="164" fontId="22" fillId="2" borderId="1" xfId="0" applyNumberFormat="1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/>
    </xf>
    <xf numFmtId="0" fontId="21" fillId="2" borderId="1" xfId="0" applyFont="1" applyFill="1" applyBorder="1"/>
    <xf numFmtId="49" fontId="20" fillId="2" borderId="1" xfId="0" applyNumberFormat="1" applyFont="1" applyFill="1" applyBorder="1" applyAlignment="1">
      <alignment horizontal="right"/>
    </xf>
    <xf numFmtId="164" fontId="25" fillId="2" borderId="1" xfId="0" applyNumberFormat="1" applyFont="1" applyFill="1" applyBorder="1" applyAlignment="1">
      <alignment horizontal="right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/>
    </xf>
    <xf numFmtId="165" fontId="23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0" fontId="18" fillId="2" borderId="1" xfId="0" applyFont="1" applyFill="1" applyBorder="1"/>
    <xf numFmtId="0" fontId="17" fillId="2" borderId="1" xfId="0" applyFont="1" applyFill="1" applyBorder="1"/>
    <xf numFmtId="49" fontId="16" fillId="2" borderId="1" xfId="0" applyNumberFormat="1" applyFont="1" applyFill="1" applyBorder="1" applyAlignment="1">
      <alignment horizontal="right"/>
    </xf>
    <xf numFmtId="49" fontId="15" fillId="2" borderId="1" xfId="0" applyNumberFormat="1" applyFont="1" applyFill="1" applyBorder="1" applyAlignment="1">
      <alignment horizontal="right"/>
    </xf>
    <xf numFmtId="49" fontId="14" fillId="2" borderId="1" xfId="0" applyNumberFormat="1" applyFont="1" applyFill="1" applyBorder="1" applyAlignment="1">
      <alignment horizontal="right"/>
    </xf>
    <xf numFmtId="0" fontId="14" fillId="2" borderId="1" xfId="0" applyFont="1" applyFill="1" applyBorder="1"/>
    <xf numFmtId="49" fontId="13" fillId="2" borderId="1" xfId="0" applyNumberFormat="1" applyFont="1" applyFill="1" applyBorder="1" applyAlignment="1">
      <alignment horizontal="right"/>
    </xf>
    <xf numFmtId="0" fontId="12" fillId="0" borderId="0" xfId="0" applyFont="1"/>
    <xf numFmtId="3" fontId="12" fillId="0" borderId="0" xfId="0" applyNumberFormat="1" applyFont="1"/>
    <xf numFmtId="3" fontId="24" fillId="5" borderId="0" xfId="0" applyNumberFormat="1" applyFont="1" applyFill="1" applyBorder="1"/>
    <xf numFmtId="3" fontId="24" fillId="7" borderId="0" xfId="0" applyNumberFormat="1" applyFont="1" applyFill="1" applyBorder="1"/>
    <xf numFmtId="3" fontId="24" fillId="6" borderId="0" xfId="0" applyNumberFormat="1" applyFont="1" applyFill="1" applyBorder="1"/>
    <xf numFmtId="3" fontId="24" fillId="8" borderId="0" xfId="0" applyNumberFormat="1" applyFont="1" applyFill="1" applyBorder="1"/>
    <xf numFmtId="3" fontId="24" fillId="4" borderId="0" xfId="0" applyNumberFormat="1" applyFont="1" applyFill="1"/>
    <xf numFmtId="49" fontId="11" fillId="2" borderId="1" xfId="0" applyNumberFormat="1" applyFont="1" applyFill="1" applyBorder="1" applyAlignment="1">
      <alignment horizontal="right"/>
    </xf>
    <xf numFmtId="0" fontId="24" fillId="5" borderId="0" xfId="0" applyFont="1" applyFill="1" applyBorder="1"/>
    <xf numFmtId="0" fontId="24" fillId="0" borderId="0" xfId="0" applyFont="1"/>
    <xf numFmtId="0" fontId="24" fillId="7" borderId="0" xfId="0" applyFont="1" applyFill="1" applyBorder="1"/>
    <xf numFmtId="0" fontId="24" fillId="6" borderId="0" xfId="0" applyFont="1" applyFill="1" applyBorder="1"/>
    <xf numFmtId="0" fontId="24" fillId="8" borderId="0" xfId="0" applyFont="1" applyFill="1" applyBorder="1"/>
    <xf numFmtId="49" fontId="10" fillId="2" borderId="1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horizontal="right"/>
    </xf>
    <xf numFmtId="49" fontId="24" fillId="2" borderId="1" xfId="0" applyNumberFormat="1" applyFont="1" applyFill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right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164" fontId="29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right"/>
    </xf>
    <xf numFmtId="4" fontId="28" fillId="2" borderId="0" xfId="0" applyNumberFormat="1" applyFont="1" applyFill="1" applyBorder="1"/>
    <xf numFmtId="0" fontId="5" fillId="2" borderId="1" xfId="0" applyFont="1" applyFill="1" applyBorder="1"/>
    <xf numFmtId="0" fontId="2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horizontal="right"/>
    </xf>
    <xf numFmtId="164" fontId="28" fillId="2" borderId="1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23" fillId="2" borderId="0" xfId="0" applyFont="1" applyFill="1"/>
    <xf numFmtId="0" fontId="23" fillId="2" borderId="0" xfId="0" applyFont="1" applyFill="1" applyAlignment="1">
      <alignment horizontal="right"/>
    </xf>
    <xf numFmtId="0" fontId="24" fillId="2" borderId="2" xfId="0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top" textRotation="90" wrapText="1"/>
    </xf>
    <xf numFmtId="0" fontId="28" fillId="9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 wrapText="1"/>
    </xf>
    <xf numFmtId="166" fontId="25" fillId="9" borderId="1" xfId="0" applyNumberFormat="1" applyFont="1" applyFill="1" applyBorder="1"/>
    <xf numFmtId="166" fontId="27" fillId="9" borderId="1" xfId="0" applyNumberFormat="1" applyFont="1" applyFill="1" applyBorder="1" applyAlignment="1">
      <alignment horizontal="right"/>
    </xf>
    <xf numFmtId="166" fontId="31" fillId="9" borderId="1" xfId="0" applyNumberFormat="1" applyFont="1" applyFill="1" applyBorder="1"/>
    <xf numFmtId="166" fontId="28" fillId="9" borderId="3" xfId="0" applyNumberFormat="1" applyFont="1" applyFill="1" applyBorder="1" applyAlignment="1">
      <alignment horizontal="right"/>
    </xf>
    <xf numFmtId="0" fontId="28" fillId="9" borderId="1" xfId="0" applyFont="1" applyFill="1" applyBorder="1" applyAlignment="1">
      <alignment horizontal="center"/>
    </xf>
    <xf numFmtId="0" fontId="28" fillId="9" borderId="4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 vertical="center"/>
    </xf>
    <xf numFmtId="166" fontId="30" fillId="10" borderId="1" xfId="0" applyNumberFormat="1" applyFont="1" applyFill="1" applyBorder="1"/>
    <xf numFmtId="0" fontId="24" fillId="2" borderId="1" xfId="0" applyFont="1" applyFill="1" applyBorder="1" applyAlignment="1">
      <alignment horizontal="center" vertical="top" textRotation="90" wrapText="1"/>
    </xf>
    <xf numFmtId="4" fontId="29" fillId="2" borderId="1" xfId="0" applyNumberFormat="1" applyFont="1" applyFill="1" applyBorder="1" applyAlignment="1">
      <alignment horizontal="center"/>
    </xf>
    <xf numFmtId="0" fontId="0" fillId="0" borderId="0" xfId="0" applyAlignment="1"/>
    <xf numFmtId="0" fontId="23" fillId="2" borderId="1" xfId="0" applyFont="1" applyFill="1" applyBorder="1" applyAlignment="1"/>
    <xf numFmtId="0" fontId="3" fillId="2" borderId="1" xfId="0" applyFont="1" applyFill="1" applyBorder="1" applyAlignment="1"/>
    <xf numFmtId="0" fontId="18" fillId="2" borderId="1" xfId="0" applyFont="1" applyFill="1" applyBorder="1" applyAlignment="1"/>
    <xf numFmtId="2" fontId="27" fillId="2" borderId="1" xfId="0" applyNumberFormat="1" applyFont="1" applyFill="1" applyBorder="1" applyAlignment="1">
      <alignment horizontal="center" vertical="top"/>
    </xf>
    <xf numFmtId="49" fontId="29" fillId="4" borderId="5" xfId="0" applyNumberFormat="1" applyFont="1" applyFill="1" applyBorder="1" applyAlignment="1">
      <alignment horizontal="center" vertical="center"/>
    </xf>
    <xf numFmtId="49" fontId="29" fillId="4" borderId="6" xfId="0" applyNumberFormat="1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166" fontId="23" fillId="2" borderId="0" xfId="0" applyNumberFormat="1" applyFont="1" applyFill="1"/>
  </cellXfs>
  <cellStyles count="1">
    <cellStyle name="Обычный" xfId="0" builtinId="0"/>
  </cellStyles>
  <dxfs count="74"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777777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ill>
        <patternFill>
          <bgColor rgb="FF7030A0"/>
        </patternFill>
      </fill>
    </dxf>
    <dxf>
      <font>
        <b/>
        <i/>
      </font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ont>
        <b/>
        <i val="0"/>
        <color rgb="FFFFFF00"/>
      </font>
      <fill>
        <patternFill>
          <bgColor rgb="FF777777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ont>
        <color rgb="FFFFFF00"/>
      </font>
      <fill>
        <patternFill>
          <bgColor rgb="FF808080"/>
        </patternFill>
      </fill>
    </dxf>
    <dxf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777777"/>
        </patternFill>
      </fill>
    </dxf>
    <dxf>
      <font>
        <color rgb="FFFFFF00"/>
      </font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777777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777777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777777"/>
        </patternFill>
      </fill>
    </dxf>
    <dxf>
      <font>
        <color rgb="FFFFFF00"/>
      </font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FFFFFF"/>
      <color rgb="FF0000CC"/>
      <color rgb="FF0033CC"/>
      <color rgb="FFFFFF99"/>
      <color rgb="FFFFFFCC"/>
      <color rgb="FFFF3399"/>
      <color rgb="FFFF00FF"/>
      <color rgb="FFCC00CC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123822</xdr:colOff>
          <xdr:row>0</xdr:row>
          <xdr:rowOff>38099</xdr:rowOff>
        </xdr:from>
        <xdr:to>
          <xdr:col>14</xdr:col>
          <xdr:colOff>1065610</xdr:colOff>
          <xdr:row>2</xdr:row>
          <xdr:rowOff>10421</xdr:rowOff>
        </xdr:to>
        <xdr:pic>
          <xdr:nvPicPr>
            <xdr:cNvPr id="2" name="Рисунок 1"/>
            <xdr:cNvPicPr preferRelativeResize="0">
              <a:picLocks noChangeArrowheads="1"/>
              <a:extLst>
                <a:ext uri="{84589F7E-364E-4C9E-8A38-B11213B215E9}">
                  <a14:cameraTool cellRange="Ф!$A$1:$B$1" spid="_x0000_s18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81972" y="38099"/>
              <a:ext cx="2046688" cy="25807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1159277</xdr:colOff>
          <xdr:row>0</xdr:row>
          <xdr:rowOff>36513</xdr:rowOff>
        </xdr:from>
        <xdr:to>
          <xdr:col>15</xdr:col>
          <xdr:colOff>119865</xdr:colOff>
          <xdr:row>2</xdr:row>
          <xdr:rowOff>8835</xdr:rowOff>
        </xdr:to>
        <xdr:pic>
          <xdr:nvPicPr>
            <xdr:cNvPr id="3" name="Рисунок 2"/>
            <xdr:cNvPicPr preferRelativeResize="0">
              <a:picLocks noChangeArrowheads="1"/>
              <a:extLst>
                <a:ext uri="{84589F7E-364E-4C9E-8A38-B11213B215E9}">
                  <a14:cameraTool cellRange="Ф!$A$3:$B$3" spid="_x0000_s188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293752" y="36513"/>
              <a:ext cx="2046688" cy="25807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124799</xdr:colOff>
          <xdr:row>2</xdr:row>
          <xdr:rowOff>55433</xdr:rowOff>
        </xdr:from>
        <xdr:to>
          <xdr:col>14</xdr:col>
          <xdr:colOff>1066587</xdr:colOff>
          <xdr:row>4</xdr:row>
          <xdr:rowOff>18230</xdr:rowOff>
        </xdr:to>
        <xdr:pic>
          <xdr:nvPicPr>
            <xdr:cNvPr id="4" name="Рисунок 3"/>
            <xdr:cNvPicPr preferRelativeResize="0">
              <a:picLocks noChangeArrowheads="1"/>
              <a:extLst>
                <a:ext uri="{84589F7E-364E-4C9E-8A38-B11213B215E9}">
                  <a14:cameraTool cellRange="Ф!$A$5:$B$5" spid="_x0000_s188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182949" y="341183"/>
              <a:ext cx="2046688" cy="25807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1163237</xdr:colOff>
          <xdr:row>2</xdr:row>
          <xdr:rowOff>56253</xdr:rowOff>
        </xdr:from>
        <xdr:to>
          <xdr:col>15</xdr:col>
          <xdr:colOff>123825</xdr:colOff>
          <xdr:row>4</xdr:row>
          <xdr:rowOff>19050</xdr:rowOff>
        </xdr:to>
        <xdr:pic>
          <xdr:nvPicPr>
            <xdr:cNvPr id="5" name="Рисунок 4"/>
            <xdr:cNvPicPr preferRelativeResize="0">
              <a:picLocks noChangeArrowheads="1"/>
              <a:extLst>
                <a:ext uri="{84589F7E-364E-4C9E-8A38-B11213B215E9}">
                  <a14:cameraTool cellRange="Ф!$A$7:$B$7" spid="_x0000_s188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0297712" y="342003"/>
              <a:ext cx="2046688" cy="25807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EEDE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00CC"/>
    <pageSetUpPr fitToPage="1"/>
  </sheetPr>
  <dimension ref="A1:W31"/>
  <sheetViews>
    <sheetView showZeros="0" tabSelected="1" zoomScaleNormal="100" workbookViewId="0">
      <pane ySplit="6" topLeftCell="A7" activePane="bottomLeft" state="frozen"/>
      <selection pane="bottomLeft" activeCell="C1" sqref="C1:C5"/>
    </sheetView>
  </sheetViews>
  <sheetFormatPr defaultRowHeight="11.25" x14ac:dyDescent="0.2"/>
  <cols>
    <col min="1" max="1" width="3" style="3" customWidth="1"/>
    <col min="2" max="2" width="22.7109375" style="3" bestFit="1" customWidth="1"/>
    <col min="3" max="3" width="21" style="46" customWidth="1"/>
    <col min="4" max="4" width="21" style="64" customWidth="1"/>
    <col min="5" max="5" width="3.28515625" style="62" customWidth="1"/>
    <col min="6" max="6" width="9.28515625" style="1" customWidth="1"/>
    <col min="7" max="7" width="4" style="1" customWidth="1"/>
    <col min="8" max="8" width="7" style="2" customWidth="1"/>
    <col min="9" max="9" width="10" style="3" customWidth="1"/>
    <col min="10" max="10" width="3.7109375" style="3" customWidth="1"/>
    <col min="11" max="11" width="10" style="3" customWidth="1"/>
    <col min="12" max="12" width="5.85546875" style="18" customWidth="1"/>
    <col min="13" max="13" width="6.42578125" style="18" customWidth="1"/>
    <col min="14" max="14" width="10.140625" style="2" customWidth="1"/>
    <col min="15" max="15" width="46.28515625" style="3" customWidth="1"/>
    <col min="16" max="16" width="9.42578125" style="2" customWidth="1"/>
    <col min="17" max="17" width="11.85546875" style="1" customWidth="1"/>
    <col min="18" max="18" width="7" style="2" customWidth="1"/>
    <col min="19" max="19" width="6.28515625" style="2" customWidth="1"/>
    <col min="20" max="20" width="7" style="3" customWidth="1"/>
    <col min="21" max="21" width="34.140625" style="3" bestFit="1" customWidth="1"/>
    <col min="22" max="22" width="7.85546875" style="3" customWidth="1"/>
    <col min="23" max="16384" width="9.140625" style="3"/>
  </cols>
  <sheetData>
    <row r="1" spans="1:23" x14ac:dyDescent="0.2">
      <c r="A1" s="68"/>
      <c r="B1" s="73" t="s">
        <v>106</v>
      </c>
      <c r="C1" s="81" t="s">
        <v>107</v>
      </c>
      <c r="D1" s="74" t="s">
        <v>108</v>
      </c>
      <c r="E1" s="79" t="s">
        <v>105</v>
      </c>
      <c r="F1" s="68"/>
      <c r="G1" s="68"/>
      <c r="H1" s="48"/>
      <c r="I1" s="68"/>
      <c r="J1" s="68"/>
      <c r="K1" s="68"/>
      <c r="L1" s="49"/>
      <c r="M1" s="49"/>
      <c r="N1" s="48"/>
      <c r="O1" s="68"/>
      <c r="P1" s="48"/>
      <c r="Q1" s="69"/>
      <c r="R1" s="48"/>
      <c r="S1" s="48"/>
      <c r="T1" s="68"/>
      <c r="U1" s="68"/>
      <c r="V1" s="68"/>
    </row>
    <row r="2" spans="1:23" x14ac:dyDescent="0.2">
      <c r="A2" s="68"/>
      <c r="B2" s="75">
        <v>325000</v>
      </c>
      <c r="C2" s="82">
        <f>SUMPRODUCT(I$7:I$31*(P$7:P$31=E2)*(TEXT(R$7:R$31,"ММММ")=E$5))-SUMPRODUCT(I$7:I$31*(W$7:W$31="1х")*(TEXT(R$7:R$31,"ММММ")=E$5))</f>
        <v>103129.90000000001</v>
      </c>
      <c r="D2" s="76">
        <f>B2-C2</f>
        <v>221870.09999999998</v>
      </c>
      <c r="E2" s="79">
        <v>1</v>
      </c>
      <c r="F2" s="69"/>
      <c r="G2" s="69"/>
      <c r="H2" s="48"/>
      <c r="I2" s="93"/>
      <c r="J2" s="68"/>
      <c r="K2" s="68"/>
      <c r="L2" s="49"/>
      <c r="M2" s="49"/>
      <c r="N2" s="48"/>
      <c r="O2" s="68"/>
      <c r="P2" s="48"/>
      <c r="Q2" s="69"/>
      <c r="R2" s="48"/>
      <c r="S2" s="48"/>
      <c r="T2" s="68"/>
      <c r="U2" s="68"/>
      <c r="V2" s="68"/>
    </row>
    <row r="3" spans="1:23" x14ac:dyDescent="0.2">
      <c r="A3" s="68"/>
      <c r="B3" s="75">
        <v>357000</v>
      </c>
      <c r="C3" s="82">
        <f>SUMPRODUCT(I$7:I$31*(P$7:P$31=E3)*(TEXT(R$7:R$31,"ММММ")=E$5))-SUMPRODUCT(I$7:I$31*(W$7:W$31="1х")*(TEXT(R$7:R$31,"ММММ")=E$5))</f>
        <v>61737.32</v>
      </c>
      <c r="D3" s="76">
        <f>B3-C3</f>
        <v>295262.68</v>
      </c>
      <c r="E3" s="79">
        <v>2</v>
      </c>
      <c r="F3" s="69"/>
      <c r="G3" s="69"/>
      <c r="H3" s="48"/>
      <c r="I3" s="68"/>
      <c r="J3" s="68"/>
      <c r="K3" s="68"/>
      <c r="L3" s="49"/>
      <c r="M3" s="49"/>
      <c r="N3" s="48"/>
      <c r="O3" s="68"/>
      <c r="P3" s="48"/>
      <c r="Q3" s="69"/>
      <c r="R3" s="48"/>
      <c r="S3" s="48"/>
      <c r="T3" s="68"/>
      <c r="U3" s="68"/>
      <c r="V3" s="68"/>
    </row>
    <row r="4" spans="1:23" ht="12" thickBot="1" x14ac:dyDescent="0.25">
      <c r="A4" s="68"/>
      <c r="B4" s="75">
        <v>318000</v>
      </c>
      <c r="C4" s="82">
        <f>SUMPRODUCT(I$7:I$31*(P$7:P$31=E4)*(TEXT(R$7:R$31,"ММММ")=E$5))-SUMPRODUCT(I$7:I$31*(W$7:W$31="1х")*(TEXT(R$7:R$31,"ММММ")=E$5))</f>
        <v>133669.53</v>
      </c>
      <c r="D4" s="76">
        <f>B4-C4</f>
        <v>184330.47</v>
      </c>
      <c r="E4" s="80">
        <v>3</v>
      </c>
      <c r="F4" s="68"/>
      <c r="G4" s="68"/>
      <c r="H4" s="48"/>
      <c r="I4" s="68"/>
      <c r="J4" s="68"/>
      <c r="K4" s="68"/>
      <c r="L4" s="49"/>
      <c r="M4" s="49"/>
      <c r="N4" s="48"/>
      <c r="O4" s="68"/>
      <c r="P4" s="48"/>
      <c r="Q4" s="69"/>
      <c r="R4" s="48"/>
      <c r="S4" s="48"/>
      <c r="T4" s="68"/>
      <c r="U4" s="68"/>
      <c r="V4" s="68"/>
    </row>
    <row r="5" spans="1:23" s="66" customFormat="1" ht="12" thickBot="1" x14ac:dyDescent="0.25">
      <c r="A5" s="67"/>
      <c r="B5" s="77">
        <f>SUM((B2:B4))</f>
        <v>1000000</v>
      </c>
      <c r="C5" s="82">
        <f>SUM((C2:C4))</f>
        <v>298536.75</v>
      </c>
      <c r="D5" s="78">
        <f>B5-C5</f>
        <v>701463.25</v>
      </c>
      <c r="E5" s="90" t="s">
        <v>109</v>
      </c>
      <c r="F5" s="91"/>
      <c r="G5" s="68"/>
      <c r="H5" s="67"/>
      <c r="I5" s="56">
        <f>SUBTOTAL(9,I7:I31)</f>
        <v>604022.19999999995</v>
      </c>
      <c r="J5" s="56"/>
      <c r="K5" s="56">
        <f>SUBTOTAL(9,K7:K31)</f>
        <v>362261.27</v>
      </c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3" s="4" customFormat="1" ht="44.25" customHeight="1" x14ac:dyDescent="0.25">
      <c r="A6" s="58" t="s">
        <v>112</v>
      </c>
      <c r="B6" s="70" t="s">
        <v>0</v>
      </c>
      <c r="C6" s="71" t="s">
        <v>45</v>
      </c>
      <c r="D6" s="71" t="s">
        <v>46</v>
      </c>
      <c r="E6" s="72" t="s">
        <v>104</v>
      </c>
      <c r="F6" s="70" t="s">
        <v>16</v>
      </c>
      <c r="G6" s="83" t="s">
        <v>124</v>
      </c>
      <c r="H6" s="5" t="s">
        <v>15</v>
      </c>
      <c r="I6" s="5" t="s">
        <v>4</v>
      </c>
      <c r="J6" s="58" t="s">
        <v>111</v>
      </c>
      <c r="K6" s="5" t="s">
        <v>110</v>
      </c>
      <c r="L6" s="53" t="s">
        <v>42</v>
      </c>
      <c r="M6" s="19" t="s">
        <v>43</v>
      </c>
      <c r="N6" s="58" t="s">
        <v>34</v>
      </c>
      <c r="O6" s="5" t="s">
        <v>5</v>
      </c>
      <c r="P6" s="5" t="s">
        <v>3</v>
      </c>
      <c r="Q6" s="5" t="s">
        <v>39</v>
      </c>
      <c r="R6" s="5" t="s">
        <v>50</v>
      </c>
      <c r="S6" s="5" t="s">
        <v>38</v>
      </c>
      <c r="T6" s="11" t="s">
        <v>31</v>
      </c>
      <c r="U6" s="5" t="s">
        <v>1</v>
      </c>
      <c r="V6" s="5" t="s">
        <v>13</v>
      </c>
    </row>
    <row r="7" spans="1:23" x14ac:dyDescent="0.2">
      <c r="A7" s="89" t="str">
        <f>IF(ISERROR(MATCH(B7,'Не учитывать'!$A$2:$A$17,0)),"",INDEX('Не учитывать'!$B$2:$B$17,MATCH(B7,'Не учитывать'!$A$2:$A$17,0)))</f>
        <v>х</v>
      </c>
      <c r="B7" s="23" t="s">
        <v>35</v>
      </c>
      <c r="C7" s="45" t="s">
        <v>52</v>
      </c>
      <c r="D7" s="63" t="s">
        <v>53</v>
      </c>
      <c r="E7" s="61" t="s">
        <v>2</v>
      </c>
      <c r="F7" s="14" t="s">
        <v>36</v>
      </c>
      <c r="G7" s="92"/>
      <c r="H7" s="8">
        <v>41850</v>
      </c>
      <c r="I7" s="9">
        <v>12330</v>
      </c>
      <c r="J7" s="84" t="str">
        <f t="shared" ref="J7" si="0">IF(R7=0,"н/п",IF(K7&lt;&gt;I7,"!!!",""))</f>
        <v/>
      </c>
      <c r="K7" s="9">
        <v>12330</v>
      </c>
      <c r="L7" s="54" t="s">
        <v>2</v>
      </c>
      <c r="M7" s="20" t="s">
        <v>2</v>
      </c>
      <c r="N7" s="15" t="str">
        <f t="shared" ref="N7:N26" si="1">IF(F7=0,"",IF(AND(T7&gt;0,R7=0),"опл.-н/пол.",IF(AND(R7&gt;0,T7=0),"н/опл.-пол.",IF(AND(R7=0,T7=0),"н/опл.-н/пол.",IF(AND(R7&gt;0,T7&gt;0),"опл.-пол.",0)))))</f>
        <v>опл.-пол.</v>
      </c>
      <c r="O7" s="28" t="s">
        <v>59</v>
      </c>
      <c r="P7" s="16" t="s">
        <v>9</v>
      </c>
      <c r="Q7" s="17" t="s">
        <v>37</v>
      </c>
      <c r="R7" s="8">
        <v>41863</v>
      </c>
      <c r="S7" s="21" t="str">
        <f t="shared" ref="S7:S31" ca="1" si="2">IF(ISERROR(T7-R7),R7,IF(AND(R7&gt;T7,T7&gt;0),"",IF(R7=0,0,IF(AND(R7=0,T7=0),0,IF(T7&lt;&gt;0,T7-R7,TODAY()-R7)))))</f>
        <v/>
      </c>
      <c r="T7" s="12">
        <v>41855</v>
      </c>
      <c r="U7" s="13"/>
      <c r="V7" s="22"/>
      <c r="W7" s="3" t="str">
        <f t="shared" ref="W7:W31" si="3">CONCATENATE(P7,A7)</f>
        <v>АДСх</v>
      </c>
    </row>
    <row r="8" spans="1:23" x14ac:dyDescent="0.2">
      <c r="A8" s="89" t="str">
        <f>IF(ISERROR(MATCH(B8,'Не учитывать'!$A$2:$A$17,0)),"",INDEX('Не учитывать'!$B$2:$B$17,MATCH(B8,'Не учитывать'!$A$2:$A$17,0)))</f>
        <v>х</v>
      </c>
      <c r="B8" s="23" t="s">
        <v>35</v>
      </c>
      <c r="C8" s="45" t="s">
        <v>114</v>
      </c>
      <c r="D8" s="63" t="s">
        <v>115</v>
      </c>
      <c r="E8" s="61"/>
      <c r="F8" s="27" t="s">
        <v>57</v>
      </c>
      <c r="G8" s="92"/>
      <c r="H8" s="8">
        <v>41869</v>
      </c>
      <c r="I8" s="9">
        <v>42757</v>
      </c>
      <c r="J8" s="84" t="str">
        <f>IF(R8=0,"н/п",IF(K8&lt;&gt;I8,"!!!",""))</f>
        <v/>
      </c>
      <c r="K8" s="9">
        <v>42757</v>
      </c>
      <c r="L8" s="54" t="s">
        <v>2</v>
      </c>
      <c r="M8" s="20" t="s">
        <v>2</v>
      </c>
      <c r="N8" s="15" t="str">
        <f t="shared" si="1"/>
        <v>опл.-пол.</v>
      </c>
      <c r="O8" s="28" t="s">
        <v>59</v>
      </c>
      <c r="P8" s="16">
        <v>3</v>
      </c>
      <c r="Q8" s="17" t="s">
        <v>60</v>
      </c>
      <c r="R8" s="8">
        <v>41905</v>
      </c>
      <c r="S8" s="21" t="str">
        <f t="shared" ca="1" si="2"/>
        <v/>
      </c>
      <c r="T8" s="12">
        <v>41886</v>
      </c>
      <c r="U8" s="13"/>
      <c r="V8" s="22"/>
      <c r="W8" s="3" t="str">
        <f t="shared" si="3"/>
        <v>3х</v>
      </c>
    </row>
    <row r="9" spans="1:23" x14ac:dyDescent="0.2">
      <c r="A9" s="89" t="str">
        <f>IF(ISERROR(MATCH(B9,'Не учитывать'!$A$2:$A$17,0)),"",INDEX('Не учитывать'!$B$2:$B$17,MATCH(B9,'Не учитывать'!$A$2:$A$17,0)))</f>
        <v>х</v>
      </c>
      <c r="B9" s="23" t="s">
        <v>35</v>
      </c>
      <c r="C9" s="45" t="s">
        <v>116</v>
      </c>
      <c r="D9" s="63" t="s">
        <v>117</v>
      </c>
      <c r="E9" s="61"/>
      <c r="F9" s="27" t="s">
        <v>58</v>
      </c>
      <c r="G9" s="92"/>
      <c r="H9" s="8">
        <v>41870</v>
      </c>
      <c r="I9" s="9">
        <v>67200</v>
      </c>
      <c r="J9" s="84" t="str">
        <f t="shared" ref="J9:J31" si="4">IF(R9=0,"н/п",IF(K9&lt;&gt;I9,"!!!",""))</f>
        <v/>
      </c>
      <c r="K9" s="9">
        <v>67200</v>
      </c>
      <c r="L9" s="54" t="s">
        <v>2</v>
      </c>
      <c r="M9" s="20" t="s">
        <v>2</v>
      </c>
      <c r="N9" s="15" t="str">
        <f t="shared" si="1"/>
        <v>опл.-пол.</v>
      </c>
      <c r="O9" s="28" t="s">
        <v>59</v>
      </c>
      <c r="P9" s="16">
        <v>3</v>
      </c>
      <c r="Q9" s="17" t="s">
        <v>60</v>
      </c>
      <c r="R9" s="8">
        <v>41900</v>
      </c>
      <c r="S9" s="21" t="str">
        <f t="shared" ca="1" si="2"/>
        <v/>
      </c>
      <c r="T9" s="12">
        <v>41886</v>
      </c>
      <c r="U9" s="13"/>
      <c r="V9" s="22"/>
      <c r="W9" s="3" t="str">
        <f t="shared" si="3"/>
        <v>3х</v>
      </c>
    </row>
    <row r="10" spans="1:23" x14ac:dyDescent="0.2">
      <c r="A10" s="89" t="str">
        <f>IF(ISERROR(MATCH(B10,'Не учитывать'!$A$2:$A$17,0)),"",INDEX('Не учитывать'!$B$2:$B$17,MATCH(B10,'Не учитывать'!$A$2:$A$17,0)))</f>
        <v/>
      </c>
      <c r="B10" s="23" t="s">
        <v>29</v>
      </c>
      <c r="C10" s="45">
        <v>702</v>
      </c>
      <c r="D10" s="63" t="s">
        <v>48</v>
      </c>
      <c r="E10" s="61" t="s">
        <v>2</v>
      </c>
      <c r="F10" s="7" t="s">
        <v>26</v>
      </c>
      <c r="G10" s="92"/>
      <c r="H10" s="8">
        <v>41836</v>
      </c>
      <c r="I10" s="9">
        <v>5516</v>
      </c>
      <c r="J10" s="84" t="str">
        <f t="shared" si="4"/>
        <v/>
      </c>
      <c r="K10" s="9">
        <v>5516</v>
      </c>
      <c r="L10" s="54" t="s">
        <v>2</v>
      </c>
      <c r="M10" s="20" t="s">
        <v>2</v>
      </c>
      <c r="N10" s="15" t="str">
        <f t="shared" si="1"/>
        <v>опл.-пол.</v>
      </c>
      <c r="O10" s="28" t="s">
        <v>30</v>
      </c>
      <c r="P10" s="16" t="s">
        <v>11</v>
      </c>
      <c r="Q10" s="17"/>
      <c r="R10" s="8">
        <v>41857</v>
      </c>
      <c r="S10" s="21" t="str">
        <f t="shared" ca="1" si="2"/>
        <v/>
      </c>
      <c r="T10" s="12">
        <v>41843</v>
      </c>
      <c r="U10" s="13"/>
      <c r="V10" s="22"/>
      <c r="W10" s="3" t="str">
        <f t="shared" si="3"/>
        <v>Адм.</v>
      </c>
    </row>
    <row r="11" spans="1:23" x14ac:dyDescent="0.2">
      <c r="A11" s="89" t="str">
        <f>IF(ISERROR(MATCH(B11,'Не учитывать'!$A$2:$A$17,0)),"",INDEX('Не учитывать'!$B$2:$B$17,MATCH(B11,'Не учитывать'!$A$2:$A$17,0)))</f>
        <v/>
      </c>
      <c r="B11" s="23" t="s">
        <v>27</v>
      </c>
      <c r="C11" s="45" t="s">
        <v>54</v>
      </c>
      <c r="D11" s="63" t="s">
        <v>55</v>
      </c>
      <c r="E11" s="61" t="s">
        <v>2</v>
      </c>
      <c r="F11" s="25" t="s">
        <v>51</v>
      </c>
      <c r="G11" s="92"/>
      <c r="H11" s="8">
        <v>41858</v>
      </c>
      <c r="I11" s="9">
        <v>2280</v>
      </c>
      <c r="J11" s="84" t="str">
        <f t="shared" si="4"/>
        <v/>
      </c>
      <c r="K11" s="9">
        <v>2280</v>
      </c>
      <c r="L11" s="54" t="s">
        <v>2</v>
      </c>
      <c r="M11" s="20" t="s">
        <v>2</v>
      </c>
      <c r="N11" s="15" t="str">
        <f t="shared" si="1"/>
        <v>опл.-пол.</v>
      </c>
      <c r="O11" s="28" t="s">
        <v>28</v>
      </c>
      <c r="P11" s="16">
        <v>1</v>
      </c>
      <c r="Q11" s="17"/>
      <c r="R11" s="8">
        <v>41865</v>
      </c>
      <c r="S11" s="21">
        <f t="shared" ca="1" si="2"/>
        <v>15</v>
      </c>
      <c r="T11" s="12">
        <v>41880</v>
      </c>
      <c r="U11" s="6"/>
      <c r="V11" s="22"/>
      <c r="W11" s="3" t="str">
        <f t="shared" si="3"/>
        <v>1</v>
      </c>
    </row>
    <row r="12" spans="1:23" x14ac:dyDescent="0.2">
      <c r="A12" s="89" t="str">
        <f>IF(ISERROR(MATCH(B12,'Не учитывать'!$A$2:$A$17,0)),"",INDEX('Не учитывать'!$B$2:$B$17,MATCH(B12,'Не учитывать'!$A$2:$A$17,0)))</f>
        <v/>
      </c>
      <c r="B12" s="23" t="s">
        <v>27</v>
      </c>
      <c r="C12" s="45" t="s">
        <v>61</v>
      </c>
      <c r="D12" s="63" t="s">
        <v>62</v>
      </c>
      <c r="E12" s="61" t="s">
        <v>2</v>
      </c>
      <c r="F12" s="26" t="s">
        <v>56</v>
      </c>
      <c r="G12" s="92"/>
      <c r="H12" s="8">
        <v>41869</v>
      </c>
      <c r="I12" s="9">
        <v>3780</v>
      </c>
      <c r="J12" s="84" t="str">
        <f t="shared" si="4"/>
        <v/>
      </c>
      <c r="K12" s="9">
        <v>3780</v>
      </c>
      <c r="L12" s="54" t="s">
        <v>2</v>
      </c>
      <c r="M12" s="20" t="s">
        <v>2</v>
      </c>
      <c r="N12" s="15" t="str">
        <f t="shared" si="1"/>
        <v>опл.-пол.</v>
      </c>
      <c r="O12" s="28" t="s">
        <v>28</v>
      </c>
      <c r="P12" s="16">
        <v>1</v>
      </c>
      <c r="Q12" s="17"/>
      <c r="R12" s="8">
        <v>41871</v>
      </c>
      <c r="S12" s="21">
        <f t="shared" ca="1" si="2"/>
        <v>9</v>
      </c>
      <c r="T12" s="12">
        <v>41880</v>
      </c>
      <c r="U12" s="6"/>
      <c r="V12" s="28"/>
      <c r="W12" s="3" t="str">
        <f t="shared" si="3"/>
        <v>1</v>
      </c>
    </row>
    <row r="13" spans="1:23" x14ac:dyDescent="0.2">
      <c r="A13" s="89" t="str">
        <f>IF(ISERROR(MATCH(B13,'Не учитывать'!$A$2:$A$17,0)),"",INDEX('Не учитывать'!$B$2:$B$17,MATCH(B13,'Не учитывать'!$A$2:$A$17,0)))</f>
        <v/>
      </c>
      <c r="B13" s="23" t="s">
        <v>27</v>
      </c>
      <c r="C13" s="45" t="s">
        <v>94</v>
      </c>
      <c r="D13" s="63" t="s">
        <v>95</v>
      </c>
      <c r="E13" s="61" t="s">
        <v>2</v>
      </c>
      <c r="F13" s="55" t="s">
        <v>91</v>
      </c>
      <c r="G13" s="92"/>
      <c r="H13" s="8">
        <v>41892</v>
      </c>
      <c r="I13" s="9">
        <v>20900</v>
      </c>
      <c r="J13" s="84" t="str">
        <f t="shared" si="4"/>
        <v/>
      </c>
      <c r="K13" s="9">
        <v>20900</v>
      </c>
      <c r="L13" s="54" t="s">
        <v>2</v>
      </c>
      <c r="M13" s="20" t="s">
        <v>2</v>
      </c>
      <c r="N13" s="15" t="str">
        <f t="shared" si="1"/>
        <v>опл.-пол.</v>
      </c>
      <c r="O13" s="28" t="s">
        <v>28</v>
      </c>
      <c r="P13" s="16">
        <v>1</v>
      </c>
      <c r="Q13" s="17" t="s">
        <v>92</v>
      </c>
      <c r="R13" s="8">
        <v>41894</v>
      </c>
      <c r="S13" s="21">
        <f t="shared" ca="1" si="2"/>
        <v>4</v>
      </c>
      <c r="T13" s="12">
        <v>41898</v>
      </c>
      <c r="U13" s="6"/>
      <c r="V13" s="28"/>
      <c r="W13" s="3" t="str">
        <f t="shared" si="3"/>
        <v>1</v>
      </c>
    </row>
    <row r="14" spans="1:23" x14ac:dyDescent="0.2">
      <c r="A14" s="89" t="str">
        <f>IF(ISERROR(MATCH(B14,'Не учитывать'!$A$2:$A$17,0)),"",INDEX('Не учитывать'!$B$2:$B$17,MATCH(B14,'Не учитывать'!$A$2:$A$17,0)))</f>
        <v/>
      </c>
      <c r="B14" s="23" t="s">
        <v>63</v>
      </c>
      <c r="C14" s="45" t="s">
        <v>89</v>
      </c>
      <c r="D14" s="63" t="s">
        <v>90</v>
      </c>
      <c r="E14" s="61" t="s">
        <v>2</v>
      </c>
      <c r="F14" s="44" t="s">
        <v>75</v>
      </c>
      <c r="G14" s="92"/>
      <c r="H14" s="8">
        <v>30954</v>
      </c>
      <c r="I14" s="9">
        <v>30954</v>
      </c>
      <c r="J14" s="84" t="str">
        <f t="shared" si="4"/>
        <v/>
      </c>
      <c r="K14" s="9">
        <v>30954</v>
      </c>
      <c r="L14" s="54" t="s">
        <v>2</v>
      </c>
      <c r="M14" s="20" t="s">
        <v>2</v>
      </c>
      <c r="N14" s="15" t="str">
        <f t="shared" si="1"/>
        <v>опл.-пол.</v>
      </c>
      <c r="O14" s="28" t="s">
        <v>22</v>
      </c>
      <c r="P14" s="16">
        <v>2</v>
      </c>
      <c r="Q14" s="17" t="s">
        <v>74</v>
      </c>
      <c r="R14" s="8">
        <v>41890</v>
      </c>
      <c r="S14" s="21" t="str">
        <f t="shared" ca="1" si="2"/>
        <v/>
      </c>
      <c r="T14" s="12">
        <v>41886</v>
      </c>
      <c r="U14" s="50" t="s">
        <v>85</v>
      </c>
      <c r="V14" s="22"/>
      <c r="W14" s="3" t="str">
        <f t="shared" si="3"/>
        <v>2</v>
      </c>
    </row>
    <row r="15" spans="1:23" x14ac:dyDescent="0.2">
      <c r="A15" s="89" t="str">
        <f>IF(ISERROR(MATCH(B15,'Не учитывать'!$A$2:$A$17,0)),"",INDEX('Не учитывать'!$B$2:$B$17,MATCH(B15,'Не учитывать'!$A$2:$A$17,0)))</f>
        <v/>
      </c>
      <c r="B15" s="23" t="s">
        <v>63</v>
      </c>
      <c r="C15" s="45" t="s">
        <v>80</v>
      </c>
      <c r="D15" s="63" t="s">
        <v>81</v>
      </c>
      <c r="E15" s="61" t="s">
        <v>2</v>
      </c>
      <c r="F15" s="29" t="s">
        <v>64</v>
      </c>
      <c r="G15" s="92"/>
      <c r="H15" s="8">
        <v>41871</v>
      </c>
      <c r="I15" s="9">
        <v>20790</v>
      </c>
      <c r="J15" s="84" t="str">
        <f t="shared" si="4"/>
        <v/>
      </c>
      <c r="K15" s="9">
        <v>20790</v>
      </c>
      <c r="L15" s="54" t="s">
        <v>2</v>
      </c>
      <c r="M15" s="20" t="s">
        <v>2</v>
      </c>
      <c r="N15" s="15" t="str">
        <f t="shared" si="1"/>
        <v>опл.-пол.</v>
      </c>
      <c r="O15" s="28" t="s">
        <v>22</v>
      </c>
      <c r="P15" s="16">
        <v>1</v>
      </c>
      <c r="Q15" s="17" t="s">
        <v>49</v>
      </c>
      <c r="R15" s="8">
        <v>41887</v>
      </c>
      <c r="S15" s="21" t="str">
        <f t="shared" ca="1" si="2"/>
        <v/>
      </c>
      <c r="T15" s="12">
        <v>41886</v>
      </c>
      <c r="U15" s="6"/>
      <c r="V15" s="22"/>
      <c r="W15" s="3" t="str">
        <f t="shared" si="3"/>
        <v>1</v>
      </c>
    </row>
    <row r="16" spans="1:23" x14ac:dyDescent="0.2">
      <c r="A16" s="89" t="str">
        <f>IF(ISERROR(MATCH(B16,'Не учитывать'!$A$2:$A$17,0)),"",INDEX('Не учитывать'!$B$2:$B$17,MATCH(B16,'Не учитывать'!$A$2:$A$17,0)))</f>
        <v/>
      </c>
      <c r="B16" s="23" t="s">
        <v>69</v>
      </c>
      <c r="C16" s="45" t="s">
        <v>70</v>
      </c>
      <c r="D16" s="63" t="s">
        <v>48</v>
      </c>
      <c r="E16" s="61" t="s">
        <v>2</v>
      </c>
      <c r="F16" s="37" t="s">
        <v>70</v>
      </c>
      <c r="G16" s="92"/>
      <c r="H16" s="8">
        <v>41873</v>
      </c>
      <c r="I16" s="9">
        <v>600</v>
      </c>
      <c r="J16" s="84" t="str">
        <f t="shared" si="4"/>
        <v/>
      </c>
      <c r="K16" s="9">
        <v>600</v>
      </c>
      <c r="L16" s="54" t="s">
        <v>2</v>
      </c>
      <c r="M16" s="20" t="s">
        <v>2</v>
      </c>
      <c r="N16" s="15" t="str">
        <f t="shared" si="1"/>
        <v>опл.-пол.</v>
      </c>
      <c r="O16" s="28" t="s">
        <v>71</v>
      </c>
      <c r="P16" s="16" t="s">
        <v>11</v>
      </c>
      <c r="Q16" s="17" t="s">
        <v>41</v>
      </c>
      <c r="R16" s="8">
        <v>41880</v>
      </c>
      <c r="S16" s="21" t="str">
        <f t="shared" ca="1" si="2"/>
        <v/>
      </c>
      <c r="T16" s="12">
        <v>41879</v>
      </c>
      <c r="U16" s="6"/>
      <c r="V16" s="22"/>
      <c r="W16" s="3" t="str">
        <f t="shared" si="3"/>
        <v>Адм.</v>
      </c>
    </row>
    <row r="17" spans="1:23" x14ac:dyDescent="0.2">
      <c r="A17" s="89" t="str">
        <f>IF(ISERROR(MATCH(B17,'Не учитывать'!$A$2:$A$17,0)),"",INDEX('Не учитывать'!$B$2:$B$17,MATCH(B17,'Не учитывать'!$A$2:$A$17,0)))</f>
        <v/>
      </c>
      <c r="B17" s="23" t="s">
        <v>6</v>
      </c>
      <c r="C17" s="45">
        <v>12329</v>
      </c>
      <c r="D17" s="63">
        <v>12729</v>
      </c>
      <c r="E17" s="61" t="s">
        <v>2</v>
      </c>
      <c r="F17" s="7" t="s">
        <v>12</v>
      </c>
      <c r="G17" s="92"/>
      <c r="H17" s="8">
        <v>41795</v>
      </c>
      <c r="I17" s="9">
        <v>19822.349999999999</v>
      </c>
      <c r="J17" s="84" t="str">
        <f t="shared" si="4"/>
        <v/>
      </c>
      <c r="K17" s="9">
        <v>19822.349999999999</v>
      </c>
      <c r="L17" s="54" t="s">
        <v>2</v>
      </c>
      <c r="M17" s="20" t="s">
        <v>2</v>
      </c>
      <c r="N17" s="15" t="str">
        <f t="shared" si="1"/>
        <v>опл.-пол.</v>
      </c>
      <c r="O17" s="28" t="s">
        <v>7</v>
      </c>
      <c r="P17" s="16">
        <v>3</v>
      </c>
      <c r="Q17" s="17"/>
      <c r="R17" s="10">
        <v>41795</v>
      </c>
      <c r="S17" s="21">
        <f t="shared" ca="1" si="2"/>
        <v>97</v>
      </c>
      <c r="T17" s="12">
        <v>41892</v>
      </c>
      <c r="U17" s="6"/>
      <c r="V17" s="22"/>
      <c r="W17" s="3" t="str">
        <f t="shared" si="3"/>
        <v>3</v>
      </c>
    </row>
    <row r="18" spans="1:23" x14ac:dyDescent="0.2">
      <c r="A18" s="89" t="str">
        <f>IF(ISERROR(MATCH(B18,'Не учитывать'!$A$2:$A$17,0)),"",INDEX('Не учитывать'!$B$2:$B$17,MATCH(B18,'Не учитывать'!$A$2:$A$17,0)))</f>
        <v/>
      </c>
      <c r="B18" s="23" t="s">
        <v>6</v>
      </c>
      <c r="C18" s="45">
        <v>13965</v>
      </c>
      <c r="D18" s="63">
        <v>13965</v>
      </c>
      <c r="E18" s="61" t="s">
        <v>2</v>
      </c>
      <c r="F18" s="7" t="s">
        <v>18</v>
      </c>
      <c r="G18" s="92"/>
      <c r="H18" s="8">
        <v>41807</v>
      </c>
      <c r="I18" s="9">
        <v>10934.98</v>
      </c>
      <c r="J18" s="84" t="str">
        <f t="shared" si="4"/>
        <v/>
      </c>
      <c r="K18" s="9">
        <v>10934.98</v>
      </c>
      <c r="L18" s="54" t="s">
        <v>2</v>
      </c>
      <c r="M18" s="20" t="s">
        <v>2</v>
      </c>
      <c r="N18" s="15" t="str">
        <f t="shared" si="1"/>
        <v>опл.-пол.</v>
      </c>
      <c r="O18" s="28" t="s">
        <v>19</v>
      </c>
      <c r="P18" s="16">
        <v>3</v>
      </c>
      <c r="Q18" s="17"/>
      <c r="R18" s="8">
        <v>41814</v>
      </c>
      <c r="S18" s="21">
        <f t="shared" ca="1" si="2"/>
        <v>78</v>
      </c>
      <c r="T18" s="12">
        <v>41892</v>
      </c>
      <c r="U18" s="57" t="s">
        <v>93</v>
      </c>
      <c r="V18" s="22"/>
      <c r="W18" s="3" t="str">
        <f t="shared" si="3"/>
        <v>3</v>
      </c>
    </row>
    <row r="19" spans="1:23" x14ac:dyDescent="0.2">
      <c r="A19" s="89" t="str">
        <f>IF(ISERROR(MATCH(B19,'Не учитывать'!$A$2:$A$17,0)),"",INDEX('Не учитывать'!$B$2:$B$17,MATCH(B19,'Не учитывать'!$A$2:$A$17,0)))</f>
        <v/>
      </c>
      <c r="B19" s="23" t="s">
        <v>6</v>
      </c>
      <c r="C19" s="45" t="s">
        <v>88</v>
      </c>
      <c r="D19" s="63" t="s">
        <v>88</v>
      </c>
      <c r="E19" s="61" t="s">
        <v>2</v>
      </c>
      <c r="F19" s="51" t="s">
        <v>86</v>
      </c>
      <c r="G19" s="92"/>
      <c r="H19" s="8">
        <v>41820</v>
      </c>
      <c r="I19" s="9">
        <v>8461.19</v>
      </c>
      <c r="J19" s="84" t="str">
        <f t="shared" si="4"/>
        <v/>
      </c>
      <c r="K19" s="9">
        <v>8461.19</v>
      </c>
      <c r="L19" s="54" t="s">
        <v>2</v>
      </c>
      <c r="M19" s="20" t="s">
        <v>2</v>
      </c>
      <c r="N19" s="15" t="str">
        <f t="shared" si="1"/>
        <v>опл.-пол.</v>
      </c>
      <c r="O19" s="28" t="s">
        <v>87</v>
      </c>
      <c r="P19" s="16">
        <v>2</v>
      </c>
      <c r="Q19" s="17"/>
      <c r="R19" s="52">
        <v>41827</v>
      </c>
      <c r="S19" s="21">
        <f t="shared" ca="1" si="2"/>
        <v>65</v>
      </c>
      <c r="T19" s="12">
        <v>41892</v>
      </c>
      <c r="U19" s="24"/>
      <c r="V19" s="22"/>
      <c r="W19" s="3" t="str">
        <f t="shared" si="3"/>
        <v>2</v>
      </c>
    </row>
    <row r="20" spans="1:23" x14ac:dyDescent="0.2">
      <c r="A20" s="89" t="str">
        <f>IF(ISERROR(MATCH(B20,'Не учитывать'!$A$2:$A$17,0)),"",INDEX('Не учитывать'!$B$2:$B$17,MATCH(B20,'Не учитывать'!$A$2:$A$17,0)))</f>
        <v/>
      </c>
      <c r="B20" s="23" t="s">
        <v>6</v>
      </c>
      <c r="C20" s="45"/>
      <c r="D20" s="63"/>
      <c r="E20" s="61"/>
      <c r="F20" s="7" t="s">
        <v>32</v>
      </c>
      <c r="G20" s="92"/>
      <c r="H20" s="8">
        <v>41842</v>
      </c>
      <c r="I20" s="9">
        <v>1511</v>
      </c>
      <c r="J20" s="84" t="str">
        <f t="shared" si="4"/>
        <v>н/п</v>
      </c>
      <c r="K20" s="9"/>
      <c r="L20" s="54" t="s">
        <v>2</v>
      </c>
      <c r="M20" s="20"/>
      <c r="N20" s="15" t="str">
        <f t="shared" si="1"/>
        <v>н/опл.-н/пол.</v>
      </c>
      <c r="O20" s="28" t="s">
        <v>33</v>
      </c>
      <c r="P20" s="16">
        <v>2</v>
      </c>
      <c r="Q20" s="17"/>
      <c r="R20" s="8"/>
      <c r="S20" s="21">
        <f t="shared" ca="1" si="2"/>
        <v>0</v>
      </c>
      <c r="T20" s="12"/>
      <c r="U20" s="6"/>
      <c r="V20" s="22"/>
      <c r="W20" s="3" t="str">
        <f t="shared" si="3"/>
        <v>2</v>
      </c>
    </row>
    <row r="21" spans="1:23" x14ac:dyDescent="0.2">
      <c r="A21" s="89" t="str">
        <f>IF(ISERROR(MATCH(B21,'Не учитывать'!$A$2:$A$17,0)),"",INDEX('Не учитывать'!$B$2:$B$17,MATCH(B21,'Не учитывать'!$A$2:$A$17,0)))</f>
        <v/>
      </c>
      <c r="B21" s="23" t="s">
        <v>6</v>
      </c>
      <c r="C21" s="45" t="s">
        <v>82</v>
      </c>
      <c r="D21" s="63" t="s">
        <v>82</v>
      </c>
      <c r="E21" s="61" t="s">
        <v>2</v>
      </c>
      <c r="F21" s="43" t="s">
        <v>72</v>
      </c>
      <c r="G21" s="92"/>
      <c r="H21" s="8">
        <v>41879</v>
      </c>
      <c r="I21" s="9">
        <v>21315.96</v>
      </c>
      <c r="J21" s="84" t="str">
        <f t="shared" si="4"/>
        <v/>
      </c>
      <c r="K21" s="9">
        <v>21315.96</v>
      </c>
      <c r="L21" s="54" t="s">
        <v>2</v>
      </c>
      <c r="M21" s="20"/>
      <c r="N21" s="15" t="str">
        <f t="shared" si="1"/>
        <v>н/опл.-пол.</v>
      </c>
      <c r="O21" s="28" t="s">
        <v>73</v>
      </c>
      <c r="P21" s="16">
        <v>1</v>
      </c>
      <c r="Q21" s="17" t="s">
        <v>49</v>
      </c>
      <c r="R21" s="8">
        <v>41887</v>
      </c>
      <c r="S21" s="21">
        <f t="shared" ca="1" si="2"/>
        <v>20</v>
      </c>
      <c r="T21" s="12"/>
      <c r="U21" s="6"/>
      <c r="V21" s="22"/>
      <c r="W21" s="3" t="str">
        <f t="shared" si="3"/>
        <v>1</v>
      </c>
    </row>
    <row r="22" spans="1:23" x14ac:dyDescent="0.2">
      <c r="A22" s="89" t="str">
        <f>IF(ISERROR(MATCH(B22,'Не учитывать'!$A$2:$A$17,0)),"",INDEX('Не учитывать'!$B$2:$B$17,MATCH(B22,'Не учитывать'!$A$2:$A$17,0)))</f>
        <v/>
      </c>
      <c r="B22" s="23" t="s">
        <v>6</v>
      </c>
      <c r="C22" s="45" t="s">
        <v>83</v>
      </c>
      <c r="D22" s="63" t="s">
        <v>83</v>
      </c>
      <c r="E22" s="61" t="s">
        <v>2</v>
      </c>
      <c r="F22" s="47" t="s">
        <v>76</v>
      </c>
      <c r="G22" s="92"/>
      <c r="H22" s="8">
        <v>41885</v>
      </c>
      <c r="I22" s="9">
        <v>25155.95</v>
      </c>
      <c r="J22" s="84" t="str">
        <f t="shared" si="4"/>
        <v/>
      </c>
      <c r="K22" s="9">
        <v>25155.95</v>
      </c>
      <c r="L22" s="54"/>
      <c r="M22" s="20"/>
      <c r="N22" s="15" t="str">
        <f t="shared" si="1"/>
        <v>н/опл.-пол.</v>
      </c>
      <c r="O22" s="28" t="s">
        <v>77</v>
      </c>
      <c r="P22" s="16">
        <v>1</v>
      </c>
      <c r="Q22" s="17" t="s">
        <v>44</v>
      </c>
      <c r="R22" s="8">
        <v>41887</v>
      </c>
      <c r="S22" s="21">
        <f t="shared" ca="1" si="2"/>
        <v>20</v>
      </c>
      <c r="T22" s="12"/>
      <c r="U22" s="6"/>
      <c r="V22" s="22"/>
      <c r="W22" s="3" t="str">
        <f t="shared" si="3"/>
        <v>1</v>
      </c>
    </row>
    <row r="23" spans="1:23" x14ac:dyDescent="0.2">
      <c r="A23" s="89" t="str">
        <f>IF(ISERROR(MATCH(B23,'Не учитывать'!$A$2:$A$17,0)),"",INDEX('Не учитывать'!$B$2:$B$17,MATCH(B23,'Не учитывать'!$A$2:$A$17,0)))</f>
        <v/>
      </c>
      <c r="B23" s="23" t="s">
        <v>6</v>
      </c>
      <c r="C23" s="45" t="s">
        <v>84</v>
      </c>
      <c r="D23" s="63" t="s">
        <v>84</v>
      </c>
      <c r="E23" s="61" t="s">
        <v>2</v>
      </c>
      <c r="F23" s="47" t="s">
        <v>78</v>
      </c>
      <c r="G23" s="92"/>
      <c r="H23" s="8">
        <v>41885</v>
      </c>
      <c r="I23" s="9">
        <v>13225.19</v>
      </c>
      <c r="J23" s="84" t="str">
        <f t="shared" si="4"/>
        <v/>
      </c>
      <c r="K23" s="9">
        <v>13225.19</v>
      </c>
      <c r="L23" s="54"/>
      <c r="M23" s="20"/>
      <c r="N23" s="15" t="str">
        <f t="shared" si="1"/>
        <v>н/опл.-пол.</v>
      </c>
      <c r="O23" s="28" t="s">
        <v>79</v>
      </c>
      <c r="P23" s="16">
        <v>2</v>
      </c>
      <c r="Q23" s="17" t="s">
        <v>40</v>
      </c>
      <c r="R23" s="8">
        <v>41887</v>
      </c>
      <c r="S23" s="21">
        <f t="shared" ca="1" si="2"/>
        <v>20</v>
      </c>
      <c r="T23" s="12"/>
      <c r="U23" s="59" t="s">
        <v>96</v>
      </c>
      <c r="V23" s="22"/>
      <c r="W23" s="3" t="str">
        <f t="shared" si="3"/>
        <v>2</v>
      </c>
    </row>
    <row r="24" spans="1:23" x14ac:dyDescent="0.2">
      <c r="A24" s="89" t="str">
        <f>IF(ISERROR(MATCH(B24,'Не учитывать'!$A$2:$A$17,0)),"",INDEX('Не учитывать'!$B$2:$B$17,MATCH(B24,'Не учитывать'!$A$2:$A$17,0)))</f>
        <v/>
      </c>
      <c r="B24" s="23" t="s">
        <v>6</v>
      </c>
      <c r="C24" s="45" t="s">
        <v>101</v>
      </c>
      <c r="D24" s="63" t="s">
        <v>101</v>
      </c>
      <c r="E24" s="61" t="s">
        <v>2</v>
      </c>
      <c r="F24" s="60" t="s">
        <v>97</v>
      </c>
      <c r="G24" s="92" t="s">
        <v>2</v>
      </c>
      <c r="H24" s="8">
        <v>41898</v>
      </c>
      <c r="I24" s="9">
        <f>21597.95-I25</f>
        <v>6629.9600000000009</v>
      </c>
      <c r="J24" s="84" t="str">
        <f t="shared" si="4"/>
        <v/>
      </c>
      <c r="K24" s="9">
        <v>6629.9600000000009</v>
      </c>
      <c r="L24" s="54"/>
      <c r="M24" s="20"/>
      <c r="N24" s="15" t="str">
        <f t="shared" si="1"/>
        <v>н/опл.-пол.</v>
      </c>
      <c r="O24" s="28" t="s">
        <v>100</v>
      </c>
      <c r="P24" s="16">
        <v>2</v>
      </c>
      <c r="Q24" s="17" t="s">
        <v>40</v>
      </c>
      <c r="R24" s="8">
        <v>41898</v>
      </c>
      <c r="S24" s="21">
        <f t="shared" ca="1" si="2"/>
        <v>9</v>
      </c>
      <c r="T24" s="12"/>
      <c r="U24" s="59"/>
      <c r="V24" s="22"/>
      <c r="W24" s="3" t="str">
        <f t="shared" si="3"/>
        <v>2</v>
      </c>
    </row>
    <row r="25" spans="1:23" x14ac:dyDescent="0.2">
      <c r="A25" s="89" t="str">
        <f>IF(ISERROR(MATCH(B25,'Не учитывать'!$A$2:$A$17,0)),"",INDEX('Не учитывать'!$B$2:$B$17,MATCH(B25,'Не учитывать'!$A$2:$A$17,0)))</f>
        <v/>
      </c>
      <c r="B25" s="23" t="s">
        <v>6</v>
      </c>
      <c r="C25" s="45" t="s">
        <v>101</v>
      </c>
      <c r="D25" s="63" t="s">
        <v>101</v>
      </c>
      <c r="E25" s="61" t="s">
        <v>2</v>
      </c>
      <c r="F25" s="60" t="s">
        <v>97</v>
      </c>
      <c r="G25" s="92" t="s">
        <v>2</v>
      </c>
      <c r="H25" s="8">
        <v>41898</v>
      </c>
      <c r="I25" s="9">
        <v>14967.99</v>
      </c>
      <c r="J25" s="84" t="str">
        <f t="shared" si="4"/>
        <v/>
      </c>
      <c r="K25" s="9">
        <v>14967.99</v>
      </c>
      <c r="L25" s="54"/>
      <c r="M25" s="20"/>
      <c r="N25" s="15" t="str">
        <f t="shared" si="1"/>
        <v>н/опл.-пол.</v>
      </c>
      <c r="O25" s="28" t="s">
        <v>100</v>
      </c>
      <c r="P25" s="16">
        <v>1</v>
      </c>
      <c r="Q25" s="17" t="s">
        <v>40</v>
      </c>
      <c r="R25" s="8">
        <v>41898</v>
      </c>
      <c r="S25" s="21">
        <f t="shared" ref="S25" ca="1" si="5">IF(ISERROR(T25-R25),R25,IF(AND(R25&gt;T25,T25&gt;0),"",IF(R25=0,0,IF(AND(R25=0,T25=0),0,IF(T25&lt;&gt;0,T25-R25,TODAY()-R25)))))</f>
        <v>9</v>
      </c>
      <c r="T25" s="12"/>
      <c r="U25" s="59"/>
      <c r="V25" s="22"/>
      <c r="W25" s="3" t="str">
        <f t="shared" si="3"/>
        <v>1</v>
      </c>
    </row>
    <row r="26" spans="1:23" x14ac:dyDescent="0.2">
      <c r="A26" s="89" t="str">
        <f>IF(ISERROR(MATCH(B26,'Не учитывать'!$A$2:$A$17,0)),"",INDEX('Не учитывать'!$B$2:$B$17,MATCH(B26,'Не учитывать'!$A$2:$A$17,0)))</f>
        <v/>
      </c>
      <c r="B26" s="23" t="s">
        <v>6</v>
      </c>
      <c r="C26" s="45" t="s">
        <v>102</v>
      </c>
      <c r="D26" s="63" t="s">
        <v>102</v>
      </c>
      <c r="E26" s="61" t="s">
        <v>2</v>
      </c>
      <c r="F26" s="60" t="s">
        <v>98</v>
      </c>
      <c r="G26" s="92"/>
      <c r="H26" s="8">
        <v>41898</v>
      </c>
      <c r="I26" s="9">
        <v>12269.22</v>
      </c>
      <c r="J26" s="84" t="str">
        <f t="shared" si="4"/>
        <v/>
      </c>
      <c r="K26" s="9">
        <v>12269.22</v>
      </c>
      <c r="L26" s="54"/>
      <c r="M26" s="20"/>
      <c r="N26" s="15" t="str">
        <f t="shared" si="1"/>
        <v>н/опл.-пол.</v>
      </c>
      <c r="O26" s="28" t="s">
        <v>99</v>
      </c>
      <c r="P26" s="16">
        <v>3</v>
      </c>
      <c r="Q26" s="17" t="s">
        <v>37</v>
      </c>
      <c r="R26" s="8">
        <v>41898</v>
      </c>
      <c r="S26" s="21">
        <f t="shared" ca="1" si="2"/>
        <v>9</v>
      </c>
      <c r="T26" s="12"/>
      <c r="U26" s="59"/>
      <c r="V26" s="22"/>
      <c r="W26" s="3" t="str">
        <f t="shared" si="3"/>
        <v>3</v>
      </c>
    </row>
    <row r="27" spans="1:23" x14ac:dyDescent="0.2">
      <c r="A27" s="89" t="str">
        <f>IF(ISERROR(MATCH(B27,'Не учитывать'!$A$2:$A$17,0)),"",INDEX('Не учитывать'!$B$2:$B$17,MATCH(B27,'Не учитывать'!$A$2:$A$17,0)))</f>
        <v/>
      </c>
      <c r="B27" s="23" t="s">
        <v>6</v>
      </c>
      <c r="C27" s="45" t="s">
        <v>123</v>
      </c>
      <c r="D27" s="63" t="s">
        <v>123</v>
      </c>
      <c r="E27" s="61"/>
      <c r="F27" s="65" t="s">
        <v>118</v>
      </c>
      <c r="G27" s="92"/>
      <c r="H27" s="8">
        <v>41906</v>
      </c>
      <c r="I27" s="9">
        <v>10928.17</v>
      </c>
      <c r="J27" s="84" t="str">
        <f t="shared" si="4"/>
        <v/>
      </c>
      <c r="K27" s="9">
        <f>I27</f>
        <v>10928.17</v>
      </c>
      <c r="L27" s="54"/>
      <c r="M27" s="20"/>
      <c r="N27" s="15" t="str">
        <f t="shared" ref="N27:N28" si="6">IF(F27=0,"",IF(AND(T27&gt;0,R27=0),"опл.-н/пол.",IF(AND(R27&gt;0,T27=0),"н/опл.-пол.",IF(AND(R27=0,T27=0),"н/опл.-н/пол.",IF(AND(R27&gt;0,T27&gt;0),"опл.-пол.",0)))))</f>
        <v>н/опл.-пол.</v>
      </c>
      <c r="O27" s="28" t="s">
        <v>119</v>
      </c>
      <c r="P27" s="16">
        <v>2</v>
      </c>
      <c r="Q27" s="17" t="s">
        <v>40</v>
      </c>
      <c r="R27" s="8">
        <v>41907</v>
      </c>
      <c r="S27" s="21">
        <f t="shared" ca="1" si="2"/>
        <v>0</v>
      </c>
      <c r="T27" s="12"/>
      <c r="U27" s="59"/>
      <c r="V27" s="22"/>
      <c r="W27" s="3" t="str">
        <f t="shared" si="3"/>
        <v>2</v>
      </c>
    </row>
    <row r="28" spans="1:23" x14ac:dyDescent="0.2">
      <c r="A28" s="89" t="str">
        <f>IF(ISERROR(MATCH(B28,'Не учитывать'!$A$2:$A$17,0)),"",INDEX('Не учитывать'!$B$2:$B$17,MATCH(B28,'Не учитывать'!$A$2:$A$17,0)))</f>
        <v/>
      </c>
      <c r="B28" s="23" t="s">
        <v>6</v>
      </c>
      <c r="C28" s="45" t="s">
        <v>122</v>
      </c>
      <c r="D28" s="63" t="s">
        <v>122</v>
      </c>
      <c r="E28" s="61"/>
      <c r="F28" s="65" t="s">
        <v>120</v>
      </c>
      <c r="G28" s="92"/>
      <c r="H28" s="8">
        <v>41906</v>
      </c>
      <c r="I28" s="9">
        <v>11443.31</v>
      </c>
      <c r="J28" s="84" t="str">
        <f t="shared" si="4"/>
        <v/>
      </c>
      <c r="K28" s="9">
        <f>I28</f>
        <v>11443.31</v>
      </c>
      <c r="L28" s="54"/>
      <c r="M28" s="20"/>
      <c r="N28" s="15" t="str">
        <f t="shared" si="6"/>
        <v>н/опл.-пол.</v>
      </c>
      <c r="O28" s="28" t="s">
        <v>121</v>
      </c>
      <c r="P28" s="16">
        <v>3</v>
      </c>
      <c r="Q28" s="17" t="s">
        <v>47</v>
      </c>
      <c r="R28" s="8">
        <v>41907</v>
      </c>
      <c r="S28" s="21">
        <f t="shared" ca="1" si="2"/>
        <v>0</v>
      </c>
      <c r="T28" s="12"/>
      <c r="U28" s="59"/>
      <c r="V28" s="22"/>
      <c r="W28" s="3" t="str">
        <f t="shared" si="3"/>
        <v>3</v>
      </c>
    </row>
    <row r="29" spans="1:23" x14ac:dyDescent="0.2">
      <c r="A29" s="89" t="str">
        <f>IF(ISERROR(MATCH(B29,'Не учитывать'!$A$2:$A$17,0)),"",INDEX('Не учитывать'!$B$2:$B$17,MATCH(B29,'Не учитывать'!$A$2:$A$17,0)))</f>
        <v/>
      </c>
      <c r="B29" s="23" t="s">
        <v>14</v>
      </c>
      <c r="C29" s="45"/>
      <c r="D29" s="63"/>
      <c r="E29" s="61"/>
      <c r="F29" s="7" t="s">
        <v>24</v>
      </c>
      <c r="G29" s="92"/>
      <c r="H29" s="8">
        <v>41816</v>
      </c>
      <c r="I29" s="9">
        <v>96083.1</v>
      </c>
      <c r="J29" s="84" t="str">
        <f t="shared" si="4"/>
        <v>н/п</v>
      </c>
      <c r="K29" s="9"/>
      <c r="L29" s="54"/>
      <c r="M29" s="20"/>
      <c r="N29" s="15" t="str">
        <f t="shared" ref="N29:N31" si="7">IF(F29=0,"",IF(AND(T29&gt;0,R29=0),"опл.-н/пол.",IF(AND(R29&gt;0,T29=0),"н/опл.-пол.",IF(AND(R29=0,T29=0),"н/опл.-н/пол.",IF(AND(R29&gt;0,T29&gt;0),"опл.-пол.",0)))))</f>
        <v>н/опл.-н/пол.</v>
      </c>
      <c r="O29" s="28" t="s">
        <v>17</v>
      </c>
      <c r="P29" s="16">
        <v>1</v>
      </c>
      <c r="Q29" s="17"/>
      <c r="R29" s="8"/>
      <c r="S29" s="21">
        <f t="shared" ca="1" si="2"/>
        <v>0</v>
      </c>
      <c r="T29" s="12"/>
      <c r="U29" s="6"/>
      <c r="V29" s="22"/>
      <c r="W29" s="3" t="str">
        <f t="shared" si="3"/>
        <v>1</v>
      </c>
    </row>
    <row r="30" spans="1:23" x14ac:dyDescent="0.2">
      <c r="A30" s="89" t="str">
        <f>IF(ISERROR(MATCH(B30,'Не учитывать'!$A$2:$A$17,0)),"",INDEX('Не учитывать'!$B$2:$B$17,MATCH(B30,'Не учитывать'!$A$2:$A$17,0)))</f>
        <v/>
      </c>
      <c r="B30" s="23" t="s">
        <v>14</v>
      </c>
      <c r="C30" s="45"/>
      <c r="D30" s="63"/>
      <c r="E30" s="61"/>
      <c r="F30" s="7" t="s">
        <v>25</v>
      </c>
      <c r="G30" s="92"/>
      <c r="H30" s="8">
        <v>41817</v>
      </c>
      <c r="I30" s="9">
        <v>62558.58</v>
      </c>
      <c r="J30" s="84" t="str">
        <f t="shared" si="4"/>
        <v>н/п</v>
      </c>
      <c r="K30" s="9"/>
      <c r="L30" s="54"/>
      <c r="M30" s="20"/>
      <c r="N30" s="15" t="str">
        <f t="shared" si="7"/>
        <v>н/опл.-н/пол.</v>
      </c>
      <c r="O30" s="28" t="s">
        <v>17</v>
      </c>
      <c r="P30" s="16">
        <v>1</v>
      </c>
      <c r="Q30" s="17"/>
      <c r="R30" s="8"/>
      <c r="S30" s="21">
        <f t="shared" ca="1" si="2"/>
        <v>0</v>
      </c>
      <c r="T30" s="12"/>
      <c r="U30" s="6"/>
      <c r="V30" s="22"/>
      <c r="W30" s="3" t="str">
        <f t="shared" si="3"/>
        <v>1</v>
      </c>
    </row>
    <row r="31" spans="1:23" x14ac:dyDescent="0.2">
      <c r="A31" s="89" t="str">
        <f>IF(ISERROR(MATCH(B31,'Не учитывать'!$A$2:$A$17,0)),"",INDEX('Не учитывать'!$B$2:$B$17,MATCH(B31,'Не учитывать'!$A$2:$A$17,0)))</f>
        <v/>
      </c>
      <c r="B31" s="23" t="s">
        <v>14</v>
      </c>
      <c r="C31" s="45"/>
      <c r="D31" s="63"/>
      <c r="E31" s="61"/>
      <c r="F31" s="7" t="s">
        <v>20</v>
      </c>
      <c r="G31" s="92"/>
      <c r="H31" s="8">
        <v>41820</v>
      </c>
      <c r="I31" s="9">
        <v>81608.25</v>
      </c>
      <c r="J31" s="84" t="str">
        <f t="shared" si="4"/>
        <v>н/п</v>
      </c>
      <c r="K31" s="9"/>
      <c r="L31" s="54"/>
      <c r="M31" s="20"/>
      <c r="N31" s="15" t="str">
        <f t="shared" si="7"/>
        <v>н/опл.-н/пол.</v>
      </c>
      <c r="O31" s="28" t="s">
        <v>21</v>
      </c>
      <c r="P31" s="16">
        <v>3</v>
      </c>
      <c r="Q31" s="17"/>
      <c r="R31" s="8"/>
      <c r="S31" s="21">
        <f t="shared" ca="1" si="2"/>
        <v>0</v>
      </c>
      <c r="T31" s="12"/>
      <c r="U31" s="6"/>
      <c r="V31" s="22"/>
      <c r="W31" s="3" t="str">
        <f t="shared" si="3"/>
        <v>3</v>
      </c>
    </row>
  </sheetData>
  <autoFilter ref="A6:W31"/>
  <sortState ref="B3:U109">
    <sortCondition ref="B3:B109"/>
    <sortCondition ref="H3:H109"/>
    <sortCondition ref="P3:P109"/>
  </sortState>
  <mergeCells count="1">
    <mergeCell ref="E5:F5"/>
  </mergeCells>
  <conditionalFormatting sqref="T14:T31">
    <cfRule type="cellIs" dxfId="45" priority="287" operator="notEqual">
      <formula>0</formula>
    </cfRule>
  </conditionalFormatting>
  <conditionalFormatting sqref="T11:T31">
    <cfRule type="expression" dxfId="44" priority="297">
      <formula>R11&gt;0</formula>
    </cfRule>
  </conditionalFormatting>
  <conditionalFormatting sqref="R11:R31">
    <cfRule type="cellIs" dxfId="43" priority="298" operator="notEqual">
      <formula>0</formula>
    </cfRule>
    <cfRule type="expression" dxfId="42" priority="299">
      <formula>T11&lt;&gt;0</formula>
    </cfRule>
  </conditionalFormatting>
  <conditionalFormatting sqref="T11:T31">
    <cfRule type="cellIs" dxfId="41" priority="282" operator="notEqual">
      <formula>0</formula>
    </cfRule>
  </conditionalFormatting>
  <conditionalFormatting sqref="F11:F31">
    <cfRule type="expression" dxfId="40" priority="279">
      <formula>R11&lt;&gt;0</formula>
    </cfRule>
  </conditionalFormatting>
  <conditionalFormatting sqref="T7:T10">
    <cfRule type="expression" dxfId="39" priority="272">
      <formula>R7&gt;0</formula>
    </cfRule>
  </conditionalFormatting>
  <conditionalFormatting sqref="T7:T10">
    <cfRule type="cellIs" dxfId="38" priority="268" operator="notEqual">
      <formula>0</formula>
    </cfRule>
  </conditionalFormatting>
  <conditionalFormatting sqref="H7 B8:B31 H8:I31 L8:Q31">
    <cfRule type="expression" dxfId="37" priority="269">
      <formula>AND($R7&lt;&gt;0,$T7&lt;&gt;0)</formula>
    </cfRule>
  </conditionalFormatting>
  <conditionalFormatting sqref="R7:R10">
    <cfRule type="cellIs" dxfId="36" priority="270" operator="notEqual">
      <formula>0</formula>
    </cfRule>
    <cfRule type="expression" dxfId="35" priority="271">
      <formula>T7&lt;&gt;0</formula>
    </cfRule>
  </conditionalFormatting>
  <conditionalFormatting sqref="F7:F10">
    <cfRule type="expression" dxfId="34" priority="267">
      <formula>R7&lt;&gt;0</formula>
    </cfRule>
  </conditionalFormatting>
  <conditionalFormatting sqref="N7">
    <cfRule type="expression" dxfId="33" priority="263">
      <formula>AND($R7&lt;&gt;0,$T7&lt;&gt;0)</formula>
    </cfRule>
  </conditionalFormatting>
  <conditionalFormatting sqref="L7">
    <cfRule type="expression" dxfId="32" priority="259">
      <formula>AND($R7&lt;&gt;0,$T7&lt;&gt;0)</formula>
    </cfRule>
  </conditionalFormatting>
  <conditionalFormatting sqref="S7:S31">
    <cfRule type="cellIs" dxfId="31" priority="253" operator="greaterThan">
      <formula>30</formula>
    </cfRule>
  </conditionalFormatting>
  <conditionalFormatting sqref="S7:S31">
    <cfRule type="expression" dxfId="30" priority="252">
      <formula>AND(R7&gt;0,T7&gt;0)</formula>
    </cfRule>
  </conditionalFormatting>
  <conditionalFormatting sqref="C7:C31">
    <cfRule type="cellIs" dxfId="29" priority="74" operator="notEqual">
      <formula>0</formula>
    </cfRule>
    <cfRule type="expression" dxfId="28" priority="249">
      <formula>R7&gt;0</formula>
    </cfRule>
  </conditionalFormatting>
  <conditionalFormatting sqref="U7:U31">
    <cfRule type="cellIs" dxfId="27" priority="227" operator="notEqual">
      <formula>0</formula>
    </cfRule>
  </conditionalFormatting>
  <conditionalFormatting sqref="E7:E31">
    <cfRule type="cellIs" dxfId="26" priority="121" operator="notEqual">
      <formula>0</formula>
    </cfRule>
  </conditionalFormatting>
  <conditionalFormatting sqref="E8:E31">
    <cfRule type="expression" dxfId="25" priority="123">
      <formula>C8&lt;&gt;0</formula>
    </cfRule>
  </conditionalFormatting>
  <conditionalFormatting sqref="D2:D5">
    <cfRule type="cellIs" dxfId="24" priority="101" operator="lessThan">
      <formula>0</formula>
    </cfRule>
  </conditionalFormatting>
  <conditionalFormatting sqref="G7:G31">
    <cfRule type="cellIs" dxfId="23" priority="81" operator="notEqual">
      <formula>0</formula>
    </cfRule>
  </conditionalFormatting>
  <conditionalFormatting sqref="K28">
    <cfRule type="cellIs" dxfId="22" priority="79" operator="notEqual">
      <formula>0</formula>
    </cfRule>
    <cfRule type="expression" dxfId="21" priority="283">
      <formula>$C$28&lt;&gt;0</formula>
    </cfRule>
  </conditionalFormatting>
  <conditionalFormatting sqref="K7:K31">
    <cfRule type="cellIs" dxfId="20" priority="77" operator="notEqual">
      <formula>0</formula>
    </cfRule>
    <cfRule type="expression" dxfId="19" priority="78">
      <formula>AND($R7&lt;&gt;0,$T7&lt;&gt;0)</formula>
    </cfRule>
    <cfRule type="expression" dxfId="18" priority="80">
      <formula>C7&lt;&gt;0</formula>
    </cfRule>
  </conditionalFormatting>
  <conditionalFormatting sqref="D7:D31">
    <cfRule type="cellIs" dxfId="17" priority="246" operator="notEqual">
      <formula>0</formula>
    </cfRule>
    <cfRule type="expression" dxfId="16" priority="247">
      <formula>R7&gt;0</formula>
    </cfRule>
  </conditionalFormatting>
  <conditionalFormatting sqref="O7">
    <cfRule type="expression" dxfId="15" priority="69">
      <formula>AND($R7&lt;&gt;0,$T7&lt;&gt;0)</formula>
    </cfRule>
  </conditionalFormatting>
  <conditionalFormatting sqref="M7">
    <cfRule type="expression" dxfId="14" priority="66">
      <formula>AND($R7&lt;&gt;0,$T7&lt;&gt;0)</formula>
    </cfRule>
  </conditionalFormatting>
  <conditionalFormatting sqref="B7">
    <cfRule type="expression" dxfId="13" priority="63">
      <formula>AND($R7&lt;&gt;0,$T7&lt;&gt;0)</formula>
    </cfRule>
  </conditionalFormatting>
  <conditionalFormatting sqref="I7">
    <cfRule type="expression" dxfId="12" priority="61">
      <formula>AND($R7&lt;&gt;0,$T7&lt;&gt;0)</formula>
    </cfRule>
  </conditionalFormatting>
  <conditionalFormatting sqref="P7">
    <cfRule type="expression" dxfId="11" priority="59">
      <formula>AND($R7&lt;&gt;0,$T7&lt;&gt;0)</formula>
    </cfRule>
  </conditionalFormatting>
  <conditionalFormatting sqref="Q7">
    <cfRule type="expression" dxfId="10" priority="57">
      <formula>AND($R7&lt;&gt;0,$T7&lt;&gt;0)</formula>
    </cfRule>
  </conditionalFormatting>
  <conditionalFormatting sqref="S6">
    <cfRule type="expression" dxfId="3" priority="1161">
      <formula>COUNTA($B$8:$B$31)&lt;&gt;COUNTA($S$8:$S$31)</formula>
    </cfRule>
  </conditionalFormatting>
  <conditionalFormatting sqref="N6">
    <cfRule type="expression" dxfId="2" priority="1162">
      <formula>COUNTA($B$8:$B$31)&lt;&gt;COUNTA($N$8:$N$31)</formula>
    </cfRule>
  </conditionalFormatting>
  <conditionalFormatting sqref="J6">
    <cfRule type="expression" dxfId="1" priority="1163">
      <formula>COUNTA($B$8:$B$31)&lt;&gt;COUNTA($J$8:$J$31)</formula>
    </cfRule>
  </conditionalFormatting>
  <conditionalFormatting sqref="A6">
    <cfRule type="expression" dxfId="0" priority="1164">
      <formula>COUNTA($B$8:$B$31)&lt;&gt;COUNTA($A$8:$A$31)</formula>
    </cfRule>
  </conditionalFormatting>
  <pageMargins left="0" right="0" top="0" bottom="0" header="0.31496062992125984" footer="0.31496062992125984"/>
  <pageSetup paperSize="9" fitToHeight="0" orientation="portrait" blackAndWhite="1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7"/>
  <sheetViews>
    <sheetView workbookViewId="0">
      <selection activeCell="A2" sqref="A2"/>
    </sheetView>
  </sheetViews>
  <sheetFormatPr defaultRowHeight="15" x14ac:dyDescent="0.25"/>
  <cols>
    <col min="1" max="1" width="37.42578125" style="85" bestFit="1" customWidth="1"/>
    <col min="2" max="2" width="2" style="85" bestFit="1" customWidth="1"/>
    <col min="3" max="16384" width="9.140625" style="85"/>
  </cols>
  <sheetData>
    <row r="1" spans="1:2" x14ac:dyDescent="0.25">
      <c r="A1" s="62" t="s">
        <v>113</v>
      </c>
    </row>
    <row r="2" spans="1:2" x14ac:dyDescent="0.25">
      <c r="A2" s="86" t="s">
        <v>10</v>
      </c>
      <c r="B2" s="85" t="s">
        <v>2</v>
      </c>
    </row>
    <row r="3" spans="1:2" x14ac:dyDescent="0.25">
      <c r="A3" s="86" t="s">
        <v>8</v>
      </c>
      <c r="B3" s="85" t="s">
        <v>2</v>
      </c>
    </row>
    <row r="4" spans="1:2" x14ac:dyDescent="0.25">
      <c r="A4" s="87" t="s">
        <v>103</v>
      </c>
      <c r="B4" s="85" t="s">
        <v>2</v>
      </c>
    </row>
    <row r="5" spans="1:2" x14ac:dyDescent="0.25">
      <c r="A5" s="88" t="s">
        <v>35</v>
      </c>
      <c r="B5" s="85" t="s">
        <v>2</v>
      </c>
    </row>
    <row r="6" spans="1:2" x14ac:dyDescent="0.25">
      <c r="A6" s="86" t="s">
        <v>23</v>
      </c>
      <c r="B6" s="85" t="s">
        <v>2</v>
      </c>
    </row>
    <row r="7" spans="1:2" x14ac:dyDescent="0.25">
      <c r="A7" s="86"/>
    </row>
    <row r="8" spans="1:2" x14ac:dyDescent="0.25">
      <c r="A8" s="86"/>
    </row>
    <row r="9" spans="1:2" x14ac:dyDescent="0.25">
      <c r="A9" s="86"/>
    </row>
    <row r="10" spans="1:2" x14ac:dyDescent="0.25">
      <c r="A10" s="86"/>
    </row>
    <row r="11" spans="1:2" x14ac:dyDescent="0.25">
      <c r="A11" s="86"/>
    </row>
    <row r="12" spans="1:2" x14ac:dyDescent="0.25">
      <c r="A12" s="86"/>
    </row>
    <row r="13" spans="1:2" x14ac:dyDescent="0.25">
      <c r="A13" s="86"/>
    </row>
    <row r="14" spans="1:2" x14ac:dyDescent="0.25">
      <c r="A14" s="86"/>
    </row>
    <row r="15" spans="1:2" x14ac:dyDescent="0.25">
      <c r="A15" s="86"/>
    </row>
    <row r="16" spans="1:2" x14ac:dyDescent="0.25">
      <c r="A16" s="86"/>
    </row>
    <row r="17" spans="1:1" x14ac:dyDescent="0.25">
      <c r="A17" s="86"/>
    </row>
  </sheetData>
  <conditionalFormatting sqref="A5">
    <cfRule type="expression" dxfId="9" priority="6">
      <formula>AND($R5&lt;&gt;0,$T5&lt;&gt;0)</formula>
    </cfRule>
  </conditionalFormatting>
  <conditionalFormatting sqref="A6">
    <cfRule type="expression" dxfId="8" priority="5">
      <formula>AND($R6&lt;&gt;0,$T6&lt;&gt;0)</formula>
    </cfRule>
  </conditionalFormatting>
  <conditionalFormatting sqref="A4">
    <cfRule type="expression" dxfId="7" priority="4">
      <formula>AND($R4&lt;&gt;0,$T4&lt;&gt;0)</formula>
    </cfRule>
  </conditionalFormatting>
  <conditionalFormatting sqref="A3">
    <cfRule type="expression" dxfId="6" priority="3">
      <formula>AND($R3&lt;&gt;0,$T3&lt;&gt;0)</formula>
    </cfRule>
  </conditionalFormatting>
  <conditionalFormatting sqref="A2">
    <cfRule type="expression" dxfId="5" priority="2">
      <formula>AND($R2&lt;&gt;0,$T2&lt;&gt;0)</formula>
    </cfRule>
  </conditionalFormatting>
  <conditionalFormatting sqref="A7:A17">
    <cfRule type="expression" dxfId="4" priority="1">
      <formula>AND($R7&lt;&gt;0,$T7&lt;&gt;0)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160" zoomScaleNormal="160" workbookViewId="0">
      <selection sqref="A1:B1"/>
    </sheetView>
  </sheetViews>
  <sheetFormatPr defaultRowHeight="11.25" x14ac:dyDescent="0.2"/>
  <cols>
    <col min="1" max="1" width="11.28515625" style="30" bestFit="1" customWidth="1"/>
    <col min="2" max="2" width="7.85546875" style="31" bestFit="1" customWidth="1"/>
    <col min="3" max="16384" width="9.140625" style="30"/>
  </cols>
  <sheetData>
    <row r="1" spans="1:2" x14ac:dyDescent="0.2">
      <c r="A1" s="38" t="s">
        <v>65</v>
      </c>
      <c r="B1" s="32">
        <f>SUMIF(Реестр!$N$7:$N$31,A1,Реестр!$I$7:$I$31)</f>
        <v>0</v>
      </c>
    </row>
    <row r="2" spans="1:2" x14ac:dyDescent="0.2">
      <c r="A2" s="39"/>
    </row>
    <row r="3" spans="1:2" x14ac:dyDescent="0.2">
      <c r="A3" s="40" t="s">
        <v>66</v>
      </c>
      <c r="B3" s="33">
        <f>SUMIF(Реестр!$N$7:$N$31,A3,Реестр!$I$7:$I$31)</f>
        <v>115935.75000000001</v>
      </c>
    </row>
    <row r="4" spans="1:2" x14ac:dyDescent="0.2">
      <c r="A4" s="39"/>
    </row>
    <row r="5" spans="1:2" x14ac:dyDescent="0.2">
      <c r="A5" s="41" t="s">
        <v>67</v>
      </c>
      <c r="B5" s="34">
        <f>SUMIF(Реестр!$N$7:$N$31,A5,Реестр!$I$7:$I$31)</f>
        <v>241760.93</v>
      </c>
    </row>
    <row r="6" spans="1:2" x14ac:dyDescent="0.2">
      <c r="A6" s="39"/>
    </row>
    <row r="7" spans="1:2" x14ac:dyDescent="0.2">
      <c r="A7" s="42" t="s">
        <v>68</v>
      </c>
      <c r="B7" s="35">
        <f>SUMIF(Реестр!$N$7:$N$31,A7,Реестр!$I$7:$I$31)</f>
        <v>246325.52000000002</v>
      </c>
    </row>
    <row r="9" spans="1:2" x14ac:dyDescent="0.2">
      <c r="B9" s="36">
        <f>SUM(B1:B7)</f>
        <v>604022.19999999995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Не учитывать</vt:lpstr>
      <vt:lpstr>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2014-09-25T13:32:43Z</dcterms:modified>
</cp:coreProperties>
</file>