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ергей\Google Диск\ДВФУ\Разное\Сводки для администраторов\"/>
    </mc:Choice>
  </mc:AlternateContent>
  <bookViews>
    <workbookView xWindow="0" yWindow="0" windowWidth="21840" windowHeight="12435" activeTab="1"/>
  </bookViews>
  <sheets>
    <sheet name="owssvr" sheetId="1" r:id="rId1"/>
    <sheet name="Педиатрическая" sheetId="2" r:id="rId2"/>
  </sheets>
  <definedNames>
    <definedName name="_ftn1" localSheetId="1">Педиатрическая!$A$26</definedName>
    <definedName name="_ftnref1" localSheetId="1">Педиатрическая!$G$12</definedName>
    <definedName name="owssvr" localSheetId="0" hidden="1">owssvr!$A$1:$I$23</definedName>
  </definedNames>
  <calcPr calcId="152511"/>
</workbook>
</file>

<file path=xl/calcChain.xml><?xml version="1.0" encoding="utf-8"?>
<calcChain xmlns="http://schemas.openxmlformats.org/spreadsheetml/2006/main">
  <c r="B30" i="2" l="1"/>
  <c r="B30" i="1" a="1"/>
  <c r="B30" i="1" s="1"/>
  <c r="B32" i="1" a="1"/>
  <c r="B32" i="1" s="1"/>
  <c r="B31" i="1" a="1"/>
  <c r="B31" i="1" s="1"/>
  <c r="B33" i="1" a="1"/>
  <c r="B33" i="1" s="1"/>
  <c r="B34" i="1" a="1"/>
  <c r="B34" i="1" s="1"/>
  <c r="B35" i="1" a="1"/>
  <c r="B35" i="1" s="1"/>
  <c r="B36" i="1" a="1"/>
  <c r="B36" i="1" s="1"/>
  <c r="F20" i="2" l="1"/>
  <c r="F17" i="2" l="1"/>
  <c r="X24" i="2"/>
  <c r="X23" i="2"/>
  <c r="X22" i="2"/>
  <c r="X20" i="2"/>
  <c r="X21" i="2"/>
  <c r="X19" i="2"/>
  <c r="X17" i="2"/>
  <c r="W17" i="2"/>
  <c r="V17" i="2"/>
  <c r="U17" i="2"/>
  <c r="W24" i="2"/>
  <c r="W23" i="2"/>
  <c r="W22" i="2"/>
  <c r="W21" i="2"/>
  <c r="W20" i="2"/>
  <c r="W19" i="2"/>
  <c r="V23" i="2"/>
  <c r="V22" i="2"/>
  <c r="V21" i="2"/>
  <c r="V20" i="2"/>
  <c r="V19" i="2"/>
  <c r="V24" i="2"/>
  <c r="U24" i="2"/>
  <c r="U23" i="2"/>
  <c r="U22" i="2"/>
  <c r="U21" i="2"/>
  <c r="U20" i="2"/>
  <c r="U19" i="2"/>
  <c r="T24" i="2"/>
  <c r="T23" i="2"/>
  <c r="T22" i="2"/>
  <c r="T21" i="2"/>
  <c r="T19" i="2"/>
  <c r="N19" i="2"/>
  <c r="T17" i="2" l="1"/>
  <c r="T20" i="2"/>
  <c r="G17" i="2"/>
  <c r="N17" i="2"/>
  <c r="F24" i="2"/>
  <c r="F23" i="2"/>
  <c r="F22" i="2"/>
  <c r="F21" i="2"/>
  <c r="F19" i="2"/>
  <c r="G20" i="2"/>
  <c r="N24" i="2"/>
  <c r="N23" i="2"/>
  <c r="N22" i="2"/>
  <c r="N21" i="2"/>
  <c r="N20" i="2"/>
  <c r="J24" i="2"/>
  <c r="J23" i="2"/>
  <c r="J22" i="2"/>
  <c r="J21" i="2"/>
  <c r="J20" i="2"/>
  <c r="J19" i="2"/>
  <c r="J17" i="2"/>
  <c r="G24" i="2"/>
  <c r="G23" i="2"/>
  <c r="G22" i="2"/>
  <c r="G21" i="2"/>
  <c r="G19" i="2"/>
  <c r="S17" i="2" l="1"/>
  <c r="S24" i="2"/>
  <c r="S23" i="2"/>
  <c r="S22" i="2"/>
  <c r="S21" i="2"/>
  <c r="S20" i="2"/>
  <c r="S19" i="2"/>
</calcChain>
</file>

<file path=xl/connections.xml><?xml version="1.0" encoding="utf-8"?>
<connections xmlns="http://schemas.openxmlformats.org/spreadsheetml/2006/main">
  <connection id="1" odcFile="C:\Users\Сергей\AppData\Local\Microsoft\Windows\INetCache\IE\S5R6MEB8\owssvr.iqy" keepAlive="1" name="owssvr" type="5" refreshedVersion="5" minRefreshableVersion="3" saveData="1">
    <dbPr connection="Provider=Microsoft.Office.List.OLEDB.2.0;Data Source=&quot;&quot;;ApplicationName=Excel;Version=12.0.0.0" command="&lt;LIST&gt;&lt;VIEWGUID&gt;{742C21B8-FF79-481D-8951-E1CAA52DA7BE}&lt;/VIEWGUID&gt;&lt;LISTNAME&gt;{8FC3AFC6-7E81-4BB1-B0C0-256DB33650BB}&lt;/LISTNAME&gt;&lt;LISTWEB&gt;https://dvfustud.sharepoint.com/sites/mc/_vti_bin&lt;/LISTWEB&gt;&lt;LISTSUBWEB&gt;&lt;/LISTSUBWEB&gt;&lt;ROOTFOLDER&gt;/sites/mc/Lists/List3&lt;/ROOTFOLDER&gt;&lt;/LIST&gt;" commandType="5"/>
  </connection>
</connections>
</file>

<file path=xl/sharedStrings.xml><?xml version="1.0" encoding="utf-8"?>
<sst xmlns="http://schemas.openxmlformats.org/spreadsheetml/2006/main" count="208" uniqueCount="107">
  <si>
    <t>ФИО</t>
  </si>
  <si>
    <t>Дата поступления</t>
  </si>
  <si>
    <t>Мама</t>
  </si>
  <si>
    <t>Профиль</t>
  </si>
  <si>
    <t>Номер истории</t>
  </si>
  <si>
    <t>Дата выписки</t>
  </si>
  <si>
    <t>Источник финансирования</t>
  </si>
  <si>
    <t>История в статистике</t>
  </si>
  <si>
    <t>Поповиченко Максим Денисович</t>
  </si>
  <si>
    <t>Нет</t>
  </si>
  <si>
    <t>Ортопедические</t>
  </si>
  <si>
    <t>ВМП</t>
  </si>
  <si>
    <t>Белоусова Дарья Евгеньевна</t>
  </si>
  <si>
    <t>Кардиологические</t>
  </si>
  <si>
    <t>ОМС</t>
  </si>
  <si>
    <t>Шибаева Кристина Валерьевна</t>
  </si>
  <si>
    <t>Да</t>
  </si>
  <si>
    <t>Соматические</t>
  </si>
  <si>
    <t>Вяткина Валерия Валерьевна</t>
  </si>
  <si>
    <t>Соколов Данил Игоревич</t>
  </si>
  <si>
    <t>Догадаев Павел Алексеевич</t>
  </si>
  <si>
    <t>Хрулева Аделия Евгеньевна</t>
  </si>
  <si>
    <t>Сергеева Елена Павловна</t>
  </si>
  <si>
    <t>Аллергологические</t>
  </si>
  <si>
    <t>Скебец Мария Сергеевна</t>
  </si>
  <si>
    <t>Пульмонологический</t>
  </si>
  <si>
    <t>Тагиров Артем Сайранович</t>
  </si>
  <si>
    <t>КОРСУН  АНАСТАСИЯ  ЕВГЕНЬЕВНА</t>
  </si>
  <si>
    <t>Степанова Ульяна Александровна</t>
  </si>
  <si>
    <t>Сысоева Ольга Аркадьевна</t>
  </si>
  <si>
    <t>Калугин Тимофей Анатольевич</t>
  </si>
  <si>
    <t>Бянкина Ольга Витальевна</t>
  </si>
  <si>
    <t>Герасимов Василий Антонович</t>
  </si>
  <si>
    <t>Лях Алексей Александрович</t>
  </si>
  <si>
    <t>Масалова Ксения Олеговна</t>
  </si>
  <si>
    <t>Давлятшина Карина Ильнуровна</t>
  </si>
  <si>
    <t>Дорошкевич Александр Сергеевич</t>
  </si>
  <si>
    <t>ВМП ОМС</t>
  </si>
  <si>
    <t>Ветошкина Крастина Юрьевна</t>
  </si>
  <si>
    <t>Зломнова Дарья Сергеевна</t>
  </si>
  <si>
    <t xml:space="preserve">Медицинский центр </t>
  </si>
  <si>
    <t>ОКПО 02067942, ОГРН 1022501297785, ИНН/КПП 2536014538/253601001</t>
  </si>
  <si>
    <t>Медицинская документация</t>
  </si>
  <si>
    <t>Форма N 007/у-02</t>
  </si>
  <si>
    <t>Утверждена приказом</t>
  </si>
  <si>
    <t>Минздрава России</t>
  </si>
  <si>
    <t>от 30.12.2002 г. N 413</t>
  </si>
  <si>
    <t>ЛИСТОК ЕЖЕДНЕВНОГО УЧЕТА ДВИЖЕНИЯ БОЛЬНЫХ И КОЕЧНОГО ФОНДА СТАЦИОНАРА КРУГЛОСУТОЧНОГО ПРЕБЫВАНИЯ</t>
  </si>
  <si>
    <t>Центр здоровья детей. Стационарное отделение педиатрическое</t>
  </si>
  <si>
    <t>Дата</t>
  </si>
  <si>
    <t>Код</t>
  </si>
  <si>
    <t>Фактически развернуто коек, включая койки, свернутые на ремонт</t>
  </si>
  <si>
    <t>В том числе коек, свернутых на ремонт</t>
  </si>
  <si>
    <t>Движение больных за истекшие сутки</t>
  </si>
  <si>
    <t>На начало текущего дня</t>
  </si>
  <si>
    <t>Состояло больных на начало истекших суток</t>
  </si>
  <si>
    <t>Переведено больных внутри            МЦ ДВФУ</t>
  </si>
  <si>
    <t>умерло</t>
  </si>
  <si>
    <t>состоит больных всего</t>
  </si>
  <si>
    <t>состоит матерей при больных детях</t>
  </si>
  <si>
    <t>По источникам финансирования</t>
  </si>
  <si>
    <t>всего</t>
  </si>
  <si>
    <t>в т.ч.</t>
  </si>
  <si>
    <t>Всего</t>
  </si>
  <si>
    <t>в т.ч. из дневного стационара</t>
  </si>
  <si>
    <t>из них (из гр.6)</t>
  </si>
  <si>
    <t>переведенных в другие стационары</t>
  </si>
  <si>
    <t>в дневной стационар</t>
  </si>
  <si>
    <t>сельских жителей</t>
  </si>
  <si>
    <t>0-17 лет</t>
  </si>
  <si>
    <t>60 лет и старше</t>
  </si>
  <si>
    <t>из других отделений</t>
  </si>
  <si>
    <t>в другие отделения</t>
  </si>
  <si>
    <t>Иные источники</t>
  </si>
  <si>
    <t xml:space="preserve">Всего </t>
  </si>
  <si>
    <t>в том числе по койкам:</t>
  </si>
  <si>
    <t>педиатрические соматические</t>
  </si>
  <si>
    <t>аллергологические (детские)</t>
  </si>
  <si>
    <t>оториноларингологические (детские)</t>
  </si>
  <si>
    <t>МИНИСТЕРСТВО ОБРАЗОВАНИЯ И НАУКИ РОССИЙСКОЙ ФЕДЕРАЦИИ</t>
  </si>
  <si>
    <t xml:space="preserve">Федеральное государственное автономное образовательное учреждение высшего </t>
  </si>
  <si>
    <t xml:space="preserve">профессионального образования </t>
  </si>
  <si>
    <t xml:space="preserve">«Дальневосточный федеральный университет» (ДВФУ) </t>
  </si>
  <si>
    <t xml:space="preserve">Суханова ул., д.8, г. Владивосток, 690950, </t>
  </si>
  <si>
    <t xml:space="preserve">Телефон (423) 2433472, Факс (423) 2432315 </t>
  </si>
  <si>
    <t>в круглос-ый стационар</t>
  </si>
  <si>
    <t>эндокринологические      для детей</t>
  </si>
  <si>
    <t>пульмонологические                     (детские)</t>
  </si>
  <si>
    <t>Сводка</t>
  </si>
  <si>
    <t>Травматолого-ортопедическая</t>
  </si>
  <si>
    <t>Педиатрическая</t>
  </si>
  <si>
    <t>кардиологические                  для детей</t>
  </si>
  <si>
    <r>
      <t>Выписано</t>
    </r>
    <r>
      <rPr>
        <vertAlign val="superscript"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 xml:space="preserve"> больных</t>
    </r>
  </si>
  <si>
    <t>Подпись администратора Центра:</t>
  </si>
  <si>
    <t>П.А. Гуйдя</t>
  </si>
  <si>
    <r>
      <rPr>
        <vertAlign val="superscript"/>
        <sz val="8"/>
        <color theme="1"/>
        <rFont val="Calibri"/>
        <family val="2"/>
        <charset val="204"/>
        <scheme val="minor"/>
      </rPr>
      <t xml:space="preserve">1 </t>
    </r>
    <r>
      <rPr>
        <sz val="8"/>
        <color theme="1"/>
        <rFont val="Calibri"/>
        <family val="2"/>
        <charset val="204"/>
        <scheme val="minor"/>
      </rPr>
      <t>При поступлении больного из круглосуточного стационара в дневной и наоборот считать больного как выписанного и вновь поступившего</t>
    </r>
  </si>
  <si>
    <r>
      <t xml:space="preserve">Поступило больных </t>
    </r>
    <r>
      <rPr>
        <vertAlign val="superscript"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 xml:space="preserve">                   (без переведенных внутри МЦ ДВФУ)</t>
    </r>
  </si>
  <si>
    <t xml:space="preserve">Профиль койки </t>
  </si>
  <si>
    <t>Фамилия, и., о поступивших</t>
  </si>
  <si>
    <t>Фамилия, и., о. Переведенных</t>
  </si>
  <si>
    <t>в другие отделения МЦ ДВФУ</t>
  </si>
  <si>
    <t>в другие стационары</t>
  </si>
  <si>
    <r>
      <t xml:space="preserve">Фамилия, и., о. больных,  находящихся во временном отпуске 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</si>
  <si>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 xml:space="preserve">Источник финансирования поступивших </t>
    </r>
    <r>
      <rPr>
        <b/>
        <sz val="10"/>
        <color theme="1"/>
        <rFont val="Calibri"/>
        <family val="2"/>
        <charset val="204"/>
        <scheme val="minor"/>
      </rPr>
      <t>(ОМС, ВМП-ОМС, ВМП, платно)</t>
    </r>
  </si>
  <si>
    <r>
      <t xml:space="preserve">Фамилия, и., о. выписанных </t>
    </r>
    <r>
      <rPr>
        <b/>
        <sz val="10"/>
        <color theme="1"/>
        <rFont val="Calibri"/>
        <family val="2"/>
        <charset val="204"/>
        <scheme val="minor"/>
      </rPr>
      <t>(ОМС, ВМП-ОМС, ВМП, платно)</t>
    </r>
  </si>
  <si>
    <r>
      <t xml:space="preserve">Фамилия, и., о. умерших </t>
    </r>
    <r>
      <rPr>
        <b/>
        <sz val="10"/>
        <color theme="1"/>
        <rFont val="Calibri"/>
        <family val="2"/>
        <charset val="204"/>
        <scheme val="minor"/>
      </rPr>
      <t>(ОМС, ВМП-ОМС, ВМП, платно)</t>
    </r>
  </si>
  <si>
    <r>
      <rPr>
        <vertAlign val="superscript"/>
        <sz val="8"/>
        <color theme="1"/>
        <rFont val="Calibri"/>
        <family val="2"/>
        <charset val="204"/>
        <scheme val="minor"/>
      </rPr>
      <t>2</t>
    </r>
    <r>
      <rPr>
        <sz val="8"/>
        <color theme="1"/>
        <rFont val="Calibri"/>
        <family val="2"/>
        <charset val="204"/>
        <scheme val="minor"/>
      </rPr>
      <t xml:space="preserve"> Подсчитывается при подсчете койко-дней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</si>
</sst>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8"/>
      <color theme="1"/>
      <name val="Courier New"/>
      <family val="3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14" fontId="0" fillId="0" borderId="0" xfId="0" applyNumberFormat="1"/>
    <xf numFmtId="0" fontId="18" fillId="0" borderId="0" xfId="0" applyFont="1"/>
    <xf numFmtId="0" fontId="22" fillId="0" borderId="0" xfId="0" applyFont="1"/>
    <xf numFmtId="0" fontId="0" fillId="0" borderId="0" xfId="0" applyFont="1"/>
    <xf numFmtId="0" fontId="23" fillId="0" borderId="0" xfId="0" applyFont="1" applyAlignment="1">
      <alignment horizontal="right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wrapText="1"/>
    </xf>
    <xf numFmtId="14" fontId="22" fillId="0" borderId="0" xfId="0" applyNumberFormat="1" applyFont="1"/>
    <xf numFmtId="0" fontId="22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 applyAlignment="1"/>
    <xf numFmtId="49" fontId="0" fillId="0" borderId="0" xfId="0" applyNumberFormat="1" applyFill="1"/>
    <xf numFmtId="0" fontId="0" fillId="0" borderId="0" xfId="0" applyNumberFormat="1" applyFill="1"/>
    <xf numFmtId="0" fontId="22" fillId="0" borderId="0" xfId="0" applyFont="1" applyAlignment="1">
      <alignment horizontal="center" vertical="center" wrapText="1"/>
    </xf>
    <xf numFmtId="0" fontId="0" fillId="0" borderId="26" xfId="0" applyBorder="1"/>
    <xf numFmtId="0" fontId="0" fillId="0" borderId="0" xfId="0" applyAlignment="1"/>
    <xf numFmtId="0" fontId="0" fillId="0" borderId="10" xfId="0" applyBorder="1" applyAlignment="1">
      <alignment horizontal="center"/>
    </xf>
    <xf numFmtId="0" fontId="0" fillId="0" borderId="10" xfId="0" applyBorder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textRotation="90" wrapText="1"/>
    </xf>
    <xf numFmtId="0" fontId="22" fillId="0" borderId="12" xfId="0" applyFont="1" applyBorder="1" applyAlignment="1">
      <alignment horizontal="center" vertical="center" textRotation="90" wrapText="1"/>
    </xf>
    <xf numFmtId="0" fontId="22" fillId="0" borderId="13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22" fillId="0" borderId="25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22" fillId="0" borderId="2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22" xfId="0" applyFont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11" xfId="0" applyFont="1" applyBorder="1" applyAlignment="1">
      <alignment horizontal="right" vertical="center" textRotation="90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0" xfId="0" applyFont="1" applyAlignment="1"/>
    <xf numFmtId="0" fontId="0" fillId="0" borderId="0" xfId="0" applyAlignment="1"/>
    <xf numFmtId="0" fontId="26" fillId="0" borderId="0" xfId="42" applyFont="1" applyAlignment="1">
      <alignment horizontal="left"/>
    </xf>
    <xf numFmtId="0" fontId="22" fillId="0" borderId="21" xfId="0" applyFont="1" applyBorder="1" applyAlignment="1">
      <alignment vertical="center" wrapText="1"/>
    </xf>
    <xf numFmtId="0" fontId="0" fillId="0" borderId="14" xfId="0" applyBorder="1" applyAlignment="1"/>
    <xf numFmtId="0" fontId="23" fillId="0" borderId="0" xfId="0" applyFont="1" applyFill="1" applyBorder="1" applyAlignment="1"/>
    <xf numFmtId="0" fontId="23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wrapText="1"/>
    </xf>
    <xf numFmtId="0" fontId="0" fillId="0" borderId="15" xfId="0" applyBorder="1" applyAlignment="1"/>
    <xf numFmtId="0" fontId="0" fillId="0" borderId="24" xfId="0" applyBorder="1" applyAlignment="1"/>
    <xf numFmtId="0" fontId="0" fillId="0" borderId="16" xfId="0" applyBorder="1" applyAlignment="1"/>
    <xf numFmtId="0" fontId="22" fillId="0" borderId="24" xfId="0" applyFont="1" applyBorder="1" applyAlignment="1"/>
    <xf numFmtId="0" fontId="0" fillId="0" borderId="23" xfId="0" applyBorder="1" applyAlignment="1"/>
    <xf numFmtId="0" fontId="0" fillId="0" borderId="17" xfId="0" applyBorder="1" applyAlignment="1"/>
    <xf numFmtId="0" fontId="24" fillId="0" borderId="21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2" fillId="0" borderId="22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2" fillId="0" borderId="15" xfId="42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/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1" xfId="0" applyBorder="1" applyAlignment="1"/>
    <xf numFmtId="0" fontId="0" fillId="0" borderId="18" xfId="0" applyBorder="1" applyAlignme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"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15">
    <queryTableFields count="9">
      <queryTableField id="2" name="Дата поступления" tableColumnId="1"/>
      <queryTableField id="1" name="ФИО" tableColumnId="2"/>
      <queryTableField id="3" name="Мама" tableColumnId="3"/>
      <queryTableField id="5" name="Номер истории" tableColumnId="4"/>
      <queryTableField id="4" name="Профиль" tableColumnId="5"/>
      <queryTableField id="8" name="Источник финансирования" tableColumnId="7"/>
      <queryTableField id="7" name="Дата выписки" tableColumnId="8"/>
      <queryTableField id="9" name="История в статистике" tableColumnId="9"/>
      <queryTableField id="14" name="Сводка" tableColumnId="11"/>
    </queryTableFields>
    <queryTableDeletedFields count="4">
      <deletedField name="Тип элемента"/>
      <deletedField name="Лечащий врач"/>
      <deletedField name="Путь"/>
      <deletedField name="Примечание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owssvr" displayName="Таблица_owssvr" ref="A1:I23" tableType="queryTable" totalsRowShown="0" headerRowDxfId="10" dataDxfId="9">
  <autoFilter ref="A1:I23"/>
  <tableColumns count="9">
    <tableColumn id="1" uniqueName="_x005f_x0414__x005f_x0430__x005f_x0442__x005f_x0430__x00" name="Дата поступления" queryTableFieldId="2" dataDxfId="8"/>
    <tableColumn id="2" uniqueName="Title" name="ФИО" queryTableFieldId="1" dataDxfId="7"/>
    <tableColumn id="3" uniqueName="_x005f_x041c__x005f_x0430__x005f_x043c__x005f_x0430_" name="Мама" queryTableFieldId="3" dataDxfId="6"/>
    <tableColumn id="4" uniqueName="_x005f_x041d__x005f_x043e__x005f_x043c__x005f_x0435__x04" name="Номер истории" queryTableFieldId="5" dataDxfId="5"/>
    <tableColumn id="5" uniqueName="_x005f_x041f__x005f_x0440__x005f_x043e__x005f_x0444__x04" name="Профиль" queryTableFieldId="4" dataDxfId="4"/>
    <tableColumn id="7" uniqueName="_x005f_x0418__x005f_x0441__x005f_x0442__x005f_x043e__x04" name="Источник финансирования" queryTableFieldId="8" dataDxfId="3"/>
    <tableColumn id="8" uniqueName="_x005f_x0414__x005f_x0430__x005f_x0442__x005f_x0430__x000" name="Дата выписки" queryTableFieldId="7" dataDxfId="2"/>
    <tableColumn id="9" uniqueName="_x005f_x0418__x005f_x0441__x005f_x0442__x005f_x043e__x040" name="История в статистике" queryTableFieldId="9" dataDxfId="1"/>
    <tableColumn id="11" uniqueName="_x005f_x0421__x005f_x0432__x005f_x043e__x005f_x0434__x04" name="Сводка" queryTableFieldId="1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6"/>
  <sheetViews>
    <sheetView workbookViewId="0">
      <selection activeCell="B30" sqref="B30"/>
    </sheetView>
  </sheetViews>
  <sheetFormatPr defaultRowHeight="15" x14ac:dyDescent="0.25"/>
  <cols>
    <col min="1" max="1" width="20" customWidth="1"/>
    <col min="2" max="2" width="33.85546875" customWidth="1"/>
    <col min="3" max="3" width="8.7109375" bestFit="1" customWidth="1"/>
    <col min="4" max="4" width="17.5703125" bestFit="1" customWidth="1"/>
    <col min="5" max="5" width="21" customWidth="1"/>
    <col min="6" max="6" width="28.28515625" customWidth="1"/>
    <col min="7" max="7" width="16" bestFit="1" customWidth="1"/>
    <col min="8" max="8" width="22.7109375" customWidth="1"/>
    <col min="9" max="9" width="30" bestFit="1" customWidth="1"/>
  </cols>
  <sheetData>
    <row r="1" spans="1:9" s="11" customFormat="1" x14ac:dyDescent="0.25">
      <c r="A1" s="11" t="s">
        <v>1</v>
      </c>
      <c r="B1" s="11" t="s">
        <v>0</v>
      </c>
      <c r="C1" s="11" t="s">
        <v>2</v>
      </c>
      <c r="D1" s="11" t="s">
        <v>4</v>
      </c>
      <c r="E1" s="11" t="s">
        <v>3</v>
      </c>
      <c r="F1" s="11" t="s">
        <v>6</v>
      </c>
      <c r="G1" s="11" t="s">
        <v>5</v>
      </c>
      <c r="H1" s="11" t="s">
        <v>7</v>
      </c>
      <c r="I1" s="11" t="s">
        <v>88</v>
      </c>
    </row>
    <row r="2" spans="1:9" s="11" customFormat="1" x14ac:dyDescent="0.25">
      <c r="A2" s="12">
        <v>41911</v>
      </c>
      <c r="B2" s="13" t="s">
        <v>8</v>
      </c>
      <c r="C2" s="14" t="s">
        <v>9</v>
      </c>
      <c r="D2" s="15">
        <v>5224</v>
      </c>
      <c r="E2" s="14" t="s">
        <v>10</v>
      </c>
      <c r="F2" s="14" t="s">
        <v>11</v>
      </c>
      <c r="G2" s="12">
        <v>41922</v>
      </c>
      <c r="H2" s="14" t="s">
        <v>9</v>
      </c>
      <c r="I2" s="13" t="s">
        <v>89</v>
      </c>
    </row>
    <row r="3" spans="1:9" s="11" customFormat="1" x14ac:dyDescent="0.25">
      <c r="A3" s="12">
        <v>41912</v>
      </c>
      <c r="B3" s="13" t="s">
        <v>12</v>
      </c>
      <c r="C3" s="14" t="s">
        <v>9</v>
      </c>
      <c r="D3" s="15">
        <v>5285</v>
      </c>
      <c r="E3" s="14" t="s">
        <v>13</v>
      </c>
      <c r="F3" s="14" t="s">
        <v>14</v>
      </c>
      <c r="G3" s="12">
        <v>41922</v>
      </c>
      <c r="H3" s="14" t="s">
        <v>9</v>
      </c>
      <c r="I3" s="13" t="s">
        <v>90</v>
      </c>
    </row>
    <row r="4" spans="1:9" s="11" customFormat="1" x14ac:dyDescent="0.25">
      <c r="A4" s="12">
        <v>41913</v>
      </c>
      <c r="B4" s="13" t="s">
        <v>15</v>
      </c>
      <c r="C4" s="14" t="s">
        <v>16</v>
      </c>
      <c r="D4" s="15">
        <v>5296</v>
      </c>
      <c r="E4" s="14" t="s">
        <v>17</v>
      </c>
      <c r="F4" s="14" t="s">
        <v>14</v>
      </c>
      <c r="G4" s="12">
        <v>41922</v>
      </c>
      <c r="H4" s="14" t="s">
        <v>9</v>
      </c>
      <c r="I4" s="13" t="s">
        <v>90</v>
      </c>
    </row>
    <row r="5" spans="1:9" s="11" customFormat="1" x14ac:dyDescent="0.25">
      <c r="A5" s="12">
        <v>41914</v>
      </c>
      <c r="B5" s="13" t="s">
        <v>18</v>
      </c>
      <c r="C5" s="14" t="s">
        <v>9</v>
      </c>
      <c r="D5" s="15">
        <v>5367</v>
      </c>
      <c r="E5" s="14" t="s">
        <v>10</v>
      </c>
      <c r="F5" s="14" t="s">
        <v>14</v>
      </c>
      <c r="G5" s="12">
        <v>41923</v>
      </c>
      <c r="H5" s="14" t="s">
        <v>9</v>
      </c>
      <c r="I5" s="13" t="s">
        <v>89</v>
      </c>
    </row>
    <row r="6" spans="1:9" s="11" customFormat="1" x14ac:dyDescent="0.25">
      <c r="A6" s="12">
        <v>41914</v>
      </c>
      <c r="B6" s="13" t="s">
        <v>19</v>
      </c>
      <c r="C6" s="14" t="s">
        <v>16</v>
      </c>
      <c r="D6" s="15">
        <v>5343</v>
      </c>
      <c r="E6" s="14" t="s">
        <v>10</v>
      </c>
      <c r="F6" s="14" t="s">
        <v>11</v>
      </c>
      <c r="G6" s="12">
        <v>41922</v>
      </c>
      <c r="H6" s="14" t="s">
        <v>9</v>
      </c>
      <c r="I6" s="13" t="s">
        <v>89</v>
      </c>
    </row>
    <row r="7" spans="1:9" s="11" customFormat="1" x14ac:dyDescent="0.25">
      <c r="A7" s="12">
        <v>41915</v>
      </c>
      <c r="B7" s="13" t="s">
        <v>20</v>
      </c>
      <c r="C7" s="14" t="s">
        <v>9</v>
      </c>
      <c r="D7" s="15">
        <v>5389</v>
      </c>
      <c r="E7" s="14" t="s">
        <v>10</v>
      </c>
      <c r="F7" s="14" t="s">
        <v>11</v>
      </c>
      <c r="G7" s="12"/>
      <c r="H7" s="14" t="s">
        <v>9</v>
      </c>
      <c r="I7" s="13" t="s">
        <v>89</v>
      </c>
    </row>
    <row r="8" spans="1:9" s="11" customFormat="1" x14ac:dyDescent="0.25">
      <c r="A8" s="12">
        <v>41915</v>
      </c>
      <c r="B8" s="13" t="s">
        <v>21</v>
      </c>
      <c r="C8" s="14" t="s">
        <v>16</v>
      </c>
      <c r="D8" s="15">
        <v>5396</v>
      </c>
      <c r="E8" s="14" t="s">
        <v>17</v>
      </c>
      <c r="F8" s="14" t="s">
        <v>14</v>
      </c>
      <c r="G8" s="12">
        <v>41922</v>
      </c>
      <c r="H8" s="14" t="s">
        <v>9</v>
      </c>
      <c r="I8" s="13" t="s">
        <v>90</v>
      </c>
    </row>
    <row r="9" spans="1:9" s="11" customFormat="1" x14ac:dyDescent="0.25">
      <c r="A9" s="12">
        <v>41917</v>
      </c>
      <c r="B9" s="13" t="s">
        <v>22</v>
      </c>
      <c r="C9" s="14" t="s">
        <v>9</v>
      </c>
      <c r="D9" s="15">
        <v>5398</v>
      </c>
      <c r="E9" s="14" t="s">
        <v>23</v>
      </c>
      <c r="F9" s="14" t="s">
        <v>14</v>
      </c>
      <c r="G9" s="12"/>
      <c r="H9" s="14" t="s">
        <v>9</v>
      </c>
      <c r="I9" s="13" t="s">
        <v>90</v>
      </c>
    </row>
    <row r="10" spans="1:9" s="11" customFormat="1" x14ac:dyDescent="0.25">
      <c r="A10" s="12">
        <v>41915</v>
      </c>
      <c r="B10" s="13" t="s">
        <v>24</v>
      </c>
      <c r="C10" s="14" t="s">
        <v>9</v>
      </c>
      <c r="D10" s="15">
        <v>5401</v>
      </c>
      <c r="E10" s="14" t="s">
        <v>25</v>
      </c>
      <c r="F10" s="14" t="s">
        <v>14</v>
      </c>
      <c r="G10" s="12">
        <v>41922</v>
      </c>
      <c r="H10" s="14" t="s">
        <v>9</v>
      </c>
      <c r="I10" s="13" t="s">
        <v>90</v>
      </c>
    </row>
    <row r="11" spans="1:9" s="11" customFormat="1" x14ac:dyDescent="0.25">
      <c r="A11" s="12">
        <v>41918</v>
      </c>
      <c r="B11" s="13" t="s">
        <v>26</v>
      </c>
      <c r="C11" s="14" t="s">
        <v>9</v>
      </c>
      <c r="D11" s="15">
        <v>5454</v>
      </c>
      <c r="E11" s="14" t="s">
        <v>13</v>
      </c>
      <c r="F11" s="14" t="s">
        <v>14</v>
      </c>
      <c r="G11" s="12">
        <v>41923</v>
      </c>
      <c r="H11" s="14" t="s">
        <v>9</v>
      </c>
      <c r="I11" s="13" t="s">
        <v>90</v>
      </c>
    </row>
    <row r="12" spans="1:9" s="11" customFormat="1" x14ac:dyDescent="0.25">
      <c r="A12" s="12">
        <v>41919</v>
      </c>
      <c r="B12" s="13" t="s">
        <v>27</v>
      </c>
      <c r="C12" s="14" t="s">
        <v>9</v>
      </c>
      <c r="D12" s="15">
        <v>5456</v>
      </c>
      <c r="E12" s="14" t="s">
        <v>10</v>
      </c>
      <c r="F12" s="14" t="s">
        <v>11</v>
      </c>
      <c r="G12" s="12"/>
      <c r="H12" s="14" t="s">
        <v>9</v>
      </c>
      <c r="I12" s="13" t="s">
        <v>89</v>
      </c>
    </row>
    <row r="13" spans="1:9" s="11" customFormat="1" x14ac:dyDescent="0.25">
      <c r="A13" s="12">
        <v>41920</v>
      </c>
      <c r="B13" s="13" t="s">
        <v>28</v>
      </c>
      <c r="C13" s="14" t="s">
        <v>9</v>
      </c>
      <c r="D13" s="15">
        <v>5520</v>
      </c>
      <c r="E13" s="14" t="s">
        <v>23</v>
      </c>
      <c r="F13" s="14" t="s">
        <v>11</v>
      </c>
      <c r="G13" s="12">
        <v>41922</v>
      </c>
      <c r="H13" s="14" t="s">
        <v>9</v>
      </c>
      <c r="I13" s="13" t="s">
        <v>90</v>
      </c>
    </row>
    <row r="14" spans="1:9" s="11" customFormat="1" x14ac:dyDescent="0.25">
      <c r="A14" s="12">
        <v>41920</v>
      </c>
      <c r="B14" s="13" t="s">
        <v>29</v>
      </c>
      <c r="C14" s="14" t="s">
        <v>9</v>
      </c>
      <c r="D14" s="15">
        <v>5521</v>
      </c>
      <c r="E14" s="14" t="s">
        <v>23</v>
      </c>
      <c r="F14" s="14" t="s">
        <v>11</v>
      </c>
      <c r="G14" s="12">
        <v>41922</v>
      </c>
      <c r="H14" s="14" t="s">
        <v>9</v>
      </c>
      <c r="I14" s="13" t="s">
        <v>90</v>
      </c>
    </row>
    <row r="15" spans="1:9" s="11" customFormat="1" x14ac:dyDescent="0.25">
      <c r="A15" s="12">
        <v>41920</v>
      </c>
      <c r="B15" s="13" t="s">
        <v>30</v>
      </c>
      <c r="C15" s="14" t="s">
        <v>16</v>
      </c>
      <c r="D15" s="15">
        <v>5541</v>
      </c>
      <c r="E15" s="14" t="s">
        <v>17</v>
      </c>
      <c r="F15" s="14" t="s">
        <v>14</v>
      </c>
      <c r="G15" s="12"/>
      <c r="H15" s="14" t="s">
        <v>9</v>
      </c>
      <c r="I15" s="13" t="s">
        <v>90</v>
      </c>
    </row>
    <row r="16" spans="1:9" s="11" customFormat="1" x14ac:dyDescent="0.25">
      <c r="A16" s="12">
        <v>41920</v>
      </c>
      <c r="B16" s="13" t="s">
        <v>31</v>
      </c>
      <c r="C16" s="14" t="s">
        <v>9</v>
      </c>
      <c r="D16" s="15">
        <v>5544</v>
      </c>
      <c r="E16" s="14" t="s">
        <v>10</v>
      </c>
      <c r="F16" s="14" t="s">
        <v>14</v>
      </c>
      <c r="G16" s="12">
        <v>41926</v>
      </c>
      <c r="H16" s="14" t="s">
        <v>9</v>
      </c>
      <c r="I16" s="13" t="s">
        <v>89</v>
      </c>
    </row>
    <row r="17" spans="1:9" s="11" customFormat="1" x14ac:dyDescent="0.25">
      <c r="A17" s="12">
        <v>41920</v>
      </c>
      <c r="B17" s="13" t="s">
        <v>32</v>
      </c>
      <c r="C17" s="14" t="s">
        <v>16</v>
      </c>
      <c r="D17" s="15">
        <v>5556</v>
      </c>
      <c r="E17" s="14" t="s">
        <v>17</v>
      </c>
      <c r="F17" s="14" t="s">
        <v>14</v>
      </c>
      <c r="G17" s="12"/>
      <c r="H17" s="14" t="s">
        <v>9</v>
      </c>
      <c r="I17" s="13" t="s">
        <v>90</v>
      </c>
    </row>
    <row r="18" spans="1:9" s="11" customFormat="1" x14ac:dyDescent="0.25">
      <c r="A18" s="12">
        <v>41921</v>
      </c>
      <c r="B18" s="13" t="s">
        <v>33</v>
      </c>
      <c r="C18" s="14" t="s">
        <v>9</v>
      </c>
      <c r="D18" s="15">
        <v>5589</v>
      </c>
      <c r="E18" s="14" t="s">
        <v>13</v>
      </c>
      <c r="F18" s="14" t="s">
        <v>14</v>
      </c>
      <c r="G18" s="12"/>
      <c r="H18" s="14" t="s">
        <v>9</v>
      </c>
      <c r="I18" s="13" t="s">
        <v>90</v>
      </c>
    </row>
    <row r="19" spans="1:9" s="11" customFormat="1" x14ac:dyDescent="0.25">
      <c r="A19" s="12">
        <v>41921</v>
      </c>
      <c r="B19" s="13" t="s">
        <v>34</v>
      </c>
      <c r="C19" s="14" t="s">
        <v>9</v>
      </c>
      <c r="D19" s="15">
        <v>5588</v>
      </c>
      <c r="E19" s="14" t="s">
        <v>13</v>
      </c>
      <c r="F19" s="14" t="s">
        <v>14</v>
      </c>
      <c r="G19" s="12"/>
      <c r="H19" s="14" t="s">
        <v>9</v>
      </c>
      <c r="I19" s="13" t="s">
        <v>90</v>
      </c>
    </row>
    <row r="20" spans="1:9" s="11" customFormat="1" x14ac:dyDescent="0.25">
      <c r="A20" s="12">
        <v>41921</v>
      </c>
      <c r="B20" s="13" t="s">
        <v>35</v>
      </c>
      <c r="C20" s="14" t="s">
        <v>16</v>
      </c>
      <c r="D20" s="15">
        <v>5571</v>
      </c>
      <c r="E20" s="14" t="s">
        <v>17</v>
      </c>
      <c r="F20" s="14" t="s">
        <v>14</v>
      </c>
      <c r="G20" s="12"/>
      <c r="H20" s="14" t="s">
        <v>9</v>
      </c>
      <c r="I20" s="13" t="s">
        <v>90</v>
      </c>
    </row>
    <row r="21" spans="1:9" s="11" customFormat="1" x14ac:dyDescent="0.25">
      <c r="A21" s="12">
        <v>41921</v>
      </c>
      <c r="B21" s="13" t="s">
        <v>36</v>
      </c>
      <c r="C21" s="14" t="s">
        <v>9</v>
      </c>
      <c r="D21" s="15">
        <v>5557</v>
      </c>
      <c r="E21" s="14" t="s">
        <v>10</v>
      </c>
      <c r="F21" s="14" t="s">
        <v>37</v>
      </c>
      <c r="G21" s="12"/>
      <c r="H21" s="14" t="s">
        <v>9</v>
      </c>
      <c r="I21" s="13" t="s">
        <v>89</v>
      </c>
    </row>
    <row r="22" spans="1:9" s="11" customFormat="1" x14ac:dyDescent="0.25">
      <c r="A22" s="12">
        <v>41922</v>
      </c>
      <c r="B22" s="13" t="s">
        <v>38</v>
      </c>
      <c r="C22" s="14" t="s">
        <v>9</v>
      </c>
      <c r="D22" s="15">
        <v>5599</v>
      </c>
      <c r="E22" s="14" t="s">
        <v>13</v>
      </c>
      <c r="F22" s="14" t="s">
        <v>11</v>
      </c>
      <c r="G22" s="12"/>
      <c r="H22" s="14" t="s">
        <v>9</v>
      </c>
      <c r="I22" s="13" t="s">
        <v>90</v>
      </c>
    </row>
    <row r="23" spans="1:9" s="11" customFormat="1" x14ac:dyDescent="0.25">
      <c r="A23" s="12">
        <v>41922</v>
      </c>
      <c r="B23" s="13" t="s">
        <v>39</v>
      </c>
      <c r="C23" s="14" t="s">
        <v>9</v>
      </c>
      <c r="D23" s="15">
        <v>5598</v>
      </c>
      <c r="E23" s="14" t="s">
        <v>10</v>
      </c>
      <c r="F23" s="14" t="s">
        <v>11</v>
      </c>
      <c r="G23" s="12"/>
      <c r="H23" s="14" t="s">
        <v>9</v>
      </c>
      <c r="I23" s="13" t="s">
        <v>89</v>
      </c>
    </row>
    <row r="24" spans="1:9" s="11" customFormat="1" x14ac:dyDescent="0.25">
      <c r="A24"/>
      <c r="B24"/>
      <c r="C24"/>
      <c r="D24"/>
      <c r="E24"/>
      <c r="F24"/>
      <c r="G24"/>
      <c r="H24"/>
      <c r="I24"/>
    </row>
    <row r="25" spans="1:9" s="11" customFormat="1" x14ac:dyDescent="0.25">
      <c r="A25"/>
      <c r="B25"/>
      <c r="C25"/>
      <c r="D25"/>
      <c r="E25"/>
      <c r="F25"/>
      <c r="G25"/>
      <c r="H25"/>
      <c r="I25"/>
    </row>
    <row r="26" spans="1:9" s="11" customFormat="1" x14ac:dyDescent="0.25">
      <c r="A26"/>
      <c r="B26"/>
      <c r="C26"/>
      <c r="D26"/>
      <c r="E26"/>
      <c r="F26"/>
      <c r="G26"/>
      <c r="H26"/>
      <c r="I26"/>
    </row>
    <row r="27" spans="1:9" s="11" customFormat="1" x14ac:dyDescent="0.25">
      <c r="A27"/>
      <c r="B27"/>
      <c r="C27"/>
      <c r="D27"/>
      <c r="E27"/>
      <c r="F27"/>
      <c r="G27"/>
      <c r="H27"/>
      <c r="I27"/>
    </row>
    <row r="28" spans="1:9" x14ac:dyDescent="0.25">
      <c r="E28" s="1"/>
    </row>
    <row r="30" spans="1:9" x14ac:dyDescent="0.25">
      <c r="B30" t="str">
        <f t="array" aca="1" ref="B30" ca="1">INDEX(Таблица_owssvr[ФИО],SMALL(IF((Таблица_owssvr[Сводка]="Педиатрическая")*((Таблица_owssvr[Дата поступления]=TODAY())+(Таблица_owssvr[Дата поступления]=TODAY()-1)),ROW(Таблица_owssvr[Дата поступления])),ROW(owssvr!A1))-1)</f>
        <v>Ветошкина Крастина Юрьевна</v>
      </c>
    </row>
    <row r="31" spans="1:9" x14ac:dyDescent="0.25">
      <c r="B31" t="e">
        <f t="array" aca="1" ref="B31" ca="1">INDEX(Таблица_owssvr[ФИО],SMALL(IF((Таблица_owssvr[Сводка]="Педиатрическая")*((Таблица_owssvr[Дата поступления]=TODAY())+(Таблица_owssvr[Дата поступления]=TODAY()-1)),ROW(Таблица_owssvr[Дата поступления])),ROW(owssvr!A2))-1)</f>
        <v>#NUM!</v>
      </c>
    </row>
    <row r="32" spans="1:9" x14ac:dyDescent="0.25">
      <c r="B32" t="e">
        <f t="array" aca="1" ref="B32" ca="1">INDEX(Таблица_owssvr[ФИО],SMALL(IF((Таблица_owssvr[Сводка]="Педиатрическая")*((Таблица_owssvr[Дата поступления]=TODAY())+(Таблица_owssvr[Дата поступления]=TODAY()-1)),ROW(Таблица_owssvr[Дата поступления])),ROW(owssvr!A3))-1)</f>
        <v>#NUM!</v>
      </c>
    </row>
    <row r="33" spans="2:4" x14ac:dyDescent="0.25">
      <c r="B33" t="e">
        <f t="array" aca="1" ref="B33" ca="1">INDEX(Таблица_owssvr[ФИО],SMALL(IF((Таблица_owssvr[Сводка]="Педиатрическая")*((Таблица_owssvr[Дата поступления]=TODAY())+(Таблица_owssvr[Дата поступления]=TODAY()-1)),ROW(Таблица_owssvr[Дата поступления])),ROW(owssvr!A4))-1)</f>
        <v>#NUM!</v>
      </c>
      <c r="D33" s="1"/>
    </row>
    <row r="34" spans="2:4" x14ac:dyDescent="0.25">
      <c r="B34" t="e">
        <f t="array" aca="1" ref="B34" ca="1">INDEX(Таблица_owssvr[ФИО],SMALL(IF((Таблица_owssvr[Сводка]="Педиатрическая")*((Таблица_owssvr[Дата поступления]=TODAY())+(Таблица_owssvr[Дата поступления]=TODAY()-1)),ROW(Таблица_owssvr[Дата поступления])),ROW(owssvr!A5))-1)</f>
        <v>#NUM!</v>
      </c>
    </row>
    <row r="35" spans="2:4" x14ac:dyDescent="0.25">
      <c r="B35" t="e">
        <f t="array" aca="1" ref="B35" ca="1">INDEX(Таблица_owssvr[ФИО],SMALL(IF((Таблица_owssvr[Сводка]="Педиатрическая")*((Таблица_owssvr[Дата поступления]=TODAY())+(Таблица_owssvr[Дата поступления]=TODAY()-1)),ROW(Таблица_owssvr[Дата поступления])),ROW(owssvr!A6))-1)</f>
        <v>#NUM!</v>
      </c>
    </row>
    <row r="36" spans="2:4" x14ac:dyDescent="0.25">
      <c r="B36" t="e">
        <f t="array" aca="1" ref="B36" ca="1">INDEX(Таблица_owssvr[ФИО],SMALL(IF((Таблица_owssvr[Сводка]="Педиатрическая")*((Таблица_owssvr[Дата поступления]=TODAY())+(Таблица_owssvr[Дата поступления]=TODAY()-1)),ROW(Таблица_owssvr[Дата поступления])),ROW(owssvr!A7))-1)</f>
        <v>#NUM!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55"/>
  <sheetViews>
    <sheetView showZeros="0" tabSelected="1" view="pageBreakPreview" topLeftCell="A19" zoomScale="115" zoomScaleNormal="100" zoomScaleSheetLayoutView="115" workbookViewId="0">
      <selection activeCell="B30" sqref="B30:D30"/>
    </sheetView>
  </sheetViews>
  <sheetFormatPr defaultRowHeight="15" x14ac:dyDescent="0.25"/>
  <cols>
    <col min="2" max="2" width="14.140625" customWidth="1"/>
    <col min="3" max="3" width="5.7109375" customWidth="1"/>
    <col min="4" max="4" width="6.85546875" customWidth="1"/>
    <col min="5" max="5" width="4.85546875" customWidth="1"/>
    <col min="6" max="6" width="5" customWidth="1"/>
    <col min="7" max="7" width="3.7109375" customWidth="1"/>
    <col min="8" max="8" width="5.28515625" customWidth="1"/>
    <col min="9" max="9" width="5.7109375" customWidth="1"/>
    <col min="10" max="10" width="4.85546875" customWidth="1"/>
    <col min="11" max="11" width="5.28515625" customWidth="1"/>
    <col min="12" max="12" width="5.42578125" customWidth="1"/>
    <col min="13" max="13" width="6.5703125" customWidth="1"/>
    <col min="14" max="14" width="7" customWidth="1"/>
    <col min="15" max="15" width="6.85546875" customWidth="1"/>
    <col min="16" max="16" width="7" customWidth="1"/>
    <col min="17" max="17" width="5.28515625" customWidth="1"/>
    <col min="18" max="18" width="4.28515625" customWidth="1"/>
    <col min="19" max="19" width="5.7109375" customWidth="1"/>
    <col min="20" max="20" width="5.140625" customWidth="1"/>
    <col min="21" max="21" width="5" customWidth="1"/>
    <col min="22" max="23" width="4.42578125" customWidth="1"/>
    <col min="24" max="24" width="5" customWidth="1"/>
  </cols>
  <sheetData>
    <row r="1" spans="1:24" ht="11.25" customHeight="1" x14ac:dyDescent="0.25">
      <c r="A1" s="49" t="s">
        <v>79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"/>
      <c r="Q1" s="4"/>
      <c r="R1" s="4"/>
      <c r="S1" s="4"/>
      <c r="T1" s="4"/>
      <c r="V1" s="5" t="s">
        <v>42</v>
      </c>
      <c r="W1" s="4"/>
      <c r="X1" s="4"/>
    </row>
    <row r="2" spans="1:24" ht="11.1" customHeight="1" x14ac:dyDescent="0.25">
      <c r="A2" s="49" t="s">
        <v>80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4"/>
      <c r="Q2" s="4"/>
      <c r="R2" s="4"/>
      <c r="S2" s="4"/>
      <c r="T2" s="4"/>
      <c r="V2" s="5" t="s">
        <v>43</v>
      </c>
      <c r="W2" s="4"/>
      <c r="X2" s="4"/>
    </row>
    <row r="3" spans="1:24" ht="11.1" customHeight="1" x14ac:dyDescent="0.25">
      <c r="A3" s="49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4"/>
      <c r="Q3" s="4"/>
      <c r="R3" s="4"/>
      <c r="S3" s="4"/>
      <c r="T3" s="4"/>
      <c r="V3" s="5" t="s">
        <v>44</v>
      </c>
      <c r="W3" s="4"/>
      <c r="X3" s="4"/>
    </row>
    <row r="4" spans="1:24" ht="11.1" customHeight="1" x14ac:dyDescent="0.25">
      <c r="A4" s="54" t="s">
        <v>82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"/>
      <c r="Q4" s="4"/>
      <c r="R4" s="4"/>
      <c r="S4" s="4"/>
      <c r="T4" s="4"/>
      <c r="V4" s="5" t="s">
        <v>45</v>
      </c>
      <c r="W4" s="4"/>
      <c r="X4" s="4"/>
    </row>
    <row r="5" spans="1:24" ht="11.1" customHeight="1" x14ac:dyDescent="0.25">
      <c r="A5" s="54" t="s">
        <v>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"/>
      <c r="Q5" s="4"/>
      <c r="R5" s="4"/>
      <c r="S5" s="4"/>
      <c r="T5" s="4"/>
      <c r="V5" s="5" t="s">
        <v>46</v>
      </c>
      <c r="W5" s="4"/>
      <c r="X5" s="4"/>
    </row>
    <row r="6" spans="1:24" ht="11.1" customHeight="1" x14ac:dyDescent="0.25">
      <c r="A6" s="54" t="s">
        <v>83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4"/>
      <c r="Q6" s="4"/>
      <c r="R6" s="4"/>
      <c r="S6" s="4"/>
      <c r="T6" s="4"/>
      <c r="U6" s="4"/>
      <c r="V6" s="4"/>
      <c r="W6" s="4"/>
      <c r="X6" s="4"/>
    </row>
    <row r="7" spans="1:24" ht="11.1" customHeight="1" x14ac:dyDescent="0.25">
      <c r="A7" s="54" t="s">
        <v>84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"/>
      <c r="Q7" s="4"/>
      <c r="R7" s="4"/>
      <c r="S7" s="4"/>
      <c r="T7" s="4"/>
      <c r="U7" s="4"/>
      <c r="V7" s="4"/>
      <c r="W7" s="4"/>
      <c r="X7" s="4"/>
    </row>
    <row r="8" spans="1:24" ht="11.1" customHeight="1" x14ac:dyDescent="0.25">
      <c r="A8" s="55" t="s">
        <v>41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56" t="s">
        <v>47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ht="16.5" thickBot="1" x14ac:dyDescent="0.3">
      <c r="A10" s="57" t="s">
        <v>48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s="3" customFormat="1" ht="12.75" customHeight="1" thickBot="1" x14ac:dyDescent="0.25">
      <c r="A11" s="58" t="s">
        <v>49</v>
      </c>
      <c r="B11" s="59"/>
      <c r="C11" s="21" t="s">
        <v>50</v>
      </c>
      <c r="D11" s="24" t="s">
        <v>51</v>
      </c>
      <c r="E11" s="24" t="s">
        <v>52</v>
      </c>
      <c r="F11" s="31" t="s">
        <v>53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1" t="s">
        <v>54</v>
      </c>
      <c r="T11" s="32"/>
      <c r="U11" s="32"/>
      <c r="V11" s="32"/>
      <c r="W11" s="32"/>
      <c r="X11" s="33"/>
    </row>
    <row r="12" spans="1:24" s="3" customFormat="1" ht="24" customHeight="1" thickBot="1" x14ac:dyDescent="0.25">
      <c r="A12" s="60"/>
      <c r="B12" s="61"/>
      <c r="C12" s="22"/>
      <c r="D12" s="25"/>
      <c r="E12" s="25"/>
      <c r="F12" s="24" t="s">
        <v>55</v>
      </c>
      <c r="G12" s="68" t="s">
        <v>96</v>
      </c>
      <c r="H12" s="69"/>
      <c r="I12" s="69"/>
      <c r="J12" s="69"/>
      <c r="K12" s="70"/>
      <c r="L12" s="42" t="s">
        <v>56</v>
      </c>
      <c r="M12" s="43"/>
      <c r="N12" s="31" t="s">
        <v>92</v>
      </c>
      <c r="O12" s="48"/>
      <c r="P12" s="48"/>
      <c r="Q12" s="43"/>
      <c r="R12" s="24" t="s">
        <v>57</v>
      </c>
      <c r="S12" s="24" t="s">
        <v>58</v>
      </c>
      <c r="T12" s="24" t="s">
        <v>59</v>
      </c>
      <c r="U12" s="31" t="s">
        <v>60</v>
      </c>
      <c r="V12" s="32"/>
      <c r="W12" s="32"/>
      <c r="X12" s="33"/>
    </row>
    <row r="13" spans="1:24" s="3" customFormat="1" ht="18" customHeight="1" thickBot="1" x14ac:dyDescent="0.25">
      <c r="A13" s="60"/>
      <c r="B13" s="61"/>
      <c r="C13" s="22"/>
      <c r="D13" s="25"/>
      <c r="E13" s="25"/>
      <c r="F13" s="25"/>
      <c r="G13" s="46"/>
      <c r="H13" s="71"/>
      <c r="I13" s="71"/>
      <c r="J13" s="71"/>
      <c r="K13" s="47"/>
      <c r="L13" s="44"/>
      <c r="M13" s="45"/>
      <c r="N13" s="36" t="s">
        <v>61</v>
      </c>
      <c r="O13" s="31" t="s">
        <v>62</v>
      </c>
      <c r="P13" s="32"/>
      <c r="Q13" s="33"/>
      <c r="R13" s="34"/>
      <c r="S13" s="25"/>
      <c r="T13" s="25"/>
      <c r="U13" s="24" t="s">
        <v>14</v>
      </c>
      <c r="V13" s="24" t="s">
        <v>37</v>
      </c>
      <c r="W13" s="39" t="s">
        <v>11</v>
      </c>
      <c r="X13" s="24" t="s">
        <v>73</v>
      </c>
    </row>
    <row r="14" spans="1:24" s="3" customFormat="1" ht="26.25" customHeight="1" thickBot="1" x14ac:dyDescent="0.25">
      <c r="A14" s="62"/>
      <c r="B14" s="61"/>
      <c r="C14" s="22"/>
      <c r="D14" s="25"/>
      <c r="E14" s="25"/>
      <c r="F14" s="25"/>
      <c r="G14" s="24" t="s">
        <v>63</v>
      </c>
      <c r="H14" s="24" t="s">
        <v>64</v>
      </c>
      <c r="I14" s="31" t="s">
        <v>65</v>
      </c>
      <c r="J14" s="32"/>
      <c r="K14" s="33"/>
      <c r="L14" s="46"/>
      <c r="M14" s="47"/>
      <c r="N14" s="37"/>
      <c r="O14" s="24" t="s">
        <v>66</v>
      </c>
      <c r="P14" s="24" t="s">
        <v>85</v>
      </c>
      <c r="Q14" s="24" t="s">
        <v>67</v>
      </c>
      <c r="R14" s="34"/>
      <c r="S14" s="25"/>
      <c r="T14" s="25"/>
      <c r="U14" s="25"/>
      <c r="V14" s="25"/>
      <c r="W14" s="40"/>
      <c r="X14" s="22"/>
    </row>
    <row r="15" spans="1:24" s="3" customFormat="1" ht="57.75" customHeight="1" thickBot="1" x14ac:dyDescent="0.25">
      <c r="A15" s="63"/>
      <c r="B15" s="64"/>
      <c r="C15" s="23"/>
      <c r="D15" s="26"/>
      <c r="E15" s="26"/>
      <c r="F15" s="26"/>
      <c r="G15" s="26"/>
      <c r="H15" s="26"/>
      <c r="I15" s="6" t="s">
        <v>68</v>
      </c>
      <c r="J15" s="6" t="s">
        <v>69</v>
      </c>
      <c r="K15" s="6" t="s">
        <v>70</v>
      </c>
      <c r="L15" s="6" t="s">
        <v>71</v>
      </c>
      <c r="M15" s="6" t="s">
        <v>72</v>
      </c>
      <c r="N15" s="38"/>
      <c r="O15" s="23"/>
      <c r="P15" s="23"/>
      <c r="Q15" s="23"/>
      <c r="R15" s="35"/>
      <c r="S15" s="26"/>
      <c r="T15" s="26"/>
      <c r="U15" s="26"/>
      <c r="V15" s="26"/>
      <c r="W15" s="41"/>
      <c r="X15" s="23"/>
    </row>
    <row r="16" spans="1:24" s="3" customFormat="1" ht="15.75" thickBot="1" x14ac:dyDescent="0.3">
      <c r="A16" s="31">
        <v>1</v>
      </c>
      <c r="B16" s="53"/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  <c r="O16" s="7">
        <v>14</v>
      </c>
      <c r="P16" s="7">
        <v>15</v>
      </c>
      <c r="Q16" s="7">
        <v>16</v>
      </c>
      <c r="R16" s="7">
        <v>17</v>
      </c>
      <c r="S16" s="7">
        <v>18</v>
      </c>
      <c r="T16" s="7">
        <v>19</v>
      </c>
      <c r="U16" s="7">
        <v>20</v>
      </c>
      <c r="V16" s="7">
        <v>21</v>
      </c>
      <c r="W16" s="7">
        <v>22</v>
      </c>
      <c r="X16" s="7">
        <v>23</v>
      </c>
    </row>
    <row r="17" spans="1:24" ht="15.75" thickBot="1" x14ac:dyDescent="0.3">
      <c r="A17" s="65" t="s">
        <v>74</v>
      </c>
      <c r="B17" s="53"/>
      <c r="C17" s="7"/>
      <c r="D17" s="7">
        <v>13</v>
      </c>
      <c r="E17" s="7"/>
      <c r="F17" s="7">
        <f ca="1">COUNTIF(Таблица_owssvr[Сводка],"=Педиатрическая")-
COUNTIFS(Таблица_owssvr[Сводка],"=Педиатрическая",Таблица_owssvr[Дата поступления],TODAY())-
COUNTIFS(Таблица_owssvr[Сводка],"=Педиатрическая",Таблица_owssvr[Дата поступления],TODAY()-1)-
COUNTIFS(Таблица_owssvr[Сводка],"=Педиатрическая",Таблица_owssvr[Дата выписки],TODAY()-2)</f>
        <v>13</v>
      </c>
      <c r="G17" s="7">
        <f ca="1">COUNTIFS(Таблица_owssvr[Дата поступления],TODAY()-1,Таблица_owssvr[Сводка],"=Педиатрическая")</f>
        <v>1</v>
      </c>
      <c r="H17" s="7"/>
      <c r="I17" s="7"/>
      <c r="J17" s="7">
        <f ca="1">COUNTIFS(Таблица_owssvr[Дата поступления],TODAY()-1,Таблица_owssvr[Сводка],"=Педиатрическая")</f>
        <v>1</v>
      </c>
      <c r="K17" s="7"/>
      <c r="L17" s="7"/>
      <c r="M17" s="7"/>
      <c r="N17" s="7">
        <f ca="1">COUNTIFS(Таблица_owssvr[Дата выписки],TODAY()-1,Таблица_owssvr[Сводка],"=Педиатрическая")</f>
        <v>6</v>
      </c>
      <c r="O17" s="7"/>
      <c r="P17" s="7"/>
      <c r="Q17" s="7"/>
      <c r="R17" s="7"/>
      <c r="S17" s="7">
        <f ca="1">F17+G17-N17</f>
        <v>8</v>
      </c>
      <c r="T17" s="7">
        <f ca="1">COUNTIFS(Таблица_owssvr[Сводка],"=Педиатрическая",Таблица_owssvr[Мама],"=Да",Таблица_owssvr[Дата выписки],TODAY())+
COUNTIFS(Таблица_owssvr[Сводка],"=Педиатрическая",Таблица_owssvr[Мама],"=Да",Таблица_owssvr[Дата выписки],"")</f>
        <v>3</v>
      </c>
      <c r="U17" s="7">
        <f ca="1">COUNTIFS(Таблица_owssvr[Сводка],"=Педиатрическая",Таблица_owssvr[Источник финансирования],"ОМС",Таблица_owssvr[Дата выписки],TODAY())+
COUNTIFS(Таблица_owssvr[Сводка],"=Педиатрическая",Таблица_owssvr[Источник финансирования],"ОМС",Таблица_owssvr[Дата выписки],"")</f>
        <v>7</v>
      </c>
      <c r="V17" s="7">
        <f ca="1">COUNTIFS(Таблица_owssvr[Сводка],"=Педиатрическая",Таблица_owssvr[Источник финансирования],"ВМП ОМС",Таблица_owssvr[Дата выписки],TODAY())+
COUNTIFS(Таблица_owssvr[Сводка],"=Педиатрическая",Таблица_owssvr[Источник финансирования],"ВМП ОМС",Таблица_owssvr[Дата выписки],"")</f>
        <v>0</v>
      </c>
      <c r="W17" s="7">
        <f ca="1">COUNTIFS(Таблица_owssvr[Сводка],"=Педиатрическая",Таблица_owssvr[Источник финансирования],"ВМП",Таблица_owssvr[Дата выписки],TODAY())+
COUNTIFS(Таблица_owssvr[Сводка],"=Педиатрическая",Таблица_owssvr[Источник финансирования],"ВМП",Таблица_owssvr[Дата выписки],"")</f>
        <v>1</v>
      </c>
      <c r="X17" s="7">
        <f ca="1">COUNTIFS(Таблица_owssvr[Сводка],"=Педиатрическая",Таблица_owssvr[Источник финансирования],"Платно",Таблица_owssvr[Дата выписки],TODAY())+
COUNTIFS(Таблица_owssvr[Сводка],"=Педиатрическая",Таблица_owssvr[Источник финансирования],"Платно",Таблица_owssvr[Дата выписки],"")</f>
        <v>0</v>
      </c>
    </row>
    <row r="18" spans="1:24" ht="18" customHeight="1" thickBot="1" x14ac:dyDescent="0.3">
      <c r="A18" s="52" t="s">
        <v>75</v>
      </c>
      <c r="B18" s="53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66"/>
      <c r="X18" s="67"/>
    </row>
    <row r="19" spans="1:24" ht="22.5" customHeight="1" thickBot="1" x14ac:dyDescent="0.3">
      <c r="A19" s="52" t="s">
        <v>76</v>
      </c>
      <c r="B19" s="53"/>
      <c r="C19" s="7"/>
      <c r="D19" s="7">
        <v>2</v>
      </c>
      <c r="E19" s="7"/>
      <c r="F19" s="7">
        <f ca="1" xml:space="preserve">
COUNTIF(Таблица_owssvr[Профиль], "=Соматические")-
COUNTIFS(Таблица_owssvr[Профиль], "=Соматические",Таблица_owssvr[Дата поступления],TODAY())-
COUNTIFS(Таблица_owssvr[Профиль], "=Соматические",Таблица_owssvr[Дата поступления],TODAY()-1)-
COUNTIFS(Таблица_owssvr[Профиль], "=Соматические",Таблица_owssvr[Дата выписки],TODAY()-2)</f>
        <v>5</v>
      </c>
      <c r="G19" s="7">
        <f ca="1">COUNTIFS(Таблица_owssvr[Дата поступления],TODAY()-1,Таблица_owssvr[Сводка],"=Педиатрическая",Таблица_owssvr[Профиль], "=Соматические")</f>
        <v>0</v>
      </c>
      <c r="H19" s="7"/>
      <c r="I19" s="7"/>
      <c r="J19" s="7">
        <f ca="1">COUNTIFS(Таблица_owssvr[Дата поступления],TODAY()-1,Таблица_owssvr[Сводка],"=Педиатрическая",Таблица_owssvr[Профиль], "=Соматические")</f>
        <v>0</v>
      </c>
      <c r="K19" s="7"/>
      <c r="L19" s="7"/>
      <c r="M19" s="7"/>
      <c r="N19" s="7">
        <f ca="1">COUNTIFS(Таблица_owssvr[Дата выписки],TODAY()-1,Таблица_owssvr[Сводка],"=Педиатрическая",Таблица_owssvr[Профиль], "=Соматические")</f>
        <v>2</v>
      </c>
      <c r="O19" s="7"/>
      <c r="P19" s="7"/>
      <c r="Q19" s="7"/>
      <c r="R19" s="7"/>
      <c r="S19" s="7">
        <f t="shared" ref="S19:S24" ca="1" si="0">F19+G19-N19</f>
        <v>3</v>
      </c>
      <c r="T19" s="7">
        <f ca="1">COUNTIFS(Таблица_owssvr[Профиль],"=Соматические",Таблица_owssvr[Мама],"=Да",Таблица_owssvr[Дата выписки],TODAY())+
COUNTIFS(Таблица_owssvr[Профиль],"=Соматические",Таблица_owssvr[Мама],"=Да",Таблица_owssvr[Дата выписки],"")</f>
        <v>3</v>
      </c>
      <c r="U19" s="7">
        <f ca="1">COUNTIFS(Таблица_owssvr[Профиль],"=Соматические", Таблица_owssvr[Источник финансирования],"ОМС",Таблица_owssvr[Дата выписки],TODAY())+
COUNTIFS(Таблица_owssvr[Профиль],"=Соматические", Таблица_owssvr[Источник финансирования],"ОМС",Таблица_owssvr[Дата выписки],"")</f>
        <v>3</v>
      </c>
      <c r="V19" s="7">
        <f ca="1">COUNTIFS(Таблица_owssvr[Профиль],"=Соматические", Таблица_owssvr[Источник финансирования],"ВМП ОМС",Таблица_owssvr[Дата выписки],TODAY())+
COUNTIFS(Таблица_owssvr[Профиль],"=Соматические", Таблица_owssvr[Источник финансирования],"ВМП ОМС",Таблица_owssvr[Дата выписки],"")</f>
        <v>0</v>
      </c>
      <c r="W19" s="7">
        <f ca="1">COUNTIFS(Таблица_owssvr[Профиль],"=Соматические", Таблица_owssvr[Источник финансирования],"ВМП",Таблица_owssvr[Дата выписки],TODAY())+
COUNTIFS(Таблица_owssvr[Профиль],"=Соматические", Таблица_owssvr[Источник финансирования],"ВМП",Таблица_owssvr[Дата выписки],"")</f>
        <v>0</v>
      </c>
      <c r="X19" s="7">
        <f ca="1">COUNTIFS(Таблица_owssvr[Профиль],"=Соматические", Таблица_owssvr[Источник финансирования],"Платно",Таблица_owssvr[Дата выписки],TODAY())+
COUNTIFS(Таблица_owssvr[Профиль],"=Соматические", Таблица_owssvr[Источник финансирования],"Платно",Таблица_owssvr[Дата выписки],"")</f>
        <v>0</v>
      </c>
    </row>
    <row r="20" spans="1:24" ht="24.75" customHeight="1" thickBot="1" x14ac:dyDescent="0.3">
      <c r="A20" s="52" t="s">
        <v>91</v>
      </c>
      <c r="B20" s="53"/>
      <c r="C20" s="9"/>
      <c r="D20" s="9">
        <v>1</v>
      </c>
      <c r="E20" s="9"/>
      <c r="F20" s="9">
        <f ca="1">COUNTIF(Таблица_owssvr[Профиль], "=Кардиологические")-
COUNTIFS(Таблица_owssvr[Профиль], "=Кардиологические",Таблица_owssvr[Дата поступления],TODAY())-
COUNTIFS(Таблица_owssvr[Профиль], "=Кардиологические",Таблица_owssvr[Дата поступления],TODAY()-1)-
COUNTIFS(Таблица_owssvr[Профиль], "=Кардиологические",Таблица_owssvr[Дата выписки],TODAY()-2)</f>
        <v>4</v>
      </c>
      <c r="G20" s="7">
        <f ca="1">COUNTIFS(Таблица_owssvr[Дата поступления],TODAY()-1,Таблица_owssvr[Сводка],"=Педиатрическая",Таблица_owssvr[Профиль], "=Кардиологические")</f>
        <v>1</v>
      </c>
      <c r="H20" s="9"/>
      <c r="I20" s="7"/>
      <c r="J20" s="7">
        <f ca="1">COUNTIFS(Таблица_owssvr[Дата поступления],TODAY()-1,Таблица_owssvr[Сводка],"=Педиатрическая",Таблица_owssvr[Профиль], "=Кардиологические")</f>
        <v>1</v>
      </c>
      <c r="K20" s="9"/>
      <c r="L20" s="9"/>
      <c r="M20" s="9"/>
      <c r="N20" s="7">
        <f ca="1">COUNTIFS(Таблица_owssvr[Дата выписки],TODAY()-1,Таблица_owssvr[Сводка],"=Педиатрическая",Таблица_owssvr[Профиль], "=Кардиологические")</f>
        <v>1</v>
      </c>
      <c r="O20" s="9"/>
      <c r="P20" s="9"/>
      <c r="Q20" s="9"/>
      <c r="R20" s="9"/>
      <c r="S20" s="7">
        <f t="shared" ca="1" si="0"/>
        <v>4</v>
      </c>
      <c r="T20" s="7">
        <f ca="1">COUNTIFS(Таблица_owssvr[Профиль],"=Кардиологические",Таблица_owssvr[Мама],"=Да",Таблица_owssvr[Дата выписки],TODAY())+
COUNTIFS(Таблица_owssvr[Профиль],"=Кардиологические",Таблица_owssvr[Мама],"=Да",Таблица_owssvr[Дата выписки],"")</f>
        <v>0</v>
      </c>
      <c r="U20" s="7">
        <f ca="1">COUNTIFS(Таблица_owssvr[Профиль],"=Кардиологические", Таблица_owssvr[Источник финансирования],"ОМС",Таблица_owssvr[Дата выписки],TODAY())+
COUNTIFS(Таблица_owssvr[Профиль],"=Кардиологические", Таблица_owssvr[Источник финансирования],"ОМС",Таблица_owssvr[Дата выписки],"")</f>
        <v>3</v>
      </c>
      <c r="V20" s="7">
        <f ca="1">COUNTIFS(Таблица_owssvr[Профиль],"=Кардиологические", Таблица_owssvr[Источник финансирования],"ВМП ОМС",Таблица_owssvr[Дата выписки],TODAY())+
COUNTIFS(Таблица_owssvr[Профиль],"=Кардиологические", Таблица_owssvr[Источник финансирования],"ВМП ОМС",Таблица_owssvr[Дата выписки],"")</f>
        <v>0</v>
      </c>
      <c r="W20" s="7">
        <f ca="1">COUNTIFS(Таблица_owssvr[Профиль],"=Кардиологические", Таблица_owssvr[Источник финансирования],"ВМП",Таблица_owssvr[Дата выписки],TODAY())+
COUNTIFS(Таблица_owssvr[Профиль],"=Кардиологические", Таблица_owssvr[Источник финансирования],"ВМП",Таблица_owssvr[Дата выписки],"")</f>
        <v>1</v>
      </c>
      <c r="X20" s="7">
        <f ca="1">COUNTIFS(Таблица_owssvr[Профиль],"=Кардиологические", Таблица_owssvr[Источник финансирования],"Платно",Таблица_owssvr[Дата выписки],TODAY())+
COUNTIFS(Таблица_owssvr[Профиль],"=Кардиологические", Таблица_owssvr[Источник финансирования],"Платно",Таблица_owssvr[Дата выписки],"")</f>
        <v>0</v>
      </c>
    </row>
    <row r="21" spans="1:24" ht="27" customHeight="1" thickBot="1" x14ac:dyDescent="0.3">
      <c r="A21" s="52" t="s">
        <v>87</v>
      </c>
      <c r="B21" s="53"/>
      <c r="C21" s="7"/>
      <c r="D21" s="7">
        <v>4</v>
      </c>
      <c r="E21" s="7"/>
      <c r="F21" s="9">
        <f ca="1" xml:space="preserve">
COUNTIF(Таблица_owssvr[Профиль], "=Пульмонологический")-
COUNTIFS(Таблица_owssvr[Профиль], "=Пульмонологический",Таблица_owssvr[Дата поступления],TODAY())-
COUNTIFS(Таблица_owssvr[Профиль], "=Пульмонологический",Таблица_owssvr[Дата поступления],TODAY()-1)-
COUNTIFS(Таблица_owssvr[Профиль], "=Пульмонологический",Таблица_owssvr[Дата выписки],TODAY()-2)</f>
        <v>1</v>
      </c>
      <c r="G21" s="7">
        <f ca="1">COUNTIFS(Таблица_owssvr[Дата поступления],TODAY()-1,Таблица_owssvr[Сводка],"=Педиатрическая",Таблица_owssvr[Профиль], "=Пульмонологический")</f>
        <v>0</v>
      </c>
      <c r="H21" s="7"/>
      <c r="I21" s="7"/>
      <c r="J21" s="7">
        <f ca="1">COUNTIFS(Таблица_owssvr[Дата поступления],TODAY()-1,Таблица_owssvr[Сводка],"=Педиатрическая",Таблица_owssvr[Профиль], "=Пульмонологический")</f>
        <v>0</v>
      </c>
      <c r="K21" s="7"/>
      <c r="L21" s="7"/>
      <c r="M21" s="7"/>
      <c r="N21" s="7">
        <f ca="1">COUNTIFS(Таблица_owssvr[Дата выписки],TODAY()-1,Таблица_owssvr[Сводка],"=Педиатрическая",Таблица_owssvr[Профиль], "=Пульмонологический")</f>
        <v>1</v>
      </c>
      <c r="O21" s="7"/>
      <c r="P21" s="7"/>
      <c r="Q21" s="7"/>
      <c r="R21" s="7"/>
      <c r="S21" s="7">
        <f t="shared" ca="1" si="0"/>
        <v>0</v>
      </c>
      <c r="T21" s="7">
        <f ca="1">COUNTIFS(Таблица_owssvr[Профиль],"=Пульмонологический",Таблица_owssvr[Мама],"=Да",Таблица_owssvr[Дата выписки],TODAY())+
COUNTIFS(Таблица_owssvr[Профиль],"=Пульмонологический",Таблица_owssvr[Мама],"=Да",Таблица_owssvr[Дата выписки],"")</f>
        <v>0</v>
      </c>
      <c r="U21" s="7">
        <f ca="1">COUNTIFS(Таблица_owssvr[Профиль],"=Пульмонологический", Таблица_owssvr[Источник финансирования],"ОМС",Таблица_owssvr[Дата выписки],TODAY())+
COUNTIFS(Таблица_owssvr[Профиль],"=Пульмонологический", Таблица_owssvr[Источник финансирования],"ОМС",Таблица_owssvr[Дата выписки],"")</f>
        <v>0</v>
      </c>
      <c r="V21" s="7">
        <f ca="1">COUNTIFS(Таблица_owssvr[Профиль],"=Пульмонологический", Таблица_owssvr[Источник финансирования],"ВМП ОМС",Таблица_owssvr[Дата выписки],TODAY())+
COUNTIFS(Таблица_owssvr[Профиль],"=Пульмонологический", Таблица_owssvr[Источник финансирования],"ВМП ОМС",Таблица_owssvr[Дата выписки],"")</f>
        <v>0</v>
      </c>
      <c r="W21" s="7">
        <f ca="1">COUNTIFS(Таблица_owssvr[Профиль],"=Пульмонологический", Таблица_owssvr[Источник финансирования],"ВМП",Таблица_owssvr[Дата выписки],TODAY())+
COUNTIFS(Таблица_owssvr[Профиль],"=Пульмонологический", Таблица_owssvr[Источник финансирования],"ВМП",Таблица_owssvr[Дата выписки],"")</f>
        <v>0</v>
      </c>
      <c r="X21" s="7">
        <f ca="1">COUNTIFS(Таблица_owssvr[Профиль],"=Пульмонологический", Таблица_owssvr[Источник финансирования],"Платно",Таблица_owssvr[Дата выписки],TODAY())+
COUNTIFS(Таблица_owssvr[Профиль],"=Пульмонологический", Таблица_owssvr[Источник финансирования],"Платно",Таблица_owssvr[Дата выписки],"")</f>
        <v>0</v>
      </c>
    </row>
    <row r="22" spans="1:24" ht="26.25" customHeight="1" thickBot="1" x14ac:dyDescent="0.3">
      <c r="A22" s="52" t="s">
        <v>77</v>
      </c>
      <c r="B22" s="53"/>
      <c r="C22" s="7"/>
      <c r="D22" s="7">
        <v>2</v>
      </c>
      <c r="E22" s="7"/>
      <c r="F22" s="9">
        <f ca="1" xml:space="preserve">
COUNTIF(Таблица_owssvr[Профиль], "=Аллергологические")-
COUNTIFS(Таблица_owssvr[Профиль], "=Аллергологические",Таблица_owssvr[Дата поступления],TODAY())-
COUNTIFS(Таблица_owssvr[Профиль], "=Аллергологические",Таблица_owssvr[Дата поступления],TODAY()-1)-
COUNTIFS(Таблица_owssvr[Профиль], "=Аллергологические",Таблица_owssvr[Дата выписки],TODAY()-2)</f>
        <v>3</v>
      </c>
      <c r="G22" s="7">
        <f ca="1">COUNTIFS(Таблица_owssvr[Дата поступления],TODAY()-1,Таблица_owssvr[Сводка],"=Педиатрическая",Таблица_owssvr[Профиль], "=Аллергологические")</f>
        <v>0</v>
      </c>
      <c r="H22" s="7"/>
      <c r="I22" s="7"/>
      <c r="J22" s="7">
        <f ca="1">COUNTIFS(Таблица_owssvr[Дата поступления],TODAY()-1,Таблица_owssvr[Сводка],"=Педиатрическая",Таблица_owssvr[Профиль], "=Аллергологические")</f>
        <v>0</v>
      </c>
      <c r="K22" s="7"/>
      <c r="L22" s="7"/>
      <c r="M22" s="7"/>
      <c r="N22" s="7">
        <f ca="1">COUNTIFS(Таблица_owssvr[Дата выписки],TODAY()-1,Таблица_owssvr[Сводка],"=Педиатрическая",Таблица_owssvr[Профиль], "=Аллергологические")</f>
        <v>2</v>
      </c>
      <c r="O22" s="7"/>
      <c r="P22" s="7"/>
      <c r="Q22" s="7"/>
      <c r="R22" s="7"/>
      <c r="S22" s="7">
        <f t="shared" ca="1" si="0"/>
        <v>1</v>
      </c>
      <c r="T22" s="7">
        <f ca="1">COUNTIFS(Таблица_owssvr[Профиль],"=Аллергологические",Таблица_owssvr[Мама],"=Да",Таблица_owssvr[Дата выписки],TODAY())+
COUNTIFS(Таблица_owssvr[Профиль],"=Аллергологические",Таблица_owssvr[Мама],"=Да",Таблица_owssvr[Дата выписки],"")</f>
        <v>0</v>
      </c>
      <c r="U22" s="7">
        <f ca="1">COUNTIFS(Таблица_owssvr[Профиль],"=Аллергологические", Таблица_owssvr[Источник финансирования],"ОМС",Таблица_owssvr[Дата выписки],TODAY())+
COUNTIFS(Таблица_owssvr[Профиль],"=Аллергологические", Таблица_owssvr[Источник финансирования],"ОМС",Таблица_owssvr[Дата выписки],"")</f>
        <v>1</v>
      </c>
      <c r="V22" s="7">
        <f ca="1">COUNTIFS(Таблица_owssvr[Профиль],"=Аллергологические", Таблица_owssvr[Источник финансирования],"ВМП ОМС",Таблица_owssvr[Дата выписки],TODAY())+
COUNTIFS(Таблица_owssvr[Профиль],"=Аллергологические", Таблица_owssvr[Источник финансирования],"ВМП ОМС",Таблица_owssvr[Дата выписки],"")</f>
        <v>0</v>
      </c>
      <c r="W22" s="7">
        <f ca="1">COUNTIFS(Таблица_owssvr[Профиль],"=Аллергологические", Таблица_owssvr[Источник финансирования],"ВМП",Таблица_owssvr[Дата выписки],TODAY())+
COUNTIFS(Таблица_owssvr[Профиль],"=Аллергологические", Таблица_owssvr[Источник финансирования],"ВМП",Таблица_owssvr[Дата выписки],"")</f>
        <v>0</v>
      </c>
      <c r="X22" s="7">
        <f ca="1">COUNTIFS(Таблица_owssvr[Профиль],"=Аллергологические", Таблица_owssvr[Источник финансирования],"Платно",Таблица_owssvr[Дата выписки],TODAY())+
COUNTIFS(Таблица_owssvr[Профиль],"=Аллергологические", Таблица_owssvr[Источник финансирования],"Платно",Таблица_owssvr[Дата выписки],"")</f>
        <v>0</v>
      </c>
    </row>
    <row r="23" spans="1:24" ht="26.25" customHeight="1" thickBot="1" x14ac:dyDescent="0.3">
      <c r="A23" s="52" t="s">
        <v>86</v>
      </c>
      <c r="B23" s="53"/>
      <c r="C23" s="9"/>
      <c r="D23" s="9">
        <v>2</v>
      </c>
      <c r="E23" s="9"/>
      <c r="F23" s="9">
        <f ca="1" xml:space="preserve">
COUNTIF(Таблица_owssvr[Профиль], "=Эндокринологические")-
COUNTIFS(Таблица_owssvr[Профиль], "=Эндокринологические",Таблица_owssvr[Дата поступления],TODAY())-
COUNTIFS(Таблица_owssvr[Профиль], "=Эндокринологические",Таблица_owssvr[Дата поступления],TODAY()-1)-
COUNTIFS(Таблица_owssvr[Профиль], "=Эндокринологические",Таблица_owssvr[Дата выписки],TODAY()-2)</f>
        <v>0</v>
      </c>
      <c r="G23" s="7">
        <f ca="1">COUNTIFS(Таблица_owssvr[Дата поступления],TODAY()-1,Таблица_owssvr[Сводка],"=Педиатрическая",Таблица_owssvr[Профиль], "=Эндокринологические")</f>
        <v>0</v>
      </c>
      <c r="H23" s="9"/>
      <c r="I23" s="9"/>
      <c r="J23" s="7">
        <f ca="1">COUNTIFS(Таблица_owssvr[Дата поступления],TODAY()-1,Таблица_owssvr[Сводка],"=Педиатрическая",Таблица_owssvr[Профиль], "=Эндокринологические")</f>
        <v>0</v>
      </c>
      <c r="K23" s="9"/>
      <c r="L23" s="9"/>
      <c r="M23" s="9"/>
      <c r="N23" s="7">
        <f ca="1">COUNTIFS(Таблица_owssvr[Дата выписки],TODAY()-1,Таблица_owssvr[Сводка],"=Педиатрическая",Таблица_owssvr[Профиль], "=Эндокринологические")</f>
        <v>0</v>
      </c>
      <c r="O23" s="9"/>
      <c r="P23" s="9"/>
      <c r="Q23" s="9"/>
      <c r="R23" s="9"/>
      <c r="S23" s="7">
        <f t="shared" ca="1" si="0"/>
        <v>0</v>
      </c>
      <c r="T23" s="7">
        <f ca="1">COUNTIFS(Таблица_owssvr[Профиль],"=Эндокринологические",Таблица_owssvr[Мама],"=Да",Таблица_owssvr[Дата выписки],TODAY())+
COUNTIFS(Таблица_owssvr[Профиль],"=Эндокринологические",Таблица_owssvr[Мама],"=Да",Таблица_owssvr[Дата выписки],"")</f>
        <v>0</v>
      </c>
      <c r="U23" s="7">
        <f ca="1">COUNTIFS(Таблица_owssvr[Профиль],"=Эндокринологические", Таблица_owssvr[Источник финансирования],"ОМС",Таблица_owssvr[Дата выписки],TODAY())+
COUNTIFS(Таблица_owssvr[Профиль],"=Эндокринологические", Таблица_owssvr[Источник финансирования],"ОМС",Таблица_owssvr[Дата выписки],"")</f>
        <v>0</v>
      </c>
      <c r="V23" s="7">
        <f ca="1">COUNTIFS(Таблица_owssvr[Профиль],"=Эндокринологические", Таблица_owssvr[Источник финансирования],"ВМП ОМС",Таблица_owssvr[Дата выписки],TODAY())+
COUNTIFS(Таблица_owssvr[Профиль],"=Эндокринологические", Таблица_owssvr[Источник финансирования],"ВМП ОМС",Таблица_owssvr[Дата выписки],"")</f>
        <v>0</v>
      </c>
      <c r="W23" s="7">
        <f ca="1">COUNTIFS(Таблица_owssvr[Профиль],"=Эндокринологические", Таблица_owssvr[Источник финансирования],"ВМП",Таблица_owssvr[Дата выписки],TODAY())+
COUNTIFS(Таблица_owssvr[Профиль],"=Эндокринологические", Таблица_owssvr[Источник финансирования],"ВМП",Таблица_owssvr[Дата выписки],"")</f>
        <v>0</v>
      </c>
      <c r="X23" s="7">
        <f ca="1">COUNTIFS(Таблица_owssvr[Профиль],"=Эндокринологические", Таблица_owssvr[Источник финансирования],"Платно",Таблица_owssvr[Дата выписки],TODAY())+
COUNTIFS(Таблица_owssvr[Профиль],"=Эндокринологические", Таблица_owssvr[Источник финансирования],"Платно",Таблица_owssvr[Дата выписки],"")</f>
        <v>0</v>
      </c>
    </row>
    <row r="24" spans="1:24" ht="24.75" customHeight="1" thickBot="1" x14ac:dyDescent="0.3">
      <c r="A24" s="52" t="s">
        <v>78</v>
      </c>
      <c r="B24" s="53"/>
      <c r="C24" s="7"/>
      <c r="D24" s="7">
        <v>2</v>
      </c>
      <c r="E24" s="7"/>
      <c r="F24" s="9">
        <f ca="1" xml:space="preserve">
COUNTIF(Таблица_owssvr[Профиль], "=Отоларингологические")-
COUNTIFS(Таблица_owssvr[Профиль], "=Отоларингологические",Таблица_owssvr[Дата поступления],TODAY())-
COUNTIFS(Таблица_owssvr[Профиль], "=Отоларингологические",Таблица_owssvr[Дата поступления],TODAY()-1)-
COUNTIFS(Таблица_owssvr[Профиль], "=Отоларингологические",Таблица_owssvr[Дата выписки],TODAY()-2)</f>
        <v>0</v>
      </c>
      <c r="G24" s="7">
        <f ca="1">COUNTIFS(Таблица_owssvr[Дата поступления],TODAY()-1,Таблица_owssvr[Сводка],"=Педиатрическая",Таблица_owssvr[Профиль], "=Отоларингологические")</f>
        <v>0</v>
      </c>
      <c r="H24" s="7"/>
      <c r="I24" s="7"/>
      <c r="J24" s="7">
        <f ca="1">COUNTIFS(Таблица_owssvr[Дата поступления],TODAY()-1,Таблица_owssvr[Сводка],"=Педиатрическая",Таблица_owssvr[Профиль], "=Отоларингологические")</f>
        <v>0</v>
      </c>
      <c r="K24" s="7"/>
      <c r="L24" s="7"/>
      <c r="M24" s="7"/>
      <c r="N24" s="7">
        <f ca="1">COUNTIFS(Таблица_owssvr[Дата выписки],TODAY()-1,Таблица_owssvr[Сводка],"=Педиатрическая",Таблица_owssvr[Профиль], "=Отоларингологические")</f>
        <v>0</v>
      </c>
      <c r="O24" s="7"/>
      <c r="P24" s="7"/>
      <c r="Q24" s="7"/>
      <c r="R24" s="7"/>
      <c r="S24" s="7">
        <f t="shared" ca="1" si="0"/>
        <v>0</v>
      </c>
      <c r="T24" s="7">
        <f ca="1">COUNTIFS(Таблица_owssvr[Профиль],"=Отоларингологические",Таблица_owssvr[Мама],"=Да",Таблица_owssvr[Дата выписки],TODAY())+
COUNTIFS(Таблица_owssvr[Профиль],"=Отоларингологические",Таблица_owssvr[Мама],"=Да",Таблица_owssvr[Дата выписки],"")</f>
        <v>0</v>
      </c>
      <c r="U24" s="7">
        <f ca="1">COUNTIFS(Таблица_owssvr[Профиль],"=Отоларингологические", Таблица_owssvr[Источник финансирования],"ОМС",Таблица_owssvr[Дата выписки],TODAY())+
COUNTIFS(Таблица_owssvr[Профиль],"=Отоларингологические", Таблица_owssvr[Источник финансирования],"ОМС",Таблица_owssvr[Дата выписки],"")</f>
        <v>0</v>
      </c>
      <c r="V24" s="7">
        <f ca="1">COUNTIFS(Таблица_owssvr[Профиль],"=Отоларингологические", Таблица_owssvr[Источник финансирования],"ВМП ОМС",Таблица_owssvr[Дата выписки],TODAY())+
COUNTIFS(Таблица_owssvr[Профиль],"=Отоларингологические", Таблица_owssvr[Источник финансирования],"ВМП ОМС",Таблица_owssvr[Дата выписки],"")</f>
        <v>0</v>
      </c>
      <c r="W24" s="7">
        <f ca="1">COUNTIFS(Таблица_owssvr[Профиль],"=Отоларингологические", Таблица_owssvr[Источник финансирования],"ВМП",Таблица_owssvr[Дата выписки],TODAY())+
COUNTIFS(Таблица_owssvr[Профиль],"=Отоларингологические", Таблица_owssvr[Источник финансирования],"ВМП",Таблица_owssvr[Дата выписки],"")</f>
        <v>0</v>
      </c>
      <c r="X24" s="7">
        <f ca="1">COUNTIFS(Таблица_owssvr[Профиль],"=Отоларингологические", Таблица_owssvr[Источник финансирования],"Платно",Таблица_owssvr[Дата выписки],TODAY())+
COUNTIFS(Таблица_owssvr[Профиль],"=Отоларингологические", Таблица_owssvr[Источник финансирования],"Платно",Таблица_owssvr[Дата выписки],"")</f>
        <v>0</v>
      </c>
    </row>
    <row r="25" spans="1:24" s="2" customFormat="1" ht="24.75" customHeight="1" x14ac:dyDescent="0.25">
      <c r="A25" s="73"/>
      <c r="B25" s="50"/>
      <c r="C25" s="3"/>
      <c r="D25" s="3"/>
      <c r="E25" s="3"/>
      <c r="F25" s="3"/>
      <c r="G25" s="3"/>
      <c r="H25" s="3"/>
      <c r="I25" s="8"/>
      <c r="J25" s="3"/>
      <c r="K25" s="3"/>
      <c r="L25" s="3"/>
      <c r="M25" s="27" t="s">
        <v>93</v>
      </c>
      <c r="N25" s="28"/>
      <c r="O25" s="28"/>
      <c r="P25" s="28"/>
      <c r="Q25" s="28"/>
      <c r="R25" s="28"/>
      <c r="S25" s="29" t="s">
        <v>94</v>
      </c>
      <c r="T25" s="30"/>
      <c r="U25" s="30"/>
      <c r="V25" s="30"/>
      <c r="W25" s="30"/>
      <c r="X25" s="3"/>
    </row>
    <row r="26" spans="1:24" s="10" customFormat="1" ht="16.5" customHeight="1" thickBot="1" x14ac:dyDescent="0.3">
      <c r="A26" s="51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s="16" customFormat="1" ht="32.25" customHeight="1" thickBot="1" x14ac:dyDescent="0.3">
      <c r="A27" s="72" t="s">
        <v>97</v>
      </c>
      <c r="B27" s="72" t="s">
        <v>98</v>
      </c>
      <c r="C27" s="72"/>
      <c r="D27" s="72"/>
      <c r="E27" s="72" t="s">
        <v>103</v>
      </c>
      <c r="F27" s="72"/>
      <c r="G27" s="72"/>
      <c r="H27" s="72"/>
      <c r="I27" s="72" t="s">
        <v>104</v>
      </c>
      <c r="J27" s="72"/>
      <c r="K27" s="72"/>
      <c r="L27" s="72"/>
      <c r="M27" s="72" t="s">
        <v>99</v>
      </c>
      <c r="N27" s="72"/>
      <c r="O27" s="72"/>
      <c r="P27" s="72"/>
      <c r="Q27" s="72" t="s">
        <v>105</v>
      </c>
      <c r="R27" s="72"/>
      <c r="S27" s="72"/>
      <c r="T27" s="72"/>
      <c r="U27" s="72" t="s">
        <v>102</v>
      </c>
      <c r="V27" s="72"/>
      <c r="W27" s="72"/>
      <c r="X27" s="72"/>
    </row>
    <row r="28" spans="1:24" s="16" customFormat="1" ht="37.5" customHeight="1" thickBot="1" x14ac:dyDescent="0.3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 t="s">
        <v>100</v>
      </c>
      <c r="N28" s="72"/>
      <c r="O28" s="72" t="s">
        <v>101</v>
      </c>
      <c r="P28" s="72"/>
      <c r="Q28" s="72"/>
      <c r="R28" s="72"/>
      <c r="S28" s="72"/>
      <c r="T28" s="72"/>
      <c r="U28" s="72"/>
      <c r="V28" s="72"/>
      <c r="W28" s="72"/>
      <c r="X28" s="72"/>
    </row>
    <row r="29" spans="1:24" ht="15.75" thickBot="1" x14ac:dyDescent="0.3">
      <c r="A29" s="19">
        <v>1</v>
      </c>
      <c r="B29" s="75">
        <v>2</v>
      </c>
      <c r="C29" s="75"/>
      <c r="D29" s="75"/>
      <c r="E29" s="75">
        <v>3</v>
      </c>
      <c r="F29" s="75"/>
      <c r="G29" s="75"/>
      <c r="H29" s="75"/>
      <c r="I29" s="75">
        <v>4</v>
      </c>
      <c r="J29" s="75"/>
      <c r="K29" s="75"/>
      <c r="L29" s="75"/>
      <c r="M29" s="75">
        <v>5</v>
      </c>
      <c r="N29" s="75"/>
      <c r="O29" s="75">
        <v>6</v>
      </c>
      <c r="P29" s="75"/>
      <c r="Q29" s="75">
        <v>7</v>
      </c>
      <c r="R29" s="75"/>
      <c r="S29" s="75"/>
      <c r="T29" s="75"/>
      <c r="U29" s="76">
        <v>8</v>
      </c>
      <c r="V29" s="76"/>
      <c r="W29" s="76"/>
      <c r="X29" s="76"/>
    </row>
    <row r="30" spans="1:24" ht="15.75" thickBot="1" x14ac:dyDescent="0.3">
      <c r="A30" s="20"/>
      <c r="B30" s="74" t="e">
        <f ca="1">INDEX(Таблица_owssvr[ФИО],SMALL(IF((Таблица_owssvr[Сводка]="Педиатрическая")*((Таблица_owssvr[Дата поступления]=TODAY())+(Таблица_owssvr[Дата поступления]=TODAY()-1)),ROW(Таблица_owssvr[Дата поступления])),ROW(owssvr!A1))-1)</f>
        <v>#VALUE!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4" ht="15.75" thickBot="1" x14ac:dyDescent="0.3">
      <c r="A31" s="20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24" ht="15.75" thickBot="1" x14ac:dyDescent="0.3">
      <c r="A32" s="20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4" ht="15.75" thickBot="1" x14ac:dyDescent="0.3">
      <c r="A33" s="20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ht="15.75" thickBot="1" x14ac:dyDescent="0.3">
      <c r="A34" s="20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4" ht="15.75" thickBot="1" x14ac:dyDescent="0.3">
      <c r="A35" s="20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</row>
    <row r="36" spans="1:24" ht="15.75" thickBot="1" x14ac:dyDescent="0.3">
      <c r="A36" s="20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4" ht="15.75" thickBot="1" x14ac:dyDescent="0.3">
      <c r="A37" s="20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4" ht="15.75" thickBot="1" x14ac:dyDescent="0.3">
      <c r="A38" s="20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4" ht="15.75" thickBot="1" x14ac:dyDescent="0.3">
      <c r="A39" s="20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</row>
    <row r="40" spans="1:24" ht="15.75" thickBot="1" x14ac:dyDescent="0.3">
      <c r="A40" s="2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</row>
    <row r="41" spans="1:24" ht="15.75" thickBot="1" x14ac:dyDescent="0.3">
      <c r="A41" s="20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1:24" ht="15.75" thickBot="1" x14ac:dyDescent="0.3">
      <c r="A42" s="20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1:24" ht="15.75" thickBot="1" x14ac:dyDescent="0.3">
      <c r="A43" s="20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</row>
    <row r="44" spans="1:24" ht="15.75" thickBot="1" x14ac:dyDescent="0.3">
      <c r="A44" s="20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</row>
    <row r="45" spans="1:24" ht="15.75" thickBot="1" x14ac:dyDescent="0.3">
      <c r="A45" s="20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1:24" ht="15.75" thickBot="1" x14ac:dyDescent="0.3">
      <c r="A46" s="20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</row>
    <row r="47" spans="1:24" ht="15.75" thickBot="1" x14ac:dyDescent="0.3">
      <c r="A47" s="20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</row>
    <row r="48" spans="1:24" ht="15.75" thickBot="1" x14ac:dyDescent="0.3">
      <c r="A48" s="20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</row>
    <row r="49" spans="1:24" ht="15.75" thickBot="1" x14ac:dyDescent="0.3">
      <c r="A49" s="20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ht="15.75" thickBot="1" x14ac:dyDescent="0.3">
      <c r="A50" s="20"/>
      <c r="B50" s="74"/>
      <c r="C50" s="74"/>
      <c r="D50" s="74"/>
      <c r="E50" s="74"/>
      <c r="F50" s="74"/>
      <c r="G50" s="74"/>
      <c r="H50" s="74"/>
      <c r="I50" s="77"/>
      <c r="J50" s="78"/>
      <c r="K50" s="78"/>
      <c r="L50" s="53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</row>
    <row r="51" spans="1:24" ht="15.75" thickBot="1" x14ac:dyDescent="0.3">
      <c r="A51" s="20"/>
      <c r="B51" s="74"/>
      <c r="C51" s="74"/>
      <c r="D51" s="74"/>
      <c r="E51" s="74"/>
      <c r="F51" s="74"/>
      <c r="G51" s="74"/>
      <c r="H51" s="74"/>
      <c r="I51" s="77"/>
      <c r="J51" s="78"/>
      <c r="K51" s="78"/>
      <c r="L51" s="53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pans="1:24" ht="15.75" thickBot="1" x14ac:dyDescent="0.3">
      <c r="A52" s="20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</row>
    <row r="53" spans="1:24" x14ac:dyDescent="0.2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</row>
    <row r="54" spans="1:24" x14ac:dyDescent="0.25">
      <c r="A54" s="17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10" customFormat="1" ht="16.5" customHeight="1" x14ac:dyDescent="0.25">
      <c r="A55" s="51" t="s">
        <v>106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</row>
  </sheetData>
  <mergeCells count="236">
    <mergeCell ref="U46:X46"/>
    <mergeCell ref="U47:X47"/>
    <mergeCell ref="U48:X48"/>
    <mergeCell ref="U49:X49"/>
    <mergeCell ref="U50:X50"/>
    <mergeCell ref="U51:X51"/>
    <mergeCell ref="U52:X52"/>
    <mergeCell ref="U53:X53"/>
    <mergeCell ref="I50:L50"/>
    <mergeCell ref="I51:L51"/>
    <mergeCell ref="I47:L47"/>
    <mergeCell ref="I48:L48"/>
    <mergeCell ref="I49:L49"/>
    <mergeCell ref="I52:L52"/>
    <mergeCell ref="Q51:T51"/>
    <mergeCell ref="O53:P53"/>
    <mergeCell ref="O49:P49"/>
    <mergeCell ref="O50:P50"/>
    <mergeCell ref="O51:P51"/>
    <mergeCell ref="O52:P52"/>
    <mergeCell ref="M50:N50"/>
    <mergeCell ref="M51:N51"/>
    <mergeCell ref="M52:N52"/>
    <mergeCell ref="I43:L43"/>
    <mergeCell ref="I44:L44"/>
    <mergeCell ref="I45:L45"/>
    <mergeCell ref="I46:L46"/>
    <mergeCell ref="Q52:T52"/>
    <mergeCell ref="Q53:T53"/>
    <mergeCell ref="M31:N31"/>
    <mergeCell ref="U34:X34"/>
    <mergeCell ref="U35:X35"/>
    <mergeCell ref="U36:X36"/>
    <mergeCell ref="U37:X37"/>
    <mergeCell ref="U38:X38"/>
    <mergeCell ref="U39:X39"/>
    <mergeCell ref="U40:X40"/>
    <mergeCell ref="U41:X41"/>
    <mergeCell ref="U42:X42"/>
    <mergeCell ref="U43:X43"/>
    <mergeCell ref="U44:X44"/>
    <mergeCell ref="U45:X45"/>
    <mergeCell ref="Q47:T47"/>
    <mergeCell ref="Q35:T35"/>
    <mergeCell ref="Q49:T49"/>
    <mergeCell ref="Q50:T50"/>
    <mergeCell ref="I53:L53"/>
    <mergeCell ref="Q34:T34"/>
    <mergeCell ref="Q36:T36"/>
    <mergeCell ref="Q37:T37"/>
    <mergeCell ref="Q38:T38"/>
    <mergeCell ref="Q39:T39"/>
    <mergeCell ref="Q40:T40"/>
    <mergeCell ref="Q41:T41"/>
    <mergeCell ref="Q42:T42"/>
    <mergeCell ref="Q43:T43"/>
    <mergeCell ref="Q44:T44"/>
    <mergeCell ref="Q45:T45"/>
    <mergeCell ref="Q46:T46"/>
    <mergeCell ref="Q48:T4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M53:N53"/>
    <mergeCell ref="M45:N45"/>
    <mergeCell ref="M46:N46"/>
    <mergeCell ref="M47:N47"/>
    <mergeCell ref="M48:N48"/>
    <mergeCell ref="M49:N49"/>
    <mergeCell ref="M40:N40"/>
    <mergeCell ref="M41:N41"/>
    <mergeCell ref="M42:N42"/>
    <mergeCell ref="M43:N43"/>
    <mergeCell ref="M44:N44"/>
    <mergeCell ref="M37:N37"/>
    <mergeCell ref="O37:P37"/>
    <mergeCell ref="O38:P38"/>
    <mergeCell ref="M38:N38"/>
    <mergeCell ref="M39:N39"/>
    <mergeCell ref="M34:N34"/>
    <mergeCell ref="O34:P34"/>
    <mergeCell ref="M35:N35"/>
    <mergeCell ref="O35:P35"/>
    <mergeCell ref="O36:P36"/>
    <mergeCell ref="M36:N36"/>
    <mergeCell ref="Q32:T32"/>
    <mergeCell ref="U32:X32"/>
    <mergeCell ref="U33:X33"/>
    <mergeCell ref="Q33:T33"/>
    <mergeCell ref="O33:P33"/>
    <mergeCell ref="M33:N33"/>
    <mergeCell ref="M30:N30"/>
    <mergeCell ref="O30:P30"/>
    <mergeCell ref="O31:P31"/>
    <mergeCell ref="O32:P32"/>
    <mergeCell ref="M32:N32"/>
    <mergeCell ref="Q30:T30"/>
    <mergeCell ref="U30:X30"/>
    <mergeCell ref="U31:X31"/>
    <mergeCell ref="Q31:T31"/>
    <mergeCell ref="E53:H53"/>
    <mergeCell ref="E44:H44"/>
    <mergeCell ref="E45:H45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E49:H49"/>
    <mergeCell ref="E50:H50"/>
    <mergeCell ref="E51:H51"/>
    <mergeCell ref="E52:H52"/>
    <mergeCell ref="E43:H43"/>
    <mergeCell ref="E46:H46"/>
    <mergeCell ref="E47:H47"/>
    <mergeCell ref="E48:H48"/>
    <mergeCell ref="I42:L42"/>
    <mergeCell ref="E40:H40"/>
    <mergeCell ref="E41:H41"/>
    <mergeCell ref="E42:H42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B46:D46"/>
    <mergeCell ref="B37:D37"/>
    <mergeCell ref="B38:D38"/>
    <mergeCell ref="B39:D39"/>
    <mergeCell ref="B40:D40"/>
    <mergeCell ref="B41:D41"/>
    <mergeCell ref="A55:X55"/>
    <mergeCell ref="B29:D29"/>
    <mergeCell ref="E29:H29"/>
    <mergeCell ref="I29:L29"/>
    <mergeCell ref="Q29:T29"/>
    <mergeCell ref="U29:X29"/>
    <mergeCell ref="M29:N29"/>
    <mergeCell ref="O29:P29"/>
    <mergeCell ref="B30:D30"/>
    <mergeCell ref="B31:D31"/>
    <mergeCell ref="B32:D32"/>
    <mergeCell ref="B33:D33"/>
    <mergeCell ref="B34:D34"/>
    <mergeCell ref="B35:D35"/>
    <mergeCell ref="B36:D36"/>
    <mergeCell ref="B52:D52"/>
    <mergeCell ref="B53:D53"/>
    <mergeCell ref="E30:H30"/>
    <mergeCell ref="C18:X18"/>
    <mergeCell ref="G12:K13"/>
    <mergeCell ref="B27:D28"/>
    <mergeCell ref="E27:H28"/>
    <mergeCell ref="I27:L28"/>
    <mergeCell ref="Q27:T28"/>
    <mergeCell ref="U27:X28"/>
    <mergeCell ref="M28:N28"/>
    <mergeCell ref="O28:P28"/>
    <mergeCell ref="M27:P27"/>
    <mergeCell ref="A25:B25"/>
    <mergeCell ref="A27:A28"/>
    <mergeCell ref="L12:M14"/>
    <mergeCell ref="N12:Q12"/>
    <mergeCell ref="A3:O3"/>
    <mergeCell ref="A2:O2"/>
    <mergeCell ref="A1:O1"/>
    <mergeCell ref="A26:X26"/>
    <mergeCell ref="A20:B20"/>
    <mergeCell ref="A21:B21"/>
    <mergeCell ref="A22:B22"/>
    <mergeCell ref="A23:B23"/>
    <mergeCell ref="A24:B24"/>
    <mergeCell ref="A4:O4"/>
    <mergeCell ref="A5:O5"/>
    <mergeCell ref="A6:O6"/>
    <mergeCell ref="A7:O7"/>
    <mergeCell ref="A8:O8"/>
    <mergeCell ref="A9:X9"/>
    <mergeCell ref="A10:X10"/>
    <mergeCell ref="A11:B13"/>
    <mergeCell ref="A14:B15"/>
    <mergeCell ref="A16:B16"/>
    <mergeCell ref="A17:B17"/>
    <mergeCell ref="A18:B18"/>
    <mergeCell ref="A19:B19"/>
    <mergeCell ref="C11:C15"/>
    <mergeCell ref="D11:D15"/>
    <mergeCell ref="M25:R25"/>
    <mergeCell ref="S25:W25"/>
    <mergeCell ref="G14:G15"/>
    <mergeCell ref="H14:H15"/>
    <mergeCell ref="I14:K14"/>
    <mergeCell ref="R12:R15"/>
    <mergeCell ref="S12:S15"/>
    <mergeCell ref="T12:T15"/>
    <mergeCell ref="U12:X12"/>
    <mergeCell ref="N13:N15"/>
    <mergeCell ref="U13:U15"/>
    <mergeCell ref="V13:V15"/>
    <mergeCell ref="W13:W15"/>
    <mergeCell ref="X13:X15"/>
    <mergeCell ref="O13:Q13"/>
    <mergeCell ref="O14:O15"/>
    <mergeCell ref="P14:P15"/>
    <mergeCell ref="Q14:Q15"/>
    <mergeCell ref="E11:E15"/>
    <mergeCell ref="F11:R11"/>
    <mergeCell ref="S11:X11"/>
    <mergeCell ref="F12:F15"/>
  </mergeCells>
  <hyperlinks>
    <hyperlink ref="G12" location="_ftn1" display="_ftn1"/>
    <hyperlink ref="A26" location="_ftnref1" display="_ftnref1"/>
  </hyperlink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owssvr</vt:lpstr>
      <vt:lpstr>Педиатрическая</vt:lpstr>
      <vt:lpstr>Педиатрическая!_ftn1</vt:lpstr>
      <vt:lpstr>Педиатрическая!_ftnref1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Гуйдя</dc:creator>
  <cp:lastModifiedBy>Сергей Гуйдя</cp:lastModifiedBy>
  <dcterms:created xsi:type="dcterms:W3CDTF">2014-10-11T00:31:57Z</dcterms:created>
  <dcterms:modified xsi:type="dcterms:W3CDTF">2014-10-11T06:07:56Z</dcterms:modified>
</cp:coreProperties>
</file>