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Desktop\Калькулятор\"/>
    </mc:Choice>
  </mc:AlternateContent>
  <bookViews>
    <workbookView xWindow="0" yWindow="0" windowWidth="19200" windowHeight="11295" tabRatio="599"/>
  </bookViews>
  <sheets>
    <sheet name=" Общие данные" sheetId="1" r:id="rId1"/>
    <sheet name="Расчеты" sheetId="4" r:id="rId2"/>
    <sheet name="База материал" sheetId="3" r:id="rId3"/>
    <sheet name="Вспом. лист" sheetId="2" r:id="rId4"/>
  </sheets>
  <definedNames>
    <definedName name="_xlnm._FilterDatabase" localSheetId="0" hidden="1">' Общие данные'!$C$25:$F$25</definedName>
    <definedName name="_xlnm._FilterDatabase" localSheetId="2" hidden="1">'База материал'!$A$1:$F$119</definedName>
    <definedName name="Балки_перекрытия_ест.вл._мм">'База материал'!$B$107:$B$119</definedName>
    <definedName name="Балки_перекрытия_клееные_Вишера_мм">'База материал'!$B$80:$B$86</definedName>
    <definedName name="Балки_перекрытия_клееные_ДДМ_мм">'База материал'!$B$58:$B$72</definedName>
    <definedName name="Балки_перекрытия_клееные_Древоград_мм">'База материал'!$B$97:$B$105</definedName>
    <definedName name="Брус_ест.влажности">'База материал'!$B$29:$B$32</definedName>
    <definedName name="Клееный_брус_Вишера">'База материал'!$B$74:$B$78</definedName>
    <definedName name="Клееный_брус_ДДМ">'База материал'!$B$47:$B$56</definedName>
    <definedName name="Клееный_брус_Древоград">'База материал'!$B$88:$B$95</definedName>
    <definedName name="ОЦБ_Строй_деталь">'База материал'!$B$34:$B$45</definedName>
    <definedName name="Проф.брус_Древоград_ест.вл.">'База материал'!$B$23:$B$27</definedName>
    <definedName name="Проф.брус_Киржач_ест.вл.">'База материал'!$B$5:$B$9</definedName>
    <definedName name="Проф.брус_Киржач_подсушенный">'База материал'!$B$10:$B$12</definedName>
    <definedName name="Проф.брус_Лестэк_ест.вл.">'База материал'!$B$14:$B$17</definedName>
    <definedName name="Проф.брус_Лестэк_подсушенный">'База материал'!$B$18:$B$21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C59" i="4" l="1"/>
  <c r="D7" i="4"/>
  <c r="E7" i="4" s="1"/>
  <c r="E6" i="4"/>
  <c r="D6" i="4"/>
  <c r="H101" i="4"/>
  <c r="I61" i="4" l="1"/>
  <c r="C96" i="4"/>
  <c r="C92" i="4"/>
  <c r="A45" i="1"/>
  <c r="A44" i="1"/>
  <c r="A43" i="1"/>
  <c r="A42" i="1"/>
  <c r="C88" i="4"/>
  <c r="C84" i="4"/>
  <c r="M99" i="4"/>
  <c r="M97" i="4"/>
  <c r="M96" i="4"/>
  <c r="M95" i="4"/>
  <c r="K94" i="4"/>
  <c r="M90" i="4"/>
  <c r="M89" i="4"/>
  <c r="I95" i="4"/>
  <c r="I89" i="4"/>
  <c r="I90" i="4"/>
  <c r="M98" i="4" l="1"/>
  <c r="I99" i="4"/>
  <c r="G94" i="4"/>
  <c r="I97" i="4" s="1"/>
  <c r="I98" i="4" l="1"/>
  <c r="I96" i="4"/>
  <c r="E60" i="4" l="1"/>
  <c r="E59" i="4"/>
  <c r="M93" i="4" l="1"/>
  <c r="M92" i="4"/>
  <c r="I92" i="4"/>
  <c r="I93" i="4"/>
  <c r="O82" i="4"/>
  <c r="Q83" i="4" s="1"/>
  <c r="Q85" i="4" s="1"/>
  <c r="Q78" i="4"/>
  <c r="I91" i="4" l="1"/>
  <c r="M91" i="4"/>
  <c r="Q84" i="4"/>
  <c r="Q86" i="4"/>
  <c r="Q87" i="4" l="1"/>
  <c r="M78" i="4"/>
  <c r="Q79" i="4" l="1"/>
  <c r="K82" i="4"/>
  <c r="M83" i="4" s="1"/>
  <c r="M86" i="4" s="1"/>
  <c r="G82" i="4"/>
  <c r="Q80" i="4" l="1"/>
  <c r="Q81" i="4"/>
  <c r="M79" i="4"/>
  <c r="M85" i="4"/>
  <c r="M87" i="4" s="1"/>
  <c r="M84" i="4"/>
  <c r="I85" i="4"/>
  <c r="Q67" i="4"/>
  <c r="M80" i="4" l="1"/>
  <c r="M81" i="4"/>
  <c r="I83" i="4"/>
  <c r="I78" i="4"/>
  <c r="I84" i="4" l="1"/>
  <c r="O73" i="4"/>
  <c r="Q74" i="4" s="1"/>
  <c r="Q76" i="4" s="1"/>
  <c r="Q69" i="4"/>
  <c r="Q75" i="4" l="1"/>
  <c r="K73" i="4"/>
  <c r="M74" i="4" s="1"/>
  <c r="M76" i="4" s="1"/>
  <c r="M69" i="4"/>
  <c r="I69" i="4"/>
  <c r="G73" i="4"/>
  <c r="I74" i="4" s="1"/>
  <c r="I76" i="4" l="1"/>
  <c r="I70" i="4"/>
  <c r="I72" i="4" s="1"/>
  <c r="M75" i="4"/>
  <c r="I75" i="4"/>
  <c r="Q66" i="4"/>
  <c r="M66" i="4"/>
  <c r="C60" i="4"/>
  <c r="I59" i="4"/>
  <c r="I58" i="4"/>
  <c r="O64" i="4"/>
  <c r="Q65" i="4" s="1"/>
  <c r="Q62" i="4" s="1"/>
  <c r="Q61" i="4"/>
  <c r="C93" i="4" l="1"/>
  <c r="C94" i="4" s="1"/>
  <c r="C85" i="4"/>
  <c r="C86" i="4" s="1"/>
  <c r="K64" i="4"/>
  <c r="M65" i="4" s="1"/>
  <c r="M61" i="4"/>
  <c r="G64" i="4"/>
  <c r="I65" i="4" s="1"/>
  <c r="C80" i="4"/>
  <c r="C76" i="4"/>
  <c r="C72" i="4"/>
  <c r="C68" i="4"/>
  <c r="M62" i="4" l="1"/>
  <c r="M67" i="4"/>
  <c r="I67" i="4"/>
  <c r="D111" i="4" s="1"/>
  <c r="H1" i="4" s="1"/>
  <c r="I62" i="4"/>
  <c r="I66" i="4"/>
  <c r="D62" i="4"/>
  <c r="D63" i="4"/>
  <c r="D64" i="4"/>
  <c r="D65" i="4"/>
  <c r="D66" i="4"/>
  <c r="C63" i="4"/>
  <c r="C64" i="4"/>
  <c r="C65" i="4"/>
  <c r="C66" i="4"/>
  <c r="C62" i="4"/>
  <c r="D61" i="4"/>
  <c r="C61" i="4"/>
  <c r="B64" i="4"/>
  <c r="H9" i="1"/>
  <c r="I63" i="4" l="1"/>
  <c r="D60" i="4"/>
  <c r="Q70" i="4" l="1"/>
  <c r="Q72" i="4" s="1"/>
  <c r="I79" i="4"/>
  <c r="I71" i="4"/>
  <c r="M70" i="4"/>
  <c r="C73" i="4"/>
  <c r="C74" i="4" s="1"/>
  <c r="C81" i="4"/>
  <c r="C82" i="4" s="1"/>
  <c r="Q63" i="4"/>
  <c r="M63" i="4"/>
  <c r="C69" i="4"/>
  <c r="C70" i="4" s="1"/>
  <c r="C77" i="4"/>
  <c r="C78" i="4" s="1"/>
  <c r="D59" i="4"/>
  <c r="I80" i="4" l="1"/>
  <c r="I81" i="4"/>
  <c r="M71" i="4"/>
  <c r="M72" i="4"/>
  <c r="Q71" i="4"/>
  <c r="C97" i="4"/>
  <c r="C98" i="4" s="1"/>
  <c r="C89" i="4"/>
  <c r="C90" i="4" s="1"/>
  <c r="D101" i="4" l="1"/>
  <c r="D102" i="4" s="1"/>
  <c r="D104" i="4" s="1"/>
  <c r="D105" i="4" s="1"/>
  <c r="E1" i="4" s="1"/>
  <c r="D106" i="4"/>
  <c r="D107" i="4" s="1"/>
  <c r="D110" i="4" s="1"/>
  <c r="E2" i="4" s="1"/>
</calcChain>
</file>

<file path=xl/sharedStrings.xml><?xml version="1.0" encoding="utf-8"?>
<sst xmlns="http://schemas.openxmlformats.org/spreadsheetml/2006/main" count="706" uniqueCount="282">
  <si>
    <t>ФИО Заказчика</t>
  </si>
  <si>
    <t>Место строительства:</t>
  </si>
  <si>
    <t>Удаленность от МКАД:</t>
  </si>
  <si>
    <t>Дата расчета сметы</t>
  </si>
  <si>
    <t>км</t>
  </si>
  <si>
    <t>Габаритные размеры 1-го этажа, с учетом террасы и крыльца, если</t>
  </si>
  <si>
    <t>эти элементы не являются выступающей частью в, м</t>
  </si>
  <si>
    <t>длина</t>
  </si>
  <si>
    <t>ширина</t>
  </si>
  <si>
    <t>Габаритные размеры 2-го этажа, с учетом балкона, если</t>
  </si>
  <si>
    <t>балкон не являются выступающей частью в, м</t>
  </si>
  <si>
    <t>Терраса, м</t>
  </si>
  <si>
    <t>Крыльцо, м</t>
  </si>
  <si>
    <t xml:space="preserve">Балкон, м </t>
  </si>
  <si>
    <t>Периметр фундамента, м</t>
  </si>
  <si>
    <t>Вид материала</t>
  </si>
  <si>
    <t>ОЦБ Строй-деталь</t>
  </si>
  <si>
    <t>Брус ест. влажности</t>
  </si>
  <si>
    <t>Проф. брус Киржач</t>
  </si>
  <si>
    <t>Проф. брус Лестэк</t>
  </si>
  <si>
    <t>Проф. брус Древоград</t>
  </si>
  <si>
    <t>Если терраса, крыльцо и балкон являются выступающей частью</t>
  </si>
  <si>
    <t>Высота 1-го этажа в чистоте, м</t>
  </si>
  <si>
    <t>Высота 2-го этажа в чистоте, м</t>
  </si>
  <si>
    <t>(если этаж мансардный, высота стен до скоса крыши)</t>
  </si>
  <si>
    <t>Сечение балок перекрытия 1-й этаж, мм</t>
  </si>
  <si>
    <t>Сечение балок перекрытия 2-й этаж, мм</t>
  </si>
  <si>
    <t>Сечение балок перекрытия 3-й этаж, мм</t>
  </si>
  <si>
    <t>длина  по стене 2, м</t>
  </si>
  <si>
    <t>длина  по стене 1, м</t>
  </si>
  <si>
    <t>длина 1</t>
  </si>
  <si>
    <t>ширина 1</t>
  </si>
  <si>
    <t>длина 2</t>
  </si>
  <si>
    <t>ширина 2</t>
  </si>
  <si>
    <t>Вальмовая крыша (значения проставляются при наличии данной крыши)</t>
  </si>
  <si>
    <t>ширина по стене 1, м</t>
  </si>
  <si>
    <t>ширина по стене 2, м</t>
  </si>
  <si>
    <t>Мансардная крыша (значения проставляются при наличии данной крыши)</t>
  </si>
  <si>
    <t>Односкатная крыша (значения проставляются при наличии данной крыши)</t>
  </si>
  <si>
    <t>ширина по стене  2, м</t>
  </si>
  <si>
    <t>кол-во фронотов, шт.</t>
  </si>
  <si>
    <t>кол-во фронотов , шт.</t>
  </si>
  <si>
    <t>при других параметрах крыши</t>
  </si>
  <si>
    <t>Сечение материала пепегородок дома, м</t>
  </si>
  <si>
    <t>вид соединения стен</t>
  </si>
  <si>
    <t>Периметр несущих стен 1-го этажа, м</t>
  </si>
  <si>
    <t>Периметр пепегородок 1-го этажа, м</t>
  </si>
  <si>
    <t>Периметр несущих стен 2-го этажа, м</t>
  </si>
  <si>
    <t>Периметр пепегородок 2-го этажа, м</t>
  </si>
  <si>
    <t>Вид кровли</t>
  </si>
  <si>
    <t>2-х скатная</t>
  </si>
  <si>
    <t>вальмовая</t>
  </si>
  <si>
    <t>мансардная</t>
  </si>
  <si>
    <t>Фронтоны</t>
  </si>
  <si>
    <t>из стенового материала</t>
  </si>
  <si>
    <t>каркасные</t>
  </si>
  <si>
    <t>Значения, выделенные красным цветом, заполняются при необходимости!!!!!!</t>
  </si>
  <si>
    <t>Наименование</t>
  </si>
  <si>
    <t>Размеры</t>
  </si>
  <si>
    <t>Ед. изм.</t>
  </si>
  <si>
    <t>Цена</t>
  </si>
  <si>
    <t>Проф. Брус ест. Вл.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</si>
  <si>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</si>
  <si>
    <t>Проф. Брус подсушенный</t>
  </si>
  <si>
    <t>погонаж</t>
  </si>
  <si>
    <t>комплект</t>
  </si>
  <si>
    <t>раб. высота</t>
  </si>
  <si>
    <t>Несущие столбы, м.п.</t>
  </si>
  <si>
    <t>Домкраты, шт.</t>
  </si>
  <si>
    <t>Тип фундамента</t>
  </si>
  <si>
    <t>ж/б ростверк</t>
  </si>
  <si>
    <t>метал. сваи</t>
  </si>
  <si>
    <t>Бревно оцилиндрованное</t>
  </si>
  <si>
    <t>Сечение стропильной системы, мм</t>
  </si>
  <si>
    <t>Сечение обрешетки, мм</t>
  </si>
  <si>
    <t>Эркерное соединение, м.п.</t>
  </si>
  <si>
    <t>Монтаж шпилек, м.п.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</si>
  <si>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</si>
  <si>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высота/ширина</t>
  </si>
  <si>
    <t>Брус_ест.влажности</t>
  </si>
  <si>
    <t>145х145</t>
  </si>
  <si>
    <t>145х195</t>
  </si>
  <si>
    <t>195х195</t>
  </si>
  <si>
    <t>190х240</t>
  </si>
  <si>
    <t>140х142</t>
  </si>
  <si>
    <t>140х192</t>
  </si>
  <si>
    <t>145х144</t>
  </si>
  <si>
    <t>145х194</t>
  </si>
  <si>
    <t>195х194</t>
  </si>
  <si>
    <t>140х140</t>
  </si>
  <si>
    <t>140х188</t>
  </si>
  <si>
    <t>190х188</t>
  </si>
  <si>
    <t>150х150</t>
  </si>
  <si>
    <t>150х200</t>
  </si>
  <si>
    <t>200х200</t>
  </si>
  <si>
    <t>Клееный брус ДДМ</t>
  </si>
  <si>
    <t>Брус клееный</t>
  </si>
  <si>
    <t>140х120</t>
  </si>
  <si>
    <t>140х163</t>
  </si>
  <si>
    <t>140х210</t>
  </si>
  <si>
    <t>185х210</t>
  </si>
  <si>
    <t>185х163</t>
  </si>
  <si>
    <t>185х120</t>
  </si>
  <si>
    <t>185х248</t>
  </si>
  <si>
    <t>270х210</t>
  </si>
  <si>
    <t>270х248</t>
  </si>
  <si>
    <t>Клееный брус Вишера</t>
  </si>
  <si>
    <t>172х140</t>
  </si>
  <si>
    <t>186х126</t>
  </si>
  <si>
    <t>186х169</t>
  </si>
  <si>
    <t>186х212</t>
  </si>
  <si>
    <t>Проф.брус_Киржач_ест.вл.</t>
  </si>
  <si>
    <t>Проф.брус_Киржач_подсушенный</t>
  </si>
  <si>
    <t>Проф.брус_Лестэк_ест.вл.</t>
  </si>
  <si>
    <t>Проф.брус_Лестэк_подсушенный</t>
  </si>
  <si>
    <t>Клееный_брус_ДДМ</t>
  </si>
  <si>
    <t>Клееный_брус_Вишера</t>
  </si>
  <si>
    <t>Клееный_брус_Древоград</t>
  </si>
  <si>
    <t>Сечение материала несущих стен дома, мм</t>
  </si>
  <si>
    <t>Клееный брус Древоград</t>
  </si>
  <si>
    <t>130х120</t>
  </si>
  <si>
    <t>130х160</t>
  </si>
  <si>
    <t>130х200</t>
  </si>
  <si>
    <t>180х120</t>
  </si>
  <si>
    <t>180х160</t>
  </si>
  <si>
    <t>180х200</t>
  </si>
  <si>
    <t>ОЦБ_Строй_деталь</t>
  </si>
  <si>
    <t>угол ската крыши 2, в град.</t>
  </si>
  <si>
    <t>угол ската крыши 1, в град.</t>
  </si>
  <si>
    <t>ширина по стене 3, м</t>
  </si>
  <si>
    <t>длина  по стене 3, м</t>
  </si>
  <si>
    <t>угол ската крыши 3, в град.</t>
  </si>
  <si>
    <t>Материал ест. влажности</t>
  </si>
  <si>
    <t>100х25</t>
  </si>
  <si>
    <t>100х50</t>
  </si>
  <si>
    <t>100х100</t>
  </si>
  <si>
    <t>150х25</t>
  </si>
  <si>
    <t>150х50</t>
  </si>
  <si>
    <t>150х100</t>
  </si>
  <si>
    <t>200х50</t>
  </si>
  <si>
    <t>200х100</t>
  </si>
  <si>
    <t>200х150</t>
  </si>
  <si>
    <r>
      <t>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</si>
  <si>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Конструкционная клееная балка</t>
  </si>
  <si>
    <t>Конструкционная клееная балка, ДДМ</t>
  </si>
  <si>
    <t>140х80</t>
  </si>
  <si>
    <t>163х140</t>
  </si>
  <si>
    <t>210х140</t>
  </si>
  <si>
    <t>294х140</t>
  </si>
  <si>
    <t>336х140</t>
  </si>
  <si>
    <t>185х80</t>
  </si>
  <si>
    <t>210х185</t>
  </si>
  <si>
    <t>248х185</t>
  </si>
  <si>
    <t>294х185</t>
  </si>
  <si>
    <t>336х185</t>
  </si>
  <si>
    <t>200х25</t>
  </si>
  <si>
    <t>Балки перекрытия, Вишера</t>
  </si>
  <si>
    <t>186х83</t>
  </si>
  <si>
    <t>188х40</t>
  </si>
  <si>
    <t>Балки перекрытия</t>
  </si>
  <si>
    <t>240х56</t>
  </si>
  <si>
    <t>240х89</t>
  </si>
  <si>
    <t>240х186</t>
  </si>
  <si>
    <t>540х186</t>
  </si>
  <si>
    <t>Балки_перекрытия_ест.вл._мм</t>
  </si>
  <si>
    <t>000х000</t>
  </si>
  <si>
    <t>Ест.влажность</t>
  </si>
  <si>
    <t>Сухая</t>
  </si>
  <si>
    <t>выбрать нужное</t>
  </si>
  <si>
    <t>Другой материал</t>
  </si>
  <si>
    <t>Обрезной материал, брус</t>
  </si>
  <si>
    <t>сух.</t>
  </si>
  <si>
    <t>ест. вл.</t>
  </si>
  <si>
    <t>высота</t>
  </si>
  <si>
    <t>Промежуточные расчеты</t>
  </si>
  <si>
    <t>Несущие стены</t>
  </si>
  <si>
    <t>Перегородки</t>
  </si>
  <si>
    <t>Московская область, поселение Роговское близ с. Богородское, СНТ "Импульс", уч. 75</t>
  </si>
  <si>
    <t>Абдулин Камиль Анверович</t>
  </si>
  <si>
    <t>ширина для проектир.</t>
  </si>
  <si>
    <t>длина для проектиров.</t>
  </si>
  <si>
    <t>Если соединение стен в "чашу", периметр рассчитывать с учетом чашки!!!!!!!</t>
  </si>
  <si>
    <t>на 1 венец</t>
  </si>
  <si>
    <t>Величина усадки 1-й этаж, м</t>
  </si>
  <si>
    <t>Величина усадки 2-й этаж, м</t>
  </si>
  <si>
    <t>Проф.брус_Древоград_ест.вл.</t>
  </si>
  <si>
    <t>Кол-во венцов</t>
  </si>
  <si>
    <t>Расчет кол-ва бруса/бревна , шт.</t>
  </si>
  <si>
    <t>Общее кол-во бруса, шт.</t>
  </si>
  <si>
    <t>tn угла</t>
  </si>
  <si>
    <t>Односкатная крыша 1</t>
  </si>
  <si>
    <t>Односкатная крыша 2</t>
  </si>
  <si>
    <t>Площадь фронтона, м2</t>
  </si>
  <si>
    <t>Площадь кровли, м2</t>
  </si>
  <si>
    <t>Односкатная крыша 3</t>
  </si>
  <si>
    <t>1 этаж несущие стены</t>
  </si>
  <si>
    <t>1 этаж перегородки</t>
  </si>
  <si>
    <t>2 этаж несущие стены</t>
  </si>
  <si>
    <t>2 этаж перегородки</t>
  </si>
  <si>
    <t>Высота фронтона, м</t>
  </si>
  <si>
    <t>длина  по стене(коньку) 3, м</t>
  </si>
  <si>
    <t>Двухскатная крыша 1</t>
  </si>
  <si>
    <t>Двухскатная крыша 2</t>
  </si>
  <si>
    <t>Двухскатная крыша 3</t>
  </si>
  <si>
    <t>ширина по стене 4, м</t>
  </si>
  <si>
    <t>длина  по стене(коньку) 4, м</t>
  </si>
  <si>
    <t>угол ската крыши 4, в град.</t>
  </si>
  <si>
    <t>Двухскатная крыша 4</t>
  </si>
  <si>
    <t>2-х скатная крыша (значения проставл. при наличии данной крыши)</t>
  </si>
  <si>
    <t>да</t>
  </si>
  <si>
    <t>нет</t>
  </si>
  <si>
    <t>Примыкание к стене 1</t>
  </si>
  <si>
    <t>Примыкание к стене 2</t>
  </si>
  <si>
    <t>Примыкание к стене 3</t>
  </si>
  <si>
    <t>габаритные рамеры по осям для расчета S проект.</t>
  </si>
  <si>
    <t>180х230</t>
  </si>
  <si>
    <t>145х100</t>
  </si>
  <si>
    <t>Балки_перекрытия_клееные_ДДМ_мм</t>
  </si>
  <si>
    <t>Балки_перекрытия_клееные_Вишера_мм</t>
  </si>
  <si>
    <t>Балки_перекрытия_клееные_Древоград_мм</t>
  </si>
  <si>
    <t>Балки перекрытия, Древоград</t>
  </si>
  <si>
    <t>180х50</t>
  </si>
  <si>
    <t>200х80</t>
  </si>
  <si>
    <t>200х120</t>
  </si>
  <si>
    <t>220х100</t>
  </si>
  <si>
    <t>220х120</t>
  </si>
  <si>
    <t>220х140</t>
  </si>
  <si>
    <t>220х160</t>
  </si>
  <si>
    <t>Вальмовая крыша 1</t>
  </si>
  <si>
    <t>Общее кол-во бруса/бревна, шт.</t>
  </si>
  <si>
    <t>Площадь фронтона/каркаса, м2</t>
  </si>
  <si>
    <t>Высота малого треугольника, м</t>
  </si>
  <si>
    <t>Высота трапеции, м</t>
  </si>
  <si>
    <t>Вальмовая крыша 2</t>
  </si>
  <si>
    <t>Мансардная крыша 1</t>
  </si>
  <si>
    <t>Расчет кол-ва бруса/бревна ниж. ч., шт.</t>
  </si>
  <si>
    <t>Расчет кол-ва бруса/бревна верхн. ч., шт.</t>
  </si>
  <si>
    <t>Кол-во венцов нижн. часть</t>
  </si>
  <si>
    <t>Высота верхн. часть, м</t>
  </si>
  <si>
    <t>Площадь одного фронтона, м2</t>
  </si>
  <si>
    <t>Площадь фронтонов, м2</t>
  </si>
  <si>
    <t>Площадь каркаса мансарды, м2</t>
  </si>
  <si>
    <t>Кол-во венцов верхн. часть</t>
  </si>
  <si>
    <t>Мансардная крыша 2</t>
  </si>
  <si>
    <t>Несущие стены выше скоса крыши 1</t>
  </si>
  <si>
    <t>Несущие стены выше скоса крыши 2</t>
  </si>
  <si>
    <t>Перегородки выше скоса крыши 1</t>
  </si>
  <si>
    <t>Перегородки выше скоса крыши 2</t>
  </si>
  <si>
    <t>Кол-во материала несущих стен, шт.</t>
  </si>
  <si>
    <t>кол-во фронотов перегородок , шт.</t>
  </si>
  <si>
    <t>Общее кол-во бруса/бревна перегородок, шт.</t>
  </si>
  <si>
    <t>кол-во фронотов несущих стен , шт.</t>
  </si>
  <si>
    <t>Общ.кол-во бруса/бревна несущ.стен, шт.</t>
  </si>
  <si>
    <t>Общ.кол-во бруса/бревна перегородок, шт.</t>
  </si>
  <si>
    <t>раб. высо-та</t>
  </si>
  <si>
    <t>Кол-во материала перегородок, шт.</t>
  </si>
  <si>
    <t>Запас на раскрой и погрешность расчетов</t>
  </si>
  <si>
    <t>V материала неущих стен по расчету, м3</t>
  </si>
  <si>
    <t>V материала на коньки ,выпуски, перевязки м3</t>
  </si>
  <si>
    <t>V материала перегородок по расчету, м3</t>
  </si>
  <si>
    <t>Итого V по материалу перегородок</t>
  </si>
  <si>
    <t>Итого V по материалу несущих стен</t>
  </si>
  <si>
    <t>№</t>
  </si>
  <si>
    <t>Принимаем</t>
  </si>
  <si>
    <t>м.п.</t>
  </si>
  <si>
    <t>Основные данные по проекту</t>
  </si>
  <si>
    <t>V несущ.стен=</t>
  </si>
  <si>
    <t>м3</t>
  </si>
  <si>
    <t>Vперегородок=</t>
  </si>
  <si>
    <t>Sкровли=</t>
  </si>
  <si>
    <t>м2</t>
  </si>
  <si>
    <t>Расчет объема работ</t>
  </si>
  <si>
    <t>Наименование работ</t>
  </si>
  <si>
    <t>Ед. имере-ния</t>
  </si>
  <si>
    <t>Кол-во</t>
  </si>
  <si>
    <t>Расчет объема материала</t>
  </si>
  <si>
    <t>Демонтаж опалубки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</si>
  <si>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</si>
  <si>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Высота ж/б ленты, м</t>
  </si>
  <si>
    <t>Расчет высоты опалубки, м</t>
  </si>
  <si>
    <t>Монтаж гидроизоляции (гидростеклоизол) между фундаментом и обвязкой в 1 слой</t>
  </si>
  <si>
    <t>Сметная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</si>
</sst>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0000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color rgb="FF0000FF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3" borderId="0" xfId="0" applyFont="1" applyFill="1" applyBorder="1"/>
    <xf numFmtId="0" fontId="2" fillId="3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2" fillId="2" borderId="11" xfId="0" applyFont="1" applyFill="1" applyBorder="1"/>
    <xf numFmtId="0" fontId="2" fillId="0" borderId="9" xfId="0" applyFont="1" applyBorder="1"/>
    <xf numFmtId="0" fontId="3" fillId="0" borderId="0" xfId="0" applyFont="1" applyBorder="1"/>
    <xf numFmtId="0" fontId="2" fillId="2" borderId="9" xfId="0" applyFont="1" applyFill="1" applyBorder="1"/>
    <xf numFmtId="0" fontId="5" fillId="2" borderId="9" xfId="0" applyFont="1" applyFill="1" applyBorder="1" applyAlignment="1"/>
    <xf numFmtId="0" fontId="5" fillId="3" borderId="9" xfId="0" applyFont="1" applyFill="1" applyBorder="1" applyAlignment="1"/>
    <xf numFmtId="0" fontId="4" fillId="3" borderId="9" xfId="0" applyFont="1" applyFill="1" applyBorder="1" applyAlignment="1"/>
    <xf numFmtId="0" fontId="2" fillId="0" borderId="18" xfId="0" applyFont="1" applyBorder="1"/>
    <xf numFmtId="0" fontId="2" fillId="0" borderId="19" xfId="0" applyFont="1" applyBorder="1"/>
    <xf numFmtId="0" fontId="2" fillId="0" borderId="23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27" xfId="0" applyFont="1" applyBorder="1"/>
    <xf numFmtId="0" fontId="4" fillId="2" borderId="9" xfId="0" applyFont="1" applyFill="1" applyBorder="1" applyAlignment="1">
      <alignment wrapText="1"/>
    </xf>
    <xf numFmtId="0" fontId="1" fillId="2" borderId="17" xfId="0" applyFont="1" applyFill="1" applyBorder="1" applyAlignment="1"/>
    <xf numFmtId="0" fontId="1" fillId="2" borderId="18" xfId="0" applyFont="1" applyFill="1" applyBorder="1"/>
    <xf numFmtId="0" fontId="2" fillId="2" borderId="19" xfId="0" applyFont="1" applyFill="1" applyBorder="1"/>
    <xf numFmtId="0" fontId="1" fillId="3" borderId="17" xfId="0" applyFont="1" applyFill="1" applyBorder="1" applyAlignment="1"/>
    <xf numFmtId="0" fontId="4" fillId="3" borderId="10" xfId="0" applyFont="1" applyFill="1" applyBorder="1" applyAlignment="1">
      <alignment wrapText="1"/>
    </xf>
    <xf numFmtId="0" fontId="1" fillId="3" borderId="18" xfId="0" applyFont="1" applyFill="1" applyBorder="1"/>
    <xf numFmtId="0" fontId="2" fillId="3" borderId="19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3" borderId="29" xfId="0" applyFont="1" applyFill="1" applyBorder="1"/>
    <xf numFmtId="0" fontId="2" fillId="2" borderId="16" xfId="0" applyFont="1" applyFill="1" applyBorder="1"/>
    <xf numFmtId="0" fontId="2" fillId="2" borderId="10" xfId="0" applyFont="1" applyFill="1" applyBorder="1"/>
    <xf numFmtId="0" fontId="2" fillId="2" borderId="31" xfId="0" applyFont="1" applyFill="1" applyBorder="1"/>
    <xf numFmtId="0" fontId="2" fillId="2" borderId="2" xfId="0" applyFont="1" applyFill="1" applyBorder="1"/>
    <xf numFmtId="0" fontId="2" fillId="2" borderId="26" xfId="0" applyFont="1" applyFill="1" applyBorder="1"/>
    <xf numFmtId="0" fontId="2" fillId="2" borderId="3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3" borderId="9" xfId="0" applyFont="1" applyFill="1" applyBorder="1"/>
    <xf numFmtId="0" fontId="2" fillId="3" borderId="30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3" borderId="31" xfId="0" applyFont="1" applyFill="1" applyBorder="1"/>
    <xf numFmtId="0" fontId="2" fillId="3" borderId="27" xfId="0" applyFont="1" applyFill="1" applyBorder="1"/>
    <xf numFmtId="0" fontId="2" fillId="2" borderId="36" xfId="0" applyFont="1" applyFill="1" applyBorder="1"/>
    <xf numFmtId="0" fontId="2" fillId="3" borderId="18" xfId="0" applyFont="1" applyFill="1" applyBorder="1"/>
    <xf numFmtId="0" fontId="2" fillId="3" borderId="20" xfId="0" applyFont="1" applyFill="1" applyBorder="1"/>
    <xf numFmtId="0" fontId="2" fillId="3" borderId="28" xfId="0" applyFont="1" applyFill="1" applyBorder="1"/>
    <xf numFmtId="0" fontId="2" fillId="2" borderId="22" xfId="0" applyFont="1" applyFill="1" applyBorder="1"/>
    <xf numFmtId="0" fontId="2" fillId="2" borderId="17" xfId="0" applyFont="1" applyFill="1" applyBorder="1"/>
    <xf numFmtId="0" fontId="2" fillId="2" borderId="35" xfId="0" applyFont="1" applyFill="1" applyBorder="1"/>
    <xf numFmtId="0" fontId="2" fillId="3" borderId="35" xfId="0" applyFont="1" applyFill="1" applyBorder="1"/>
    <xf numFmtId="0" fontId="2" fillId="0" borderId="31" xfId="0" applyFont="1" applyBorder="1"/>
    <xf numFmtId="0" fontId="2" fillId="0" borderId="32" xfId="0" applyFont="1" applyFill="1" applyBorder="1"/>
    <xf numFmtId="0" fontId="2" fillId="0" borderId="40" xfId="0" applyFont="1" applyFill="1" applyBorder="1"/>
    <xf numFmtId="0" fontId="2" fillId="0" borderId="35" xfId="0" applyFont="1" applyFill="1" applyBorder="1"/>
    <xf numFmtId="0" fontId="1" fillId="2" borderId="22" xfId="0" applyFont="1" applyFill="1" applyBorder="1"/>
    <xf numFmtId="0" fontId="1" fillId="3" borderId="17" xfId="0" applyFont="1" applyFill="1" applyBorder="1"/>
    <xf numFmtId="0" fontId="2" fillId="2" borderId="28" xfId="0" applyFont="1" applyFill="1" applyBorder="1"/>
    <xf numFmtId="0" fontId="2" fillId="2" borderId="21" xfId="0" applyFont="1" applyFill="1" applyBorder="1"/>
    <xf numFmtId="0" fontId="2" fillId="2" borderId="41" xfId="0" applyFont="1" applyFill="1" applyBorder="1"/>
    <xf numFmtId="0" fontId="2" fillId="2" borderId="7" xfId="0" applyFont="1" applyFill="1" applyBorder="1"/>
    <xf numFmtId="0" fontId="2" fillId="0" borderId="35" xfId="0" applyFont="1" applyBorder="1"/>
    <xf numFmtId="0" fontId="7" fillId="4" borderId="0" xfId="0" applyFont="1" applyFill="1"/>
    <xf numFmtId="0" fontId="2" fillId="4" borderId="0" xfId="0" applyFont="1" applyFill="1"/>
    <xf numFmtId="0" fontId="6" fillId="3" borderId="10" xfId="0" applyFont="1" applyFill="1" applyBorder="1"/>
    <xf numFmtId="0" fontId="6" fillId="3" borderId="19" xfId="0" applyFont="1" applyFill="1" applyBorder="1"/>
    <xf numFmtId="0" fontId="8" fillId="3" borderId="11" xfId="0" applyFont="1" applyFill="1" applyBorder="1"/>
    <xf numFmtId="0" fontId="8" fillId="0" borderId="0" xfId="0" applyFont="1" applyBorder="1"/>
    <xf numFmtId="0" fontId="8" fillId="0" borderId="19" xfId="0" applyFont="1" applyBorder="1"/>
    <xf numFmtId="0" fontId="7" fillId="2" borderId="10" xfId="0" applyFont="1" applyFill="1" applyBorder="1"/>
    <xf numFmtId="0" fontId="11" fillId="0" borderId="0" xfId="0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164" fontId="11" fillId="0" borderId="15" xfId="0" applyNumberFormat="1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2" fillId="0" borderId="33" xfId="0" applyFont="1" applyBorder="1"/>
    <xf numFmtId="0" fontId="2" fillId="0" borderId="34" xfId="0" applyFont="1" applyBorder="1"/>
    <xf numFmtId="0" fontId="2" fillId="0" borderId="26" xfId="0" applyFont="1" applyBorder="1"/>
    <xf numFmtId="0" fontId="1" fillId="0" borderId="40" xfId="0" applyFont="1" applyFill="1" applyBorder="1"/>
    <xf numFmtId="0" fontId="2" fillId="3" borderId="23" xfId="0" applyFont="1" applyFill="1" applyBorder="1"/>
    <xf numFmtId="0" fontId="1" fillId="0" borderId="23" xfId="0" applyFont="1" applyBorder="1"/>
    <xf numFmtId="0" fontId="7" fillId="2" borderId="4" xfId="0" applyFont="1" applyFill="1" applyBorder="1"/>
    <xf numFmtId="0" fontId="7" fillId="2" borderId="19" xfId="0" applyFont="1" applyFill="1" applyBorder="1"/>
    <xf numFmtId="0" fontId="1" fillId="3" borderId="22" xfId="0" applyFont="1" applyFill="1" applyBorder="1"/>
    <xf numFmtId="0" fontId="2" fillId="0" borderId="32" xfId="0" applyFont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26" xfId="0" applyFont="1" applyFill="1" applyBorder="1"/>
    <xf numFmtId="0" fontId="2" fillId="0" borderId="31" xfId="0" applyFont="1" applyFill="1" applyBorder="1"/>
    <xf numFmtId="0" fontId="2" fillId="0" borderId="27" xfId="0" applyFont="1" applyFill="1" applyBorder="1"/>
    <xf numFmtId="0" fontId="1" fillId="0" borderId="0" xfId="0" applyFont="1" applyFill="1" applyBorder="1"/>
    <xf numFmtId="0" fontId="1" fillId="0" borderId="33" xfId="0" applyFont="1" applyFill="1" applyBorder="1"/>
    <xf numFmtId="0" fontId="2" fillId="0" borderId="0" xfId="0" applyFont="1" applyFill="1"/>
    <xf numFmtId="0" fontId="2" fillId="0" borderId="20" xfId="0" applyFont="1" applyFill="1" applyBorder="1" applyAlignment="1"/>
    <xf numFmtId="0" fontId="2" fillId="0" borderId="20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42" xfId="0" applyFont="1" applyFill="1" applyBorder="1"/>
    <xf numFmtId="165" fontId="2" fillId="0" borderId="0" xfId="0" applyNumberFormat="1" applyFont="1" applyFill="1"/>
    <xf numFmtId="4" fontId="2" fillId="0" borderId="0" xfId="0" applyNumberFormat="1" applyFont="1" applyFill="1"/>
    <xf numFmtId="0" fontId="8" fillId="2" borderId="18" xfId="0" applyFont="1" applyFill="1" applyBorder="1"/>
    <xf numFmtId="0" fontId="2" fillId="3" borderId="4" xfId="0" applyFont="1" applyFill="1" applyBorder="1"/>
    <xf numFmtId="0" fontId="2" fillId="0" borderId="26" xfId="0" applyNumberFormat="1" applyFont="1" applyFill="1" applyBorder="1"/>
    <xf numFmtId="0" fontId="8" fillId="0" borderId="0" xfId="0" applyFont="1"/>
    <xf numFmtId="0" fontId="2" fillId="0" borderId="11" xfId="0" applyFont="1" applyBorder="1"/>
    <xf numFmtId="0" fontId="2" fillId="0" borderId="12" xfId="0" applyFont="1" applyBorder="1"/>
    <xf numFmtId="0" fontId="1" fillId="3" borderId="23" xfId="0" applyFont="1" applyFill="1" applyBorder="1"/>
    <xf numFmtId="0" fontId="2" fillId="2" borderId="4" xfId="0" applyFont="1" applyFill="1" applyBorder="1"/>
    <xf numFmtId="0" fontId="2" fillId="2" borderId="8" xfId="0" applyFont="1" applyFill="1" applyBorder="1"/>
    <xf numFmtId="0" fontId="2" fillId="0" borderId="13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2" fillId="0" borderId="25" xfId="0" applyFont="1" applyFill="1" applyBorder="1"/>
    <xf numFmtId="0" fontId="2" fillId="0" borderId="40" xfId="0" applyFont="1" applyBorder="1"/>
    <xf numFmtId="0" fontId="2" fillId="0" borderId="10" xfId="0" applyFont="1" applyBorder="1"/>
    <xf numFmtId="0" fontId="2" fillId="2" borderId="32" xfId="0" applyFont="1" applyFill="1" applyBorder="1"/>
    <xf numFmtId="0" fontId="2" fillId="2" borderId="40" xfId="0" applyFont="1" applyFill="1" applyBorder="1"/>
    <xf numFmtId="0" fontId="3" fillId="2" borderId="27" xfId="0" applyFont="1" applyFill="1" applyBorder="1"/>
    <xf numFmtId="0" fontId="2" fillId="0" borderId="43" xfId="0" applyFont="1" applyBorder="1"/>
    <xf numFmtId="0" fontId="8" fillId="0" borderId="43" xfId="0" applyFont="1" applyBorder="1"/>
    <xf numFmtId="0" fontId="8" fillId="0" borderId="11" xfId="0" applyFont="1" applyBorder="1"/>
    <xf numFmtId="0" fontId="2" fillId="3" borderId="32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2" fillId="3" borderId="40" xfId="0" applyFont="1" applyFill="1" applyBorder="1"/>
    <xf numFmtId="0" fontId="2" fillId="3" borderId="26" xfId="0" applyFont="1" applyFill="1" applyBorder="1"/>
    <xf numFmtId="0" fontId="1" fillId="2" borderId="35" xfId="0" applyFont="1" applyFill="1" applyBorder="1"/>
    <xf numFmtId="0" fontId="1" fillId="2" borderId="32" xfId="0" applyFont="1" applyFill="1" applyBorder="1"/>
    <xf numFmtId="0" fontId="1" fillId="3" borderId="35" xfId="0" applyFont="1" applyFill="1" applyBorder="1"/>
    <xf numFmtId="0" fontId="2" fillId="3" borderId="47" xfId="0" applyFont="1" applyFill="1" applyBorder="1"/>
    <xf numFmtId="0" fontId="1" fillId="2" borderId="31" xfId="0" applyFont="1" applyFill="1" applyBorder="1"/>
    <xf numFmtId="0" fontId="1" fillId="2" borderId="11" xfId="0" applyFont="1" applyFill="1" applyBorder="1"/>
    <xf numFmtId="0" fontId="8" fillId="3" borderId="46" xfId="0" applyFont="1" applyFill="1" applyBorder="1"/>
    <xf numFmtId="0" fontId="1" fillId="3" borderId="40" xfId="0" applyFont="1" applyFill="1" applyBorder="1"/>
    <xf numFmtId="0" fontId="2" fillId="0" borderId="38" xfId="0" applyFont="1" applyBorder="1"/>
    <xf numFmtId="0" fontId="1" fillId="2" borderId="6" xfId="0" applyFont="1" applyFill="1" applyBorder="1"/>
    <xf numFmtId="0" fontId="6" fillId="2" borderId="7" xfId="0" applyFont="1" applyFill="1" applyBorder="1"/>
    <xf numFmtId="0" fontId="6" fillId="0" borderId="19" xfId="0" applyFont="1" applyBorder="1"/>
    <xf numFmtId="0" fontId="2" fillId="2" borderId="10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20" xfId="0" applyFont="1" applyFill="1" applyBorder="1"/>
    <xf numFmtId="0" fontId="2" fillId="2" borderId="12" xfId="0" applyFont="1" applyFill="1" applyBorder="1"/>
    <xf numFmtId="0" fontId="14" fillId="3" borderId="0" xfId="0" applyFont="1" applyFill="1" applyBorder="1"/>
    <xf numFmtId="0" fontId="14" fillId="3" borderId="19" xfId="0" applyFont="1" applyFill="1" applyBorder="1"/>
    <xf numFmtId="0" fontId="14" fillId="3" borderId="11" xfId="0" applyFont="1" applyFill="1" applyBorder="1"/>
    <xf numFmtId="0" fontId="14" fillId="3" borderId="12" xfId="0" applyFont="1" applyFill="1" applyBorder="1"/>
    <xf numFmtId="0" fontId="2" fillId="5" borderId="18" xfId="0" applyFont="1" applyFill="1" applyBorder="1"/>
    <xf numFmtId="0" fontId="2" fillId="5" borderId="0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2" fillId="5" borderId="0" xfId="0" applyNumberFormat="1" applyFont="1" applyFill="1" applyBorder="1"/>
    <xf numFmtId="0" fontId="2" fillId="3" borderId="37" xfId="0" applyFont="1" applyFill="1" applyBorder="1"/>
    <xf numFmtId="0" fontId="2" fillId="3" borderId="50" xfId="0" applyFont="1" applyFill="1" applyBorder="1"/>
    <xf numFmtId="0" fontId="2" fillId="2" borderId="37" xfId="0" applyFont="1" applyFill="1" applyBorder="1"/>
    <xf numFmtId="0" fontId="2" fillId="2" borderId="27" xfId="0" applyFont="1" applyFill="1" applyBorder="1"/>
    <xf numFmtId="0" fontId="14" fillId="3" borderId="26" xfId="0" applyFont="1" applyFill="1" applyBorder="1"/>
    <xf numFmtId="0" fontId="14" fillId="3" borderId="30" xfId="0" applyFont="1" applyFill="1" applyBorder="1"/>
    <xf numFmtId="0" fontId="2" fillId="5" borderId="26" xfId="0" applyFont="1" applyFill="1" applyBorder="1"/>
    <xf numFmtId="0" fontId="2" fillId="5" borderId="30" xfId="0" applyFont="1" applyFill="1" applyBorder="1"/>
    <xf numFmtId="0" fontId="2" fillId="2" borderId="51" xfId="0" applyFont="1" applyFill="1" applyBorder="1"/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5" xfId="0" applyFont="1" applyFill="1" applyBorder="1"/>
    <xf numFmtId="0" fontId="2" fillId="2" borderId="56" xfId="0" applyFont="1" applyFill="1" applyBorder="1"/>
    <xf numFmtId="0" fontId="2" fillId="3" borderId="57" xfId="0" applyFont="1" applyFill="1" applyBorder="1"/>
    <xf numFmtId="0" fontId="2" fillId="3" borderId="58" xfId="0" applyFont="1" applyFill="1" applyBorder="1"/>
    <xf numFmtId="0" fontId="2" fillId="3" borderId="51" xfId="0" applyFont="1" applyFill="1" applyBorder="1"/>
    <xf numFmtId="0" fontId="2" fillId="3" borderId="54" xfId="0" applyFont="1" applyFill="1" applyBorder="1"/>
    <xf numFmtId="0" fontId="2" fillId="3" borderId="55" xfId="0" applyFont="1" applyFill="1" applyBorder="1"/>
    <xf numFmtId="0" fontId="8" fillId="3" borderId="55" xfId="0" applyFont="1" applyFill="1" applyBorder="1"/>
    <xf numFmtId="0" fontId="2" fillId="3" borderId="56" xfId="0" applyFont="1" applyFill="1" applyBorder="1"/>
    <xf numFmtId="0" fontId="8" fillId="3" borderId="56" xfId="0" applyFont="1" applyFill="1" applyBorder="1"/>
    <xf numFmtId="0" fontId="2" fillId="2" borderId="57" xfId="0" applyFont="1" applyFill="1" applyBorder="1"/>
    <xf numFmtId="0" fontId="2" fillId="2" borderId="58" xfId="0" applyFont="1" applyFill="1" applyBorder="1"/>
    <xf numFmtId="0" fontId="2" fillId="2" borderId="59" xfId="0" applyFont="1" applyFill="1" applyBorder="1"/>
    <xf numFmtId="0" fontId="8" fillId="2" borderId="52" xfId="0" applyFont="1" applyFill="1" applyBorder="1"/>
    <xf numFmtId="0" fontId="2" fillId="3" borderId="59" xfId="0" applyFont="1" applyFill="1" applyBorder="1"/>
    <xf numFmtId="0" fontId="8" fillId="2" borderId="55" xfId="0" applyFont="1" applyFill="1" applyBorder="1"/>
    <xf numFmtId="0" fontId="2" fillId="5" borderId="57" xfId="0" applyFont="1" applyFill="1" applyBorder="1"/>
    <xf numFmtId="0" fontId="2" fillId="5" borderId="58" xfId="0" applyFont="1" applyFill="1" applyBorder="1"/>
    <xf numFmtId="0" fontId="2" fillId="5" borderId="58" xfId="0" applyNumberFormat="1" applyFont="1" applyFill="1" applyBorder="1"/>
    <xf numFmtId="0" fontId="2" fillId="5" borderId="59" xfId="0" applyFont="1" applyFill="1" applyBorder="1"/>
    <xf numFmtId="0" fontId="2" fillId="3" borderId="60" xfId="0" applyFont="1" applyFill="1" applyBorder="1"/>
    <xf numFmtId="0" fontId="2" fillId="3" borderId="61" xfId="0" applyFont="1" applyFill="1" applyBorder="1"/>
    <xf numFmtId="0" fontId="2" fillId="3" borderId="62" xfId="0" applyFont="1" applyFill="1" applyBorder="1"/>
    <xf numFmtId="0" fontId="2" fillId="3" borderId="63" xfId="0" applyFont="1" applyFill="1" applyBorder="1"/>
    <xf numFmtId="0" fontId="2" fillId="2" borderId="60" xfId="0" applyFont="1" applyFill="1" applyBorder="1"/>
    <xf numFmtId="0" fontId="2" fillId="2" borderId="62" xfId="0" applyFont="1" applyFill="1" applyBorder="1"/>
    <xf numFmtId="0" fontId="14" fillId="3" borderId="52" xfId="0" applyFont="1" applyFill="1" applyBorder="1"/>
    <xf numFmtId="0" fontId="14" fillId="3" borderId="60" xfId="0" applyFont="1" applyFill="1" applyBorder="1"/>
    <xf numFmtId="0" fontId="14" fillId="3" borderId="53" xfId="0" applyFont="1" applyFill="1" applyBorder="1"/>
    <xf numFmtId="0" fontId="14" fillId="3" borderId="55" xfId="0" applyFont="1" applyFill="1" applyBorder="1"/>
    <xf numFmtId="0" fontId="14" fillId="3" borderId="62" xfId="0" applyFont="1" applyFill="1" applyBorder="1"/>
    <xf numFmtId="0" fontId="14" fillId="3" borderId="56" xfId="0" applyFont="1" applyFill="1" applyBorder="1"/>
    <xf numFmtId="0" fontId="2" fillId="3" borderId="53" xfId="0" applyFont="1" applyFill="1" applyBorder="1"/>
    <xf numFmtId="0" fontId="2" fillId="5" borderId="60" xfId="0" applyFont="1" applyFill="1" applyBorder="1"/>
    <xf numFmtId="0" fontId="2" fillId="5" borderId="54" xfId="0" applyFont="1" applyFill="1" applyBorder="1"/>
    <xf numFmtId="0" fontId="2" fillId="5" borderId="55" xfId="0" applyFont="1" applyFill="1" applyBorder="1"/>
    <xf numFmtId="0" fontId="2" fillId="5" borderId="62" xfId="0" applyFont="1" applyFill="1" applyBorder="1"/>
    <xf numFmtId="0" fontId="2" fillId="5" borderId="56" xfId="0" applyFont="1" applyFill="1" applyBorder="1"/>
    <xf numFmtId="0" fontId="2" fillId="3" borderId="52" xfId="0" applyFont="1" applyFill="1" applyBorder="1"/>
    <xf numFmtId="0" fontId="2" fillId="2" borderId="64" xfId="0" applyFont="1" applyFill="1" applyBorder="1"/>
    <xf numFmtId="0" fontId="2" fillId="3" borderId="66" xfId="0" applyFont="1" applyFill="1" applyBorder="1"/>
    <xf numFmtId="0" fontId="2" fillId="2" borderId="65" xfId="0" applyFont="1" applyFill="1" applyBorder="1"/>
    <xf numFmtId="0" fontId="1" fillId="3" borderId="3" xfId="0" applyFont="1" applyFill="1" applyBorder="1"/>
    <xf numFmtId="0" fontId="2" fillId="3" borderId="67" xfId="0" applyFont="1" applyFill="1" applyBorder="1"/>
    <xf numFmtId="0" fontId="7" fillId="2" borderId="47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7" fillId="2" borderId="48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7" fillId="3" borderId="49" xfId="0" applyFont="1" applyFill="1" applyBorder="1" applyAlignment="1">
      <alignment horizontal="left"/>
    </xf>
    <xf numFmtId="0" fontId="7" fillId="3" borderId="24" xfId="0" applyFont="1" applyFill="1" applyBorder="1" applyAlignment="1">
      <alignment horizontal="left"/>
    </xf>
    <xf numFmtId="0" fontId="7" fillId="3" borderId="47" xfId="0" applyFont="1" applyFill="1" applyBorder="1" applyAlignment="1">
      <alignment horizontal="left"/>
    </xf>
    <xf numFmtId="0" fontId="7" fillId="3" borderId="45" xfId="0" applyFont="1" applyFill="1" applyBorder="1" applyAlignment="1">
      <alignment horizontal="left"/>
    </xf>
    <xf numFmtId="0" fontId="2" fillId="3" borderId="45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1" fillId="2" borderId="23" xfId="0" applyFont="1" applyFill="1" applyBorder="1"/>
    <xf numFmtId="0" fontId="2" fillId="2" borderId="39" xfId="0" applyFont="1" applyFill="1" applyBorder="1"/>
    <xf numFmtId="0" fontId="3" fillId="0" borderId="0" xfId="0" applyFont="1" applyFill="1"/>
    <xf numFmtId="0" fontId="1" fillId="3" borderId="28" xfId="0" applyFont="1" applyFill="1" applyBorder="1"/>
    <xf numFmtId="0" fontId="1" fillId="3" borderId="20" xfId="0" applyFont="1" applyFill="1" applyBorder="1"/>
    <xf numFmtId="0" fontId="7" fillId="2" borderId="32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left"/>
    </xf>
    <xf numFmtId="0" fontId="6" fillId="0" borderId="0" xfId="0" applyFont="1" applyBorder="1"/>
    <xf numFmtId="0" fontId="1" fillId="2" borderId="3" xfId="0" applyFont="1" applyFill="1" applyBorder="1"/>
    <xf numFmtId="0" fontId="2" fillId="2" borderId="68" xfId="0" applyFont="1" applyFill="1" applyBorder="1"/>
    <xf numFmtId="0" fontId="10" fillId="0" borderId="23" xfId="0" applyNumberFormat="1" applyFont="1" applyBorder="1" applyAlignment="1"/>
    <xf numFmtId="0" fontId="0" fillId="0" borderId="16" xfId="0" applyNumberFormat="1" applyBorder="1" applyAlignment="1"/>
    <xf numFmtId="0" fontId="0" fillId="3" borderId="23" xfId="0" applyFill="1" applyBorder="1" applyAlignment="1"/>
    <xf numFmtId="0" fontId="7" fillId="3" borderId="23" xfId="0" applyFont="1" applyFill="1" applyBorder="1" applyAlignment="1"/>
    <xf numFmtId="0" fontId="10" fillId="3" borderId="23" xfId="0" applyFont="1" applyFill="1" applyBorder="1" applyAlignment="1"/>
    <xf numFmtId="0" fontId="10" fillId="3" borderId="16" xfId="0" applyFont="1" applyFill="1" applyBorder="1" applyAlignment="1"/>
    <xf numFmtId="0" fontId="7" fillId="2" borderId="35" xfId="0" applyFont="1" applyFill="1" applyBorder="1" applyAlignment="1"/>
    <xf numFmtId="0" fontId="7" fillId="2" borderId="31" xfId="0" applyFont="1" applyFill="1" applyBorder="1" applyAlignment="1"/>
    <xf numFmtId="0" fontId="7" fillId="2" borderId="27" xfId="0" applyFont="1" applyFill="1" applyBorder="1" applyAlignment="1"/>
    <xf numFmtId="0" fontId="7" fillId="3" borderId="0" xfId="0" applyFont="1" applyFill="1" applyBorder="1" applyAlignment="1"/>
    <xf numFmtId="0" fontId="10" fillId="3" borderId="0" xfId="0" applyFont="1" applyFill="1" applyBorder="1" applyAlignment="1"/>
    <xf numFmtId="0" fontId="0" fillId="3" borderId="0" xfId="0" applyFill="1" applyBorder="1" applyAlignment="1"/>
    <xf numFmtId="0" fontId="7" fillId="3" borderId="35" xfId="0" applyFont="1" applyFill="1" applyBorder="1" applyAlignment="1"/>
    <xf numFmtId="0" fontId="10" fillId="3" borderId="31" xfId="0" applyFont="1" applyFill="1" applyBorder="1" applyAlignment="1"/>
    <xf numFmtId="0" fontId="0" fillId="3" borderId="27" xfId="0" applyFill="1" applyBorder="1" applyAlignment="1"/>
    <xf numFmtId="0" fontId="0" fillId="0" borderId="16" xfId="0" applyBorder="1" applyAlignment="1"/>
    <xf numFmtId="0" fontId="7" fillId="2" borderId="7" xfId="0" applyFont="1" applyFill="1" applyBorder="1" applyAlignment="1"/>
    <xf numFmtId="0" fontId="2" fillId="2" borderId="23" xfId="0" applyFont="1" applyFill="1" applyBorder="1"/>
    <xf numFmtId="0" fontId="2" fillId="3" borderId="22" xfId="0" applyFont="1" applyFill="1" applyBorder="1"/>
    <xf numFmtId="0" fontId="2" fillId="3" borderId="16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2" fillId="6" borderId="69" xfId="0" applyFont="1" applyFill="1" applyBorder="1"/>
    <xf numFmtId="0" fontId="2" fillId="6" borderId="70" xfId="0" applyFont="1" applyFill="1" applyBorder="1"/>
    <xf numFmtId="0" fontId="2" fillId="6" borderId="72" xfId="0" applyFont="1" applyFill="1" applyBorder="1"/>
    <xf numFmtId="0" fontId="2" fillId="6" borderId="73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/>
    <xf numFmtId="0" fontId="0" fillId="0" borderId="0" xfId="0" applyAlignment="1"/>
    <xf numFmtId="0" fontId="0" fillId="0" borderId="16" xfId="0" applyBorder="1" applyAlignment="1">
      <alignment horizontal="center"/>
    </xf>
    <xf numFmtId="0" fontId="1" fillId="0" borderId="74" xfId="0" applyFont="1" applyBorder="1"/>
    <xf numFmtId="0" fontId="2" fillId="0" borderId="58" xfId="0" applyFont="1" applyBorder="1"/>
    <xf numFmtId="0" fontId="2" fillId="0" borderId="59" xfId="0" applyFont="1" applyBorder="1"/>
    <xf numFmtId="0" fontId="1" fillId="0" borderId="75" xfId="0" applyFont="1" applyBorder="1"/>
    <xf numFmtId="0" fontId="2" fillId="0" borderId="63" xfId="0" applyFont="1" applyBorder="1"/>
    <xf numFmtId="0" fontId="2" fillId="0" borderId="55" xfId="0" applyFont="1" applyFill="1" applyBorder="1"/>
    <xf numFmtId="0" fontId="2" fillId="0" borderId="56" xfId="0" applyFont="1" applyFill="1" applyBorder="1"/>
    <xf numFmtId="0" fontId="2" fillId="0" borderId="55" xfId="0" applyFont="1" applyBorder="1"/>
    <xf numFmtId="0" fontId="2" fillId="0" borderId="56" xfId="0" applyFont="1" applyBorder="1"/>
    <xf numFmtId="14" fontId="7" fillId="0" borderId="58" xfId="0" applyNumberFormat="1" applyFont="1" applyFill="1" applyBorder="1"/>
    <xf numFmtId="0" fontId="7" fillId="0" borderId="55" xfId="0" applyFont="1" applyFill="1" applyBorder="1"/>
    <xf numFmtId="0" fontId="2" fillId="0" borderId="76" xfId="0" applyFont="1" applyBorder="1"/>
    <xf numFmtId="0" fontId="2" fillId="0" borderId="77" xfId="0" applyFont="1" applyBorder="1"/>
    <xf numFmtId="0" fontId="1" fillId="0" borderId="78" xfId="0" applyFont="1" applyBorder="1"/>
    <xf numFmtId="0" fontId="7" fillId="0" borderId="11" xfId="0" applyFont="1" applyFill="1" applyBorder="1"/>
    <xf numFmtId="0" fontId="7" fillId="0" borderId="54" xfId="0" applyNumberFormat="1" applyFont="1" applyFill="1" applyBorder="1" applyAlignment="1">
      <alignment vertical="top" wrapText="1"/>
    </xf>
    <xf numFmtId="0" fontId="9" fillId="0" borderId="55" xfId="0" applyNumberFormat="1" applyFont="1" applyFill="1" applyBorder="1" applyAlignment="1">
      <alignment vertical="top" wrapText="1"/>
    </xf>
    <xf numFmtId="0" fontId="9" fillId="0" borderId="56" xfId="0" applyNumberFormat="1" applyFont="1" applyFill="1" applyBorder="1" applyAlignment="1">
      <alignment vertical="top" wrapText="1"/>
    </xf>
    <xf numFmtId="0" fontId="2" fillId="0" borderId="79" xfId="0" applyFont="1" applyBorder="1"/>
    <xf numFmtId="0" fontId="7" fillId="2" borderId="7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" fillId="2" borderId="80" xfId="0" applyFont="1" applyFill="1" applyBorder="1"/>
    <xf numFmtId="0" fontId="7" fillId="2" borderId="20" xfId="0" applyFont="1" applyFill="1" applyBorder="1"/>
    <xf numFmtId="0" fontId="7" fillId="2" borderId="11" xfId="0" applyFont="1" applyFill="1" applyBorder="1"/>
    <xf numFmtId="0" fontId="2" fillId="2" borderId="81" xfId="0" applyFont="1" applyFill="1" applyBorder="1"/>
    <xf numFmtId="0" fontId="2" fillId="2" borderId="73" xfId="0" applyFont="1" applyFill="1" applyBorder="1"/>
    <xf numFmtId="0" fontId="7" fillId="3" borderId="12" xfId="0" applyFont="1" applyFill="1" applyBorder="1"/>
    <xf numFmtId="0" fontId="2" fillId="3" borderId="80" xfId="0" applyFont="1" applyFill="1" applyBorder="1"/>
    <xf numFmtId="0" fontId="7" fillId="3" borderId="70" xfId="0" applyFont="1" applyFill="1" applyBorder="1"/>
    <xf numFmtId="0" fontId="7" fillId="3" borderId="20" xfId="0" applyFont="1" applyFill="1" applyBorder="1"/>
    <xf numFmtId="0" fontId="7" fillId="3" borderId="11" xfId="0" applyFont="1" applyFill="1" applyBorder="1"/>
    <xf numFmtId="0" fontId="2" fillId="3" borderId="81" xfId="0" applyFont="1" applyFill="1" applyBorder="1"/>
    <xf numFmtId="0" fontId="2" fillId="3" borderId="73" xfId="0" applyFont="1" applyFill="1" applyBorder="1"/>
    <xf numFmtId="0" fontId="7" fillId="2" borderId="8" xfId="0" applyFont="1" applyFill="1" applyBorder="1"/>
    <xf numFmtId="0" fontId="7" fillId="2" borderId="70" xfId="0" applyFont="1" applyFill="1" applyBorder="1"/>
    <xf numFmtId="0" fontId="7" fillId="2" borderId="12" xfId="0" applyFont="1" applyFill="1" applyBorder="1"/>
    <xf numFmtId="0" fontId="1" fillId="2" borderId="30" xfId="0" applyFont="1" applyFill="1" applyBorder="1"/>
    <xf numFmtId="0" fontId="1" fillId="2" borderId="49" xfId="0" applyFont="1" applyFill="1" applyBorder="1"/>
    <xf numFmtId="0" fontId="1" fillId="2" borderId="40" xfId="0" applyFont="1" applyFill="1" applyBorder="1"/>
    <xf numFmtId="0" fontId="1" fillId="2" borderId="12" xfId="0" applyFont="1" applyFill="1" applyBorder="1"/>
    <xf numFmtId="0" fontId="1" fillId="2" borderId="28" xfId="0" applyFont="1" applyFill="1" applyBorder="1"/>
    <xf numFmtId="0" fontId="7" fillId="2" borderId="23" xfId="0" applyNumberFormat="1" applyFont="1" applyFill="1" applyBorder="1" applyAlignment="1"/>
    <xf numFmtId="0" fontId="7" fillId="3" borderId="46" xfId="0" applyNumberFormat="1" applyFont="1" applyFill="1" applyBorder="1" applyAlignment="1"/>
    <xf numFmtId="0" fontId="0" fillId="0" borderId="12" xfId="0" applyBorder="1" applyAlignment="1"/>
    <xf numFmtId="0" fontId="7" fillId="3" borderId="2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3" borderId="82" xfId="0" applyFont="1" applyFill="1" applyBorder="1"/>
    <xf numFmtId="0" fontId="2" fillId="3" borderId="57" xfId="0" applyFont="1" applyFill="1" applyBorder="1" applyAlignment="1"/>
    <xf numFmtId="0" fontId="0" fillId="0" borderId="58" xfId="0" applyBorder="1" applyAlignment="1"/>
    <xf numFmtId="0" fontId="0" fillId="0" borderId="81" xfId="0" applyBorder="1" applyAlignment="1"/>
    <xf numFmtId="0" fontId="2" fillId="2" borderId="71" xfId="0" applyFont="1" applyFill="1" applyBorder="1"/>
    <xf numFmtId="0" fontId="7" fillId="2" borderId="23" xfId="0" applyFont="1" applyFill="1" applyBorder="1" applyAlignment="1"/>
    <xf numFmtId="0" fontId="7" fillId="2" borderId="23" xfId="0" applyFont="1" applyFill="1" applyBorder="1" applyAlignment="1">
      <alignment horizontal="center"/>
    </xf>
    <xf numFmtId="0" fontId="7" fillId="2" borderId="5" xfId="0" applyFont="1" applyFill="1" applyBorder="1"/>
    <xf numFmtId="0" fontId="2" fillId="2" borderId="83" xfId="0" applyFont="1" applyFill="1" applyBorder="1"/>
    <xf numFmtId="0" fontId="2" fillId="2" borderId="84" xfId="0" applyFont="1" applyFill="1" applyBorder="1"/>
    <xf numFmtId="0" fontId="2" fillId="2" borderId="85" xfId="0" applyFont="1" applyFill="1" applyBorder="1"/>
    <xf numFmtId="0" fontId="7" fillId="0" borderId="16" xfId="0" applyFont="1" applyBorder="1"/>
    <xf numFmtId="0" fontId="2" fillId="0" borderId="71" xfId="0" applyFont="1" applyBorder="1"/>
    <xf numFmtId="0" fontId="2" fillId="3" borderId="71" xfId="0" applyFont="1" applyFill="1" applyBorder="1"/>
    <xf numFmtId="0" fontId="2" fillId="2" borderId="86" xfId="0" applyFont="1" applyFill="1" applyBorder="1"/>
    <xf numFmtId="0" fontId="1" fillId="2" borderId="57" xfId="0" applyFont="1" applyFill="1" applyBorder="1"/>
    <xf numFmtId="0" fontId="7" fillId="2" borderId="59" xfId="0" applyFont="1" applyFill="1" applyBorder="1"/>
    <xf numFmtId="0" fontId="7" fillId="3" borderId="57" xfId="0" applyFont="1" applyFill="1" applyBorder="1" applyAlignment="1"/>
    <xf numFmtId="0" fontId="13" fillId="0" borderId="58" xfId="0" applyFont="1" applyBorder="1" applyAlignment="1"/>
    <xf numFmtId="0" fontId="13" fillId="0" borderId="81" xfId="0" applyFont="1" applyBorder="1" applyAlignment="1"/>
    <xf numFmtId="0" fontId="7" fillId="3" borderId="55" xfId="0" applyFont="1" applyFill="1" applyBorder="1" applyAlignment="1"/>
    <xf numFmtId="0" fontId="0" fillId="0" borderId="56" xfId="0" applyBorder="1" applyAlignment="1"/>
    <xf numFmtId="0" fontId="2" fillId="3" borderId="75" xfId="0" applyFont="1" applyFill="1" applyBorder="1"/>
    <xf numFmtId="0" fontId="2" fillId="3" borderId="87" xfId="0" applyFont="1" applyFill="1" applyBorder="1"/>
    <xf numFmtId="0" fontId="2" fillId="3" borderId="77" xfId="0" applyFont="1" applyFill="1" applyBorder="1"/>
    <xf numFmtId="0" fontId="7" fillId="3" borderId="11" xfId="0" applyFont="1" applyFill="1" applyBorder="1" applyAlignment="1"/>
    <xf numFmtId="0" fontId="2" fillId="3" borderId="78" xfId="0" applyFont="1" applyFill="1" applyBorder="1"/>
    <xf numFmtId="0" fontId="2" fillId="3" borderId="45" xfId="0" applyFont="1" applyFill="1" applyBorder="1"/>
    <xf numFmtId="0" fontId="2" fillId="3" borderId="88" xfId="0" applyFont="1" applyFill="1" applyBorder="1"/>
    <xf numFmtId="0" fontId="2" fillId="0" borderId="0" xfId="0" applyFont="1" applyFill="1" applyAlignment="1">
      <alignment vertical="top" wrapText="1"/>
    </xf>
    <xf numFmtId="0" fontId="2" fillId="0" borderId="89" xfId="0" applyFont="1" applyFill="1" applyBorder="1"/>
    <xf numFmtId="0" fontId="2" fillId="0" borderId="47" xfId="0" applyFont="1" applyBorder="1"/>
    <xf numFmtId="0" fontId="2" fillId="0" borderId="24" xfId="0" applyFont="1" applyBorder="1"/>
    <xf numFmtId="0" fontId="2" fillId="0" borderId="90" xfId="0" applyFont="1" applyFill="1" applyBorder="1"/>
    <xf numFmtId="0" fontId="2" fillId="0" borderId="0" xfId="0" applyNumberFormat="1" applyFont="1" applyFill="1"/>
    <xf numFmtId="0" fontId="14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FF"/>
      <color rgb="FFCCFFCC"/>
      <color rgb="FF0000FF"/>
      <color rgb="FF66FFFF"/>
      <color rgb="FF00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15</xdr:row>
      <xdr:rowOff>119062</xdr:rowOff>
    </xdr:from>
    <xdr:ext cx="945452" cy="217560"/>
    <xdr:sp macro="" textlink="">
      <xdr:nvSpPr>
        <xdr:cNvPr id="10" name="TextBox 9"/>
        <xdr:cNvSpPr txBox="1"/>
      </xdr:nvSpPr>
      <xdr:spPr>
        <a:xfrm>
          <a:off x="4953000" y="2109787"/>
          <a:ext cx="94545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/>
            <a:t>ширина</a:t>
          </a:r>
          <a:r>
            <a:rPr lang="ru-RU" sz="800" baseline="0"/>
            <a:t> по стене </a:t>
          </a:r>
          <a:endParaRPr lang="ru-RU" sz="800"/>
        </a:p>
      </xdr:txBody>
    </xdr:sp>
    <xdr:clientData/>
  </xdr:oneCellAnchor>
  <xdr:oneCellAnchor>
    <xdr:from>
      <xdr:col>7</xdr:col>
      <xdr:colOff>152400</xdr:colOff>
      <xdr:row>13</xdr:row>
      <xdr:rowOff>171449</xdr:rowOff>
    </xdr:from>
    <xdr:ext cx="696281" cy="217560"/>
    <xdr:sp macro="" textlink="">
      <xdr:nvSpPr>
        <xdr:cNvPr id="12" name="TextBox 11"/>
        <xdr:cNvSpPr txBox="1"/>
      </xdr:nvSpPr>
      <xdr:spPr>
        <a:xfrm>
          <a:off x="5172075" y="2038349"/>
          <a:ext cx="69628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/>
            <a:t>угол крыши</a:t>
          </a:r>
        </a:p>
      </xdr:txBody>
    </xdr:sp>
    <xdr:clientData/>
  </xdr:oneCellAnchor>
  <xdr:oneCellAnchor>
    <xdr:from>
      <xdr:col>8</xdr:col>
      <xdr:colOff>366711</xdr:colOff>
      <xdr:row>13</xdr:row>
      <xdr:rowOff>100010</xdr:rowOff>
    </xdr:from>
    <xdr:ext cx="847668" cy="217560"/>
    <xdr:sp macro="" textlink="">
      <xdr:nvSpPr>
        <xdr:cNvPr id="13" name="TextBox 12"/>
        <xdr:cNvSpPr txBox="1"/>
      </xdr:nvSpPr>
      <xdr:spPr>
        <a:xfrm rot="20183543">
          <a:off x="5634036" y="1776410"/>
          <a:ext cx="847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/>
            <a:t>длина по стене</a:t>
          </a:r>
        </a:p>
      </xdr:txBody>
    </xdr:sp>
    <xdr:clientData/>
  </xdr:oneCellAnchor>
  <xdr:oneCellAnchor>
    <xdr:from>
      <xdr:col>7</xdr:col>
      <xdr:colOff>4762</xdr:colOff>
      <xdr:row>27</xdr:row>
      <xdr:rowOff>61913</xdr:rowOff>
    </xdr:from>
    <xdr:ext cx="1075038" cy="217560"/>
    <xdr:sp macro="" textlink="">
      <xdr:nvSpPr>
        <xdr:cNvPr id="16" name="TextBox 15"/>
        <xdr:cNvSpPr txBox="1"/>
      </xdr:nvSpPr>
      <xdr:spPr>
        <a:xfrm>
          <a:off x="4776787" y="4938713"/>
          <a:ext cx="107503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 baseline="0"/>
            <a:t>ширина по стене 1,2</a:t>
          </a:r>
          <a:endParaRPr lang="ru-RU" sz="800"/>
        </a:p>
      </xdr:txBody>
    </xdr:sp>
    <xdr:clientData/>
  </xdr:oneCellAnchor>
  <xdr:oneCellAnchor>
    <xdr:from>
      <xdr:col>7</xdr:col>
      <xdr:colOff>391019</xdr:colOff>
      <xdr:row>24</xdr:row>
      <xdr:rowOff>85726</xdr:rowOff>
    </xdr:from>
    <xdr:ext cx="922881" cy="217560"/>
    <xdr:sp macro="" textlink="">
      <xdr:nvSpPr>
        <xdr:cNvPr id="19" name="TextBox 18"/>
        <xdr:cNvSpPr txBox="1"/>
      </xdr:nvSpPr>
      <xdr:spPr>
        <a:xfrm rot="20395768">
          <a:off x="5048744" y="2943226"/>
          <a:ext cx="92288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/>
            <a:t>длина по стене 1</a:t>
          </a:r>
        </a:p>
      </xdr:txBody>
    </xdr:sp>
    <xdr:clientData/>
  </xdr:oneCellAnchor>
  <xdr:twoCellAnchor>
    <xdr:from>
      <xdr:col>7</xdr:col>
      <xdr:colOff>161925</xdr:colOff>
      <xdr:row>37</xdr:row>
      <xdr:rowOff>76200</xdr:rowOff>
    </xdr:from>
    <xdr:to>
      <xdr:col>9</xdr:col>
      <xdr:colOff>261938</xdr:colOff>
      <xdr:row>41</xdr:row>
      <xdr:rowOff>38100</xdr:rowOff>
    </xdr:to>
    <xdr:grpSp>
      <xdr:nvGrpSpPr>
        <xdr:cNvPr id="53" name="Группа 52"/>
        <xdr:cNvGrpSpPr/>
      </xdr:nvGrpSpPr>
      <xdr:grpSpPr>
        <a:xfrm>
          <a:off x="4933950" y="6781800"/>
          <a:ext cx="1319213" cy="609600"/>
          <a:chOff x="4819650" y="4067175"/>
          <a:chExt cx="1319213" cy="638175"/>
        </a:xfrm>
      </xdr:grpSpPr>
      <xdr:cxnSp macro="">
        <xdr:nvCxnSpPr>
          <xdr:cNvPr id="25" name="Прямая соединительная линия 24"/>
          <xdr:cNvCxnSpPr/>
        </xdr:nvCxnSpPr>
        <xdr:spPr>
          <a:xfrm>
            <a:off x="4829175" y="4067931"/>
            <a:ext cx="128587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Прямая соединительная линия 26"/>
          <xdr:cNvCxnSpPr/>
        </xdr:nvCxnSpPr>
        <xdr:spPr>
          <a:xfrm>
            <a:off x="4829175" y="4695825"/>
            <a:ext cx="1309688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Прямая соединительная линия 27"/>
          <xdr:cNvCxnSpPr/>
        </xdr:nvCxnSpPr>
        <xdr:spPr>
          <a:xfrm flipV="1">
            <a:off x="4825264" y="4078213"/>
            <a:ext cx="0" cy="627137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Прямая соединительная линия 30"/>
          <xdr:cNvCxnSpPr/>
        </xdr:nvCxnSpPr>
        <xdr:spPr>
          <a:xfrm flipV="1">
            <a:off x="6128487" y="4067932"/>
            <a:ext cx="0" cy="632656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Прямая соединительная линия 32"/>
          <xdr:cNvCxnSpPr/>
        </xdr:nvCxnSpPr>
        <xdr:spPr>
          <a:xfrm>
            <a:off x="4829175" y="4067931"/>
            <a:ext cx="400050" cy="308429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Прямая соединительная линия 36"/>
          <xdr:cNvCxnSpPr/>
        </xdr:nvCxnSpPr>
        <xdr:spPr>
          <a:xfrm flipH="1">
            <a:off x="4819650" y="4376360"/>
            <a:ext cx="419101" cy="324228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Прямая соединительная линия 37"/>
          <xdr:cNvCxnSpPr/>
        </xdr:nvCxnSpPr>
        <xdr:spPr>
          <a:xfrm>
            <a:off x="5224462" y="4381878"/>
            <a:ext cx="50482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Прямая соединительная линия 40"/>
          <xdr:cNvCxnSpPr/>
        </xdr:nvCxnSpPr>
        <xdr:spPr>
          <a:xfrm>
            <a:off x="5729288" y="4381500"/>
            <a:ext cx="395287" cy="303289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Прямая соединительная линия 41"/>
          <xdr:cNvCxnSpPr/>
        </xdr:nvCxnSpPr>
        <xdr:spPr>
          <a:xfrm flipH="1">
            <a:off x="5724525" y="4067175"/>
            <a:ext cx="404813" cy="314325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42</xdr:row>
      <xdr:rowOff>19050</xdr:rowOff>
    </xdr:from>
    <xdr:to>
      <xdr:col>9</xdr:col>
      <xdr:colOff>276225</xdr:colOff>
      <xdr:row>42</xdr:row>
      <xdr:rowOff>19051</xdr:rowOff>
    </xdr:to>
    <xdr:cxnSp macro="">
      <xdr:nvCxnSpPr>
        <xdr:cNvPr id="23" name="Прямая со стрелкой 22"/>
        <xdr:cNvCxnSpPr/>
      </xdr:nvCxnSpPr>
      <xdr:spPr>
        <a:xfrm>
          <a:off x="4905375" y="7505700"/>
          <a:ext cx="1362075" cy="1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37</xdr:row>
      <xdr:rowOff>85726</xdr:rowOff>
    </xdr:from>
    <xdr:to>
      <xdr:col>9</xdr:col>
      <xdr:colOff>419100</xdr:colOff>
      <xdr:row>41</xdr:row>
      <xdr:rowOff>28575</xdr:rowOff>
    </xdr:to>
    <xdr:cxnSp macro="">
      <xdr:nvCxnSpPr>
        <xdr:cNvPr id="40" name="Прямая со стрелкой 39"/>
        <xdr:cNvCxnSpPr/>
      </xdr:nvCxnSpPr>
      <xdr:spPr>
        <a:xfrm flipV="1">
          <a:off x="6296025" y="4076701"/>
          <a:ext cx="0" cy="619124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390525</xdr:colOff>
      <xdr:row>41</xdr:row>
      <xdr:rowOff>0</xdr:rowOff>
    </xdr:from>
    <xdr:ext cx="847668" cy="217560"/>
    <xdr:sp macro="" textlink="">
      <xdr:nvSpPr>
        <xdr:cNvPr id="54" name="TextBox 53"/>
        <xdr:cNvSpPr txBox="1"/>
      </xdr:nvSpPr>
      <xdr:spPr>
        <a:xfrm>
          <a:off x="5048250" y="4505325"/>
          <a:ext cx="847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/>
            <a:t>длина по стене</a:t>
          </a:r>
        </a:p>
      </xdr:txBody>
    </xdr:sp>
    <xdr:clientData/>
  </xdr:oneCellAnchor>
  <xdr:oneCellAnchor>
    <xdr:from>
      <xdr:col>9</xdr:col>
      <xdr:colOff>424621</xdr:colOff>
      <xdr:row>36</xdr:row>
      <xdr:rowOff>108780</xdr:rowOff>
    </xdr:from>
    <xdr:ext cx="217560" cy="933450"/>
    <xdr:sp macro="" textlink="">
      <xdr:nvSpPr>
        <xdr:cNvPr id="55" name="TextBox 54"/>
        <xdr:cNvSpPr txBox="1"/>
      </xdr:nvSpPr>
      <xdr:spPr>
        <a:xfrm rot="16200000">
          <a:off x="5943601" y="4286250"/>
          <a:ext cx="93345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800"/>
            <a:t>ширина по стене</a:t>
          </a:r>
        </a:p>
      </xdr:txBody>
    </xdr:sp>
    <xdr:clientData/>
  </xdr:oneCellAnchor>
  <xdr:twoCellAnchor>
    <xdr:from>
      <xdr:col>7</xdr:col>
      <xdr:colOff>76200</xdr:colOff>
      <xdr:row>44</xdr:row>
      <xdr:rowOff>19050</xdr:rowOff>
    </xdr:from>
    <xdr:to>
      <xdr:col>9</xdr:col>
      <xdr:colOff>361950</xdr:colOff>
      <xdr:row>49</xdr:row>
      <xdr:rowOff>0</xdr:rowOff>
    </xdr:to>
    <xdr:grpSp>
      <xdr:nvGrpSpPr>
        <xdr:cNvPr id="131" name="Группа 130"/>
        <xdr:cNvGrpSpPr/>
      </xdr:nvGrpSpPr>
      <xdr:grpSpPr>
        <a:xfrm>
          <a:off x="4848225" y="7867650"/>
          <a:ext cx="1504950" cy="866775"/>
          <a:chOff x="4733925" y="5362575"/>
          <a:chExt cx="1581150" cy="828675"/>
        </a:xfrm>
      </xdr:grpSpPr>
      <xdr:cxnSp macro="">
        <xdr:nvCxnSpPr>
          <xdr:cNvPr id="132" name="Прямая соединительная линия 131"/>
          <xdr:cNvCxnSpPr/>
        </xdr:nvCxnSpPr>
        <xdr:spPr>
          <a:xfrm flipH="1">
            <a:off x="4733925" y="5715919"/>
            <a:ext cx="148590" cy="37858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Прямая соединительная линия 132"/>
          <xdr:cNvCxnSpPr/>
        </xdr:nvCxnSpPr>
        <xdr:spPr>
          <a:xfrm flipV="1">
            <a:off x="4878705" y="5505595"/>
            <a:ext cx="388620" cy="2187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Прямая соединительная линия 133"/>
          <xdr:cNvCxnSpPr/>
        </xdr:nvCxnSpPr>
        <xdr:spPr>
          <a:xfrm>
            <a:off x="5271135" y="5501389"/>
            <a:ext cx="339090" cy="22294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Прямая соединительная линия 134"/>
          <xdr:cNvCxnSpPr/>
        </xdr:nvCxnSpPr>
        <xdr:spPr>
          <a:xfrm>
            <a:off x="5610225" y="5720126"/>
            <a:ext cx="182880" cy="37858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Прямая соединительная линия 135"/>
          <xdr:cNvCxnSpPr/>
        </xdr:nvCxnSpPr>
        <xdr:spPr>
          <a:xfrm>
            <a:off x="4733925" y="6094502"/>
            <a:ext cx="106299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Прямая соединительная линия 136"/>
          <xdr:cNvCxnSpPr/>
        </xdr:nvCxnSpPr>
        <xdr:spPr>
          <a:xfrm>
            <a:off x="4794885" y="6098708"/>
            <a:ext cx="0" cy="8412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Прямая соединительная линия 137"/>
          <xdr:cNvCxnSpPr/>
        </xdr:nvCxnSpPr>
        <xdr:spPr>
          <a:xfrm>
            <a:off x="5709285" y="6107121"/>
            <a:ext cx="0" cy="8412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Прямая соединительная линия 138"/>
          <xdr:cNvCxnSpPr/>
        </xdr:nvCxnSpPr>
        <xdr:spPr>
          <a:xfrm flipV="1">
            <a:off x="5267325" y="5362575"/>
            <a:ext cx="514350" cy="13881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Прямая соединительная линия 139"/>
          <xdr:cNvCxnSpPr/>
        </xdr:nvCxnSpPr>
        <xdr:spPr>
          <a:xfrm flipV="1">
            <a:off x="5621655" y="5610757"/>
            <a:ext cx="422909" cy="11357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Прямая соединительная линия 140"/>
          <xdr:cNvCxnSpPr/>
        </xdr:nvCxnSpPr>
        <xdr:spPr>
          <a:xfrm flipV="1">
            <a:off x="5789295" y="5930449"/>
            <a:ext cx="525780" cy="164052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138113</xdr:colOff>
      <xdr:row>48</xdr:row>
      <xdr:rowOff>28575</xdr:rowOff>
    </xdr:from>
    <xdr:to>
      <xdr:col>8</xdr:col>
      <xdr:colOff>381000</xdr:colOff>
      <xdr:row>48</xdr:row>
      <xdr:rowOff>33338</xdr:rowOff>
    </xdr:to>
    <xdr:cxnSp macro="">
      <xdr:nvCxnSpPr>
        <xdr:cNvPr id="142" name="Прямая со стрелкой 141"/>
        <xdr:cNvCxnSpPr/>
      </xdr:nvCxnSpPr>
      <xdr:spPr>
        <a:xfrm flipV="1">
          <a:off x="5100638" y="6896100"/>
          <a:ext cx="852487" cy="4763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45</xdr:row>
      <xdr:rowOff>133350</xdr:rowOff>
    </xdr:from>
    <xdr:to>
      <xdr:col>9</xdr:col>
      <xdr:colOff>247650</xdr:colOff>
      <xdr:row>46</xdr:row>
      <xdr:rowOff>114300</xdr:rowOff>
    </xdr:to>
    <xdr:cxnSp macro="">
      <xdr:nvCxnSpPr>
        <xdr:cNvPr id="143" name="Прямая со стрелкой 142"/>
        <xdr:cNvCxnSpPr/>
      </xdr:nvCxnSpPr>
      <xdr:spPr>
        <a:xfrm flipV="1">
          <a:off x="5610225" y="8458200"/>
          <a:ext cx="514350" cy="142875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133350</xdr:colOff>
      <xdr:row>46</xdr:row>
      <xdr:rowOff>152400</xdr:rowOff>
    </xdr:from>
    <xdr:ext cx="922240" cy="217560"/>
    <xdr:sp macro="" textlink="">
      <xdr:nvSpPr>
        <xdr:cNvPr id="144" name="TextBox 143"/>
        <xdr:cNvSpPr txBox="1"/>
      </xdr:nvSpPr>
      <xdr:spPr>
        <a:xfrm>
          <a:off x="4791075" y="8639175"/>
          <a:ext cx="92224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/>
            <a:t>ширина по стене</a:t>
          </a:r>
        </a:p>
      </xdr:txBody>
    </xdr:sp>
    <xdr:clientData/>
  </xdr:oneCellAnchor>
  <xdr:oneCellAnchor>
    <xdr:from>
      <xdr:col>8</xdr:col>
      <xdr:colOff>266702</xdr:colOff>
      <xdr:row>45</xdr:row>
      <xdr:rowOff>161926</xdr:rowOff>
    </xdr:from>
    <xdr:ext cx="933450" cy="217560"/>
    <xdr:sp macro="" textlink="">
      <xdr:nvSpPr>
        <xdr:cNvPr id="145" name="TextBox 144"/>
        <xdr:cNvSpPr txBox="1"/>
      </xdr:nvSpPr>
      <xdr:spPr>
        <a:xfrm rot="20552069">
          <a:off x="5534027" y="8486776"/>
          <a:ext cx="93345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800"/>
            <a:t>длина по стене</a:t>
          </a:r>
        </a:p>
      </xdr:txBody>
    </xdr:sp>
    <xdr:clientData/>
  </xdr:oneCellAnchor>
  <xdr:twoCellAnchor>
    <xdr:from>
      <xdr:col>7</xdr:col>
      <xdr:colOff>133350</xdr:colOff>
      <xdr:row>27</xdr:row>
      <xdr:rowOff>47625</xdr:rowOff>
    </xdr:from>
    <xdr:to>
      <xdr:col>8</xdr:col>
      <xdr:colOff>219075</xdr:colOff>
      <xdr:row>27</xdr:row>
      <xdr:rowOff>47625</xdr:rowOff>
    </xdr:to>
    <xdr:cxnSp macro="">
      <xdr:nvCxnSpPr>
        <xdr:cNvPr id="188" name="Прямая со стрелкой 187"/>
        <xdr:cNvCxnSpPr/>
      </xdr:nvCxnSpPr>
      <xdr:spPr>
        <a:xfrm>
          <a:off x="4791075" y="3409950"/>
          <a:ext cx="695325" cy="0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138113</xdr:colOff>
      <xdr:row>25</xdr:row>
      <xdr:rowOff>38100</xdr:rowOff>
    </xdr:from>
    <xdr:to>
      <xdr:col>8</xdr:col>
      <xdr:colOff>447675</xdr:colOff>
      <xdr:row>25</xdr:row>
      <xdr:rowOff>152400</xdr:rowOff>
    </xdr:to>
    <xdr:cxnSp macro="">
      <xdr:nvCxnSpPr>
        <xdr:cNvPr id="190" name="Прямая со стрелкой 189"/>
        <xdr:cNvCxnSpPr/>
      </xdr:nvCxnSpPr>
      <xdr:spPr>
        <a:xfrm flipV="1">
          <a:off x="5405438" y="3067050"/>
          <a:ext cx="309562" cy="114300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27</xdr:row>
      <xdr:rowOff>66675</xdr:rowOff>
    </xdr:from>
    <xdr:to>
      <xdr:col>10</xdr:col>
      <xdr:colOff>176213</xdr:colOff>
      <xdr:row>27</xdr:row>
      <xdr:rowOff>66675</xdr:rowOff>
    </xdr:to>
    <xdr:cxnSp macro="">
      <xdr:nvCxnSpPr>
        <xdr:cNvPr id="193" name="Прямая со стрелкой 192"/>
        <xdr:cNvCxnSpPr/>
      </xdr:nvCxnSpPr>
      <xdr:spPr>
        <a:xfrm>
          <a:off x="6153150" y="3429000"/>
          <a:ext cx="671513" cy="0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71437</xdr:colOff>
      <xdr:row>27</xdr:row>
      <xdr:rowOff>71437</xdr:rowOff>
    </xdr:from>
    <xdr:ext cx="1075038" cy="204788"/>
    <xdr:sp macro="" textlink="">
      <xdr:nvSpPr>
        <xdr:cNvPr id="201" name="TextBox 200"/>
        <xdr:cNvSpPr txBox="1"/>
      </xdr:nvSpPr>
      <xdr:spPr>
        <a:xfrm>
          <a:off x="6062662" y="4948237"/>
          <a:ext cx="1075038" cy="2047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800" baseline="0"/>
            <a:t>ширина по стене 3,4</a:t>
          </a:r>
          <a:endParaRPr lang="ru-RU" sz="800"/>
        </a:p>
      </xdr:txBody>
    </xdr:sp>
    <xdr:clientData/>
  </xdr:oneCellAnchor>
  <xdr:twoCellAnchor>
    <xdr:from>
      <xdr:col>7</xdr:col>
      <xdr:colOff>447675</xdr:colOff>
      <xdr:row>15</xdr:row>
      <xdr:rowOff>138112</xdr:rowOff>
    </xdr:from>
    <xdr:to>
      <xdr:col>8</xdr:col>
      <xdr:colOff>433388</xdr:colOff>
      <xdr:row>15</xdr:row>
      <xdr:rowOff>138113</xdr:rowOff>
    </xdr:to>
    <xdr:cxnSp macro="">
      <xdr:nvCxnSpPr>
        <xdr:cNvPr id="235" name="Прямая со стрелкой 234"/>
        <xdr:cNvCxnSpPr/>
      </xdr:nvCxnSpPr>
      <xdr:spPr>
        <a:xfrm>
          <a:off x="5105400" y="2128837"/>
          <a:ext cx="595313" cy="1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15</xdr:row>
      <xdr:rowOff>23813</xdr:rowOff>
    </xdr:from>
    <xdr:to>
      <xdr:col>9</xdr:col>
      <xdr:colOff>276225</xdr:colOff>
      <xdr:row>15</xdr:row>
      <xdr:rowOff>142876</xdr:rowOff>
    </xdr:to>
    <xdr:cxnSp macro="">
      <xdr:nvCxnSpPr>
        <xdr:cNvPr id="237" name="Прямая со стрелкой 236"/>
        <xdr:cNvCxnSpPr/>
      </xdr:nvCxnSpPr>
      <xdr:spPr>
        <a:xfrm flipV="1">
          <a:off x="5886450" y="2014538"/>
          <a:ext cx="266700" cy="119063"/>
        </a:xfrm>
        <a:prstGeom prst="straightConnector1">
          <a:avLst/>
        </a:prstGeom>
        <a:ln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12</xdr:row>
      <xdr:rowOff>114300</xdr:rowOff>
    </xdr:from>
    <xdr:to>
      <xdr:col>9</xdr:col>
      <xdr:colOff>204788</xdr:colOff>
      <xdr:row>16</xdr:row>
      <xdr:rowOff>71438</xdr:rowOff>
    </xdr:to>
    <xdr:grpSp>
      <xdr:nvGrpSpPr>
        <xdr:cNvPr id="241" name="Группа 240"/>
        <xdr:cNvGrpSpPr/>
      </xdr:nvGrpSpPr>
      <xdr:grpSpPr>
        <a:xfrm>
          <a:off x="5133975" y="2447925"/>
          <a:ext cx="1062038" cy="614363"/>
          <a:chOff x="5019675" y="1628775"/>
          <a:chExt cx="1062038" cy="595313"/>
        </a:xfrm>
      </xdr:grpSpPr>
      <xdr:grpSp>
        <xdr:nvGrpSpPr>
          <xdr:cNvPr id="234" name="Группа 233"/>
          <xdr:cNvGrpSpPr/>
        </xdr:nvGrpSpPr>
        <xdr:grpSpPr>
          <a:xfrm>
            <a:off x="5019675" y="1628775"/>
            <a:ext cx="1062038" cy="595313"/>
            <a:chOff x="5019675" y="1628775"/>
            <a:chExt cx="1062038" cy="595313"/>
          </a:xfrm>
        </xdr:grpSpPr>
        <xdr:cxnSp macro="">
          <xdr:nvCxnSpPr>
            <xdr:cNvPr id="203" name="Прямая соединительная линия 202"/>
            <xdr:cNvCxnSpPr/>
          </xdr:nvCxnSpPr>
          <xdr:spPr>
            <a:xfrm flipV="1">
              <a:off x="5024438" y="1633538"/>
              <a:ext cx="233362" cy="762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" name="Прямая соединительная линия 204"/>
            <xdr:cNvCxnSpPr/>
          </xdr:nvCxnSpPr>
          <xdr:spPr>
            <a:xfrm>
              <a:off x="5262563" y="1628775"/>
              <a:ext cx="819150" cy="357188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Прямая соединительная линия 206"/>
            <xdr:cNvCxnSpPr/>
          </xdr:nvCxnSpPr>
          <xdr:spPr>
            <a:xfrm flipH="1">
              <a:off x="5838825" y="1985963"/>
              <a:ext cx="238126" cy="104775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" name="Прямая соединительная линия 209"/>
            <xdr:cNvCxnSpPr/>
          </xdr:nvCxnSpPr>
          <xdr:spPr>
            <a:xfrm>
              <a:off x="5019675" y="1714500"/>
              <a:ext cx="823913" cy="371475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Прямая соединительная линия 211"/>
            <xdr:cNvCxnSpPr/>
          </xdr:nvCxnSpPr>
          <xdr:spPr>
            <a:xfrm>
              <a:off x="5095875" y="1752600"/>
              <a:ext cx="9525" cy="4572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" name="Прямая соединительная линия 213"/>
            <xdr:cNvCxnSpPr/>
          </xdr:nvCxnSpPr>
          <xdr:spPr>
            <a:xfrm flipH="1">
              <a:off x="5695950" y="2024063"/>
              <a:ext cx="4763" cy="200025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" name="Прямая соединительная линия 215"/>
            <xdr:cNvCxnSpPr/>
          </xdr:nvCxnSpPr>
          <xdr:spPr>
            <a:xfrm>
              <a:off x="5100638" y="2024063"/>
              <a:ext cx="604837" cy="1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0" name="Дуга 239"/>
          <xdr:cNvSpPr/>
        </xdr:nvSpPr>
        <xdr:spPr>
          <a:xfrm rot="13957029">
            <a:off x="5538788" y="1852614"/>
            <a:ext cx="123825" cy="238125"/>
          </a:xfrm>
          <a:prstGeom prst="arc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7</xdr:col>
      <xdr:colOff>33338</xdr:colOff>
      <xdr:row>23</xdr:row>
      <xdr:rowOff>109537</xdr:rowOff>
    </xdr:from>
    <xdr:to>
      <xdr:col>10</xdr:col>
      <xdr:colOff>333376</xdr:colOff>
      <xdr:row>27</xdr:row>
      <xdr:rowOff>119062</xdr:rowOff>
    </xdr:to>
    <xdr:grpSp>
      <xdr:nvGrpSpPr>
        <xdr:cNvPr id="274" name="Группа 273"/>
        <xdr:cNvGrpSpPr/>
      </xdr:nvGrpSpPr>
      <xdr:grpSpPr>
        <a:xfrm>
          <a:off x="4805363" y="4262437"/>
          <a:ext cx="2290763" cy="723900"/>
          <a:chOff x="5053013" y="2566987"/>
          <a:chExt cx="2290763" cy="695325"/>
        </a:xfrm>
      </xdr:grpSpPr>
      <xdr:grpSp>
        <xdr:nvGrpSpPr>
          <xdr:cNvPr id="187" name="Группа 186"/>
          <xdr:cNvGrpSpPr/>
        </xdr:nvGrpSpPr>
        <xdr:grpSpPr>
          <a:xfrm>
            <a:off x="5053013" y="2566987"/>
            <a:ext cx="2290763" cy="695325"/>
            <a:chOff x="4691063" y="2795587"/>
            <a:chExt cx="2290763" cy="685800"/>
          </a:xfrm>
        </xdr:grpSpPr>
        <xdr:cxnSp macro="">
          <xdr:nvCxnSpPr>
            <xdr:cNvPr id="148" name="Прямая соединительная линия 147"/>
            <xdr:cNvCxnSpPr/>
          </xdr:nvCxnSpPr>
          <xdr:spPr>
            <a:xfrm flipV="1">
              <a:off x="4691063" y="2914650"/>
              <a:ext cx="442912" cy="4191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Прямая соединительная линия 150"/>
            <xdr:cNvCxnSpPr/>
          </xdr:nvCxnSpPr>
          <xdr:spPr>
            <a:xfrm>
              <a:off x="5138738" y="2914650"/>
              <a:ext cx="438150" cy="433387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3" name="Прямая соединительная линия 152"/>
            <xdr:cNvCxnSpPr/>
          </xdr:nvCxnSpPr>
          <xdr:spPr>
            <a:xfrm flipV="1">
              <a:off x="5572125" y="3233738"/>
              <a:ext cx="319087" cy="11430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5" name="Прямая соединительная линия 154"/>
            <xdr:cNvCxnSpPr/>
          </xdr:nvCxnSpPr>
          <xdr:spPr>
            <a:xfrm>
              <a:off x="5434013" y="2795587"/>
              <a:ext cx="457200" cy="433388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7" name="Прямая соединительная линия 156"/>
            <xdr:cNvCxnSpPr/>
          </xdr:nvCxnSpPr>
          <xdr:spPr>
            <a:xfrm flipV="1">
              <a:off x="5129213" y="2800350"/>
              <a:ext cx="319087" cy="12382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" name="Прямая соединительная линия 158"/>
            <xdr:cNvCxnSpPr/>
          </xdr:nvCxnSpPr>
          <xdr:spPr>
            <a:xfrm flipH="1">
              <a:off x="4795841" y="3238500"/>
              <a:ext cx="4759" cy="214312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" name="Прямая соединительная линия 160"/>
            <xdr:cNvCxnSpPr/>
          </xdr:nvCxnSpPr>
          <xdr:spPr>
            <a:xfrm>
              <a:off x="5486400" y="3262312"/>
              <a:ext cx="0" cy="185738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" name="Прямая соединительная линия 162"/>
            <xdr:cNvCxnSpPr/>
          </xdr:nvCxnSpPr>
          <xdr:spPr>
            <a:xfrm flipV="1">
              <a:off x="6005513" y="2867025"/>
              <a:ext cx="14288" cy="395287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5" name="Прямая соединительная линия 164"/>
            <xdr:cNvCxnSpPr/>
          </xdr:nvCxnSpPr>
          <xdr:spPr>
            <a:xfrm>
              <a:off x="6015038" y="2867025"/>
              <a:ext cx="966788" cy="952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Прямая соединительная линия 166"/>
            <xdr:cNvCxnSpPr/>
          </xdr:nvCxnSpPr>
          <xdr:spPr>
            <a:xfrm flipH="1">
              <a:off x="6967538" y="2876550"/>
              <a:ext cx="4763" cy="395287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9" name="Прямая соединительная линия 168"/>
            <xdr:cNvCxnSpPr/>
          </xdr:nvCxnSpPr>
          <xdr:spPr>
            <a:xfrm>
              <a:off x="6015038" y="3257550"/>
              <a:ext cx="142875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1" name="Прямая соединительная линия 170"/>
            <xdr:cNvCxnSpPr/>
          </xdr:nvCxnSpPr>
          <xdr:spPr>
            <a:xfrm flipH="1">
              <a:off x="6815138" y="3271837"/>
              <a:ext cx="147638" cy="0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3" name="Прямая соединительная линия 172"/>
            <xdr:cNvCxnSpPr/>
          </xdr:nvCxnSpPr>
          <xdr:spPr>
            <a:xfrm flipV="1">
              <a:off x="6157913" y="2933700"/>
              <a:ext cx="333375" cy="33337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5" name="Прямая соединительная линия 174"/>
            <xdr:cNvCxnSpPr/>
          </xdr:nvCxnSpPr>
          <xdr:spPr>
            <a:xfrm>
              <a:off x="6481763" y="2943225"/>
              <a:ext cx="342900" cy="33337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7" name="Прямая соединительная линия 176"/>
            <xdr:cNvCxnSpPr/>
          </xdr:nvCxnSpPr>
          <xdr:spPr>
            <a:xfrm>
              <a:off x="6157913" y="3262312"/>
              <a:ext cx="0" cy="21907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9" name="Прямая соединительная линия 178"/>
            <xdr:cNvCxnSpPr/>
          </xdr:nvCxnSpPr>
          <xdr:spPr>
            <a:xfrm flipH="1">
              <a:off x="6824663" y="3281362"/>
              <a:ext cx="4763" cy="195263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67" name="Прямая соединительная линия 266"/>
          <xdr:cNvCxnSpPr/>
        </xdr:nvCxnSpPr>
        <xdr:spPr>
          <a:xfrm>
            <a:off x="5495925" y="2705100"/>
            <a:ext cx="19050" cy="37147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Прямая соединительная линия 268"/>
          <xdr:cNvCxnSpPr/>
        </xdr:nvCxnSpPr>
        <xdr:spPr>
          <a:xfrm flipH="1">
            <a:off x="5172075" y="3057525"/>
            <a:ext cx="676275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Прямая соединительная линия 271"/>
          <xdr:cNvCxnSpPr/>
        </xdr:nvCxnSpPr>
        <xdr:spPr>
          <a:xfrm>
            <a:off x="6848475" y="2705100"/>
            <a:ext cx="19050" cy="37147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Прямая соединительная линия 272"/>
          <xdr:cNvCxnSpPr/>
        </xdr:nvCxnSpPr>
        <xdr:spPr>
          <a:xfrm flipH="1">
            <a:off x="6524625" y="3057525"/>
            <a:ext cx="676275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809625</xdr:colOff>
      <xdr:row>41</xdr:row>
      <xdr:rowOff>2</xdr:rowOff>
    </xdr:from>
    <xdr:to>
      <xdr:col>5</xdr:col>
      <xdr:colOff>114300</xdr:colOff>
      <xdr:row>44</xdr:row>
      <xdr:rowOff>152401</xdr:rowOff>
    </xdr:to>
    <xdr:sp macro="" textlink="">
      <xdr:nvSpPr>
        <xdr:cNvPr id="5" name="Правая фигурная скобка 4"/>
        <xdr:cNvSpPr/>
      </xdr:nvSpPr>
      <xdr:spPr>
        <a:xfrm>
          <a:off x="3857625" y="7010402"/>
          <a:ext cx="133350" cy="647699"/>
        </a:xfrm>
        <a:prstGeom prst="rightBrace">
          <a:avLst/>
        </a:prstGeom>
        <a:ln w="127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104781</xdr:colOff>
      <xdr:row>25</xdr:row>
      <xdr:rowOff>143313</xdr:rowOff>
    </xdr:from>
    <xdr:to>
      <xdr:col>7</xdr:col>
      <xdr:colOff>485717</xdr:colOff>
      <xdr:row>41</xdr:row>
      <xdr:rowOff>104777</xdr:rowOff>
    </xdr:to>
    <xdr:cxnSp macro="">
      <xdr:nvCxnSpPr>
        <xdr:cNvPr id="3" name="Соединительная линия уступом 2"/>
        <xdr:cNvCxnSpPr/>
      </xdr:nvCxnSpPr>
      <xdr:spPr>
        <a:xfrm rot="5400000" flipH="1" flipV="1">
          <a:off x="3148205" y="5510464"/>
          <a:ext cx="2780864" cy="1114361"/>
        </a:xfrm>
        <a:prstGeom prst="bentConnector2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25</xdr:row>
      <xdr:rowOff>1</xdr:rowOff>
    </xdr:from>
    <xdr:to>
      <xdr:col>11</xdr:col>
      <xdr:colOff>180975</xdr:colOff>
      <xdr:row>29</xdr:row>
      <xdr:rowOff>114301</xdr:rowOff>
    </xdr:to>
    <xdr:cxnSp macro="">
      <xdr:nvCxnSpPr>
        <xdr:cNvPr id="83" name="Соединительная линия уступом 82"/>
        <xdr:cNvCxnSpPr/>
      </xdr:nvCxnSpPr>
      <xdr:spPr>
        <a:xfrm rot="10800000">
          <a:off x="5829300" y="4514851"/>
          <a:ext cx="1828800" cy="847725"/>
        </a:xfrm>
        <a:prstGeom prst="bentConnector3">
          <a:avLst>
            <a:gd name="adj1" fmla="val 50000"/>
          </a:avLst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438151</xdr:colOff>
      <xdr:row>13</xdr:row>
      <xdr:rowOff>152401</xdr:rowOff>
    </xdr:from>
    <xdr:to>
      <xdr:col>10</xdr:col>
      <xdr:colOff>114303</xdr:colOff>
      <xdr:row>16</xdr:row>
      <xdr:rowOff>104778</xdr:rowOff>
    </xdr:to>
    <xdr:cxnSp macro="">
      <xdr:nvCxnSpPr>
        <xdr:cNvPr id="88" name="Соединительная линия уступом 87"/>
        <xdr:cNvCxnSpPr/>
      </xdr:nvCxnSpPr>
      <xdr:spPr>
        <a:xfrm rot="10800000">
          <a:off x="5657851" y="2695576"/>
          <a:ext cx="1057277" cy="447677"/>
        </a:xfrm>
        <a:prstGeom prst="bentConnector3">
          <a:avLst>
            <a:gd name="adj1" fmla="val 50000"/>
          </a:avLst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64"/>
  <sheetViews>
    <sheetView tabSelected="1" zoomScaleNormal="100" workbookViewId="0">
      <selection activeCell="F51" sqref="F51"/>
    </sheetView>
  </sheetViews>
  <sheetFormatPr defaultRowHeight="12.75" x14ac:dyDescent="0.2"/>
  <cols>
    <col min="1" max="1" width="11" style="1" customWidth="1"/>
    <col min="2" max="2" width="15.42578125" style="1" customWidth="1"/>
    <col min="3" max="3" width="10.140625" style="1" bestFit="1" customWidth="1"/>
    <col min="4" max="4" width="9.140625" style="1"/>
    <col min="5" max="5" width="12.42578125" style="1" customWidth="1"/>
    <col min="6" max="6" width="10" style="1" customWidth="1"/>
    <col min="7" max="7" width="3.42578125" style="1" customWidth="1"/>
    <col min="8" max="9" width="9.140625" style="1"/>
    <col min="10" max="10" width="11.5703125" style="1" customWidth="1"/>
    <col min="11" max="11" width="10.7109375" style="1" customWidth="1"/>
    <col min="12" max="12" width="9.140625" style="1"/>
    <col min="13" max="13" width="10.85546875" style="1" customWidth="1"/>
    <col min="14" max="14" width="12" style="1" customWidth="1"/>
    <col min="15" max="15" width="5.7109375" style="1" customWidth="1"/>
    <col min="16" max="16" width="13.42578125" style="1" customWidth="1"/>
    <col min="17" max="17" width="11.7109375" style="1" customWidth="1"/>
    <col min="18" max="18" width="6.42578125" style="1" customWidth="1"/>
    <col min="19" max="19" width="5" style="1" customWidth="1"/>
    <col min="20" max="21" width="9.140625" style="1"/>
    <col min="22" max="22" width="5.28515625" style="1" customWidth="1"/>
    <col min="23" max="16384" width="9.140625" style="1"/>
  </cols>
  <sheetData>
    <row r="1" spans="1:22" ht="13.5" thickBot="1" x14ac:dyDescent="0.25">
      <c r="A1" s="64" t="s">
        <v>56</v>
      </c>
      <c r="B1" s="65"/>
      <c r="C1" s="65"/>
      <c r="D1" s="65"/>
      <c r="E1" s="65"/>
      <c r="F1" s="65"/>
      <c r="G1" s="65"/>
      <c r="H1" s="65"/>
    </row>
    <row r="2" spans="1:22" x14ac:dyDescent="0.2">
      <c r="A2" s="273" t="s">
        <v>3</v>
      </c>
      <c r="B2" s="284"/>
      <c r="C2" s="282">
        <v>41912</v>
      </c>
      <c r="D2" s="274"/>
      <c r="E2" s="274"/>
      <c r="F2" s="275"/>
      <c r="G2" s="8"/>
      <c r="H2" s="335" t="s">
        <v>22</v>
      </c>
      <c r="I2" s="180"/>
      <c r="J2" s="180"/>
      <c r="K2" s="180"/>
      <c r="L2" s="297"/>
      <c r="M2" s="336">
        <v>2.62</v>
      </c>
    </row>
    <row r="3" spans="1:22" x14ac:dyDescent="0.2">
      <c r="A3" s="276" t="s">
        <v>0</v>
      </c>
      <c r="B3" s="285"/>
      <c r="C3" s="283" t="s">
        <v>178</v>
      </c>
      <c r="D3" s="278"/>
      <c r="E3" s="278"/>
      <c r="F3" s="279"/>
      <c r="G3" s="2"/>
      <c r="H3" s="22" t="s">
        <v>23</v>
      </c>
      <c r="I3" s="6"/>
      <c r="J3" s="6"/>
      <c r="K3" s="6"/>
      <c r="L3" s="334"/>
      <c r="M3" s="86">
        <v>1.2749999999999999</v>
      </c>
    </row>
    <row r="4" spans="1:22" ht="13.5" customHeight="1" thickBot="1" x14ac:dyDescent="0.25">
      <c r="A4" s="276" t="s">
        <v>1</v>
      </c>
      <c r="B4" s="277"/>
      <c r="C4" s="280"/>
      <c r="D4" s="280"/>
      <c r="E4" s="280"/>
      <c r="F4" s="281"/>
      <c r="G4" s="9"/>
      <c r="H4" s="104" t="s">
        <v>24</v>
      </c>
      <c r="I4" s="6"/>
      <c r="J4" s="6"/>
      <c r="K4" s="6"/>
      <c r="L4" s="298"/>
      <c r="M4" s="23"/>
    </row>
    <row r="5" spans="1:22" ht="24.75" customHeight="1" x14ac:dyDescent="0.25">
      <c r="A5" s="288" t="s">
        <v>177</v>
      </c>
      <c r="B5" s="289"/>
      <c r="C5" s="289"/>
      <c r="D5" s="289"/>
      <c r="E5" s="289"/>
      <c r="F5" s="290"/>
      <c r="G5" s="2"/>
      <c r="H5" s="337" t="s">
        <v>164</v>
      </c>
      <c r="I5" s="338"/>
      <c r="J5" s="338"/>
      <c r="K5" s="339"/>
      <c r="L5" s="172" t="s">
        <v>78</v>
      </c>
      <c r="M5" s="183"/>
    </row>
    <row r="6" spans="1:22" ht="16.5" customHeight="1" thickBot="1" x14ac:dyDescent="0.3">
      <c r="A6" s="286" t="s">
        <v>2</v>
      </c>
      <c r="B6" s="291"/>
      <c r="C6" s="108"/>
      <c r="D6" s="287">
        <v>0</v>
      </c>
      <c r="E6" s="108" t="s">
        <v>4</v>
      </c>
      <c r="F6" s="109"/>
      <c r="G6" s="2"/>
      <c r="H6" s="342" t="s">
        <v>25</v>
      </c>
      <c r="I6" s="343"/>
      <c r="J6" s="343"/>
      <c r="K6" s="344"/>
      <c r="L6" s="340" t="s">
        <v>140</v>
      </c>
      <c r="M6" s="341"/>
    </row>
    <row r="7" spans="1:22" ht="14.25" customHeight="1" thickBot="1" x14ac:dyDescent="0.3">
      <c r="A7" s="14"/>
      <c r="B7" s="2"/>
      <c r="C7" s="2"/>
      <c r="D7" s="2"/>
      <c r="E7" s="2"/>
      <c r="F7" s="2"/>
      <c r="G7" s="2"/>
      <c r="H7" s="342" t="s">
        <v>26</v>
      </c>
      <c r="I7" s="343"/>
      <c r="J7" s="343"/>
      <c r="K7" s="344"/>
      <c r="L7" s="340" t="s">
        <v>140</v>
      </c>
      <c r="M7" s="341"/>
    </row>
    <row r="8" spans="1:22" ht="15.75" thickBot="1" x14ac:dyDescent="0.3">
      <c r="A8" s="21" t="s">
        <v>5</v>
      </c>
      <c r="B8" s="11"/>
      <c r="C8" s="11"/>
      <c r="D8" s="11"/>
      <c r="E8" s="11"/>
      <c r="F8" s="11"/>
      <c r="G8" s="20"/>
      <c r="H8" s="346" t="s">
        <v>27</v>
      </c>
      <c r="I8" s="347"/>
      <c r="J8" s="347"/>
      <c r="K8" s="348"/>
      <c r="L8" s="345" t="s">
        <v>165</v>
      </c>
      <c r="M8" s="316"/>
    </row>
    <row r="9" spans="1:22" ht="15" customHeight="1" thickBot="1" x14ac:dyDescent="0.3">
      <c r="A9" s="22" t="s">
        <v>6</v>
      </c>
      <c r="B9" s="5"/>
      <c r="C9" s="5"/>
      <c r="D9" s="5"/>
      <c r="E9" s="5"/>
      <c r="F9" s="5"/>
      <c r="G9" s="23"/>
      <c r="H9" s="87" t="str">
        <f>IF(C35="ж/б ростверк","Сечение подкладочной доски",IF(C35="метал. Сваи","Сечение подкладочного бруса"))</f>
        <v>Сечение подкладочного бруса</v>
      </c>
      <c r="I9" s="83"/>
      <c r="J9" s="83"/>
      <c r="K9" s="333"/>
      <c r="L9" s="243" t="s">
        <v>165</v>
      </c>
      <c r="M9" s="242"/>
      <c r="N9" s="243" t="s">
        <v>166</v>
      </c>
      <c r="O9" s="244"/>
      <c r="P9" s="245"/>
      <c r="Q9" s="107" t="s">
        <v>168</v>
      </c>
    </row>
    <row r="10" spans="1:22" ht="15.75" thickBot="1" x14ac:dyDescent="0.3">
      <c r="A10" s="294" t="s">
        <v>8</v>
      </c>
      <c r="B10" s="181" t="s">
        <v>7</v>
      </c>
      <c r="C10" s="179" t="s">
        <v>179</v>
      </c>
      <c r="D10" s="297"/>
      <c r="E10" s="180" t="s">
        <v>180</v>
      </c>
      <c r="F10" s="180"/>
      <c r="G10" s="181"/>
      <c r="H10" s="110" t="s">
        <v>73</v>
      </c>
      <c r="I10" s="83"/>
      <c r="J10" s="83"/>
      <c r="K10" s="333"/>
      <c r="L10" s="243" t="s">
        <v>165</v>
      </c>
      <c r="M10" s="242"/>
      <c r="N10" s="243" t="s">
        <v>166</v>
      </c>
      <c r="O10" s="244"/>
      <c r="P10" s="245"/>
      <c r="Q10" s="107" t="s">
        <v>168</v>
      </c>
    </row>
    <row r="11" spans="1:22" ht="15.75" thickBot="1" x14ac:dyDescent="0.3">
      <c r="A11" s="292">
        <v>0</v>
      </c>
      <c r="B11" s="293">
        <v>0</v>
      </c>
      <c r="C11" s="295">
        <v>0</v>
      </c>
      <c r="D11" s="298"/>
      <c r="E11" s="296">
        <v>0</v>
      </c>
      <c r="F11" s="7"/>
      <c r="G11" s="145"/>
      <c r="H11" s="110" t="s">
        <v>74</v>
      </c>
      <c r="I11" s="83"/>
      <c r="J11" s="83"/>
      <c r="K11" s="333"/>
      <c r="L11" s="243" t="s">
        <v>165</v>
      </c>
      <c r="M11" s="242"/>
      <c r="N11" s="243" t="s">
        <v>166</v>
      </c>
      <c r="O11" s="244"/>
      <c r="P11" s="245"/>
      <c r="Q11" s="124" t="s">
        <v>168</v>
      </c>
      <c r="R11" s="108"/>
    </row>
    <row r="12" spans="1:22" ht="13.5" customHeight="1" thickBot="1" x14ac:dyDescent="0.25">
      <c r="A12" s="14"/>
      <c r="B12" s="2"/>
      <c r="C12" s="70" t="s">
        <v>214</v>
      </c>
      <c r="D12" s="2"/>
      <c r="E12" s="2"/>
      <c r="F12" s="2"/>
      <c r="G12" s="118"/>
      <c r="H12" s="33"/>
      <c r="I12" s="134" t="s">
        <v>38</v>
      </c>
      <c r="J12" s="33"/>
      <c r="K12" s="33"/>
      <c r="L12" s="33"/>
      <c r="M12" s="33"/>
      <c r="N12" s="33"/>
      <c r="O12" s="33"/>
      <c r="P12" s="33"/>
      <c r="Q12" s="33"/>
      <c r="R12" s="111"/>
      <c r="S12" s="17"/>
      <c r="T12" s="17"/>
      <c r="U12" s="17"/>
      <c r="V12" s="17"/>
    </row>
    <row r="13" spans="1:22" x14ac:dyDescent="0.2">
      <c r="A13" s="24" t="s">
        <v>9</v>
      </c>
      <c r="B13" s="12"/>
      <c r="C13" s="12"/>
      <c r="D13" s="12"/>
      <c r="E13" s="12"/>
      <c r="F13" s="13"/>
      <c r="G13" s="25"/>
      <c r="H13" s="41"/>
      <c r="I13" s="41"/>
      <c r="J13" s="42"/>
      <c r="K13" s="119" t="s">
        <v>35</v>
      </c>
      <c r="L13" s="41"/>
      <c r="M13" s="41"/>
      <c r="N13" s="213">
        <v>0</v>
      </c>
      <c r="O13" s="119" t="s">
        <v>36</v>
      </c>
      <c r="P13" s="41"/>
      <c r="Q13" s="41"/>
      <c r="R13" s="216">
        <v>0</v>
      </c>
    </row>
    <row r="14" spans="1:22" ht="12.75" customHeight="1" thickBot="1" x14ac:dyDescent="0.25">
      <c r="A14" s="26" t="s">
        <v>10</v>
      </c>
      <c r="B14" s="3"/>
      <c r="C14" s="3"/>
      <c r="D14" s="3"/>
      <c r="E14" s="3"/>
      <c r="F14" s="4"/>
      <c r="G14" s="27"/>
      <c r="H14" s="6"/>
      <c r="I14" s="6"/>
      <c r="J14" s="35"/>
      <c r="K14" s="120" t="s">
        <v>29</v>
      </c>
      <c r="L14" s="6"/>
      <c r="M14" s="6"/>
      <c r="N14" s="214">
        <v>0</v>
      </c>
      <c r="O14" s="120" t="s">
        <v>28</v>
      </c>
      <c r="P14" s="6"/>
      <c r="Q14" s="6"/>
      <c r="R14" s="217">
        <v>0</v>
      </c>
    </row>
    <row r="15" spans="1:22" x14ac:dyDescent="0.2">
      <c r="A15" s="300" t="s">
        <v>8</v>
      </c>
      <c r="B15" s="183" t="s">
        <v>7</v>
      </c>
      <c r="C15" s="171" t="s">
        <v>179</v>
      </c>
      <c r="D15" s="304"/>
      <c r="E15" s="172" t="s">
        <v>180</v>
      </c>
      <c r="F15" s="172"/>
      <c r="G15" s="183"/>
      <c r="H15" s="6"/>
      <c r="I15" s="6"/>
      <c r="J15" s="35"/>
      <c r="K15" s="120" t="s">
        <v>128</v>
      </c>
      <c r="L15" s="6"/>
      <c r="M15" s="6"/>
      <c r="N15" s="214">
        <v>0</v>
      </c>
      <c r="O15" s="120" t="s">
        <v>127</v>
      </c>
      <c r="P15" s="6"/>
      <c r="Q15" s="6"/>
      <c r="R15" s="217">
        <v>0</v>
      </c>
    </row>
    <row r="16" spans="1:22" ht="13.5" thickBot="1" x14ac:dyDescent="0.25">
      <c r="A16" s="301">
        <v>0</v>
      </c>
      <c r="B16" s="299">
        <v>0</v>
      </c>
      <c r="C16" s="302">
        <v>0</v>
      </c>
      <c r="D16" s="305"/>
      <c r="E16" s="303">
        <v>0</v>
      </c>
      <c r="F16" s="37"/>
      <c r="G16" s="38"/>
      <c r="H16" s="6"/>
      <c r="I16" s="6"/>
      <c r="J16" s="35"/>
      <c r="K16" s="120" t="s">
        <v>41</v>
      </c>
      <c r="L16" s="6"/>
      <c r="M16" s="6"/>
      <c r="N16" s="214">
        <v>0</v>
      </c>
      <c r="O16" s="120" t="s">
        <v>40</v>
      </c>
      <c r="P16" s="6"/>
      <c r="Q16" s="6"/>
      <c r="R16" s="217">
        <v>0</v>
      </c>
    </row>
    <row r="17" spans="1:19" ht="13.5" thickBot="1" x14ac:dyDescent="0.25">
      <c r="C17" s="70" t="s">
        <v>214</v>
      </c>
      <c r="G17" s="15"/>
      <c r="H17" s="33"/>
      <c r="I17" s="33"/>
      <c r="J17" s="121"/>
      <c r="K17" s="130" t="s">
        <v>211</v>
      </c>
      <c r="L17" s="33"/>
      <c r="M17" s="33"/>
      <c r="N17" s="215" t="s">
        <v>210</v>
      </c>
      <c r="O17" s="130" t="s">
        <v>212</v>
      </c>
      <c r="P17" s="33"/>
      <c r="Q17" s="33"/>
      <c r="R17" s="218" t="s">
        <v>210</v>
      </c>
    </row>
    <row r="18" spans="1:19" x14ac:dyDescent="0.2">
      <c r="A18" s="313" t="s">
        <v>21</v>
      </c>
      <c r="B18" s="28"/>
      <c r="C18" s="28"/>
      <c r="D18" s="28"/>
      <c r="E18" s="28"/>
      <c r="F18" s="111"/>
      <c r="G18" s="15"/>
      <c r="H18" s="41" t="s">
        <v>129</v>
      </c>
      <c r="I18" s="41"/>
      <c r="J18" s="41"/>
      <c r="K18" s="213">
        <v>0</v>
      </c>
      <c r="L18" s="131" t="s">
        <v>53</v>
      </c>
      <c r="M18" s="41"/>
      <c r="N18" s="42"/>
      <c r="P18" s="2"/>
      <c r="Q18" s="2"/>
      <c r="R18" s="15"/>
    </row>
    <row r="19" spans="1:19" ht="13.5" thickBot="1" x14ac:dyDescent="0.25">
      <c r="A19" s="22" t="s">
        <v>11</v>
      </c>
      <c r="B19" s="309"/>
      <c r="C19" s="310" t="s">
        <v>12</v>
      </c>
      <c r="D19" s="310"/>
      <c r="E19" s="311" t="s">
        <v>13</v>
      </c>
      <c r="F19" s="312"/>
      <c r="G19" s="122"/>
      <c r="H19" s="6" t="s">
        <v>130</v>
      </c>
      <c r="I19" s="6"/>
      <c r="J19" s="6"/>
      <c r="K19" s="214">
        <v>0</v>
      </c>
      <c r="L19" s="246" t="s">
        <v>54</v>
      </c>
      <c r="M19" s="247"/>
      <c r="N19" s="248"/>
      <c r="P19" s="2"/>
      <c r="Q19" s="2"/>
      <c r="R19" s="15"/>
    </row>
    <row r="20" spans="1:19" x14ac:dyDescent="0.2">
      <c r="A20" s="294" t="s">
        <v>31</v>
      </c>
      <c r="B20" s="181" t="s">
        <v>30</v>
      </c>
      <c r="C20" s="294" t="s">
        <v>31</v>
      </c>
      <c r="D20" s="181" t="s">
        <v>30</v>
      </c>
      <c r="E20" s="294" t="s">
        <v>31</v>
      </c>
      <c r="F20" s="181" t="s">
        <v>30</v>
      </c>
      <c r="G20" s="122"/>
      <c r="H20" s="6" t="s">
        <v>131</v>
      </c>
      <c r="I20" s="6"/>
      <c r="J20" s="6"/>
      <c r="K20" s="214">
        <v>0</v>
      </c>
      <c r="L20" s="2"/>
      <c r="M20" s="2"/>
      <c r="N20" s="2"/>
      <c r="P20" s="2"/>
      <c r="Q20" s="2"/>
      <c r="R20" s="15"/>
    </row>
    <row r="21" spans="1:19" ht="13.5" thickBot="1" x14ac:dyDescent="0.25">
      <c r="A21" s="307">
        <v>0</v>
      </c>
      <c r="B21" s="308">
        <v>0</v>
      </c>
      <c r="C21" s="307">
        <v>0</v>
      </c>
      <c r="D21" s="308">
        <v>0</v>
      </c>
      <c r="E21" s="307">
        <v>0</v>
      </c>
      <c r="F21" s="308">
        <v>0</v>
      </c>
      <c r="G21" s="122"/>
      <c r="H21" s="6" t="s">
        <v>40</v>
      </c>
      <c r="I21" s="6"/>
      <c r="J21" s="6"/>
      <c r="K21" s="214">
        <v>0</v>
      </c>
      <c r="L21" s="2"/>
      <c r="M21" s="2"/>
      <c r="N21" s="2"/>
      <c r="O21" s="2"/>
      <c r="P21" s="2"/>
      <c r="Q21" s="2"/>
      <c r="R21" s="15"/>
    </row>
    <row r="22" spans="1:19" ht="13.5" thickBot="1" x14ac:dyDescent="0.25">
      <c r="A22" s="294" t="s">
        <v>33</v>
      </c>
      <c r="B22" s="181" t="s">
        <v>32</v>
      </c>
      <c r="C22" s="294" t="s">
        <v>33</v>
      </c>
      <c r="D22" s="181" t="s">
        <v>32</v>
      </c>
      <c r="E22" s="294" t="s">
        <v>33</v>
      </c>
      <c r="F22" s="181" t="s">
        <v>32</v>
      </c>
      <c r="G22" s="123"/>
      <c r="H22" s="135" t="s">
        <v>213</v>
      </c>
      <c r="I22" s="7"/>
      <c r="J22" s="7"/>
      <c r="K22" s="219" t="s">
        <v>210</v>
      </c>
      <c r="L22" s="108"/>
      <c r="M22" s="108"/>
      <c r="N22" s="108"/>
      <c r="O22" s="108"/>
      <c r="P22" s="108"/>
      <c r="Q22" s="108"/>
      <c r="R22" s="109"/>
      <c r="S22" s="108"/>
    </row>
    <row r="23" spans="1:19" ht="12" customHeight="1" thickBot="1" x14ac:dyDescent="0.25">
      <c r="A23" s="307">
        <v>0</v>
      </c>
      <c r="B23" s="308">
        <v>0</v>
      </c>
      <c r="C23" s="307">
        <v>0</v>
      </c>
      <c r="D23" s="308">
        <v>0</v>
      </c>
      <c r="E23" s="307">
        <v>0</v>
      </c>
      <c r="F23" s="308">
        <v>0</v>
      </c>
      <c r="G23" s="70"/>
      <c r="H23" s="232" t="s">
        <v>208</v>
      </c>
      <c r="I23" s="29"/>
      <c r="J23" s="29"/>
      <c r="K23" s="29"/>
      <c r="L23" s="29"/>
      <c r="M23" s="29"/>
      <c r="N23" s="29"/>
      <c r="O23" s="30"/>
      <c r="P23" s="8"/>
      <c r="Q23" s="8"/>
      <c r="R23" s="8"/>
      <c r="S23" s="118"/>
    </row>
    <row r="24" spans="1:19" ht="13.5" thickBot="1" x14ac:dyDescent="0.25">
      <c r="A24" s="14"/>
      <c r="B24" s="2"/>
      <c r="C24" s="2"/>
      <c r="D24" s="2"/>
      <c r="E24" s="2"/>
      <c r="F24" s="2"/>
      <c r="G24" s="15"/>
      <c r="H24" s="157"/>
      <c r="I24" s="126"/>
      <c r="J24" s="126"/>
      <c r="K24" s="127"/>
      <c r="L24" s="125"/>
      <c r="M24" s="126"/>
      <c r="N24" s="126"/>
      <c r="O24" s="133"/>
      <c r="P24" s="63"/>
      <c r="Q24" s="53"/>
      <c r="R24" s="53"/>
      <c r="S24" s="15"/>
    </row>
    <row r="25" spans="1:19" ht="14.25" customHeight="1" thickBot="1" x14ac:dyDescent="0.3">
      <c r="A25" s="57" t="s">
        <v>15</v>
      </c>
      <c r="B25" s="230"/>
      <c r="C25" s="314" t="s">
        <v>112</v>
      </c>
      <c r="D25" s="240"/>
      <c r="E25" s="240"/>
      <c r="F25" s="241"/>
      <c r="G25" s="15"/>
      <c r="H25" s="46"/>
      <c r="I25" s="4"/>
      <c r="J25" s="4"/>
      <c r="K25" s="129"/>
      <c r="L25" s="128" t="s">
        <v>35</v>
      </c>
      <c r="M25" s="4"/>
      <c r="N25" s="4"/>
      <c r="O25" s="220">
        <v>8</v>
      </c>
      <c r="P25" s="137" t="s">
        <v>53</v>
      </c>
      <c r="Q25" s="4"/>
      <c r="R25" s="129"/>
      <c r="S25" s="15"/>
    </row>
    <row r="26" spans="1:19" ht="14.25" customHeight="1" thickBot="1" x14ac:dyDescent="0.3">
      <c r="D26" s="2"/>
      <c r="E26" s="2"/>
      <c r="F26" s="2"/>
      <c r="G26" s="15"/>
      <c r="H26" s="46"/>
      <c r="I26" s="4"/>
      <c r="J26" s="4"/>
      <c r="K26" s="129"/>
      <c r="L26" s="128" t="s">
        <v>29</v>
      </c>
      <c r="M26" s="4"/>
      <c r="N26" s="4"/>
      <c r="O26" s="220">
        <v>14</v>
      </c>
      <c r="P26" s="252" t="s">
        <v>54</v>
      </c>
      <c r="Q26" s="253"/>
      <c r="R26" s="254"/>
      <c r="S26" s="15"/>
    </row>
    <row r="27" spans="1:19" ht="14.25" customHeight="1" thickBot="1" x14ac:dyDescent="0.25">
      <c r="A27" s="58" t="s">
        <v>118</v>
      </c>
      <c r="B27" s="39"/>
      <c r="C27" s="39"/>
      <c r="D27" s="39"/>
      <c r="E27" s="66"/>
      <c r="F27" s="69"/>
      <c r="G27" s="15"/>
      <c r="H27" s="46"/>
      <c r="I27" s="4"/>
      <c r="J27" s="4"/>
      <c r="K27" s="129"/>
      <c r="L27" s="128" t="s">
        <v>128</v>
      </c>
      <c r="M27" s="4"/>
      <c r="N27" s="4"/>
      <c r="O27" s="220">
        <v>25</v>
      </c>
      <c r="P27" s="2"/>
      <c r="Q27" s="2"/>
      <c r="R27" s="2"/>
      <c r="S27" s="15"/>
    </row>
    <row r="28" spans="1:19" ht="13.5" customHeight="1" x14ac:dyDescent="0.25">
      <c r="A28" s="321" t="s">
        <v>78</v>
      </c>
      <c r="B28" s="322"/>
      <c r="C28" s="323"/>
      <c r="D28" s="189" t="s">
        <v>44</v>
      </c>
      <c r="E28" s="320"/>
      <c r="F28" s="69"/>
      <c r="G28" s="15"/>
      <c r="H28" s="46"/>
      <c r="I28" s="4"/>
      <c r="J28" s="4"/>
      <c r="K28" s="129"/>
      <c r="L28" s="128" t="s">
        <v>251</v>
      </c>
      <c r="M28" s="4"/>
      <c r="N28" s="4"/>
      <c r="O28" s="220">
        <v>4.5</v>
      </c>
      <c r="P28" s="2"/>
      <c r="Q28" s="2"/>
      <c r="R28" s="2"/>
      <c r="S28" s="15"/>
    </row>
    <row r="29" spans="1:19" ht="15.75" thickBot="1" x14ac:dyDescent="0.3">
      <c r="A29" s="317" t="s">
        <v>84</v>
      </c>
      <c r="B29" s="318"/>
      <c r="C29" s="319"/>
      <c r="D29" s="315" t="s">
        <v>65</v>
      </c>
      <c r="E29" s="316"/>
      <c r="F29" s="2"/>
      <c r="G29" s="15"/>
      <c r="H29" s="46"/>
      <c r="I29" s="4"/>
      <c r="J29" s="4"/>
      <c r="K29" s="4"/>
      <c r="L29" s="128" t="s">
        <v>249</v>
      </c>
      <c r="M29" s="4"/>
      <c r="N29" s="4"/>
      <c r="O29" s="220">
        <v>0</v>
      </c>
      <c r="P29" s="2"/>
      <c r="Q29" s="2"/>
      <c r="R29" s="2"/>
      <c r="S29" s="15"/>
    </row>
    <row r="30" spans="1:19" ht="13.5" thickBot="1" x14ac:dyDescent="0.25">
      <c r="A30" s="26" t="s">
        <v>43</v>
      </c>
      <c r="B30" s="3"/>
      <c r="C30" s="3"/>
      <c r="D30" s="3"/>
      <c r="E30" s="67"/>
      <c r="F30" s="69"/>
      <c r="G30" s="15"/>
      <c r="H30" s="158"/>
      <c r="I30" s="43"/>
      <c r="J30" s="43"/>
      <c r="K30" s="44"/>
      <c r="L30" s="132" t="s">
        <v>211</v>
      </c>
      <c r="M30" s="43"/>
      <c r="N30" s="43"/>
      <c r="O30" s="221" t="s">
        <v>210</v>
      </c>
      <c r="P30" s="63"/>
      <c r="Q30" s="53"/>
      <c r="R30" s="53"/>
      <c r="S30" s="138"/>
    </row>
    <row r="31" spans="1:19" ht="15" x14ac:dyDescent="0.25">
      <c r="A31" s="321" t="s">
        <v>78</v>
      </c>
      <c r="B31" s="322"/>
      <c r="C31" s="323"/>
      <c r="D31" s="189" t="s">
        <v>44</v>
      </c>
      <c r="E31" s="320"/>
      <c r="F31" s="69"/>
      <c r="G31" s="15"/>
      <c r="H31" s="157" t="s">
        <v>39</v>
      </c>
      <c r="I31" s="126"/>
      <c r="J31" s="126"/>
      <c r="K31" s="222">
        <v>4</v>
      </c>
      <c r="L31" s="125" t="s">
        <v>129</v>
      </c>
      <c r="M31" s="126"/>
      <c r="N31" s="126"/>
      <c r="O31" s="222">
        <v>0</v>
      </c>
      <c r="P31" s="128" t="s">
        <v>204</v>
      </c>
      <c r="Q31" s="4"/>
      <c r="R31" s="4"/>
      <c r="S31" s="225">
        <v>0</v>
      </c>
    </row>
    <row r="32" spans="1:19" ht="15.75" thickBot="1" x14ac:dyDescent="0.3">
      <c r="A32" s="317" t="s">
        <v>84</v>
      </c>
      <c r="B32" s="318"/>
      <c r="C32" s="319"/>
      <c r="D32" s="315" t="s">
        <v>65</v>
      </c>
      <c r="E32" s="316"/>
      <c r="F32" s="2"/>
      <c r="G32" s="15"/>
      <c r="H32" s="46" t="s">
        <v>28</v>
      </c>
      <c r="I32" s="4"/>
      <c r="J32" s="4"/>
      <c r="K32" s="220">
        <v>1.5</v>
      </c>
      <c r="L32" s="128" t="s">
        <v>200</v>
      </c>
      <c r="M32" s="4"/>
      <c r="N32" s="4"/>
      <c r="O32" s="220">
        <v>0</v>
      </c>
      <c r="P32" s="128" t="s">
        <v>205</v>
      </c>
      <c r="Q32" s="4"/>
      <c r="R32" s="4"/>
      <c r="S32" s="225">
        <v>0</v>
      </c>
    </row>
    <row r="33" spans="1:19" ht="12" customHeight="1" thickBot="1" x14ac:dyDescent="0.25">
      <c r="G33" s="15"/>
      <c r="H33" s="46" t="s">
        <v>127</v>
      </c>
      <c r="I33" s="4"/>
      <c r="J33" s="4"/>
      <c r="K33" s="220">
        <v>18</v>
      </c>
      <c r="L33" s="128" t="s">
        <v>131</v>
      </c>
      <c r="M33" s="4"/>
      <c r="N33" s="4"/>
      <c r="O33" s="220">
        <v>0</v>
      </c>
      <c r="P33" s="128" t="s">
        <v>206</v>
      </c>
      <c r="Q33" s="4"/>
      <c r="R33" s="4"/>
      <c r="S33" s="225">
        <v>0</v>
      </c>
    </row>
    <row r="34" spans="1:19" ht="13.5" thickBot="1" x14ac:dyDescent="0.25">
      <c r="A34" s="50" t="s">
        <v>14</v>
      </c>
      <c r="B34" s="324"/>
      <c r="C34" s="71">
        <v>64</v>
      </c>
      <c r="G34" s="15"/>
      <c r="H34" s="46" t="s">
        <v>251</v>
      </c>
      <c r="I34" s="4"/>
      <c r="J34" s="4"/>
      <c r="K34" s="220">
        <v>1</v>
      </c>
      <c r="L34" s="128" t="s">
        <v>251</v>
      </c>
      <c r="M34" s="4"/>
      <c r="N34" s="4"/>
      <c r="O34" s="220">
        <v>0</v>
      </c>
      <c r="P34" s="128" t="s">
        <v>251</v>
      </c>
      <c r="Q34" s="4"/>
      <c r="R34" s="4"/>
      <c r="S34" s="225">
        <v>0</v>
      </c>
    </row>
    <row r="35" spans="1:19" ht="14.25" customHeight="1" thickBot="1" x14ac:dyDescent="0.3">
      <c r="A35" s="49" t="s">
        <v>69</v>
      </c>
      <c r="B35" s="324"/>
      <c r="C35" s="325" t="s">
        <v>71</v>
      </c>
      <c r="D35" s="255"/>
      <c r="G35" s="15"/>
      <c r="H35" s="46" t="s">
        <v>249</v>
      </c>
      <c r="I35" s="4"/>
      <c r="J35" s="4"/>
      <c r="K35" s="220">
        <v>0</v>
      </c>
      <c r="L35" s="128" t="s">
        <v>249</v>
      </c>
      <c r="M35" s="4"/>
      <c r="N35" s="4"/>
      <c r="O35" s="220">
        <v>0</v>
      </c>
      <c r="P35" s="128" t="s">
        <v>249</v>
      </c>
      <c r="Q35" s="4"/>
      <c r="R35" s="4"/>
      <c r="S35" s="225">
        <v>0</v>
      </c>
    </row>
    <row r="36" spans="1:19" ht="15.75" thickBot="1" x14ac:dyDescent="0.3">
      <c r="A36" s="49" t="s">
        <v>278</v>
      </c>
      <c r="B36" s="324"/>
      <c r="C36" s="326">
        <v>0.7</v>
      </c>
      <c r="D36" s="272"/>
      <c r="G36" s="141"/>
      <c r="H36" s="233" t="s">
        <v>212</v>
      </c>
      <c r="I36" s="37"/>
      <c r="J36" s="37"/>
      <c r="K36" s="223" t="s">
        <v>209</v>
      </c>
      <c r="L36" s="136" t="s">
        <v>42</v>
      </c>
      <c r="M36" s="37"/>
      <c r="N36" s="37"/>
      <c r="O36" s="224"/>
      <c r="P36" s="136" t="s">
        <v>42</v>
      </c>
      <c r="Q36" s="37"/>
      <c r="R36" s="40"/>
      <c r="S36" s="226"/>
    </row>
    <row r="37" spans="1:19" ht="15.75" thickBot="1" x14ac:dyDescent="0.3">
      <c r="A37" s="229" t="s">
        <v>49</v>
      </c>
      <c r="B37" s="324"/>
      <c r="C37" s="325" t="s">
        <v>50</v>
      </c>
      <c r="D37" s="255"/>
      <c r="G37" s="237"/>
      <c r="H37" s="59"/>
      <c r="I37" s="238" t="s">
        <v>34</v>
      </c>
      <c r="J37" s="28"/>
      <c r="K37" s="10"/>
      <c r="L37" s="10"/>
      <c r="M37" s="10"/>
      <c r="N37" s="10"/>
      <c r="O37" s="10"/>
      <c r="P37" s="10"/>
      <c r="Q37" s="10"/>
      <c r="R37" s="32"/>
    </row>
    <row r="38" spans="1:19" x14ac:dyDescent="0.2">
      <c r="A38" s="59" t="s">
        <v>45</v>
      </c>
      <c r="B38" s="28"/>
      <c r="C38" s="28"/>
      <c r="D38" s="28"/>
      <c r="E38" s="328"/>
      <c r="F38" s="85">
        <v>86</v>
      </c>
      <c r="G38" s="237"/>
      <c r="H38" s="159"/>
      <c r="I38" s="41"/>
      <c r="J38" s="41"/>
      <c r="K38" s="119" t="s">
        <v>35</v>
      </c>
      <c r="L38" s="41"/>
      <c r="M38" s="41"/>
      <c r="N38" s="234">
        <v>0</v>
      </c>
      <c r="O38" s="119" t="s">
        <v>36</v>
      </c>
      <c r="P38" s="41"/>
      <c r="Q38" s="41"/>
      <c r="R38" s="216">
        <v>0</v>
      </c>
    </row>
    <row r="39" spans="1:19" x14ac:dyDescent="0.2">
      <c r="A39" s="60" t="s">
        <v>46</v>
      </c>
      <c r="B39" s="34"/>
      <c r="C39" s="34"/>
      <c r="D39" s="34"/>
      <c r="E39" s="329"/>
      <c r="F39" s="327">
        <v>0</v>
      </c>
      <c r="G39" s="69"/>
      <c r="H39" s="143"/>
      <c r="I39" s="6"/>
      <c r="J39" s="6"/>
      <c r="K39" s="120" t="s">
        <v>29</v>
      </c>
      <c r="L39" s="6"/>
      <c r="M39" s="6"/>
      <c r="N39" s="235">
        <v>0</v>
      </c>
      <c r="O39" s="120" t="s">
        <v>28</v>
      </c>
      <c r="P39" s="6"/>
      <c r="Q39" s="6"/>
      <c r="R39" s="217">
        <v>0</v>
      </c>
    </row>
    <row r="40" spans="1:19" x14ac:dyDescent="0.2">
      <c r="A40" s="60" t="s">
        <v>47</v>
      </c>
      <c r="B40" s="34"/>
      <c r="C40" s="34"/>
      <c r="D40" s="34"/>
      <c r="E40" s="329"/>
      <c r="F40" s="327">
        <v>68</v>
      </c>
      <c r="G40" s="2"/>
      <c r="H40" s="143"/>
      <c r="I40" s="6"/>
      <c r="J40" s="6"/>
      <c r="K40" s="120" t="s">
        <v>128</v>
      </c>
      <c r="L40" s="6"/>
      <c r="M40" s="6"/>
      <c r="N40" s="235">
        <v>0</v>
      </c>
      <c r="O40" s="120" t="s">
        <v>127</v>
      </c>
      <c r="P40" s="6"/>
      <c r="Q40" s="6"/>
      <c r="R40" s="217">
        <v>0</v>
      </c>
    </row>
    <row r="41" spans="1:19" x14ac:dyDescent="0.2">
      <c r="A41" s="60" t="s">
        <v>48</v>
      </c>
      <c r="B41" s="34"/>
      <c r="C41" s="34"/>
      <c r="D41" s="34"/>
      <c r="E41" s="329"/>
      <c r="F41" s="327">
        <v>0</v>
      </c>
      <c r="G41" s="69"/>
      <c r="H41" s="143"/>
      <c r="I41" s="6"/>
      <c r="J41" s="6"/>
      <c r="K41" s="120" t="s">
        <v>251</v>
      </c>
      <c r="L41" s="6"/>
      <c r="M41" s="6"/>
      <c r="N41" s="235">
        <v>0</v>
      </c>
      <c r="O41" s="120" t="s">
        <v>251</v>
      </c>
      <c r="P41" s="6"/>
      <c r="Q41" s="6"/>
      <c r="R41" s="217">
        <v>0</v>
      </c>
    </row>
    <row r="42" spans="1:19" x14ac:dyDescent="0.2">
      <c r="A42" s="60" t="str">
        <f>IF(C37="2-х скатная","Периметр несущ.стен мансардного этажа выше скоса крыши 1,2",IF(C37="вальмовая","Периметр несущ. стен мансардного этажа выше скоса крыши 1",IF(C37="мансардная","Нет данных")))</f>
        <v>Периметр несущ.стен мансардного этажа выше скоса крыши 1,2</v>
      </c>
      <c r="B42" s="34"/>
      <c r="C42" s="34"/>
      <c r="D42" s="34"/>
      <c r="E42" s="329"/>
      <c r="F42" s="327">
        <v>7</v>
      </c>
      <c r="G42" s="69"/>
      <c r="H42" s="143"/>
      <c r="I42" s="6"/>
      <c r="J42" s="6"/>
      <c r="K42" s="51" t="s">
        <v>249</v>
      </c>
      <c r="L42" s="33"/>
      <c r="M42" s="33"/>
      <c r="N42" s="236">
        <v>0</v>
      </c>
      <c r="O42" s="51" t="s">
        <v>249</v>
      </c>
      <c r="P42" s="33"/>
      <c r="Q42" s="33"/>
      <c r="R42" s="218">
        <v>0</v>
      </c>
    </row>
    <row r="43" spans="1:19" ht="13.5" thickBot="1" x14ac:dyDescent="0.25">
      <c r="A43" s="60" t="str">
        <f>IF(C37="2-х скатная","Периметр несущ.стен мансардного этажа выше скоса крыши 3,4",IF(C37="вальмовая","Периметр несущ. стен мансардного этажа выше скоса крыши 2",IF(C37="мансардная","Нет данных")))</f>
        <v>Периметр несущ.стен мансардного этажа выше скоса крыши 3,4</v>
      </c>
      <c r="B43" s="34"/>
      <c r="C43" s="34"/>
      <c r="D43" s="34"/>
      <c r="E43" s="329"/>
      <c r="F43" s="327">
        <v>0</v>
      </c>
      <c r="G43" s="69"/>
      <c r="H43" s="144"/>
      <c r="I43" s="7"/>
      <c r="J43" s="36"/>
      <c r="K43" s="139" t="s">
        <v>53</v>
      </c>
      <c r="L43" s="256" t="s">
        <v>54</v>
      </c>
      <c r="M43" s="256"/>
      <c r="N43" s="256"/>
      <c r="O43" s="140"/>
      <c r="P43" s="62"/>
      <c r="Q43" s="62"/>
      <c r="R43" s="112"/>
    </row>
    <row r="44" spans="1:19" x14ac:dyDescent="0.2">
      <c r="A44" s="60" t="str">
        <f>IF(C37="2-х скатная","Периметр перогород. мансардного эт. выше скоса крыши 1,2",IF(C37="вальмовая","Периметр перогород. мансардного эт. выше скоса крыши 1",IF(C37="мансардная","Нет данных")))</f>
        <v>Периметр перогород. мансардного эт. выше скоса крыши 1,2</v>
      </c>
      <c r="B44" s="34"/>
      <c r="C44" s="34"/>
      <c r="D44" s="34"/>
      <c r="E44" s="329"/>
      <c r="F44" s="327">
        <v>0</v>
      </c>
      <c r="G44" s="69"/>
      <c r="H44" s="48"/>
      <c r="I44" s="211" t="s">
        <v>37</v>
      </c>
      <c r="J44" s="29"/>
      <c r="K44" s="29"/>
      <c r="L44" s="29"/>
      <c r="M44" s="29"/>
      <c r="N44" s="29"/>
      <c r="O44" s="212"/>
      <c r="P44" s="29"/>
      <c r="Q44" s="29"/>
      <c r="R44" s="105"/>
    </row>
    <row r="45" spans="1:19" ht="13.5" thickBot="1" x14ac:dyDescent="0.25">
      <c r="A45" s="61" t="str">
        <f>IF(C37="2-х скатная","Периметр перогород. мансардного эт. выше скоса крыши 3,4",IF(C37="вальмовая","Периметр перогород. мансардного эт. выше скоса крыши 2",IF(C37="мансардная","Нет данных")))</f>
        <v>Периметр перогород. мансардного эт. выше скоса крыши 3,4</v>
      </c>
      <c r="B45" s="62"/>
      <c r="C45" s="62"/>
      <c r="D45" s="62"/>
      <c r="E45" s="330"/>
      <c r="F45" s="306">
        <v>0</v>
      </c>
      <c r="G45" s="2"/>
      <c r="H45" s="46"/>
      <c r="I45" s="4"/>
      <c r="J45" s="127"/>
      <c r="K45" s="4" t="s">
        <v>35</v>
      </c>
      <c r="L45" s="4"/>
      <c r="M45" s="127"/>
      <c r="N45" s="222">
        <v>0</v>
      </c>
      <c r="O45" s="4" t="s">
        <v>36</v>
      </c>
      <c r="P45" s="4"/>
      <c r="Q45" s="127"/>
      <c r="R45" s="227">
        <v>0</v>
      </c>
    </row>
    <row r="46" spans="1:19" ht="13.5" thickBot="1" x14ac:dyDescent="0.25">
      <c r="A46" s="69" t="s">
        <v>181</v>
      </c>
      <c r="B46" s="2"/>
      <c r="C46" s="2"/>
      <c r="D46" s="2"/>
      <c r="E46" s="2"/>
      <c r="F46" s="2"/>
      <c r="G46" s="69"/>
      <c r="H46" s="46"/>
      <c r="I46" s="4"/>
      <c r="J46" s="129"/>
      <c r="K46" s="4" t="s">
        <v>29</v>
      </c>
      <c r="L46" s="4"/>
      <c r="M46" s="129"/>
      <c r="N46" s="220">
        <v>0</v>
      </c>
      <c r="O46" s="4" t="s">
        <v>28</v>
      </c>
      <c r="P46" s="4"/>
      <c r="Q46" s="129"/>
      <c r="R46" s="227">
        <v>0</v>
      </c>
    </row>
    <row r="47" spans="1:19" ht="13.5" thickBot="1" x14ac:dyDescent="0.25">
      <c r="A47" s="84" t="s">
        <v>67</v>
      </c>
      <c r="B47" s="16"/>
      <c r="C47" s="332"/>
      <c r="D47" s="331">
        <v>0</v>
      </c>
      <c r="G47" s="69"/>
      <c r="H47" s="46"/>
      <c r="I47" s="4"/>
      <c r="J47" s="129"/>
      <c r="K47" s="52" t="s">
        <v>41</v>
      </c>
      <c r="L47" s="43"/>
      <c r="M47" s="44"/>
      <c r="N47" s="221">
        <v>0</v>
      </c>
      <c r="O47" s="43" t="s">
        <v>40</v>
      </c>
      <c r="P47" s="43"/>
      <c r="Q47" s="44"/>
      <c r="R47" s="228">
        <v>0</v>
      </c>
    </row>
    <row r="48" spans="1:19" ht="15.75" thickBot="1" x14ac:dyDescent="0.3">
      <c r="A48" s="84" t="s">
        <v>68</v>
      </c>
      <c r="B48" s="16"/>
      <c r="C48" s="332"/>
      <c r="D48" s="331">
        <v>0</v>
      </c>
      <c r="H48" s="46"/>
      <c r="I48" s="4"/>
      <c r="J48" s="129"/>
      <c r="K48" s="3" t="s">
        <v>53</v>
      </c>
      <c r="L48" s="249" t="s">
        <v>54</v>
      </c>
      <c r="M48" s="250"/>
      <c r="N48" s="251"/>
      <c r="O48" s="4"/>
      <c r="P48" s="4"/>
      <c r="Q48" s="126"/>
      <c r="R48" s="27"/>
    </row>
    <row r="49" spans="1:20" ht="13.5" thickBot="1" x14ac:dyDescent="0.25">
      <c r="A49" s="84" t="s">
        <v>75</v>
      </c>
      <c r="B49" s="16"/>
      <c r="C49" s="332"/>
      <c r="D49" s="331">
        <v>0</v>
      </c>
      <c r="H49" s="47"/>
      <c r="I49" s="37"/>
      <c r="J49" s="40"/>
      <c r="K49" s="37"/>
      <c r="L49" s="37"/>
      <c r="M49" s="37"/>
      <c r="N49" s="37"/>
      <c r="O49" s="68" t="s">
        <v>42</v>
      </c>
      <c r="P49" s="37"/>
      <c r="Q49" s="37"/>
      <c r="R49" s="38"/>
    </row>
    <row r="50" spans="1:20" ht="13.5" thickBot="1" x14ac:dyDescent="0.25">
      <c r="A50" s="84" t="s">
        <v>76</v>
      </c>
      <c r="B50" s="16"/>
      <c r="C50" s="332"/>
      <c r="D50" s="331">
        <v>0</v>
      </c>
    </row>
    <row r="52" spans="1:20" x14ac:dyDescent="0.2">
      <c r="G52" s="2"/>
    </row>
    <row r="53" spans="1:20" x14ac:dyDescent="0.2">
      <c r="G53" s="2"/>
    </row>
    <row r="54" spans="1:20" x14ac:dyDescent="0.2">
      <c r="G54" s="2"/>
    </row>
    <row r="55" spans="1:20" x14ac:dyDescent="0.2">
      <c r="G55" s="2"/>
    </row>
    <row r="56" spans="1:20" x14ac:dyDescent="0.2">
      <c r="G56" s="2"/>
    </row>
    <row r="57" spans="1:20" x14ac:dyDescent="0.2">
      <c r="G57" s="2"/>
    </row>
    <row r="58" spans="1:20" x14ac:dyDescent="0.2">
      <c r="G58" s="2"/>
    </row>
    <row r="59" spans="1:20" x14ac:dyDescent="0.2">
      <c r="G59" s="2"/>
      <c r="T59" s="2"/>
    </row>
    <row r="60" spans="1:20" x14ac:dyDescent="0.2">
      <c r="T60" s="2"/>
    </row>
    <row r="61" spans="1:20" x14ac:dyDescent="0.2">
      <c r="T61" s="2"/>
    </row>
    <row r="62" spans="1:20" x14ac:dyDescent="0.2">
      <c r="T62" s="2"/>
    </row>
    <row r="63" spans="1:20" x14ac:dyDescent="0.2">
      <c r="T63" s="2"/>
    </row>
    <row r="64" spans="1:20" x14ac:dyDescent="0.2">
      <c r="T64" s="2"/>
    </row>
  </sheetData>
  <mergeCells count="25">
    <mergeCell ref="C37:D37"/>
    <mergeCell ref="L48:N48"/>
    <mergeCell ref="P26:R26"/>
    <mergeCell ref="C35:D35"/>
    <mergeCell ref="D32:E32"/>
    <mergeCell ref="A28:C28"/>
    <mergeCell ref="A29:C29"/>
    <mergeCell ref="A32:C32"/>
    <mergeCell ref="A31:C31"/>
    <mergeCell ref="L43:N43"/>
    <mergeCell ref="C36:D36"/>
    <mergeCell ref="N9:P9"/>
    <mergeCell ref="N10:P10"/>
    <mergeCell ref="N11:P11"/>
    <mergeCell ref="L10:M10"/>
    <mergeCell ref="L11:M11"/>
    <mergeCell ref="A5:F5"/>
    <mergeCell ref="C25:F25"/>
    <mergeCell ref="D29:E29"/>
    <mergeCell ref="H5:K5"/>
    <mergeCell ref="L6:M6"/>
    <mergeCell ref="L7:M7"/>
    <mergeCell ref="L8:M8"/>
    <mergeCell ref="L9:M9"/>
    <mergeCell ref="L19:N19"/>
  </mergeCells>
  <dataValidations count="5">
    <dataValidation type="list" allowBlank="1" showInputMessage="1" showErrorMessage="1" errorTitle="Ошибка!!!" error="Значения выбираются только из раскрывающегося списка" sqref="A29">
      <formula1>INDIRECT($C$25)</formula1>
    </dataValidation>
    <dataValidation type="list" allowBlank="1" showInputMessage="1" showErrorMessage="1" sqref="A32:C32">
      <formula1>INDIRECT($C$25)</formula1>
    </dataValidation>
    <dataValidation type="list" allowBlank="1" showInputMessage="1" showErrorMessage="1" sqref="L7:L8 L6:M6">
      <formula1>INDIRECT($H$5)</formula1>
    </dataValidation>
    <dataValidation type="list" allowBlank="1" showInputMessage="1" showErrorMessage="1" sqref="L9:M11">
      <formula1>Балки_перекрытия_ест.вл._мм</formula1>
    </dataValidation>
    <dataValidation type="list" allowBlank="1" showInputMessage="1" showErrorMessage="1" sqref="N30:O30 J36">
      <formula1>$A$20:$A$21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'Вспом. лист'!$A$1:$A$2</xm:f>
          </x14:formula1>
          <xm:sqref>D29 D32</xm:sqref>
        </x14:dataValidation>
        <x14:dataValidation type="list" allowBlank="1" showInputMessage="1" showErrorMessage="1">
          <x14:formula1>
            <xm:f>'Вспом. лист'!$G$1:$G$2</xm:f>
          </x14:formula1>
          <xm:sqref>L19:N19 P26:Q26 L43:N43 L48:M48</xm:sqref>
        </x14:dataValidation>
        <x14:dataValidation type="list" allowBlank="1" showInputMessage="1" showErrorMessage="1">
          <x14:formula1>
            <xm:f>'Вспом. лист'!$J$1:$J$2</xm:f>
          </x14:formula1>
          <xm:sqref>C35</xm:sqref>
        </x14:dataValidation>
        <x14:dataValidation type="list" allowBlank="1" showInputMessage="1" showErrorMessage="1">
          <x14:formula1>
            <xm:f>'Вспом. лист'!$A$17:$A$18</xm:f>
          </x14:formula1>
          <xm:sqref>N9:N11</xm:sqref>
        </x14:dataValidation>
        <x14:dataValidation type="list" allowBlank="1" showInputMessage="1" showErrorMessage="1">
          <x14:formula1>
            <xm:f>'Вспом. лист'!$A$12:$A$15</xm:f>
          </x14:formula1>
          <xm:sqref>H5:K5</xm:sqref>
        </x14:dataValidation>
        <x14:dataValidation type="list" allowBlank="1" showInputMessage="1" showErrorMessage="1">
          <x14:formula1>
            <xm:f>'Вспом. лист'!$A$20:$A$21</xm:f>
          </x14:formula1>
          <xm:sqref>M17:N17 Q17:R17 J22:K22 K36</xm:sqref>
        </x14:dataValidation>
        <x14:dataValidation type="list" allowBlank="1" showInputMessage="1" showErrorMessage="1">
          <x14:formula1>
            <xm:f>'Вспом. лист'!$E$1:$E$3</xm:f>
          </x14:formula1>
          <xm:sqref>C37</xm:sqref>
        </x14:dataValidation>
        <x14:dataValidation type="list" allowBlank="1" showInputMessage="1" showErrorMessage="1" errorTitle="Ошибка!!!" error="Значения выбираются только из раскрывающегося списка">
          <x14:formula1>
            <xm:f>'Вспом. лист'!$B$1:$B$10</xm:f>
          </x14:formula1>
          <xm:sqref>C25:F25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111"/>
  <sheetViews>
    <sheetView workbookViewId="0">
      <selection activeCell="B9" sqref="B9"/>
    </sheetView>
  </sheetViews>
  <sheetFormatPr defaultRowHeight="12.75" x14ac:dyDescent="0.2"/>
  <cols>
    <col min="1" max="1" width="2.7109375" style="96" customWidth="1"/>
    <col min="2" max="2" width="34.85546875" style="96" customWidth="1"/>
    <col min="3" max="3" width="6.42578125" style="96" customWidth="1"/>
    <col min="4" max="4" width="7" style="96" customWidth="1"/>
    <col min="5" max="5" width="6" style="96" customWidth="1"/>
    <col min="6" max="6" width="12" style="96" customWidth="1"/>
    <col min="7" max="7" width="13.7109375" style="96" customWidth="1"/>
    <col min="8" max="8" width="11.42578125" style="96" customWidth="1"/>
    <col min="9" max="9" width="5.140625" style="1" customWidth="1"/>
    <col min="10" max="10" width="7.85546875" style="1" customWidth="1"/>
    <col min="11" max="11" width="13.7109375" style="1" customWidth="1"/>
    <col min="12" max="12" width="16" style="1" customWidth="1"/>
    <col min="13" max="13" width="6.28515625" style="1" customWidth="1"/>
    <col min="14" max="14" width="10.5703125" style="1" customWidth="1"/>
    <col min="15" max="15" width="11.28515625" style="1" customWidth="1"/>
    <col min="16" max="16" width="15.7109375" style="1" customWidth="1"/>
    <col min="17" max="17" width="6.85546875" style="1" customWidth="1"/>
    <col min="18" max="18" width="11" style="1" customWidth="1"/>
    <col min="19" max="19" width="9.28515625" style="1" customWidth="1"/>
    <col min="20" max="20" width="9.140625" style="1" customWidth="1"/>
    <col min="21" max="16384" width="9.140625" style="1"/>
  </cols>
  <sheetData>
    <row r="1" spans="1:14" x14ac:dyDescent="0.2">
      <c r="B1" s="264" t="s">
        <v>265</v>
      </c>
      <c r="C1" s="260" t="s">
        <v>266</v>
      </c>
      <c r="D1" s="260"/>
      <c r="E1" s="260">
        <f>D105</f>
        <v>79</v>
      </c>
      <c r="F1" s="266" t="s">
        <v>267</v>
      </c>
      <c r="G1" s="260" t="s">
        <v>269</v>
      </c>
      <c r="H1" s="260">
        <f>D111</f>
        <v>187</v>
      </c>
      <c r="I1" s="261" t="s">
        <v>270</v>
      </c>
    </row>
    <row r="2" spans="1:14" ht="13.5" thickBot="1" x14ac:dyDescent="0.25">
      <c r="B2" s="265"/>
      <c r="C2" s="262" t="s">
        <v>268</v>
      </c>
      <c r="D2" s="262"/>
      <c r="E2" s="262">
        <f>D110</f>
        <v>0</v>
      </c>
      <c r="F2" s="267" t="s">
        <v>267</v>
      </c>
      <c r="G2" s="262"/>
      <c r="H2" s="262"/>
      <c r="I2" s="263"/>
    </row>
    <row r="4" spans="1:14" x14ac:dyDescent="0.2">
      <c r="B4" s="96" t="s">
        <v>271</v>
      </c>
      <c r="I4" s="1" t="s">
        <v>275</v>
      </c>
    </row>
    <row r="5" spans="1:14" ht="38.25" x14ac:dyDescent="0.2">
      <c r="A5" s="96" t="s">
        <v>262</v>
      </c>
      <c r="B5" s="96" t="s">
        <v>272</v>
      </c>
      <c r="C5" s="268" t="s">
        <v>273</v>
      </c>
      <c r="D5" s="269" t="s">
        <v>274</v>
      </c>
      <c r="E5" s="269" t="s">
        <v>263</v>
      </c>
      <c r="G5" s="349" t="s">
        <v>281</v>
      </c>
      <c r="I5" s="96" t="s">
        <v>262</v>
      </c>
      <c r="J5" s="96" t="s">
        <v>272</v>
      </c>
      <c r="L5" s="268" t="s">
        <v>273</v>
      </c>
      <c r="M5" s="269" t="s">
        <v>274</v>
      </c>
      <c r="N5" s="269" t="s">
        <v>263</v>
      </c>
    </row>
    <row r="6" spans="1:14" ht="15" x14ac:dyDescent="0.25">
      <c r="A6" s="96">
        <v>1</v>
      </c>
      <c r="B6" s="96" t="s">
        <v>276</v>
      </c>
      <c r="C6" s="96" t="s">
        <v>277</v>
      </c>
      <c r="D6" s="96">
        <f>64*H101*2</f>
        <v>115.19999999999999</v>
      </c>
      <c r="E6" s="270">
        <f>ROUND(D6,0)</f>
        <v>115</v>
      </c>
      <c r="F6" s="271"/>
      <c r="G6" s="96">
        <v>60</v>
      </c>
    </row>
    <row r="7" spans="1:14" ht="39" x14ac:dyDescent="0.25">
      <c r="A7" s="96">
        <v>2</v>
      </c>
      <c r="B7" s="268" t="s">
        <v>280</v>
      </c>
      <c r="C7" s="96" t="s">
        <v>264</v>
      </c>
      <c r="D7" s="96">
        <f>IF(' Общие данные'!C35="ж/б ростверк",' Общие данные'!C34,IF(' Общие данные'!C35="метал. сваи",((' Общие данные'!C34/1.5)*0.2)))</f>
        <v>8.5333333333333332</v>
      </c>
      <c r="E7" s="270">
        <f>ROUNDUP(D7,0)</f>
        <v>9</v>
      </c>
      <c r="F7" s="271"/>
      <c r="G7" s="96">
        <v>50</v>
      </c>
    </row>
    <row r="8" spans="1:14" x14ac:dyDescent="0.2">
      <c r="A8" s="96">
        <v>3</v>
      </c>
      <c r="B8" s="354"/>
    </row>
    <row r="9" spans="1:14" x14ac:dyDescent="0.2">
      <c r="B9" s="355" t="str">
        <f>IF(AND(' Общие данные'!C25="ОЦБ_Строй_деталь",' Общие данные'!C35="ж/б ростверк"),"Монтаж сдвоенной подкладочной доски",IF(AND(' Общие данные'!C25="Брус_ест.влажности",' Общие данные'!C35="ж/б ростверк"),"Монтаж подкладочной доски",IF(AND(' Общие данные'!C25="Проф.брус_Киржач_ест.вл.",' Общие данные'!C35="ж/б ростверк"),"Монтаж подкладочной доски",IF(AND(' Общие данные'!C25="Проф.брус_Киржач_подсушенный",' Общие данные'!C35="ж/б ростверк"),"Монтаж подкладочной доски",IF(AND(' Общие данные'!C25="Проф.брус_Лестэк_ест.вл.",' Общие данные'!C35="ж/б ростверк"),"Монтаж подкладочной доски",IF(AND(' Общие данные'!C25="Проф.брус_Лестэк_подсушенный",' Общие данные'!C35="ж/б ростверк"),"Монтаж подкладочной доски",IF(AND(' Общие данные'!C25="Клееный_брус_ДДМ",' Общие данные'!C35="ж/б ростверк"),"Монтаж подкладочной доски",IF(AND(' Общие данные'!C25="Клееный_брус_Вишера",' Общие данные'!C35="ж/б ростверк"),"Монтаж подкладочной доски",IF(AND(' Общие данные'!C25="Клееный_брус_Древоград",' Общие данные'!C35="ж/б ростверк"),"Монтаж подкладочной доски","Монтаж подкладочного бруса")))))))))</f>
        <v>Монтаж подкладочного бруса</v>
      </c>
    </row>
    <row r="57" spans="1:17" ht="13.5" thickBot="1" x14ac:dyDescent="0.25">
      <c r="C57" s="231" t="s">
        <v>174</v>
      </c>
    </row>
    <row r="58" spans="1:17" ht="38.25" x14ac:dyDescent="0.2">
      <c r="B58" s="50"/>
      <c r="C58" s="45" t="s">
        <v>173</v>
      </c>
      <c r="D58" s="45" t="s">
        <v>8</v>
      </c>
      <c r="E58" s="142" t="s">
        <v>254</v>
      </c>
      <c r="F58" s="185" t="s">
        <v>183</v>
      </c>
      <c r="G58" s="186"/>
      <c r="H58" s="187"/>
      <c r="I58" s="188">
        <f>IF(OR(' Общие данные'!C25="Брус_ест.влажности",' Общие данные'!C25="Проф.брус_Киржач_ест.вл.",' Общие данные'!C25="Проф.брус_Лестэк_ест.вл",' Общие данные'!C25="Проф.брус_Древоград_ест.вл.",' Общие данные'!C25="ОЦБ_Строй_деталь"),0.15)+IF(OR(' Общие данные'!C25="Проф.брус_Киржач_подсушенный",' Общие данные'!C25="Проф.брус_Лестэк_подсушенный"),0.1)+IF(OR(' Общие данные'!C25="Клееный_брус_ДДМ",' Общие данные'!C25="Клееный_брус_Вишера",' Общие данные'!C25="Клееный_брус_Древоград"),0.03)</f>
        <v>0.1</v>
      </c>
      <c r="J58" s="8"/>
      <c r="K58" s="8"/>
      <c r="L58" s="8"/>
      <c r="M58" s="8"/>
      <c r="N58" s="8"/>
      <c r="O58" s="8"/>
      <c r="P58" s="8"/>
      <c r="Q58" s="118"/>
    </row>
    <row r="59" spans="1:17" ht="13.5" thickBot="1" x14ac:dyDescent="0.25">
      <c r="B59" s="165" t="s">
        <v>175</v>
      </c>
      <c r="C59" s="239" t="str">
        <f>IF(OR(' Общие данные'!$C$25:$F$25="Брус_ест.влажности",' Общие данные'!$C$25:$F$25="Проф.брус_Киржач_ест.вл.",' Общие данные'!$C$25:$F$25="Проф.брус_Киржач_подсушенный",' Общие данные'!$C$25:$F$25="Проф.брус_Лестэк_ест.вл.",' Общие данные'!$C$25:$F$25="Проф.брус_Лестэк_подсушенный",' Общие данные'!$C$25:$F$25="Проф.брус_Древоград_ест.вл.",' Общие данные'!$C$25:$F$25="Клееный_брус_ДДМ",' Общие данные'!$C$25:$F$25="Клееный_брус_Вишера",' Общие данные'!$C$25:$F$25="Клееный_брус_Древоград_ест.вл."),LEFT(' Общие данные'!A29,FIND("х",' Общие данные'!A29,1)-1),IF(' Общие данные'!$C$25:$F$25="ОЦБ_Строй_деталь",' Общие данные'!$A$29))</f>
        <v>140</v>
      </c>
      <c r="D59" s="239" t="str">
        <f>MID(' Общие данные'!A29,5,20)</f>
        <v>142</v>
      </c>
      <c r="E59" s="167">
        <f>INDEX('База материал'!C5:C119,MATCH(' Общие данные'!A29,'База материал'!B5:B119,))</f>
        <v>130</v>
      </c>
      <c r="F59" s="150" t="s">
        <v>184</v>
      </c>
      <c r="G59" s="151"/>
      <c r="H59" s="156"/>
      <c r="I59" s="152">
        <f>IF(OR(' Общие данные'!C25="Брус_ест.влажности",' Общие данные'!C25="Проф.брус_Киржач_ест.вл.",' Общие данные'!C25="Проф.брус_Лестэк_ест.вл",' Общие данные'!C25="Проф.брус_Древоград_ест.вл.",' Общие данные'!C25="ОЦБ_Строй_деталь"),0.05)+IF(OR(' Общие данные'!C25="Проф.брус_Киржач_подсушенный",' Общие данные'!C25="Проф.брус_Лестэк_подсушенный"),0.03)+IF(OR(' Общие данные'!C25="Клееный_брус_ДДМ",' Общие данные'!C25="Клееный_брус_Вишера",' Общие данные'!C25="Клееный_брус_Древоград"),0.01)</f>
        <v>0.03</v>
      </c>
      <c r="J59" s="2"/>
      <c r="K59" s="2"/>
      <c r="L59" s="2"/>
      <c r="M59" s="2"/>
      <c r="N59" s="2"/>
      <c r="O59" s="2"/>
      <c r="P59" s="2"/>
      <c r="Q59" s="15"/>
    </row>
    <row r="60" spans="1:17" x14ac:dyDescent="0.2">
      <c r="B60" s="168" t="s">
        <v>176</v>
      </c>
      <c r="C60" s="194" t="str">
        <f>IF(OR(' Общие данные'!$C$25:$F$25="Брус_ест.влажности",' Общие данные'!$C$25:$F$25="Проф.брус_Киржач_ест.вл.",' Общие данные'!$C$25:$F$25="Проф.брус_Киржач_подсушенный",' Общие данные'!$C$25:$F$25="Проф.брус_Лестэк_ест.вл.",' Общие данные'!$C$25:$F$25="Проф.брус_Лестэк_подсушенный",' Общие данные'!$C$25:$F$25="Проф.брус_Древоград_ест.вл.",' Общие данные'!$C$25:$F$25="Клееный_брус_ДДМ",' Общие данные'!$C$25:$F$25="Клееный_брус_Вишера",' Общие данные'!$C$25:$F$25="Клееный_брус_Древоград_ест.вл."),LEFT(' Общие данные'!A32,FIND("х",' Общие данные'!A32,1)-1),IF(' Общие данные'!$C$25:$F$25="ОЦБ_Строй_деталь",' Общие данные'!$A$32))</f>
        <v>140</v>
      </c>
      <c r="D60" s="194" t="str">
        <f>MID(' Общие данные'!A32,5,20)</f>
        <v>142</v>
      </c>
      <c r="E60" s="170">
        <f>INDEX('База материал'!C5:C119,MATCH(' Общие данные'!A32,'База материал'!B5:B119,))</f>
        <v>130</v>
      </c>
      <c r="F60" s="171" t="s">
        <v>190</v>
      </c>
      <c r="G60" s="172"/>
      <c r="H60" s="172"/>
      <c r="I60" s="189"/>
      <c r="J60" s="190" t="s">
        <v>191</v>
      </c>
      <c r="K60" s="172"/>
      <c r="L60" s="172"/>
      <c r="M60" s="189"/>
      <c r="N60" s="190" t="s">
        <v>194</v>
      </c>
      <c r="O60" s="172"/>
      <c r="P60" s="172"/>
      <c r="Q60" s="183"/>
    </row>
    <row r="61" spans="1:17" x14ac:dyDescent="0.2">
      <c r="B61" s="168" t="s">
        <v>25</v>
      </c>
      <c r="C61" s="194" t="str">
        <f>LEFT(' Общие данные'!L6,FIND("х",' Общие данные'!L6,1)-1)</f>
        <v>200</v>
      </c>
      <c r="D61" s="194" t="str">
        <f>MID(' Общие данные'!L6,5,20)</f>
        <v>100</v>
      </c>
      <c r="E61" s="170"/>
      <c r="F61" s="174" t="s">
        <v>187</v>
      </c>
      <c r="G61" s="175"/>
      <c r="H61" s="175"/>
      <c r="I61" s="191">
        <f>_xlfn.CEILING.MATH(' Общие данные'!N13/6,0.5)</f>
        <v>0</v>
      </c>
      <c r="J61" s="192" t="s">
        <v>187</v>
      </c>
      <c r="K61" s="175"/>
      <c r="L61" s="175"/>
      <c r="M61" s="191">
        <f>_xlfn.CEILING.MATH(' Общие данные'!R13/6,0.5)</f>
        <v>0</v>
      </c>
      <c r="N61" s="192" t="s">
        <v>187</v>
      </c>
      <c r="O61" s="175"/>
      <c r="P61" s="175"/>
      <c r="Q61" s="177">
        <f>_xlfn.CEILING.MATH(' Общие данные'!K18/6,0.5)</f>
        <v>0</v>
      </c>
    </row>
    <row r="62" spans="1:17" x14ac:dyDescent="0.2">
      <c r="B62" s="168" t="s">
        <v>26</v>
      </c>
      <c r="C62" s="194" t="str">
        <f>LEFT(' Общие данные'!L7,FIND("х",' Общие данные'!L7,1)-1)</f>
        <v>200</v>
      </c>
      <c r="D62" s="194" t="str">
        <f>MID(' Общие данные'!L7,5,20)</f>
        <v>100</v>
      </c>
      <c r="E62" s="170"/>
      <c r="F62" s="174" t="s">
        <v>186</v>
      </c>
      <c r="G62" s="175"/>
      <c r="H62" s="175"/>
      <c r="I62" s="191">
        <f>IF(E59=0,0,IF(E59&gt;0,ROUNDUP(I65/(Расчеты!E59/1000),0)))</f>
        <v>0</v>
      </c>
      <c r="J62" s="192" t="s">
        <v>186</v>
      </c>
      <c r="K62" s="175"/>
      <c r="L62" s="175"/>
      <c r="M62" s="191">
        <f>IF(E59=0,0,IF(E59&gt;0,ROUNDUP((M65)/(E59/1000),0)))</f>
        <v>0</v>
      </c>
      <c r="N62" s="192" t="s">
        <v>186</v>
      </c>
      <c r="O62" s="175"/>
      <c r="P62" s="175"/>
      <c r="Q62" s="177">
        <f>IF(E59=0,0,IF(E59&gt;0,ROUNDUP((Q65)/(E59/1000),0)))</f>
        <v>0</v>
      </c>
    </row>
    <row r="63" spans="1:17" x14ac:dyDescent="0.2">
      <c r="B63" s="168" t="s">
        <v>27</v>
      </c>
      <c r="C63" s="194" t="str">
        <f>LEFT(' Общие данные'!L8,FIND("х",' Общие данные'!L8,1)-1)</f>
        <v>000</v>
      </c>
      <c r="D63" s="194" t="str">
        <f>MID(' Общие данные'!L8,5,20)</f>
        <v>000</v>
      </c>
      <c r="E63" s="170"/>
      <c r="F63" s="174" t="s">
        <v>229</v>
      </c>
      <c r="G63" s="175"/>
      <c r="H63" s="175"/>
      <c r="I63" s="191">
        <f>IF(' Общие данные'!L19="из стенового материала",((I61*I62)/2)*' Общие данные'!N16,IF(' Общие данные'!L19="каркасные",0))</f>
        <v>0</v>
      </c>
      <c r="J63" s="192" t="s">
        <v>229</v>
      </c>
      <c r="K63" s="175"/>
      <c r="L63" s="175"/>
      <c r="M63" s="191">
        <f>IF(' Общие данные'!L19="из стенового материала",((M61*M62)/2)*' Общие данные'!R16,IF(' Общие данные'!L19="каркасные",0))</f>
        <v>0</v>
      </c>
      <c r="N63" s="192" t="s">
        <v>229</v>
      </c>
      <c r="O63" s="175"/>
      <c r="P63" s="175"/>
      <c r="Q63" s="177">
        <f>IF(' Общие данные'!L19="из стенового материала",((Q61*Q62)/2)*' Общие данные'!K21,IF(' Общие данные'!L19="каркасные",0))</f>
        <v>0</v>
      </c>
    </row>
    <row r="64" spans="1:17" x14ac:dyDescent="0.2">
      <c r="A64" s="17"/>
      <c r="B64" s="168" t="str">
        <f>IF(' Общие данные'!C35="ж/б ростверк","Сечение подкладочной доски",IF(' Общие данные'!C35="метал. Сваи","Сечение подкладочного бруса"))</f>
        <v>Сечение подкладочного бруса</v>
      </c>
      <c r="C64" s="194" t="str">
        <f>LEFT(' Общие данные'!L9,FIND("х",' Общие данные'!L9,1)-1)</f>
        <v>000</v>
      </c>
      <c r="D64" s="194" t="str">
        <f>MID(' Общие данные'!L9,5,20)</f>
        <v>000</v>
      </c>
      <c r="E64" s="170"/>
      <c r="F64" s="175" t="s">
        <v>189</v>
      </c>
      <c r="G64" s="175">
        <f>TAN(RADIANS(' Общие данные'!N15))</f>
        <v>0</v>
      </c>
      <c r="H64" s="175"/>
      <c r="I64" s="191"/>
      <c r="J64" s="192" t="s">
        <v>189</v>
      </c>
      <c r="K64" s="175">
        <f>TAN(RADIANS(' Общие данные'!R15))</f>
        <v>0</v>
      </c>
      <c r="L64" s="175"/>
      <c r="M64" s="191"/>
      <c r="N64" s="192" t="s">
        <v>189</v>
      </c>
      <c r="O64" s="175">
        <f>TAN(RADIANS(' Общие данные'!K20))</f>
        <v>0</v>
      </c>
      <c r="P64" s="175"/>
      <c r="Q64" s="177"/>
    </row>
    <row r="65" spans="1:17" x14ac:dyDescent="0.2">
      <c r="A65" s="17"/>
      <c r="B65" s="168" t="s">
        <v>73</v>
      </c>
      <c r="C65" s="194" t="str">
        <f>LEFT(' Общие данные'!L10,FIND("х",' Общие данные'!L10,1)-1)</f>
        <v>000</v>
      </c>
      <c r="D65" s="194" t="str">
        <f>MID(' Общие данные'!L10,5,20)</f>
        <v>000</v>
      </c>
      <c r="E65" s="170"/>
      <c r="F65" s="175" t="s">
        <v>199</v>
      </c>
      <c r="G65" s="175"/>
      <c r="H65" s="175"/>
      <c r="I65" s="191">
        <f>ROUNDUP(G64*' Общие данные'!N13,2)</f>
        <v>0</v>
      </c>
      <c r="J65" s="192" t="s">
        <v>199</v>
      </c>
      <c r="K65" s="175"/>
      <c r="L65" s="175"/>
      <c r="M65" s="191">
        <f>ROUNDUP(K64*' Общие данные'!R13,2)</f>
        <v>0</v>
      </c>
      <c r="N65" s="192" t="s">
        <v>199</v>
      </c>
      <c r="O65" s="175"/>
      <c r="P65" s="175"/>
      <c r="Q65" s="177">
        <f>ROUNDUP(Расчеты!O64*' Общие данные'!K18,2)</f>
        <v>0</v>
      </c>
    </row>
    <row r="66" spans="1:17" ht="13.5" thickBot="1" x14ac:dyDescent="0.25">
      <c r="A66" s="17"/>
      <c r="B66" s="144" t="s">
        <v>74</v>
      </c>
      <c r="C66" s="36" t="str">
        <f>LEFT(' Общие данные'!L11,FIND("х",' Общие данные'!L11,1)-1)</f>
        <v>000</v>
      </c>
      <c r="D66" s="36" t="str">
        <f>MID(' Общие данные'!L11,5,20)</f>
        <v>000</v>
      </c>
      <c r="E66" s="145"/>
      <c r="F66" s="175" t="s">
        <v>192</v>
      </c>
      <c r="G66" s="175"/>
      <c r="H66" s="175"/>
      <c r="I66" s="191">
        <f>IF(' Общие данные'!L19="из стенового материала",0,IF(' Общие данные'!L19="каркасные",ROUNDUP((I65*' Общие данные'!N13*' Общие данные'!N16)/2,2)))</f>
        <v>0</v>
      </c>
      <c r="J66" s="192" t="s">
        <v>192</v>
      </c>
      <c r="K66" s="175"/>
      <c r="L66" s="175"/>
      <c r="M66" s="191">
        <f>IF(' Общие данные'!L19="из стенового материала",0,IF(' Общие данные'!L19="каркасные",ROUNDUP((M65*' Общие данные'!R13*' Общие данные'!R16)/2,2)))</f>
        <v>0</v>
      </c>
      <c r="N66" s="192" t="s">
        <v>192</v>
      </c>
      <c r="O66" s="175"/>
      <c r="P66" s="175"/>
      <c r="Q66" s="177">
        <f>IF(' Общие данные'!L19="из стенового материала",0,IF(' Общие данные'!L19="каркасные",ROUNDUP((Q65*' Общие данные'!K18*' Общие данные'!K21)/2,2)))</f>
        <v>0</v>
      </c>
    </row>
    <row r="67" spans="1:17" ht="13.5" thickBot="1" x14ac:dyDescent="0.25">
      <c r="A67" s="17"/>
      <c r="B67" s="171" t="s">
        <v>195</v>
      </c>
      <c r="C67" s="172"/>
      <c r="D67" s="172"/>
      <c r="E67" s="183"/>
      <c r="F67" s="209" t="s">
        <v>193</v>
      </c>
      <c r="G67" s="4"/>
      <c r="H67" s="4"/>
      <c r="I67" s="129">
        <f>IF(' Общие данные'!N13=0,0,IF(' Общие данные'!N13&gt;0,(SQRT(' Общие данные'!N13^2+Расчеты!I65^2)+1)*(IF(' Общие данные'!N17="нет",(' Общие данные'!N14+1.8),IF(' Общие данные'!N17="да",(' Общие данные'!N14+0.9))))))</f>
        <v>0</v>
      </c>
      <c r="J67" s="128" t="s">
        <v>193</v>
      </c>
      <c r="K67" s="4"/>
      <c r="L67" s="4"/>
      <c r="M67" s="129">
        <f>IF(' Общие данные'!R13=0,0,IF(' Общие данные'!R13&gt;0,(SQRT(' Общие данные'!R13^2+Расчеты!M65^2)+1)*(IF(' Общие данные'!R17="нет",(' Общие данные'!R14+1.8),IF(' Общие данные'!R17="да",(' Общие данные'!R14+0.9))))))</f>
        <v>0</v>
      </c>
      <c r="N67" s="128" t="s">
        <v>193</v>
      </c>
      <c r="O67" s="4"/>
      <c r="P67" s="4"/>
      <c r="Q67" s="27">
        <f>IF(' Общие данные'!K18=0,0,IF(' Общие данные'!K18&gt;0,(SQRT(' Общие данные'!K18^2+Расчеты!Q65^2)+1)*(IF(' Общие данные'!K22="нет",(' Общие данные'!K19+1.8),IF(' Общие данные'!K22="да",(' Общие данные'!K19+0.9))))))</f>
        <v>0</v>
      </c>
    </row>
    <row r="68" spans="1:17" x14ac:dyDescent="0.2">
      <c r="A68" s="17"/>
      <c r="B68" s="174" t="s">
        <v>187</v>
      </c>
      <c r="C68" s="175">
        <f>_xlfn.CEILING.MATH(' Общие данные'!F38/6,0.5)</f>
        <v>14.5</v>
      </c>
      <c r="D68" s="176" t="s">
        <v>182</v>
      </c>
      <c r="E68" s="177"/>
      <c r="F68" s="166" t="s">
        <v>201</v>
      </c>
      <c r="G68" s="180"/>
      <c r="H68" s="180"/>
      <c r="I68" s="193"/>
      <c r="J68" s="180" t="s">
        <v>202</v>
      </c>
      <c r="K68" s="180"/>
      <c r="L68" s="180"/>
      <c r="M68" s="193"/>
      <c r="N68" s="180" t="s">
        <v>203</v>
      </c>
      <c r="O68" s="180"/>
      <c r="P68" s="180"/>
      <c r="Q68" s="181"/>
    </row>
    <row r="69" spans="1:17" x14ac:dyDescent="0.2">
      <c r="A69" s="17"/>
      <c r="B69" s="174" t="s">
        <v>186</v>
      </c>
      <c r="C69" s="175">
        <f>IF(E59=0,0,IF(E59&gt;0,ROUNDUP((' Общие данные'!M2+Расчеты!C61/1000+Расчеты!C62/1000+0.1+0.05+Расчеты!I58)/(E59/1000),0)))</f>
        <v>26</v>
      </c>
      <c r="D69" s="175"/>
      <c r="E69" s="178"/>
      <c r="F69" s="169" t="s">
        <v>187</v>
      </c>
      <c r="G69" s="169"/>
      <c r="H69" s="169"/>
      <c r="I69" s="194">
        <f>_xlfn.CEILING.MATH(' Общие данные'!O25/6,0.5)</f>
        <v>1.5</v>
      </c>
      <c r="J69" s="169" t="s">
        <v>187</v>
      </c>
      <c r="K69" s="169"/>
      <c r="L69" s="169"/>
      <c r="M69" s="194">
        <f>_xlfn.CEILING.MATH(' Общие данные'!R13/6,0.5)</f>
        <v>0</v>
      </c>
      <c r="N69" s="169" t="s">
        <v>187</v>
      </c>
      <c r="O69" s="169"/>
      <c r="P69" s="169"/>
      <c r="Q69" s="170">
        <f>_xlfn.CEILING.MATH(' Общие данные'!O31/6,0.5)</f>
        <v>0</v>
      </c>
    </row>
    <row r="70" spans="1:17" ht="13.5" thickBot="1" x14ac:dyDescent="0.25">
      <c r="A70" s="17"/>
      <c r="B70" s="47" t="s">
        <v>188</v>
      </c>
      <c r="C70" s="37">
        <f>C68*C69</f>
        <v>377</v>
      </c>
      <c r="D70" s="37"/>
      <c r="E70" s="38"/>
      <c r="F70" s="169" t="s">
        <v>186</v>
      </c>
      <c r="G70" s="169"/>
      <c r="H70" s="169"/>
      <c r="I70" s="194">
        <f>IF(E59=0,0,IF(E59&gt;0,ROUNDUP(I74/(Расчеты!E59/1000),0)))</f>
        <v>15</v>
      </c>
      <c r="J70" s="169" t="s">
        <v>186</v>
      </c>
      <c r="K70" s="169"/>
      <c r="L70" s="169"/>
      <c r="M70" s="194">
        <f>IF(E59=0,0,IF(E59&gt;0,ROUNDUP(M74/(Расчеты!E59/1000),0)))</f>
        <v>5</v>
      </c>
      <c r="N70" s="169" t="s">
        <v>186</v>
      </c>
      <c r="O70" s="169"/>
      <c r="P70" s="169"/>
      <c r="Q70" s="170">
        <f>IF(E59=0,0,IF(E59&gt;0,ROUNDUP(M74/(Расчеты!E59/1000),0)))</f>
        <v>5</v>
      </c>
    </row>
    <row r="71" spans="1:17" x14ac:dyDescent="0.2">
      <c r="A71" s="17"/>
      <c r="B71" s="179" t="s">
        <v>196</v>
      </c>
      <c r="C71" s="180"/>
      <c r="D71" s="180"/>
      <c r="E71" s="181"/>
      <c r="F71" s="169" t="s">
        <v>252</v>
      </c>
      <c r="G71" s="169"/>
      <c r="H71" s="169"/>
      <c r="I71" s="194">
        <f>IF(' Общие данные'!P26="из стенового материала",((Расчеты!I69*Расчеты!I70)/2)*' Общие данные'!O28,IF(' Общие данные'!P26="каркасные",0))</f>
        <v>50.625</v>
      </c>
      <c r="J71" s="169" t="s">
        <v>252</v>
      </c>
      <c r="K71" s="169"/>
      <c r="L71" s="169"/>
      <c r="M71" s="194">
        <f>IF(' Общие данные'!P26="из стенового материала",((Расчеты!M69*Расчеты!M70)/2)*' Общие данные'!K34,IF(' Общие данные'!P26="каркасные",0))</f>
        <v>0</v>
      </c>
      <c r="N71" s="169" t="s">
        <v>252</v>
      </c>
      <c r="O71" s="169"/>
      <c r="P71" s="169"/>
      <c r="Q71" s="170">
        <f>IF(' Общие данные'!P26="из стенового материала",((Расчеты!Q69*Расчеты!Q70)/2)*' Общие данные'!O34,IF(' Общие данные'!P26="каркасные",0))</f>
        <v>0</v>
      </c>
    </row>
    <row r="72" spans="1:17" ht="12" customHeight="1" x14ac:dyDescent="0.2">
      <c r="A72" s="17"/>
      <c r="B72" s="165" t="s">
        <v>187</v>
      </c>
      <c r="C72" s="166">
        <f>_xlfn.CEILING.MATH(' Общие данные'!F39/6,0.5)</f>
        <v>0</v>
      </c>
      <c r="D72" s="182" t="s">
        <v>182</v>
      </c>
      <c r="E72" s="167"/>
      <c r="F72" s="169" t="s">
        <v>250</v>
      </c>
      <c r="G72" s="169"/>
      <c r="H72" s="169"/>
      <c r="I72" s="194">
        <f>IF(' Общие данные'!P26="из стенового материала",((Расчеты!I69*Расчеты!I70)/2)*' Общие данные'!O29,IF(' Общие данные'!P26="каркасные",0))</f>
        <v>0</v>
      </c>
      <c r="J72" s="169" t="s">
        <v>253</v>
      </c>
      <c r="K72" s="169"/>
      <c r="L72" s="169"/>
      <c r="M72" s="194">
        <f>IF(' Общие данные'!P26="из стенового материала",((Расчеты!M69*Расчеты!M70)/2)*' Общие данные'!K35,IF(' Общие данные'!P26="каркасные",0))</f>
        <v>0</v>
      </c>
      <c r="N72" s="169" t="s">
        <v>253</v>
      </c>
      <c r="O72" s="169"/>
      <c r="P72" s="169"/>
      <c r="Q72" s="170">
        <f>IF(' Общие данные'!P26="из стенового материала",((Расчеты!Q69*Расчеты!Q70)/2)*' Общие данные'!O35,IF(' Общие данные'!P26="каркасные",0))</f>
        <v>0</v>
      </c>
    </row>
    <row r="73" spans="1:17" x14ac:dyDescent="0.2">
      <c r="A73" s="17"/>
      <c r="B73" s="168" t="s">
        <v>186</v>
      </c>
      <c r="C73" s="169">
        <f>IF(E60=0,0,IF(E60&gt;0,ROUNDUP((' Общие данные'!M2+Расчеты!C61/1000+Расчеты!C62/1000+0.1+0.05+Расчеты!I58)/(E60/1000),0)))</f>
        <v>26</v>
      </c>
      <c r="D73" s="169"/>
      <c r="E73" s="170"/>
      <c r="F73" s="169" t="s">
        <v>189</v>
      </c>
      <c r="G73" s="169">
        <f>TAN(RADIANS(' Общие данные'!O27))</f>
        <v>0.46630765815499858</v>
      </c>
      <c r="H73" s="169"/>
      <c r="I73" s="194"/>
      <c r="J73" s="169" t="s">
        <v>189</v>
      </c>
      <c r="K73" s="169">
        <f>TAN(RADIANS(' Общие данные'!K33))</f>
        <v>0.32491969623290629</v>
      </c>
      <c r="L73" s="169"/>
      <c r="M73" s="194"/>
      <c r="N73" s="169" t="s">
        <v>189</v>
      </c>
      <c r="O73" s="169">
        <f>TAN(RADIANS(' Общие данные'!O33))</f>
        <v>0</v>
      </c>
      <c r="P73" s="169"/>
      <c r="Q73" s="170"/>
    </row>
    <row r="74" spans="1:17" ht="13.5" thickBot="1" x14ac:dyDescent="0.25">
      <c r="B74" s="144" t="s">
        <v>188</v>
      </c>
      <c r="C74" s="7">
        <f>C72*C73</f>
        <v>0</v>
      </c>
      <c r="D74" s="7"/>
      <c r="E74" s="145"/>
      <c r="F74" s="169" t="s">
        <v>199</v>
      </c>
      <c r="G74" s="169"/>
      <c r="H74" s="169"/>
      <c r="I74" s="194">
        <f>ROUNDUP(G73*(' Общие данные'!O25/2),2)</f>
        <v>1.87</v>
      </c>
      <c r="J74" s="169" t="s">
        <v>199</v>
      </c>
      <c r="K74" s="169"/>
      <c r="L74" s="169"/>
      <c r="M74" s="194">
        <f>ROUNDUP(K73*(' Общие данные'!K31/2),2)</f>
        <v>0.65</v>
      </c>
      <c r="N74" s="169" t="s">
        <v>199</v>
      </c>
      <c r="O74" s="169"/>
      <c r="P74" s="169"/>
      <c r="Q74" s="170">
        <f>ROUNDUP(O73*(' Общие данные'!O31/2),2)</f>
        <v>0</v>
      </c>
    </row>
    <row r="75" spans="1:17" x14ac:dyDescent="0.2">
      <c r="B75" s="171" t="s">
        <v>197</v>
      </c>
      <c r="C75" s="172"/>
      <c r="D75" s="172"/>
      <c r="E75" s="183"/>
      <c r="F75" s="169" t="s">
        <v>192</v>
      </c>
      <c r="G75" s="169"/>
      <c r="H75" s="169"/>
      <c r="I75" s="194">
        <f>IF(' Общие данные'!P26="из стенового материала",0,IF(' Общие данные'!P26="каркасные",ROUNDUP((Расчеты!I74*' Общие данные'!O25*' Общие данные'!O28*0.5),2)))</f>
        <v>0</v>
      </c>
      <c r="J75" s="169" t="s">
        <v>192</v>
      </c>
      <c r="K75" s="169"/>
      <c r="L75" s="169"/>
      <c r="M75" s="194">
        <f>IF(' Общие данные'!P26="из стенового материала",0,IF(' Общие данные'!P26="каркасные",ROUNDUP((Расчеты!M74*' Общие данные'!K31*' Общие данные'!K34*0.5),2)))</f>
        <v>0</v>
      </c>
      <c r="N75" s="169" t="s">
        <v>192</v>
      </c>
      <c r="O75" s="169"/>
      <c r="P75" s="169"/>
      <c r="Q75" s="170">
        <f>IF(' Общие данные'!P26="из стенового материала",0,IF(' Общие данные'!P26="каркасные",ROUNDUP((Расчеты!Q74*' Общие данные'!O31*' Общие данные'!O34*0.5),2)))</f>
        <v>0</v>
      </c>
    </row>
    <row r="76" spans="1:17" ht="13.5" thickBot="1" x14ac:dyDescent="0.25">
      <c r="B76" s="174" t="s">
        <v>187</v>
      </c>
      <c r="C76" s="175">
        <f>_xlfn.CEILING.MATH(' Общие данные'!F40/6,0.5)</f>
        <v>11.5</v>
      </c>
      <c r="D76" s="176" t="s">
        <v>182</v>
      </c>
      <c r="E76" s="177"/>
      <c r="F76" s="33" t="s">
        <v>193</v>
      </c>
      <c r="G76" s="33"/>
      <c r="H76" s="33"/>
      <c r="I76" s="160">
        <f>(IF(' Общие данные'!O25=0,0,IF(' Общие данные'!O25&gt;0,(SQRT((' Общие данные'!O25*0.5)^2+Расчеты!I74^2)+1)*(IF(' Общие данные'!O30="нет",(' Общие данные'!O26+1.8),IF(' Общие данные'!O30="да",(' Общие данные'!O26+0.9)))*2))))</f>
        <v>171.13072946129105</v>
      </c>
      <c r="J76" s="7" t="s">
        <v>193</v>
      </c>
      <c r="K76" s="7"/>
      <c r="L76" s="7"/>
      <c r="M76" s="36">
        <f>(IF(' Общие данные'!K31=0,0,IF(' Общие данные'!K31&gt;0,(SQRT((' Общие данные'!K31*0.5)^2+Расчеты!M74^2)+1)*(IF(' Общие данные'!K36="нет",(' Общие данные'!K32+1.8),IF(' Общие данные'!K36="да",(' Общие данные'!K32+0.9)))*2))))</f>
        <v>14.894275605510284</v>
      </c>
      <c r="N76" s="7" t="s">
        <v>193</v>
      </c>
      <c r="O76" s="7"/>
      <c r="P76" s="7"/>
      <c r="Q76" s="145">
        <f>(IF(' Общие данные'!O31=0,0,IF(' Общие данные'!O31&gt;0,(SQRT((' Общие данные'!O31*0.5)^2+Расчеты!Q74^2)+1)*(' Общие данные'!O32+0.9))))</f>
        <v>0</v>
      </c>
    </row>
    <row r="77" spans="1:17" x14ac:dyDescent="0.2">
      <c r="B77" s="174" t="s">
        <v>186</v>
      </c>
      <c r="C77" s="175">
        <f>IF(E59=0,0,IF(E59&gt;0,ROUNDUP((' Общие данные'!M3+Расчеты!C63/1000+0.1+0.05+Расчеты!I59)/(E59/1000),0)))</f>
        <v>12</v>
      </c>
      <c r="D77" s="175"/>
      <c r="E77" s="177"/>
      <c r="F77" s="166" t="s">
        <v>207</v>
      </c>
      <c r="G77" s="166"/>
      <c r="H77" s="166"/>
      <c r="I77" s="167"/>
      <c r="J77" s="195" t="s">
        <v>228</v>
      </c>
      <c r="K77" s="195"/>
      <c r="L77" s="195"/>
      <c r="M77" s="196"/>
      <c r="N77" s="195" t="s">
        <v>233</v>
      </c>
      <c r="O77" s="195"/>
      <c r="P77" s="195"/>
      <c r="Q77" s="197"/>
    </row>
    <row r="78" spans="1:17" ht="13.5" thickBot="1" x14ac:dyDescent="0.25">
      <c r="B78" s="47" t="s">
        <v>188</v>
      </c>
      <c r="C78" s="37">
        <f>C76*C77</f>
        <v>138</v>
      </c>
      <c r="D78" s="37"/>
      <c r="E78" s="38"/>
      <c r="F78" s="169" t="s">
        <v>187</v>
      </c>
      <c r="G78" s="169"/>
      <c r="H78" s="169"/>
      <c r="I78" s="170">
        <f>_xlfn.CEILING.MATH(' Общие данные'!S31/6,0.5)</f>
        <v>0</v>
      </c>
      <c r="J78" s="198" t="s">
        <v>187</v>
      </c>
      <c r="K78" s="198"/>
      <c r="L78" s="198"/>
      <c r="M78" s="199">
        <f>_xlfn.CEILING.MATH(' Общие данные'!N38/6,0.5)</f>
        <v>0</v>
      </c>
      <c r="N78" s="198" t="s">
        <v>187</v>
      </c>
      <c r="O78" s="198"/>
      <c r="P78" s="198"/>
      <c r="Q78" s="200">
        <f>_xlfn.CEILING.MATH(' Общие данные'!R38/6,0.5)</f>
        <v>0</v>
      </c>
    </row>
    <row r="79" spans="1:17" x14ac:dyDescent="0.2">
      <c r="B79" s="179" t="s">
        <v>198</v>
      </c>
      <c r="C79" s="180"/>
      <c r="D79" s="180"/>
      <c r="E79" s="181"/>
      <c r="F79" s="169" t="s">
        <v>186</v>
      </c>
      <c r="G79" s="169"/>
      <c r="H79" s="169"/>
      <c r="I79" s="170">
        <f>IF(E59=0,0,IF(E59&gt;0,ROUNDUP(M74/(Расчеты!E59/1000),0)))</f>
        <v>5</v>
      </c>
      <c r="J79" s="198" t="s">
        <v>186</v>
      </c>
      <c r="K79" s="198"/>
      <c r="L79" s="198"/>
      <c r="M79" s="199">
        <f>IF(E59=0,0,IF(E59&gt;0,ROUNDUP(M83/(Расчеты!E59/1000),0)))</f>
        <v>0</v>
      </c>
      <c r="N79" s="198" t="s">
        <v>186</v>
      </c>
      <c r="O79" s="198"/>
      <c r="P79" s="198"/>
      <c r="Q79" s="200">
        <f>IF(E59=0,0,IF(E59&gt;0,ROUNDUP(Q83/(E59/1000),0)))</f>
        <v>0</v>
      </c>
    </row>
    <row r="80" spans="1:17" x14ac:dyDescent="0.2">
      <c r="B80" s="168" t="s">
        <v>187</v>
      </c>
      <c r="C80" s="169">
        <f>_xlfn.CEILING.MATH(' Общие данные'!F41/6,0.5)</f>
        <v>0</v>
      </c>
      <c r="D80" s="184" t="s">
        <v>182</v>
      </c>
      <c r="E80" s="170"/>
      <c r="F80" s="169" t="s">
        <v>252</v>
      </c>
      <c r="G80" s="169"/>
      <c r="H80" s="169"/>
      <c r="I80" s="170">
        <f>IF(' Общие данные'!P26="из стенового материала",((Расчеты!I78*Расчеты!I79)/2)*' Общие данные'!S34,IF(' Общие данные'!P26="каркасные",0))</f>
        <v>0</v>
      </c>
      <c r="J80" s="198" t="s">
        <v>252</v>
      </c>
      <c r="K80" s="198"/>
      <c r="L80" s="198"/>
      <c r="M80" s="199">
        <f>IF(' Общие данные'!L43="из стенового материала",((M78*M79)/2)*' Общие данные'!N41,IF(' Общие данные'!L43="каркасные",0))</f>
        <v>0</v>
      </c>
      <c r="N80" s="198" t="s">
        <v>252</v>
      </c>
      <c r="O80" s="198"/>
      <c r="P80" s="198"/>
      <c r="Q80" s="200">
        <f>IF(' Общие данные'!L43="из стенового материала",((Расчеты!Q78*Расчеты!Q79)/2)*' Общие данные'!R41,IF(' Общие данные'!L43="каркасные",0))</f>
        <v>0</v>
      </c>
    </row>
    <row r="81" spans="2:17" x14ac:dyDescent="0.2">
      <c r="B81" s="168" t="s">
        <v>186</v>
      </c>
      <c r="C81" s="169">
        <f>IF(E60=0,0,IF(E60&gt;0,ROUNDUP((' Общие данные'!M3+Расчеты!C63/1000+0.1+0.05+Расчеты!I59)/(E60/1000),0)))</f>
        <v>12</v>
      </c>
      <c r="D81" s="169"/>
      <c r="E81" s="170"/>
      <c r="F81" s="169" t="s">
        <v>253</v>
      </c>
      <c r="G81" s="169"/>
      <c r="H81" s="169"/>
      <c r="I81" s="170">
        <f>IF(' Общие данные'!P26="из стенового материала",((Расчеты!I78*Расчеты!I79)/2)*Расчеты!S91,IF(' Общие данные'!P26="каркасные",0))</f>
        <v>0</v>
      </c>
      <c r="J81" s="198" t="s">
        <v>253</v>
      </c>
      <c r="K81" s="198"/>
      <c r="L81" s="198"/>
      <c r="M81" s="199">
        <f>IF(' Общие данные'!L43="из стенового материала",((M78*M79)/2)*' Общие данные'!N42,IF(' Общие данные'!L43="каркасные",0))</f>
        <v>0</v>
      </c>
      <c r="N81" s="198" t="s">
        <v>253</v>
      </c>
      <c r="O81" s="198"/>
      <c r="P81" s="198"/>
      <c r="Q81" s="200">
        <f>IF(' Общие данные'!L43="из стенового материала",((Расчеты!Q78*Расчеты!Q79)/2)*' Общие данные'!R42,IF(' Общие данные'!L43="каркасные",0))</f>
        <v>0</v>
      </c>
    </row>
    <row r="82" spans="2:17" ht="13.5" thickBot="1" x14ac:dyDescent="0.25">
      <c r="B82" s="144" t="s">
        <v>188</v>
      </c>
      <c r="C82" s="7">
        <f>C80*C81</f>
        <v>0</v>
      </c>
      <c r="D82" s="7"/>
      <c r="E82" s="210"/>
      <c r="F82" s="169" t="s">
        <v>189</v>
      </c>
      <c r="G82" s="169">
        <f>TAN(RADIANS(' Общие данные'!S33))</f>
        <v>0</v>
      </c>
      <c r="H82" s="169"/>
      <c r="I82" s="170"/>
      <c r="J82" s="198" t="s">
        <v>189</v>
      </c>
      <c r="K82" s="198">
        <f>TAN(RADIANS(' Общие данные'!N40))</f>
        <v>0</v>
      </c>
      <c r="L82" s="198"/>
      <c r="M82" s="199"/>
      <c r="N82" s="198" t="s">
        <v>189</v>
      </c>
      <c r="O82" s="198">
        <f>TAN(RADIANS(' Общие данные'!R40))</f>
        <v>0</v>
      </c>
      <c r="P82" s="198"/>
      <c r="Q82" s="200"/>
    </row>
    <row r="83" spans="2:17" x14ac:dyDescent="0.2">
      <c r="B83" s="173" t="s">
        <v>244</v>
      </c>
      <c r="C83" s="207"/>
      <c r="D83" s="207"/>
      <c r="E83" s="201"/>
      <c r="F83" s="169" t="s">
        <v>199</v>
      </c>
      <c r="G83" s="169"/>
      <c r="H83" s="169"/>
      <c r="I83" s="170">
        <f>ROUNDUP(G82*(' Общие данные'!S31/2),2)</f>
        <v>0</v>
      </c>
      <c r="J83" s="198" t="s">
        <v>199</v>
      </c>
      <c r="K83" s="198"/>
      <c r="L83" s="198"/>
      <c r="M83" s="199">
        <f>ROUNDUP(((' Общие данные'!N39-' Общие данные'!N39*0.25)*0.5)*Расчеты!K82,2)</f>
        <v>0</v>
      </c>
      <c r="N83" s="198" t="s">
        <v>199</v>
      </c>
      <c r="O83" s="198"/>
      <c r="P83" s="198"/>
      <c r="Q83" s="200">
        <f>ROUNDUP(((' Общие данные'!R39-' Общие данные'!R39*0.25)*0.5)*Расчеты!O82,2)</f>
        <v>0</v>
      </c>
    </row>
    <row r="84" spans="2:17" x14ac:dyDescent="0.2">
      <c r="B84" s="174" t="s">
        <v>187</v>
      </c>
      <c r="C84" s="175">
        <f>_xlfn.CEILING.MATH(' Общие данные'!F42/6,0.5)</f>
        <v>1.5</v>
      </c>
      <c r="D84" s="176" t="s">
        <v>182</v>
      </c>
      <c r="E84" s="177"/>
      <c r="F84" s="169" t="s">
        <v>192</v>
      </c>
      <c r="G84" s="169"/>
      <c r="H84" s="169"/>
      <c r="I84" s="170">
        <f>IF(' Общие данные'!P26="из стенового материала",0,IF(' Общие данные'!P26="каркасные",ROUNDUP((Расчеты!I83*' Общие данные'!S31*' Общие данные'!S34*0.5),2)))</f>
        <v>0</v>
      </c>
      <c r="J84" s="198" t="s">
        <v>230</v>
      </c>
      <c r="K84" s="198"/>
      <c r="L84" s="198"/>
      <c r="M84" s="199">
        <f>IF(' Общие данные'!L43="из стенового материала",0,IF(' Общие данные'!L43="каркасные",ROUNDUP(' Общие данные'!N39*0.25*Расчеты!M83+' Общие данные'!N38*Расчеты!M83+' Общие данные'!N39*Расчеты!M83,2)))</f>
        <v>0</v>
      </c>
      <c r="N84" s="198" t="s">
        <v>230</v>
      </c>
      <c r="O84" s="198"/>
      <c r="P84" s="198"/>
      <c r="Q84" s="200">
        <f>IF(' Общие данные'!L43="из стенового материала",0,IF(' Общие данные'!L43="каркасные",ROUNDUP(' Общие данные'!R39*0.25*Расчеты!Q83+' Общие данные'!R38*Расчеты!Q83+' Общие данные'!R39*Расчеты!Q83,2)))</f>
        <v>0</v>
      </c>
    </row>
    <row r="85" spans="2:17" x14ac:dyDescent="0.2">
      <c r="B85" s="174" t="s">
        <v>186</v>
      </c>
      <c r="C85" s="175">
        <f>IF(E59=0,0,IF(E59&gt;0,(IF(' Общие данные'!C37="2-х скатная",Расчеты!I70,IF(' Общие данные'!C37="вальмовая",Расчеты!M79)))))</f>
        <v>15</v>
      </c>
      <c r="D85" s="175"/>
      <c r="E85" s="178"/>
      <c r="F85" s="6" t="s">
        <v>193</v>
      </c>
      <c r="G85" s="6"/>
      <c r="H85" s="6"/>
      <c r="I85" s="208">
        <f>(IF(' Общие данные'!S31=0,0,IF(' Общие данные'!S31&gt;0,(SQRT((' Общие данные'!S31*0.5)^2+Расчеты!I83^2)+1)*(' Общие данные'!S32+0.9))))</f>
        <v>0</v>
      </c>
      <c r="J85" s="146" t="s">
        <v>231</v>
      </c>
      <c r="K85" s="146"/>
      <c r="L85" s="146"/>
      <c r="M85" s="161">
        <f>SQRT(M83^2+((' Общие данные'!N39-' Общие данные'!N39*0.25)/2)^2)+0.7</f>
        <v>0.7</v>
      </c>
      <c r="N85" s="146" t="s">
        <v>231</v>
      </c>
      <c r="O85" s="146"/>
      <c r="P85" s="146"/>
      <c r="Q85" s="147">
        <f>SQRT(Q83^2+((' Общие данные'!R39-' Общие данные'!R39*0.25)/2)^2)+0.7</f>
        <v>0.7</v>
      </c>
    </row>
    <row r="86" spans="2:17" ht="13.5" thickBot="1" x14ac:dyDescent="0.25">
      <c r="B86" s="47" t="s">
        <v>188</v>
      </c>
      <c r="C86" s="37">
        <f>C84*C85</f>
        <v>22.5</v>
      </c>
      <c r="D86" s="37"/>
      <c r="E86" s="38"/>
      <c r="F86" s="6"/>
      <c r="G86" s="6"/>
      <c r="H86" s="6"/>
      <c r="I86" s="23"/>
      <c r="J86" s="198" t="s">
        <v>232</v>
      </c>
      <c r="K86" s="198"/>
      <c r="L86" s="198"/>
      <c r="M86" s="199">
        <f>SQRT(M83^2+(' Общие данные'!N38/2)^2)+0.7</f>
        <v>0.7</v>
      </c>
      <c r="N86" s="198" t="s">
        <v>232</v>
      </c>
      <c r="O86" s="198"/>
      <c r="P86" s="198"/>
      <c r="Q86" s="200">
        <f>SQRT(Q83^2+(' Общие данные'!R38/2)^2)+0.7</f>
        <v>0.7</v>
      </c>
    </row>
    <row r="87" spans="2:17" ht="13.5" thickBot="1" x14ac:dyDescent="0.25">
      <c r="B87" s="165" t="s">
        <v>245</v>
      </c>
      <c r="C87" s="166"/>
      <c r="D87" s="166"/>
      <c r="E87" s="167"/>
      <c r="F87" s="6"/>
      <c r="G87" s="6"/>
      <c r="H87" s="6"/>
      <c r="I87" s="145"/>
      <c r="J87" s="148" t="s">
        <v>193</v>
      </c>
      <c r="K87" s="148"/>
      <c r="L87" s="148"/>
      <c r="M87" s="162">
        <f>IF(' Общие данные'!N38=0,0,IF(' Общие данные'!N38&gt;0,(0.5*Расчеты!M85*(' Общие данные'!N38+1.4))*2+(0.5*((' Общие данные'!N39+1.4+' Общие данные'!N39*0.25)*Расчеты!M86))*2))</f>
        <v>0</v>
      </c>
      <c r="N87" s="148" t="s">
        <v>193</v>
      </c>
      <c r="O87" s="148"/>
      <c r="P87" s="148"/>
      <c r="Q87" s="149">
        <f>IF(' Общие данные'!R38=0,0,IF(' Общие данные'!R38&gt;0,(0.5*Расчеты!Q85*(' Общие данные'!R38+1.4))*2+(0.5*((' Общие данные'!R39+1.4+' Общие данные'!R39*0.25)*Расчеты!Q86))*2))</f>
        <v>0</v>
      </c>
    </row>
    <row r="88" spans="2:17" x14ac:dyDescent="0.2">
      <c r="B88" s="168" t="s">
        <v>187</v>
      </c>
      <c r="C88" s="169">
        <f>_xlfn.CEILING.MATH(' Общие данные'!F43/6,0.5)</f>
        <v>0</v>
      </c>
      <c r="D88" s="184" t="s">
        <v>182</v>
      </c>
      <c r="E88" s="169"/>
      <c r="F88" s="185" t="s">
        <v>234</v>
      </c>
      <c r="G88" s="186"/>
      <c r="H88" s="186"/>
      <c r="I88" s="202"/>
      <c r="J88" s="186" t="s">
        <v>243</v>
      </c>
      <c r="K88" s="186"/>
      <c r="L88" s="186"/>
      <c r="M88" s="188"/>
      <c r="N88" s="2"/>
      <c r="O88" s="2"/>
      <c r="P88" s="2"/>
      <c r="Q88" s="15"/>
    </row>
    <row r="89" spans="2:17" x14ac:dyDescent="0.2">
      <c r="B89" s="168" t="s">
        <v>186</v>
      </c>
      <c r="C89" s="169">
        <f>IF(E59=0,0,IF(E59&gt;0,(IF(' Общие данные'!C37="2-х скатная",Q70,IF(' Общие данные'!C37="вальмовая",Q79)))))</f>
        <v>5</v>
      </c>
      <c r="D89" s="169"/>
      <c r="E89" s="184"/>
      <c r="F89" s="203" t="s">
        <v>235</v>
      </c>
      <c r="G89" s="204"/>
      <c r="H89" s="204"/>
      <c r="I89" s="205">
        <f>IF(' Общие данные'!N45=0,0,IF(' Общие данные'!N45&gt;0,_xlfn.CEILING.MATH((' Общие данные'!N45+1)/6,0.5)))</f>
        <v>0</v>
      </c>
      <c r="J89" s="204" t="s">
        <v>235</v>
      </c>
      <c r="K89" s="204"/>
      <c r="L89" s="204"/>
      <c r="M89" s="206">
        <f>IF(' Общие данные'!R45=0,0,IF(' Общие данные'!R45&gt;0,_xlfn.CEILING.MATH((' Общие данные'!R45+1)/6,0.5)))</f>
        <v>0</v>
      </c>
      <c r="N89" s="2"/>
      <c r="O89" s="2"/>
      <c r="P89" s="2"/>
      <c r="Q89" s="15"/>
    </row>
    <row r="90" spans="2:17" ht="13.5" thickBot="1" x14ac:dyDescent="0.25">
      <c r="B90" s="144" t="s">
        <v>188</v>
      </c>
      <c r="C90" s="7">
        <f>C88*C89</f>
        <v>0</v>
      </c>
      <c r="D90" s="7"/>
      <c r="E90" s="7"/>
      <c r="F90" s="203" t="s">
        <v>236</v>
      </c>
      <c r="G90" s="204"/>
      <c r="H90" s="204"/>
      <c r="I90" s="205">
        <f>_xlfn.CEILING.MATH((' Общие данные'!N45-1)/6,0.5)</f>
        <v>0</v>
      </c>
      <c r="J90" s="204" t="s">
        <v>236</v>
      </c>
      <c r="K90" s="204"/>
      <c r="L90" s="204"/>
      <c r="M90" s="206">
        <f>_xlfn.CEILING.MATH((' Общие данные'!R45-1)/6,0.5)</f>
        <v>0</v>
      </c>
      <c r="N90" s="2"/>
      <c r="O90" s="2"/>
      <c r="P90" s="2"/>
      <c r="Q90" s="15"/>
    </row>
    <row r="91" spans="2:17" x14ac:dyDescent="0.2">
      <c r="B91" s="173" t="s">
        <v>246</v>
      </c>
      <c r="C91" s="207"/>
      <c r="D91" s="207"/>
      <c r="E91" s="207"/>
      <c r="F91" s="203" t="s">
        <v>229</v>
      </c>
      <c r="G91" s="204"/>
      <c r="H91" s="204"/>
      <c r="I91" s="205">
        <f>IF(' Общие данные'!L48="из стенового материала",Расчеты!I89*Расчеты!I92*2+Расчеты!I90*Расчеты!I93,IF(' Общие данные'!L48="каркасные",0))</f>
        <v>0</v>
      </c>
      <c r="J91" s="204" t="s">
        <v>229</v>
      </c>
      <c r="K91" s="204"/>
      <c r="L91" s="204"/>
      <c r="M91" s="206">
        <f>IF(' Общие данные'!L48="из стенового материала",Расчеты!M89*Расчеты!M92*2+Расчеты!M90*Расчеты!M93,IF(' Общие данные'!L48="каркасные",0))</f>
        <v>0</v>
      </c>
      <c r="N91" s="2"/>
      <c r="O91" s="2"/>
      <c r="P91" s="2"/>
      <c r="Q91" s="15"/>
    </row>
    <row r="92" spans="2:17" x14ac:dyDescent="0.2">
      <c r="B92" s="174" t="s">
        <v>187</v>
      </c>
      <c r="C92" s="175">
        <f>_xlfn.CEILING.MATH(' Общие данные'!F44/6,0.5)</f>
        <v>0</v>
      </c>
      <c r="D92" s="176" t="s">
        <v>182</v>
      </c>
      <c r="E92" s="175"/>
      <c r="F92" s="150" t="s">
        <v>237</v>
      </c>
      <c r="G92" s="151"/>
      <c r="H92" s="151"/>
      <c r="I92" s="163">
        <f>IF(E59=0,0,IF(E59&gt;0,ROUNDUP(2.6/(E59/1000),0)))</f>
        <v>20</v>
      </c>
      <c r="J92" s="151" t="s">
        <v>237</v>
      </c>
      <c r="K92" s="151"/>
      <c r="L92" s="151"/>
      <c r="M92" s="152">
        <f>IF(E59=0,0,IF(E59&gt;0,ROUNDUP(2.6/(E59/1000),0)))</f>
        <v>20</v>
      </c>
      <c r="N92" s="2"/>
      <c r="O92" s="2"/>
      <c r="P92" s="2"/>
      <c r="Q92" s="15"/>
    </row>
    <row r="93" spans="2:17" x14ac:dyDescent="0.2">
      <c r="B93" s="174" t="s">
        <v>186</v>
      </c>
      <c r="C93" s="175">
        <f>IF(E60=0,0,IF(E60&gt;0,(IF(' Общие данные'!C37="2-х скатная",Расчеты!I70,IF(' Общие данные'!C45="вальмовая",Расчеты!M79)))))</f>
        <v>15</v>
      </c>
      <c r="D93" s="175"/>
      <c r="E93" s="176"/>
      <c r="F93" s="203" t="s">
        <v>242</v>
      </c>
      <c r="G93" s="204"/>
      <c r="H93" s="204"/>
      <c r="I93" s="205">
        <f>IF(E59=0,0,IF(E59&gt;0,ROUNDUP(I95/(E59/1000),0)))</f>
        <v>0</v>
      </c>
      <c r="J93" s="204" t="s">
        <v>242</v>
      </c>
      <c r="K93" s="204"/>
      <c r="L93" s="204"/>
      <c r="M93" s="206">
        <f>IF(E59=0,0,IF(E59&gt;0,ROUNDUP(M95/(E59/1000),0)))</f>
        <v>0</v>
      </c>
      <c r="N93" s="2"/>
      <c r="O93" s="2"/>
      <c r="P93" s="2"/>
      <c r="Q93" s="15"/>
    </row>
    <row r="94" spans="2:17" ht="13.5" thickBot="1" x14ac:dyDescent="0.25">
      <c r="B94" s="47" t="s">
        <v>188</v>
      </c>
      <c r="C94" s="37">
        <f>C92*C93</f>
        <v>0</v>
      </c>
      <c r="D94" s="37"/>
      <c r="E94" s="37"/>
      <c r="F94" s="150" t="s">
        <v>189</v>
      </c>
      <c r="G94" s="151">
        <f>TAN(RADIANS(30))</f>
        <v>0.57735026918962573</v>
      </c>
      <c r="H94" s="151"/>
      <c r="I94" s="163"/>
      <c r="J94" s="151" t="s">
        <v>189</v>
      </c>
      <c r="K94" s="151">
        <f>TAN(RADIANS(30))</f>
        <v>0.57735026918962573</v>
      </c>
      <c r="L94" s="151"/>
      <c r="M94" s="152"/>
      <c r="N94" s="2"/>
      <c r="O94" s="2"/>
      <c r="P94" s="2"/>
      <c r="Q94" s="15"/>
    </row>
    <row r="95" spans="2:17" x14ac:dyDescent="0.2">
      <c r="B95" s="165" t="s">
        <v>247</v>
      </c>
      <c r="C95" s="166"/>
      <c r="D95" s="166"/>
      <c r="E95" s="166"/>
      <c r="F95" s="203" t="s">
        <v>238</v>
      </c>
      <c r="G95" s="204"/>
      <c r="H95" s="204"/>
      <c r="I95" s="205">
        <f>IF(' Общие данные'!N45=0,0,IF(' Общие данные'!N45&gt;0,ROUNDUP(G94*(' Общие данные'!N45-1)/2,2)))</f>
        <v>0</v>
      </c>
      <c r="J95" s="204" t="s">
        <v>238</v>
      </c>
      <c r="K95" s="204"/>
      <c r="L95" s="204"/>
      <c r="M95" s="206">
        <f>IF(' Общие данные'!R45=0,0,IF(' Общие данные'!R45&gt;0,ROUNDUP(K94*(' Общие данные'!R45-1)/2,2)))</f>
        <v>0</v>
      </c>
      <c r="N95" s="2"/>
      <c r="O95" s="2"/>
      <c r="P95" s="2"/>
      <c r="Q95" s="15"/>
    </row>
    <row r="96" spans="2:17" x14ac:dyDescent="0.2">
      <c r="B96" s="168" t="s">
        <v>187</v>
      </c>
      <c r="C96" s="169">
        <f>_xlfn.CEILING.MATH(' Общие данные'!F45/6,0.5)</f>
        <v>0</v>
      </c>
      <c r="D96" s="184" t="s">
        <v>182</v>
      </c>
      <c r="E96" s="169"/>
      <c r="F96" s="150" t="s">
        <v>239</v>
      </c>
      <c r="G96" s="151"/>
      <c r="H96" s="151"/>
      <c r="I96" s="163">
        <f>IF(' Общие данные'!L48="из стенового материала",0,IF(' Общие данные'!L48="каркасные",ROUNDUP(0.5*(' Общие данные'!N45*2)*2.6+0.5*(' Общие данные'!N45-1)*Расчеты!I95,2)))</f>
        <v>0</v>
      </c>
      <c r="J96" s="151" t="s">
        <v>239</v>
      </c>
      <c r="K96" s="151"/>
      <c r="L96" s="151"/>
      <c r="M96" s="152">
        <f>IF(' Общие данные'!L48="из стенового материала",0,IF(' Общие данные'!L48="каркасные",ROUNDUP(0.5*(' Общие данные'!R45*2)*2.6+0.5*(' Общие данные'!R45-1)*Расчеты!M95,2)))</f>
        <v>0</v>
      </c>
      <c r="N96" s="2"/>
      <c r="O96" s="2"/>
      <c r="P96" s="2"/>
      <c r="Q96" s="15"/>
    </row>
    <row r="97" spans="2:17" x14ac:dyDescent="0.2">
      <c r="B97" s="168" t="s">
        <v>186</v>
      </c>
      <c r="C97" s="169">
        <f>IF(E60=0,0,IF(E60&gt;0,(IF(' Общие данные'!C37="2-х скатная",Q70,IF(' Общие данные'!C37="вальмовая",Q79)))))</f>
        <v>5</v>
      </c>
      <c r="D97" s="169"/>
      <c r="E97" s="184"/>
      <c r="F97" s="203" t="s">
        <v>240</v>
      </c>
      <c r="G97" s="204"/>
      <c r="H97" s="204"/>
      <c r="I97" s="205">
        <f>IF(' Общие данные'!L48="из стенового материала",0,IF(' Общие данные'!L48="каркасные",ROUNDUP(0.5*(' Общие данные'!N45*2)*2.6+0.5*(' Общие данные'!N45-1)*Расчеты!I95,2)))*' Общие данные'!N47</f>
        <v>0</v>
      </c>
      <c r="J97" s="204" t="s">
        <v>240</v>
      </c>
      <c r="K97" s="204"/>
      <c r="L97" s="204"/>
      <c r="M97" s="206">
        <f>IF(' Общие данные'!L48="из стенового материала",0,IF(' Общие данные'!L48="каркасные",ROUNDUP(0.5*(' Общие данные'!R45*2)*2.6+0.5*(' Общие данные'!R45-1)*Расчеты!M95,2)))*' Общие данные'!R47</f>
        <v>0</v>
      </c>
      <c r="N97" s="2"/>
      <c r="O97" s="2"/>
      <c r="P97" s="2"/>
      <c r="Q97" s="15"/>
    </row>
    <row r="98" spans="2:17" ht="13.5" thickBot="1" x14ac:dyDescent="0.25">
      <c r="B98" s="144" t="s">
        <v>188</v>
      </c>
      <c r="C98" s="7">
        <f>C96*C97</f>
        <v>0</v>
      </c>
      <c r="D98" s="7"/>
      <c r="E98" s="7"/>
      <c r="F98" s="203" t="s">
        <v>193</v>
      </c>
      <c r="G98" s="204"/>
      <c r="H98" s="204"/>
      <c r="I98" s="205">
        <f>(IF(' Общие данные'!N45=0,0,IF(' Общие данные'!N45&gt;0,(SQRT(Расчеты!I95^2+((' Общие данные'!N45-1)/2)^2)+2.9)*(' Общие данные'!N46+1.2)*2)))</f>
        <v>0</v>
      </c>
      <c r="J98" s="204" t="s">
        <v>193</v>
      </c>
      <c r="K98" s="204"/>
      <c r="L98" s="204"/>
      <c r="M98" s="206">
        <f>(IF(' Общие данные'!R45=0,0,IF(' Общие данные'!R45&gt;0,(SQRT(Расчеты!M95^2+((' Общие данные'!R45-1)/2)^2)+2.9)*(' Общие данные'!R46+1.2)*2)))</f>
        <v>0</v>
      </c>
      <c r="N98" s="2"/>
      <c r="O98" s="2"/>
      <c r="P98" s="2"/>
      <c r="Q98" s="15"/>
    </row>
    <row r="99" spans="2:17" ht="13.5" thickBot="1" x14ac:dyDescent="0.25">
      <c r="B99" s="98"/>
      <c r="C99" s="100"/>
      <c r="D99" s="100"/>
      <c r="E99" s="100"/>
      <c r="F99" s="153" t="s">
        <v>241</v>
      </c>
      <c r="G99" s="154"/>
      <c r="H99" s="154"/>
      <c r="I99" s="164">
        <f>(IF(' Общие данные'!N45=0,0,IF(' Общие данные'!N45&gt;0,(2.6*2*' Общие данные'!N46+' Общие данные'!N46*(' Общие данные'!N45-1)))))</f>
        <v>0</v>
      </c>
      <c r="J99" s="154" t="s">
        <v>241</v>
      </c>
      <c r="K99" s="154"/>
      <c r="L99" s="154"/>
      <c r="M99" s="155">
        <f>(IF(' Общие данные'!L48=0,0,IF(' Общие данные'!L48&gt;0,(2.6*2*' Общие данные'!R46+' Общие данные'!R46*(' Общие данные'!R45-1)))))</f>
        <v>0</v>
      </c>
      <c r="N99" s="108"/>
      <c r="O99" s="108"/>
      <c r="P99" s="108"/>
      <c r="Q99" s="109"/>
    </row>
    <row r="100" spans="2:17" ht="13.5" thickBot="1" x14ac:dyDescent="0.25"/>
    <row r="101" spans="2:17" ht="13.5" thickBot="1" x14ac:dyDescent="0.25">
      <c r="B101" s="171" t="s">
        <v>248</v>
      </c>
      <c r="C101" s="172"/>
      <c r="D101" s="183">
        <f>ROUND(C70+C78+C86+C90+I63+M63+Q63+I71+M71+Q71+I80+M80+Q80+I91+M91,0)</f>
        <v>588</v>
      </c>
      <c r="E101" s="49" t="s">
        <v>279</v>
      </c>
      <c r="F101" s="257"/>
      <c r="G101" s="257"/>
      <c r="H101" s="31">
        <f>(ROUND(' Общие данные'!C36/0.15,0)+1)*0.15</f>
        <v>0.89999999999999991</v>
      </c>
    </row>
    <row r="102" spans="2:17" x14ac:dyDescent="0.2">
      <c r="B102" s="174" t="s">
        <v>257</v>
      </c>
      <c r="C102" s="175"/>
      <c r="D102" s="177">
        <f>ROUND((IF(' Общие данные'!C25="ОЦБ_Строй_деталь",D101*3.14*((Расчеты!C59)/1000/2)^2*6,D101*(C59/1000)*(D59/1000)*6)),0)</f>
        <v>70</v>
      </c>
    </row>
    <row r="103" spans="2:17" x14ac:dyDescent="0.2">
      <c r="B103" s="174" t="s">
        <v>256</v>
      </c>
      <c r="C103" s="175"/>
      <c r="D103" s="177">
        <v>1.05</v>
      </c>
    </row>
    <row r="104" spans="2:17" x14ac:dyDescent="0.2">
      <c r="B104" s="174" t="s">
        <v>258</v>
      </c>
      <c r="C104" s="175"/>
      <c r="D104" s="177">
        <f>LOOKUP(D102,{0,41,61,121,161,400},{3,4,5,6,8})</f>
        <v>5</v>
      </c>
    </row>
    <row r="105" spans="2:17" ht="13.5" thickBot="1" x14ac:dyDescent="0.25">
      <c r="B105" s="47" t="s">
        <v>261</v>
      </c>
      <c r="C105" s="37"/>
      <c r="D105" s="38">
        <f>ROUND(D102*D103+D104,0)</f>
        <v>79</v>
      </c>
    </row>
    <row r="106" spans="2:17" x14ac:dyDescent="0.2">
      <c r="B106" s="171" t="s">
        <v>255</v>
      </c>
      <c r="C106" s="172"/>
      <c r="D106" s="183">
        <f>ROUND(C74+C82+C94+C98+I72+M72+Q72+I81+M81+Q81,0)</f>
        <v>0</v>
      </c>
    </row>
    <row r="107" spans="2:17" x14ac:dyDescent="0.2">
      <c r="B107" s="174" t="s">
        <v>259</v>
      </c>
      <c r="C107" s="175"/>
      <c r="D107" s="177">
        <f>ROUND(IF(' Общие данные'!C25="ОЦБ_Строй_деталь",D106*3.14*((C60)/1000/2)^2*6,D106*(C60/1000)*(D60/1000)*6),0)</f>
        <v>0</v>
      </c>
    </row>
    <row r="108" spans="2:17" x14ac:dyDescent="0.2">
      <c r="B108" s="174" t="s">
        <v>256</v>
      </c>
      <c r="C108" s="175"/>
      <c r="D108" s="177">
        <v>1.05</v>
      </c>
    </row>
    <row r="109" spans="2:17" x14ac:dyDescent="0.2">
      <c r="B109" s="174" t="s">
        <v>258</v>
      </c>
      <c r="C109" s="175"/>
      <c r="D109" s="177">
        <v>0</v>
      </c>
    </row>
    <row r="110" spans="2:17" ht="13.5" thickBot="1" x14ac:dyDescent="0.25">
      <c r="B110" s="47" t="s">
        <v>260</v>
      </c>
      <c r="C110" s="37"/>
      <c r="D110" s="38">
        <f>ROUND(D107*D108,0)</f>
        <v>0</v>
      </c>
      <c r="H110" s="17"/>
    </row>
    <row r="111" spans="2:17" ht="13.5" thickBot="1" x14ac:dyDescent="0.25">
      <c r="B111" s="258" t="s">
        <v>193</v>
      </c>
      <c r="C111" s="83"/>
      <c r="D111" s="259">
        <f>ROUNDUP(I67+M67+Q67+I76+M76+Q76+I85+M87+Q87+I98+M98,0)</f>
        <v>187</v>
      </c>
    </row>
  </sheetData>
  <mergeCells count="2">
    <mergeCell ref="E6:F6"/>
    <mergeCell ref="E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27"/>
  <sheetViews>
    <sheetView topLeftCell="A117" workbookViewId="0">
      <selection activeCell="H20" sqref="H20"/>
    </sheetView>
  </sheetViews>
  <sheetFormatPr defaultRowHeight="12.75" x14ac:dyDescent="0.2"/>
  <cols>
    <col min="1" max="1" width="29" style="96" customWidth="1"/>
    <col min="2" max="2" width="11.7109375" style="96" customWidth="1"/>
    <col min="3" max="3" width="10.85546875" style="96" customWidth="1"/>
    <col min="4" max="4" width="4.7109375" style="96" customWidth="1"/>
    <col min="5" max="5" width="8.28515625" style="96" customWidth="1"/>
    <col min="6" max="6" width="8.85546875" style="96" customWidth="1"/>
    <col min="7" max="7" width="9.140625" style="96"/>
    <col min="8" max="8" width="6.5703125" style="96" customWidth="1"/>
    <col min="9" max="9" width="9.42578125" style="96" customWidth="1"/>
    <col min="10" max="10" width="11.28515625" style="96" customWidth="1"/>
    <col min="11" max="11" width="16.5703125" style="96" customWidth="1"/>
    <col min="12" max="16384" width="9.140625" style="96"/>
  </cols>
  <sheetData>
    <row r="1" spans="1:8" ht="13.5" thickBot="1" x14ac:dyDescent="0.25"/>
    <row r="2" spans="1:8" ht="38.25" x14ac:dyDescent="0.2">
      <c r="A2" s="76" t="s">
        <v>57</v>
      </c>
      <c r="B2" s="77" t="s">
        <v>58</v>
      </c>
      <c r="C2" s="78"/>
      <c r="D2" s="75" t="s">
        <v>59</v>
      </c>
      <c r="E2" s="74" t="s">
        <v>60</v>
      </c>
      <c r="F2" s="74" t="s">
        <v>60</v>
      </c>
      <c r="G2" s="72"/>
      <c r="H2" s="73"/>
    </row>
    <row r="3" spans="1:8" ht="13.5" thickBot="1" x14ac:dyDescent="0.25">
      <c r="A3" s="97"/>
      <c r="B3" s="98" t="s">
        <v>78</v>
      </c>
      <c r="C3" s="99" t="s">
        <v>66</v>
      </c>
      <c r="D3" s="100"/>
      <c r="E3" s="101" t="s">
        <v>64</v>
      </c>
      <c r="F3" s="101" t="s">
        <v>65</v>
      </c>
    </row>
    <row r="4" spans="1:8" x14ac:dyDescent="0.2">
      <c r="A4" s="82"/>
      <c r="B4" s="82" t="s">
        <v>18</v>
      </c>
      <c r="C4" s="17"/>
      <c r="D4" s="17"/>
      <c r="E4" s="17"/>
      <c r="F4" s="91"/>
    </row>
    <row r="5" spans="1:8" ht="14.25" x14ac:dyDescent="0.2">
      <c r="A5" s="55" t="s">
        <v>61</v>
      </c>
      <c r="B5" s="17" t="s">
        <v>80</v>
      </c>
      <c r="C5" s="17">
        <v>135</v>
      </c>
      <c r="D5" s="17" t="s">
        <v>62</v>
      </c>
      <c r="E5" s="17">
        <v>8500</v>
      </c>
      <c r="F5" s="91">
        <v>10500</v>
      </c>
    </row>
    <row r="6" spans="1:8" ht="14.25" x14ac:dyDescent="0.2">
      <c r="A6" s="55" t="s">
        <v>61</v>
      </c>
      <c r="B6" s="17" t="s">
        <v>81</v>
      </c>
      <c r="C6" s="17">
        <v>135</v>
      </c>
      <c r="D6" s="17" t="s">
        <v>62</v>
      </c>
      <c r="E6" s="17">
        <v>8600</v>
      </c>
      <c r="F6" s="91">
        <v>10600</v>
      </c>
    </row>
    <row r="7" spans="1:8" ht="14.25" x14ac:dyDescent="0.2">
      <c r="A7" s="55" t="s">
        <v>61</v>
      </c>
      <c r="B7" s="17" t="s">
        <v>82</v>
      </c>
      <c r="C7" s="17">
        <v>185</v>
      </c>
      <c r="D7" s="17" t="s">
        <v>62</v>
      </c>
      <c r="E7" s="17">
        <v>8700</v>
      </c>
      <c r="F7" s="91">
        <v>10700</v>
      </c>
    </row>
    <row r="8" spans="1:8" ht="14.25" x14ac:dyDescent="0.2">
      <c r="A8" s="55" t="s">
        <v>61</v>
      </c>
      <c r="B8" s="17" t="s">
        <v>83</v>
      </c>
      <c r="C8" s="17">
        <v>180</v>
      </c>
      <c r="D8" s="17" t="s">
        <v>62</v>
      </c>
      <c r="E8" s="17">
        <v>10600</v>
      </c>
      <c r="F8" s="91">
        <v>12700</v>
      </c>
    </row>
    <row r="9" spans="1:8" ht="14.25" x14ac:dyDescent="0.2">
      <c r="A9" s="55" t="s">
        <v>61</v>
      </c>
      <c r="B9" s="17" t="s">
        <v>165</v>
      </c>
      <c r="C9" s="17">
        <v>0</v>
      </c>
      <c r="D9" s="17" t="s">
        <v>62</v>
      </c>
      <c r="E9" s="17">
        <v>0</v>
      </c>
      <c r="F9" s="91">
        <v>0</v>
      </c>
    </row>
    <row r="10" spans="1:8" ht="14.25" x14ac:dyDescent="0.2">
      <c r="A10" s="55" t="s">
        <v>63</v>
      </c>
      <c r="B10" s="17" t="s">
        <v>84</v>
      </c>
      <c r="C10" s="17">
        <v>130</v>
      </c>
      <c r="D10" s="17" t="s">
        <v>62</v>
      </c>
      <c r="E10" s="17">
        <v>11300</v>
      </c>
      <c r="F10" s="91">
        <v>13500</v>
      </c>
    </row>
    <row r="11" spans="1:8" ht="14.25" x14ac:dyDescent="0.2">
      <c r="A11" s="55" t="s">
        <v>63</v>
      </c>
      <c r="B11" s="17" t="s">
        <v>85</v>
      </c>
      <c r="C11" s="17">
        <v>130</v>
      </c>
      <c r="D11" s="17" t="s">
        <v>62</v>
      </c>
      <c r="E11" s="17">
        <v>11300</v>
      </c>
      <c r="F11" s="91">
        <v>13500</v>
      </c>
    </row>
    <row r="12" spans="1:8" ht="14.25" x14ac:dyDescent="0.2">
      <c r="A12" s="55" t="s">
        <v>63</v>
      </c>
      <c r="B12" s="17" t="s">
        <v>165</v>
      </c>
      <c r="C12" s="17">
        <v>0</v>
      </c>
      <c r="D12" s="17" t="s">
        <v>62</v>
      </c>
      <c r="E12" s="17">
        <v>0</v>
      </c>
      <c r="F12" s="91">
        <v>0</v>
      </c>
    </row>
    <row r="13" spans="1:8" x14ac:dyDescent="0.2">
      <c r="A13" s="54"/>
      <c r="B13" s="95" t="s">
        <v>19</v>
      </c>
      <c r="C13" s="89"/>
      <c r="D13" s="89"/>
      <c r="E13" s="89"/>
      <c r="F13" s="90"/>
    </row>
    <row r="14" spans="1:8" ht="14.25" x14ac:dyDescent="0.2">
      <c r="A14" s="55" t="s">
        <v>61</v>
      </c>
      <c r="B14" s="17" t="s">
        <v>86</v>
      </c>
      <c r="C14" s="17">
        <v>135</v>
      </c>
      <c r="D14" s="17" t="s">
        <v>62</v>
      </c>
      <c r="E14" s="17">
        <v>8300</v>
      </c>
      <c r="F14" s="91">
        <v>10400</v>
      </c>
    </row>
    <row r="15" spans="1:8" ht="14.25" x14ac:dyDescent="0.2">
      <c r="A15" s="55" t="s">
        <v>61</v>
      </c>
      <c r="B15" s="17" t="s">
        <v>87</v>
      </c>
      <c r="C15" s="17">
        <v>135</v>
      </c>
      <c r="D15" s="17" t="s">
        <v>62</v>
      </c>
      <c r="E15" s="17">
        <v>8400</v>
      </c>
      <c r="F15" s="91">
        <v>10500</v>
      </c>
    </row>
    <row r="16" spans="1:8" ht="14.25" x14ac:dyDescent="0.2">
      <c r="A16" s="55" t="s">
        <v>61</v>
      </c>
      <c r="B16" s="17" t="s">
        <v>88</v>
      </c>
      <c r="C16" s="17">
        <v>185</v>
      </c>
      <c r="D16" s="17" t="s">
        <v>62</v>
      </c>
      <c r="E16" s="17">
        <v>8600</v>
      </c>
      <c r="F16" s="91">
        <v>10700</v>
      </c>
    </row>
    <row r="17" spans="1:11" ht="14.25" x14ac:dyDescent="0.2">
      <c r="A17" s="55" t="s">
        <v>61</v>
      </c>
      <c r="B17" s="17" t="s">
        <v>165</v>
      </c>
      <c r="C17" s="17">
        <v>0</v>
      </c>
      <c r="D17" s="17" t="s">
        <v>62</v>
      </c>
      <c r="E17" s="17">
        <v>0</v>
      </c>
      <c r="F17" s="91">
        <v>0</v>
      </c>
    </row>
    <row r="18" spans="1:11" ht="14.25" x14ac:dyDescent="0.2">
      <c r="A18" s="55" t="s">
        <v>63</v>
      </c>
      <c r="B18" s="17" t="s">
        <v>89</v>
      </c>
      <c r="C18" s="17">
        <v>130</v>
      </c>
      <c r="D18" s="17" t="s">
        <v>62</v>
      </c>
      <c r="E18" s="17">
        <v>11660</v>
      </c>
      <c r="F18" s="91">
        <v>13700</v>
      </c>
    </row>
    <row r="19" spans="1:11" ht="14.25" x14ac:dyDescent="0.2">
      <c r="A19" s="55" t="s">
        <v>63</v>
      </c>
      <c r="B19" s="17" t="s">
        <v>90</v>
      </c>
      <c r="C19" s="17">
        <v>130</v>
      </c>
      <c r="D19" s="17" t="s">
        <v>62</v>
      </c>
      <c r="E19" s="17">
        <v>11660</v>
      </c>
      <c r="F19" s="91">
        <v>13700</v>
      </c>
    </row>
    <row r="20" spans="1:11" ht="14.25" x14ac:dyDescent="0.2">
      <c r="A20" s="55" t="s">
        <v>63</v>
      </c>
      <c r="B20" s="17" t="s">
        <v>91</v>
      </c>
      <c r="C20" s="17">
        <v>180</v>
      </c>
      <c r="D20" s="17" t="s">
        <v>62</v>
      </c>
      <c r="E20" s="17">
        <v>11800</v>
      </c>
      <c r="F20" s="91">
        <v>14000</v>
      </c>
    </row>
    <row r="21" spans="1:11" ht="14.25" x14ac:dyDescent="0.2">
      <c r="A21" s="55" t="s">
        <v>63</v>
      </c>
      <c r="B21" s="17" t="s">
        <v>165</v>
      </c>
      <c r="C21" s="17">
        <v>0</v>
      </c>
      <c r="D21" s="17" t="s">
        <v>62</v>
      </c>
      <c r="E21" s="17">
        <v>0</v>
      </c>
      <c r="F21" s="91">
        <v>0</v>
      </c>
    </row>
    <row r="22" spans="1:11" x14ac:dyDescent="0.2">
      <c r="A22" s="54"/>
      <c r="B22" s="95" t="s">
        <v>20</v>
      </c>
      <c r="C22" s="89"/>
      <c r="D22" s="89"/>
      <c r="E22" s="89"/>
      <c r="F22" s="90"/>
      <c r="K22" s="102"/>
    </row>
    <row r="23" spans="1:11" ht="14.25" x14ac:dyDescent="0.2">
      <c r="A23" s="55" t="s">
        <v>61</v>
      </c>
      <c r="B23" s="17" t="s">
        <v>216</v>
      </c>
      <c r="C23" s="17">
        <v>135</v>
      </c>
      <c r="D23" s="17" t="s">
        <v>62</v>
      </c>
      <c r="E23" s="17">
        <v>9300</v>
      </c>
      <c r="F23" s="91">
        <v>10700</v>
      </c>
      <c r="K23" s="102"/>
    </row>
    <row r="24" spans="1:11" ht="14.25" x14ac:dyDescent="0.2">
      <c r="A24" s="55" t="s">
        <v>61</v>
      </c>
      <c r="B24" s="17" t="s">
        <v>80</v>
      </c>
      <c r="C24" s="17">
        <v>135</v>
      </c>
      <c r="D24" s="17" t="s">
        <v>62</v>
      </c>
      <c r="E24" s="17">
        <v>9300</v>
      </c>
      <c r="F24" s="91">
        <v>10700</v>
      </c>
    </row>
    <row r="25" spans="1:11" ht="14.25" x14ac:dyDescent="0.2">
      <c r="A25" s="55" t="s">
        <v>61</v>
      </c>
      <c r="B25" s="17" t="s">
        <v>81</v>
      </c>
      <c r="C25" s="17">
        <v>135</v>
      </c>
      <c r="D25" s="17" t="s">
        <v>62</v>
      </c>
      <c r="E25" s="17">
        <v>10300</v>
      </c>
      <c r="F25" s="91">
        <v>11600</v>
      </c>
    </row>
    <row r="26" spans="1:11" ht="14.25" x14ac:dyDescent="0.2">
      <c r="A26" s="55" t="s">
        <v>61</v>
      </c>
      <c r="B26" s="17" t="s">
        <v>82</v>
      </c>
      <c r="C26" s="17">
        <v>185</v>
      </c>
      <c r="D26" s="17" t="s">
        <v>62</v>
      </c>
      <c r="E26" s="17">
        <v>10300</v>
      </c>
      <c r="F26" s="91">
        <v>11600</v>
      </c>
    </row>
    <row r="27" spans="1:11" ht="14.25" x14ac:dyDescent="0.2">
      <c r="A27" s="56" t="s">
        <v>61</v>
      </c>
      <c r="B27" s="92" t="s">
        <v>165</v>
      </c>
      <c r="C27" s="92">
        <v>0</v>
      </c>
      <c r="D27" s="92" t="s">
        <v>62</v>
      </c>
      <c r="E27" s="92">
        <v>0</v>
      </c>
      <c r="F27" s="93">
        <v>0</v>
      </c>
    </row>
    <row r="28" spans="1:11" x14ac:dyDescent="0.2">
      <c r="A28" s="55"/>
      <c r="B28" s="94" t="s">
        <v>17</v>
      </c>
      <c r="C28" s="17"/>
      <c r="D28" s="17"/>
      <c r="E28" s="17"/>
      <c r="F28" s="91"/>
    </row>
    <row r="29" spans="1:11" ht="14.25" x14ac:dyDescent="0.2">
      <c r="A29" s="55" t="s">
        <v>17</v>
      </c>
      <c r="B29" s="17" t="s">
        <v>92</v>
      </c>
      <c r="C29" s="17">
        <v>150</v>
      </c>
      <c r="D29" s="17" t="s">
        <v>62</v>
      </c>
      <c r="E29" s="17">
        <v>6600</v>
      </c>
      <c r="F29" s="91"/>
    </row>
    <row r="30" spans="1:11" ht="14.25" x14ac:dyDescent="0.2">
      <c r="A30" s="55" t="s">
        <v>17</v>
      </c>
      <c r="B30" s="17" t="s">
        <v>93</v>
      </c>
      <c r="C30" s="17">
        <v>150</v>
      </c>
      <c r="D30" s="17" t="s">
        <v>62</v>
      </c>
      <c r="E30" s="17">
        <v>6600</v>
      </c>
      <c r="F30" s="91"/>
    </row>
    <row r="31" spans="1:11" ht="14.25" x14ac:dyDescent="0.2">
      <c r="A31" s="55" t="s">
        <v>17</v>
      </c>
      <c r="B31" s="17" t="s">
        <v>94</v>
      </c>
      <c r="C31" s="17">
        <v>200</v>
      </c>
      <c r="D31" s="17" t="s">
        <v>62</v>
      </c>
      <c r="E31" s="17">
        <v>6600</v>
      </c>
      <c r="F31" s="91"/>
    </row>
    <row r="32" spans="1:11" ht="14.25" x14ac:dyDescent="0.2">
      <c r="A32" s="55" t="s">
        <v>17</v>
      </c>
      <c r="B32" s="17" t="s">
        <v>165</v>
      </c>
      <c r="C32" s="17">
        <v>0</v>
      </c>
      <c r="D32" s="17" t="s">
        <v>62</v>
      </c>
      <c r="E32" s="17">
        <v>0</v>
      </c>
      <c r="F32" s="91"/>
    </row>
    <row r="33" spans="1:9" x14ac:dyDescent="0.2">
      <c r="A33" s="54"/>
      <c r="B33" s="95" t="s">
        <v>16</v>
      </c>
      <c r="C33" s="89"/>
      <c r="D33" s="89"/>
      <c r="E33" s="89"/>
      <c r="F33" s="90"/>
    </row>
    <row r="34" spans="1:9" ht="14.25" x14ac:dyDescent="0.2">
      <c r="A34" s="55" t="s">
        <v>72</v>
      </c>
      <c r="B34" s="17">
        <v>140</v>
      </c>
      <c r="C34" s="17">
        <v>121</v>
      </c>
      <c r="D34" s="17" t="s">
        <v>62</v>
      </c>
      <c r="E34" s="17"/>
      <c r="F34" s="91">
        <v>7100</v>
      </c>
    </row>
    <row r="35" spans="1:9" ht="14.25" x14ac:dyDescent="0.2">
      <c r="A35" s="55" t="s">
        <v>72</v>
      </c>
      <c r="B35" s="17">
        <v>160</v>
      </c>
      <c r="C35" s="17">
        <v>139</v>
      </c>
      <c r="D35" s="17" t="s">
        <v>62</v>
      </c>
      <c r="E35" s="17"/>
      <c r="F35" s="91">
        <v>7100</v>
      </c>
    </row>
    <row r="36" spans="1:9" ht="14.25" x14ac:dyDescent="0.2">
      <c r="A36" s="55" t="s">
        <v>72</v>
      </c>
      <c r="B36" s="17">
        <v>180</v>
      </c>
      <c r="C36" s="17">
        <v>155</v>
      </c>
      <c r="D36" s="17" t="s">
        <v>62</v>
      </c>
      <c r="E36" s="17"/>
      <c r="F36" s="91">
        <v>7100</v>
      </c>
    </row>
    <row r="37" spans="1:9" ht="15" x14ac:dyDescent="0.25">
      <c r="A37" s="55" t="s">
        <v>72</v>
      </c>
      <c r="B37" s="17">
        <v>200</v>
      </c>
      <c r="C37" s="17">
        <v>173</v>
      </c>
      <c r="D37" s="17" t="s">
        <v>77</v>
      </c>
      <c r="E37" s="17"/>
      <c r="F37" s="91">
        <v>7100</v>
      </c>
    </row>
    <row r="38" spans="1:9" ht="15" x14ac:dyDescent="0.25">
      <c r="A38" s="55" t="s">
        <v>72</v>
      </c>
      <c r="B38" s="17">
        <v>220</v>
      </c>
      <c r="C38" s="17">
        <v>189</v>
      </c>
      <c r="D38" s="17" t="s">
        <v>77</v>
      </c>
      <c r="E38" s="17"/>
      <c r="F38" s="91">
        <v>7100</v>
      </c>
    </row>
    <row r="39" spans="1:9" ht="15" x14ac:dyDescent="0.25">
      <c r="A39" s="55" t="s">
        <v>72</v>
      </c>
      <c r="B39" s="17">
        <v>240</v>
      </c>
      <c r="C39" s="17">
        <v>207</v>
      </c>
      <c r="D39" s="17" t="s">
        <v>77</v>
      </c>
      <c r="E39" s="17"/>
      <c r="F39" s="91">
        <v>7100</v>
      </c>
    </row>
    <row r="40" spans="1:9" ht="15" x14ac:dyDescent="0.25">
      <c r="A40" s="55" t="s">
        <v>72</v>
      </c>
      <c r="B40" s="17">
        <v>260</v>
      </c>
      <c r="C40" s="17">
        <v>225</v>
      </c>
      <c r="D40" s="17" t="s">
        <v>77</v>
      </c>
      <c r="E40" s="17"/>
      <c r="F40" s="91">
        <v>7100</v>
      </c>
    </row>
    <row r="41" spans="1:9" ht="15" x14ac:dyDescent="0.25">
      <c r="A41" s="55" t="s">
        <v>72</v>
      </c>
      <c r="B41" s="17">
        <v>280</v>
      </c>
      <c r="C41" s="17">
        <v>243</v>
      </c>
      <c r="D41" s="17" t="s">
        <v>77</v>
      </c>
      <c r="E41" s="17"/>
      <c r="F41" s="91">
        <v>7100</v>
      </c>
    </row>
    <row r="42" spans="1:9" ht="15" x14ac:dyDescent="0.25">
      <c r="A42" s="55" t="s">
        <v>72</v>
      </c>
      <c r="B42" s="17">
        <v>300</v>
      </c>
      <c r="C42" s="17">
        <v>259</v>
      </c>
      <c r="D42" s="17" t="s">
        <v>77</v>
      </c>
      <c r="E42" s="17"/>
      <c r="F42" s="91">
        <v>7100</v>
      </c>
    </row>
    <row r="43" spans="1:9" ht="15" x14ac:dyDescent="0.25">
      <c r="A43" s="55" t="s">
        <v>72</v>
      </c>
      <c r="B43" s="17">
        <v>320</v>
      </c>
      <c r="C43" s="17">
        <v>277</v>
      </c>
      <c r="D43" s="17" t="s">
        <v>77</v>
      </c>
      <c r="E43" s="17"/>
      <c r="F43" s="91">
        <v>7100</v>
      </c>
    </row>
    <row r="44" spans="1:9" ht="15" x14ac:dyDescent="0.25">
      <c r="A44" s="55" t="s">
        <v>72</v>
      </c>
      <c r="B44" s="17">
        <v>340</v>
      </c>
      <c r="C44" s="17">
        <v>295</v>
      </c>
      <c r="D44" s="17" t="s">
        <v>77</v>
      </c>
      <c r="E44" s="17"/>
      <c r="F44" s="91">
        <v>7100</v>
      </c>
    </row>
    <row r="45" spans="1:9" ht="15" x14ac:dyDescent="0.25">
      <c r="A45" s="55" t="s">
        <v>72</v>
      </c>
      <c r="B45" s="17">
        <v>0</v>
      </c>
      <c r="C45" s="17">
        <v>0</v>
      </c>
      <c r="D45" s="17" t="s">
        <v>77</v>
      </c>
      <c r="E45" s="17"/>
      <c r="F45" s="91">
        <v>0</v>
      </c>
    </row>
    <row r="46" spans="1:9" x14ac:dyDescent="0.2">
      <c r="A46" s="54"/>
      <c r="B46" s="95" t="s">
        <v>95</v>
      </c>
      <c r="C46" s="89"/>
      <c r="D46" s="89"/>
      <c r="E46" s="89"/>
      <c r="F46" s="90"/>
    </row>
    <row r="47" spans="1:9" ht="14.25" x14ac:dyDescent="0.2">
      <c r="A47" s="55" t="s">
        <v>96</v>
      </c>
      <c r="B47" s="17" t="s">
        <v>97</v>
      </c>
      <c r="C47" s="17">
        <v>130</v>
      </c>
      <c r="D47" s="17" t="s">
        <v>62</v>
      </c>
      <c r="E47" s="17">
        <v>24500</v>
      </c>
      <c r="F47" s="91">
        <v>26500</v>
      </c>
    </row>
    <row r="48" spans="1:9" ht="14.25" x14ac:dyDescent="0.2">
      <c r="A48" s="55" t="s">
        <v>96</v>
      </c>
      <c r="B48" s="17" t="s">
        <v>98</v>
      </c>
      <c r="C48" s="17">
        <v>130</v>
      </c>
      <c r="D48" s="17" t="s">
        <v>62</v>
      </c>
      <c r="E48" s="17">
        <v>23500</v>
      </c>
      <c r="F48" s="91">
        <v>26500</v>
      </c>
      <c r="I48" s="17"/>
    </row>
    <row r="49" spans="1:11" ht="14.25" x14ac:dyDescent="0.2">
      <c r="A49" s="55" t="s">
        <v>96</v>
      </c>
      <c r="B49" s="17" t="s">
        <v>99</v>
      </c>
      <c r="C49" s="17">
        <v>130</v>
      </c>
      <c r="D49" s="17" t="s">
        <v>62</v>
      </c>
      <c r="E49" s="17">
        <v>22500</v>
      </c>
      <c r="F49" s="91">
        <v>26500</v>
      </c>
    </row>
    <row r="50" spans="1:11" ht="15" x14ac:dyDescent="0.25">
      <c r="A50" s="55" t="s">
        <v>96</v>
      </c>
      <c r="B50" s="17" t="s">
        <v>102</v>
      </c>
      <c r="C50" s="17">
        <v>175</v>
      </c>
      <c r="D50" s="17" t="s">
        <v>77</v>
      </c>
      <c r="E50" s="17">
        <v>24500</v>
      </c>
      <c r="F50" s="91">
        <v>26500</v>
      </c>
    </row>
    <row r="51" spans="1:11" ht="15" x14ac:dyDescent="0.25">
      <c r="A51" s="55" t="s">
        <v>96</v>
      </c>
      <c r="B51" s="17" t="s">
        <v>101</v>
      </c>
      <c r="C51" s="17">
        <v>175</v>
      </c>
      <c r="D51" s="17" t="s">
        <v>77</v>
      </c>
      <c r="E51" s="17">
        <v>23500</v>
      </c>
      <c r="F51" s="91">
        <v>26500</v>
      </c>
    </row>
    <row r="52" spans="1:11" ht="15" x14ac:dyDescent="0.25">
      <c r="A52" s="55" t="s">
        <v>96</v>
      </c>
      <c r="B52" s="17" t="s">
        <v>100</v>
      </c>
      <c r="C52" s="17">
        <v>175</v>
      </c>
      <c r="D52" s="17" t="s">
        <v>77</v>
      </c>
      <c r="E52" s="17">
        <v>22500</v>
      </c>
      <c r="F52" s="91">
        <v>26500</v>
      </c>
    </row>
    <row r="53" spans="1:11" ht="15" x14ac:dyDescent="0.25">
      <c r="A53" s="55" t="s">
        <v>96</v>
      </c>
      <c r="B53" s="17" t="s">
        <v>103</v>
      </c>
      <c r="C53" s="17">
        <v>175</v>
      </c>
      <c r="D53" s="17" t="s">
        <v>77</v>
      </c>
      <c r="E53" s="17">
        <v>25000</v>
      </c>
      <c r="F53" s="91">
        <v>26500</v>
      </c>
    </row>
    <row r="54" spans="1:11" ht="15" x14ac:dyDescent="0.25">
      <c r="A54" s="55" t="s">
        <v>96</v>
      </c>
      <c r="B54" s="17" t="s">
        <v>104</v>
      </c>
      <c r="C54" s="17">
        <v>260</v>
      </c>
      <c r="D54" s="17" t="s">
        <v>77</v>
      </c>
      <c r="E54" s="17">
        <v>25000</v>
      </c>
      <c r="F54" s="91">
        <v>27500</v>
      </c>
    </row>
    <row r="55" spans="1:11" ht="15" x14ac:dyDescent="0.25">
      <c r="A55" s="55" t="s">
        <v>96</v>
      </c>
      <c r="B55" s="17" t="s">
        <v>105</v>
      </c>
      <c r="C55" s="17">
        <v>260</v>
      </c>
      <c r="D55" s="17" t="s">
        <v>77</v>
      </c>
      <c r="E55" s="17">
        <v>25000</v>
      </c>
      <c r="F55" s="106">
        <v>27500</v>
      </c>
      <c r="K55" s="103"/>
    </row>
    <row r="56" spans="1:11" ht="15" x14ac:dyDescent="0.25">
      <c r="A56" s="55" t="s">
        <v>96</v>
      </c>
      <c r="B56" s="17" t="s">
        <v>165</v>
      </c>
      <c r="C56" s="17">
        <v>0</v>
      </c>
      <c r="D56" s="17" t="s">
        <v>77</v>
      </c>
      <c r="E56" s="17">
        <v>0</v>
      </c>
      <c r="F56" s="106">
        <v>0</v>
      </c>
      <c r="K56" s="103"/>
    </row>
    <row r="57" spans="1:11" x14ac:dyDescent="0.2">
      <c r="A57" s="54"/>
      <c r="B57" s="95" t="s">
        <v>144</v>
      </c>
      <c r="C57" s="89"/>
      <c r="D57" s="89"/>
      <c r="E57" s="89"/>
      <c r="F57" s="90"/>
    </row>
    <row r="58" spans="1:11" ht="15" customHeight="1" x14ac:dyDescent="0.2">
      <c r="A58" s="55" t="s">
        <v>143</v>
      </c>
      <c r="B58" s="17" t="s">
        <v>145</v>
      </c>
      <c r="C58" s="17"/>
      <c r="D58" s="17" t="s">
        <v>62</v>
      </c>
      <c r="E58" s="17"/>
      <c r="F58" s="91">
        <v>26000</v>
      </c>
    </row>
    <row r="59" spans="1:11" ht="15" customHeight="1" x14ac:dyDescent="0.2">
      <c r="A59" s="55" t="s">
        <v>143</v>
      </c>
      <c r="B59" s="17" t="s">
        <v>97</v>
      </c>
      <c r="C59" s="17"/>
      <c r="D59" s="17" t="s">
        <v>62</v>
      </c>
      <c r="E59" s="17"/>
      <c r="F59" s="91">
        <v>26000</v>
      </c>
    </row>
    <row r="60" spans="1:11" ht="15" customHeight="1" x14ac:dyDescent="0.2">
      <c r="A60" s="55" t="s">
        <v>143</v>
      </c>
      <c r="B60" s="17" t="s">
        <v>146</v>
      </c>
      <c r="C60" s="17"/>
      <c r="D60" s="17" t="s">
        <v>62</v>
      </c>
      <c r="E60" s="17"/>
      <c r="F60" s="91">
        <v>26000</v>
      </c>
    </row>
    <row r="61" spans="1:11" ht="15" customHeight="1" x14ac:dyDescent="0.25">
      <c r="A61" s="55" t="s">
        <v>143</v>
      </c>
      <c r="B61" s="17" t="s">
        <v>147</v>
      </c>
      <c r="C61" s="17"/>
      <c r="D61" s="17" t="s">
        <v>77</v>
      </c>
      <c r="E61" s="17"/>
      <c r="F61" s="91">
        <v>26000</v>
      </c>
    </row>
    <row r="62" spans="1:11" ht="15" customHeight="1" x14ac:dyDescent="0.25">
      <c r="A62" s="55" t="s">
        <v>143</v>
      </c>
      <c r="B62" s="17" t="s">
        <v>148</v>
      </c>
      <c r="C62" s="17"/>
      <c r="D62" s="17" t="s">
        <v>142</v>
      </c>
      <c r="E62" s="17"/>
      <c r="F62" s="91">
        <v>36000</v>
      </c>
    </row>
    <row r="63" spans="1:11" ht="15" customHeight="1" x14ac:dyDescent="0.25">
      <c r="A63" s="55" t="s">
        <v>143</v>
      </c>
      <c r="B63" s="17" t="s">
        <v>149</v>
      </c>
      <c r="C63" s="17"/>
      <c r="D63" s="17" t="s">
        <v>142</v>
      </c>
      <c r="E63" s="17"/>
      <c r="F63" s="91">
        <v>36000</v>
      </c>
    </row>
    <row r="64" spans="1:11" ht="15" customHeight="1" x14ac:dyDescent="0.25">
      <c r="A64" s="55" t="s">
        <v>143</v>
      </c>
      <c r="B64" s="17" t="s">
        <v>150</v>
      </c>
      <c r="C64" s="17"/>
      <c r="D64" s="17" t="s">
        <v>142</v>
      </c>
      <c r="E64" s="17"/>
      <c r="F64" s="91">
        <v>26000</v>
      </c>
    </row>
    <row r="65" spans="1:6" ht="15" customHeight="1" x14ac:dyDescent="0.25">
      <c r="A65" s="55" t="s">
        <v>143</v>
      </c>
      <c r="B65" s="17" t="s">
        <v>102</v>
      </c>
      <c r="C65" s="17"/>
      <c r="D65" s="17" t="s">
        <v>77</v>
      </c>
      <c r="E65" s="17"/>
      <c r="F65" s="91">
        <v>26000</v>
      </c>
    </row>
    <row r="66" spans="1:6" ht="15" customHeight="1" x14ac:dyDescent="0.25">
      <c r="A66" s="55" t="s">
        <v>143</v>
      </c>
      <c r="B66" s="17" t="s">
        <v>151</v>
      </c>
      <c r="C66" s="17"/>
      <c r="D66" s="17" t="s">
        <v>142</v>
      </c>
      <c r="E66" s="17"/>
      <c r="F66" s="91">
        <v>26000</v>
      </c>
    </row>
    <row r="67" spans="1:6" ht="15" customHeight="1" x14ac:dyDescent="0.25">
      <c r="A67" s="55" t="s">
        <v>143</v>
      </c>
      <c r="B67" s="17" t="s">
        <v>152</v>
      </c>
      <c r="C67" s="17"/>
      <c r="D67" s="17" t="s">
        <v>142</v>
      </c>
      <c r="E67" s="17"/>
      <c r="F67" s="91">
        <v>26000</v>
      </c>
    </row>
    <row r="68" spans="1:6" ht="15" customHeight="1" x14ac:dyDescent="0.25">
      <c r="A68" s="55" t="s">
        <v>143</v>
      </c>
      <c r="B68" s="17" t="s">
        <v>153</v>
      </c>
      <c r="C68" s="17"/>
      <c r="D68" s="17" t="s">
        <v>142</v>
      </c>
      <c r="E68" s="17"/>
      <c r="F68" s="91">
        <v>36000</v>
      </c>
    </row>
    <row r="69" spans="1:6" ht="15" customHeight="1" x14ac:dyDescent="0.25">
      <c r="A69" s="55" t="s">
        <v>143</v>
      </c>
      <c r="B69" s="17" t="s">
        <v>154</v>
      </c>
      <c r="C69" s="17"/>
      <c r="D69" s="17" t="s">
        <v>142</v>
      </c>
      <c r="E69" s="17"/>
      <c r="F69" s="91">
        <v>36000</v>
      </c>
    </row>
    <row r="70" spans="1:6" ht="15" customHeight="1" x14ac:dyDescent="0.25">
      <c r="A70" s="55" t="s">
        <v>143</v>
      </c>
      <c r="B70" s="17" t="s">
        <v>104</v>
      </c>
      <c r="C70" s="17"/>
      <c r="D70" s="17" t="s">
        <v>142</v>
      </c>
      <c r="E70" s="17"/>
      <c r="F70" s="91">
        <v>28500</v>
      </c>
    </row>
    <row r="71" spans="1:6" ht="15" customHeight="1" x14ac:dyDescent="0.25">
      <c r="A71" s="55" t="s">
        <v>143</v>
      </c>
      <c r="B71" s="17" t="s">
        <v>105</v>
      </c>
      <c r="C71" s="17"/>
      <c r="D71" s="17" t="s">
        <v>142</v>
      </c>
      <c r="E71" s="17"/>
      <c r="F71" s="91">
        <v>28500</v>
      </c>
    </row>
    <row r="72" spans="1:6" ht="15" customHeight="1" x14ac:dyDescent="0.25">
      <c r="A72" s="56" t="s">
        <v>143</v>
      </c>
      <c r="B72" s="92" t="s">
        <v>165</v>
      </c>
      <c r="C72" s="92"/>
      <c r="D72" s="92" t="s">
        <v>142</v>
      </c>
      <c r="E72" s="92"/>
      <c r="F72" s="93">
        <v>0</v>
      </c>
    </row>
    <row r="73" spans="1:6" x14ac:dyDescent="0.2">
      <c r="A73" s="55"/>
      <c r="B73" s="94" t="s">
        <v>106</v>
      </c>
      <c r="C73" s="17"/>
      <c r="D73" s="17"/>
      <c r="E73" s="17"/>
      <c r="F73" s="91"/>
    </row>
    <row r="74" spans="1:6" ht="14.25" x14ac:dyDescent="0.2">
      <c r="A74" s="55" t="s">
        <v>96</v>
      </c>
      <c r="B74" s="17" t="s">
        <v>107</v>
      </c>
      <c r="C74" s="17">
        <v>162</v>
      </c>
      <c r="D74" s="17" t="s">
        <v>62</v>
      </c>
      <c r="E74" s="17"/>
      <c r="F74" s="91">
        <v>23840</v>
      </c>
    </row>
    <row r="75" spans="1:6" ht="14.25" x14ac:dyDescent="0.2">
      <c r="A75" s="55" t="s">
        <v>96</v>
      </c>
      <c r="B75" s="17" t="s">
        <v>108</v>
      </c>
      <c r="C75" s="17">
        <v>176</v>
      </c>
      <c r="D75" s="17" t="s">
        <v>62</v>
      </c>
      <c r="E75" s="17"/>
      <c r="F75" s="91">
        <v>27540</v>
      </c>
    </row>
    <row r="76" spans="1:6" ht="14.25" x14ac:dyDescent="0.2">
      <c r="A76" s="55" t="s">
        <v>96</v>
      </c>
      <c r="B76" s="17" t="s">
        <v>109</v>
      </c>
      <c r="C76" s="17">
        <v>176</v>
      </c>
      <c r="D76" s="17" t="s">
        <v>62</v>
      </c>
      <c r="E76" s="17"/>
      <c r="F76" s="91">
        <v>25600</v>
      </c>
    </row>
    <row r="77" spans="1:6" ht="15" x14ac:dyDescent="0.25">
      <c r="A77" s="55" t="s">
        <v>96</v>
      </c>
      <c r="B77" s="17" t="s">
        <v>110</v>
      </c>
      <c r="C77" s="17">
        <v>176</v>
      </c>
      <c r="D77" s="17" t="s">
        <v>77</v>
      </c>
      <c r="E77" s="17"/>
      <c r="F77" s="91">
        <v>23900</v>
      </c>
    </row>
    <row r="78" spans="1:6" ht="15" x14ac:dyDescent="0.25">
      <c r="A78" s="55" t="s">
        <v>96</v>
      </c>
      <c r="B78" s="17" t="s">
        <v>165</v>
      </c>
      <c r="C78" s="17">
        <v>0</v>
      </c>
      <c r="D78" s="17" t="s">
        <v>77</v>
      </c>
      <c r="E78" s="17"/>
      <c r="F78" s="91">
        <v>0</v>
      </c>
    </row>
    <row r="79" spans="1:6" x14ac:dyDescent="0.2">
      <c r="A79" s="54"/>
      <c r="B79" s="95" t="s">
        <v>156</v>
      </c>
      <c r="C79" s="89"/>
      <c r="D79" s="89"/>
      <c r="E79" s="89"/>
      <c r="F79" s="90"/>
    </row>
    <row r="80" spans="1:6" ht="14.25" x14ac:dyDescent="0.2">
      <c r="A80" s="55" t="s">
        <v>159</v>
      </c>
      <c r="B80" s="17" t="s">
        <v>157</v>
      </c>
      <c r="C80" s="17"/>
      <c r="D80" s="17" t="s">
        <v>62</v>
      </c>
      <c r="E80" s="17"/>
      <c r="F80" s="91">
        <v>29000</v>
      </c>
    </row>
    <row r="81" spans="1:6" ht="14.25" x14ac:dyDescent="0.2">
      <c r="A81" s="55" t="s">
        <v>159</v>
      </c>
      <c r="B81" s="17" t="s">
        <v>158</v>
      </c>
      <c r="C81" s="17"/>
      <c r="D81" s="17" t="s">
        <v>62</v>
      </c>
      <c r="E81" s="17"/>
      <c r="F81" s="91">
        <v>21000</v>
      </c>
    </row>
    <row r="82" spans="1:6" ht="14.25" x14ac:dyDescent="0.2">
      <c r="A82" s="55" t="s">
        <v>159</v>
      </c>
      <c r="B82" s="17" t="s">
        <v>160</v>
      </c>
      <c r="C82" s="17"/>
      <c r="D82" s="17" t="s">
        <v>62</v>
      </c>
      <c r="E82" s="17"/>
      <c r="F82" s="91">
        <v>29000</v>
      </c>
    </row>
    <row r="83" spans="1:6" ht="15" x14ac:dyDescent="0.25">
      <c r="A83" s="55" t="s">
        <v>159</v>
      </c>
      <c r="B83" s="17" t="s">
        <v>161</v>
      </c>
      <c r="C83" s="17"/>
      <c r="D83" s="17" t="s">
        <v>77</v>
      </c>
      <c r="E83" s="17"/>
      <c r="F83" s="91">
        <v>32000</v>
      </c>
    </row>
    <row r="84" spans="1:6" ht="15" customHeight="1" x14ac:dyDescent="0.25">
      <c r="A84" s="55" t="s">
        <v>159</v>
      </c>
      <c r="B84" s="17" t="s">
        <v>162</v>
      </c>
      <c r="C84" s="17"/>
      <c r="D84" s="17" t="s">
        <v>142</v>
      </c>
      <c r="E84" s="17"/>
      <c r="F84" s="91">
        <v>29000</v>
      </c>
    </row>
    <row r="85" spans="1:6" ht="15" customHeight="1" x14ac:dyDescent="0.25">
      <c r="A85" s="55" t="s">
        <v>159</v>
      </c>
      <c r="B85" s="17" t="s">
        <v>163</v>
      </c>
      <c r="C85" s="17"/>
      <c r="D85" s="17" t="s">
        <v>142</v>
      </c>
      <c r="E85" s="17"/>
      <c r="F85" s="91">
        <v>40000</v>
      </c>
    </row>
    <row r="86" spans="1:6" ht="15" customHeight="1" x14ac:dyDescent="0.25">
      <c r="A86" s="56" t="s">
        <v>159</v>
      </c>
      <c r="B86" s="92" t="s">
        <v>165</v>
      </c>
      <c r="C86" s="92"/>
      <c r="D86" s="92" t="s">
        <v>77</v>
      </c>
      <c r="E86" s="92"/>
      <c r="F86" s="93">
        <v>0</v>
      </c>
    </row>
    <row r="87" spans="1:6" ht="15" customHeight="1" x14ac:dyDescent="0.2">
      <c r="A87" s="55"/>
      <c r="B87" s="94" t="s">
        <v>119</v>
      </c>
      <c r="C87" s="17"/>
      <c r="D87" s="17"/>
      <c r="E87" s="17"/>
      <c r="F87" s="91"/>
    </row>
    <row r="88" spans="1:6" ht="15" customHeight="1" x14ac:dyDescent="0.2">
      <c r="A88" s="55" t="s">
        <v>96</v>
      </c>
      <c r="B88" s="17" t="s">
        <v>120</v>
      </c>
      <c r="C88" s="17">
        <v>120</v>
      </c>
      <c r="D88" s="17" t="s">
        <v>62</v>
      </c>
      <c r="E88" s="17"/>
      <c r="F88" s="91">
        <v>22900</v>
      </c>
    </row>
    <row r="89" spans="1:6" ht="15" customHeight="1" x14ac:dyDescent="0.2">
      <c r="A89" s="55" t="s">
        <v>96</v>
      </c>
      <c r="B89" s="17" t="s">
        <v>121</v>
      </c>
      <c r="C89" s="17">
        <v>120</v>
      </c>
      <c r="D89" s="17" t="s">
        <v>62</v>
      </c>
      <c r="E89" s="17"/>
      <c r="F89" s="91">
        <v>22900</v>
      </c>
    </row>
    <row r="90" spans="1:6" ht="15" customHeight="1" x14ac:dyDescent="0.2">
      <c r="A90" s="55" t="s">
        <v>96</v>
      </c>
      <c r="B90" s="17" t="s">
        <v>122</v>
      </c>
      <c r="C90" s="17">
        <v>120</v>
      </c>
      <c r="D90" s="17" t="s">
        <v>62</v>
      </c>
      <c r="E90" s="17"/>
      <c r="F90" s="91">
        <v>22900</v>
      </c>
    </row>
    <row r="91" spans="1:6" ht="15" customHeight="1" x14ac:dyDescent="0.25">
      <c r="A91" s="55" t="s">
        <v>96</v>
      </c>
      <c r="B91" s="17" t="s">
        <v>123</v>
      </c>
      <c r="C91" s="17">
        <v>170</v>
      </c>
      <c r="D91" s="17" t="s">
        <v>77</v>
      </c>
      <c r="E91" s="17"/>
      <c r="F91" s="91">
        <v>22900</v>
      </c>
    </row>
    <row r="92" spans="1:6" ht="15" customHeight="1" x14ac:dyDescent="0.2">
      <c r="A92" s="55" t="s">
        <v>96</v>
      </c>
      <c r="B92" s="17" t="s">
        <v>124</v>
      </c>
      <c r="C92" s="17">
        <v>170</v>
      </c>
      <c r="D92" s="17" t="s">
        <v>62</v>
      </c>
      <c r="E92" s="17"/>
      <c r="F92" s="91">
        <v>22900</v>
      </c>
    </row>
    <row r="93" spans="1:6" ht="15" customHeight="1" x14ac:dyDescent="0.2">
      <c r="A93" s="55" t="s">
        <v>96</v>
      </c>
      <c r="B93" s="17" t="s">
        <v>125</v>
      </c>
      <c r="C93" s="17">
        <v>170</v>
      </c>
      <c r="D93" s="17" t="s">
        <v>62</v>
      </c>
      <c r="E93" s="17"/>
      <c r="F93" s="91">
        <v>22900</v>
      </c>
    </row>
    <row r="94" spans="1:6" ht="15" customHeight="1" x14ac:dyDescent="0.2">
      <c r="A94" s="55" t="s">
        <v>96</v>
      </c>
      <c r="B94" s="17" t="s">
        <v>215</v>
      </c>
      <c r="C94" s="17">
        <v>170</v>
      </c>
      <c r="D94" s="17" t="s">
        <v>62</v>
      </c>
      <c r="E94" s="17"/>
      <c r="F94" s="91">
        <v>23000</v>
      </c>
    </row>
    <row r="95" spans="1:6" ht="15" customHeight="1" x14ac:dyDescent="0.2">
      <c r="A95" s="55" t="s">
        <v>96</v>
      </c>
      <c r="B95" s="17" t="s">
        <v>165</v>
      </c>
      <c r="C95" s="17">
        <v>0</v>
      </c>
      <c r="D95" s="17" t="s">
        <v>62</v>
      </c>
      <c r="E95" s="17"/>
      <c r="F95" s="91">
        <v>0</v>
      </c>
    </row>
    <row r="96" spans="1:6" x14ac:dyDescent="0.2">
      <c r="A96" s="54"/>
      <c r="B96" s="95" t="s">
        <v>220</v>
      </c>
      <c r="C96" s="89"/>
      <c r="D96" s="89"/>
      <c r="E96" s="89"/>
      <c r="F96" s="90"/>
    </row>
    <row r="97" spans="1:6" ht="14.25" x14ac:dyDescent="0.2">
      <c r="A97" s="55" t="s">
        <v>159</v>
      </c>
      <c r="B97" s="17" t="s">
        <v>221</v>
      </c>
      <c r="C97" s="17"/>
      <c r="D97" s="17" t="s">
        <v>62</v>
      </c>
      <c r="E97" s="17"/>
      <c r="F97" s="91">
        <v>26000</v>
      </c>
    </row>
    <row r="98" spans="1:6" ht="14.25" x14ac:dyDescent="0.2">
      <c r="A98" s="55" t="s">
        <v>159</v>
      </c>
      <c r="B98" s="17" t="s">
        <v>222</v>
      </c>
      <c r="C98" s="17"/>
      <c r="D98" s="17" t="s">
        <v>62</v>
      </c>
      <c r="E98" s="17"/>
      <c r="F98" s="91">
        <v>26000</v>
      </c>
    </row>
    <row r="99" spans="1:6" ht="14.25" x14ac:dyDescent="0.2">
      <c r="A99" s="55" t="s">
        <v>159</v>
      </c>
      <c r="B99" s="17" t="s">
        <v>140</v>
      </c>
      <c r="C99" s="17"/>
      <c r="D99" s="17" t="s">
        <v>62</v>
      </c>
      <c r="E99" s="17"/>
      <c r="F99" s="91">
        <v>26000</v>
      </c>
    </row>
    <row r="100" spans="1:6" ht="15" x14ac:dyDescent="0.25">
      <c r="A100" s="55" t="s">
        <v>159</v>
      </c>
      <c r="B100" s="17" t="s">
        <v>223</v>
      </c>
      <c r="C100" s="17"/>
      <c r="D100" s="17" t="s">
        <v>77</v>
      </c>
      <c r="E100" s="17"/>
      <c r="F100" s="91">
        <v>26000</v>
      </c>
    </row>
    <row r="101" spans="1:6" ht="15" customHeight="1" x14ac:dyDescent="0.25">
      <c r="A101" s="55" t="s">
        <v>159</v>
      </c>
      <c r="B101" s="17" t="s">
        <v>224</v>
      </c>
      <c r="C101" s="17"/>
      <c r="D101" s="17" t="s">
        <v>77</v>
      </c>
      <c r="E101" s="17"/>
      <c r="F101" s="91">
        <v>26000</v>
      </c>
    </row>
    <row r="102" spans="1:6" ht="15" customHeight="1" x14ac:dyDescent="0.25">
      <c r="A102" s="55" t="s">
        <v>159</v>
      </c>
      <c r="B102" s="17" t="s">
        <v>225</v>
      </c>
      <c r="C102" s="17"/>
      <c r="D102" s="17" t="s">
        <v>77</v>
      </c>
      <c r="E102" s="17"/>
      <c r="F102" s="91">
        <v>26000</v>
      </c>
    </row>
    <row r="103" spans="1:6" ht="15" customHeight="1" x14ac:dyDescent="0.25">
      <c r="A103" s="55" t="s">
        <v>159</v>
      </c>
      <c r="B103" s="17" t="s">
        <v>226</v>
      </c>
      <c r="C103" s="17"/>
      <c r="D103" s="17" t="s">
        <v>77</v>
      </c>
      <c r="E103" s="17"/>
      <c r="F103" s="91">
        <v>26000</v>
      </c>
    </row>
    <row r="104" spans="1:6" ht="15" customHeight="1" x14ac:dyDescent="0.25">
      <c r="A104" s="55" t="s">
        <v>159</v>
      </c>
      <c r="B104" s="17" t="s">
        <v>227</v>
      </c>
      <c r="C104" s="17"/>
      <c r="D104" s="17" t="s">
        <v>77</v>
      </c>
      <c r="E104" s="17"/>
      <c r="F104" s="91">
        <v>26000</v>
      </c>
    </row>
    <row r="105" spans="1:6" ht="15" customHeight="1" x14ac:dyDescent="0.25">
      <c r="A105" s="56" t="s">
        <v>159</v>
      </c>
      <c r="B105" s="92" t="s">
        <v>165</v>
      </c>
      <c r="C105" s="92"/>
      <c r="D105" s="92" t="s">
        <v>77</v>
      </c>
      <c r="E105" s="92"/>
      <c r="F105" s="93">
        <v>0</v>
      </c>
    </row>
    <row r="106" spans="1:6" ht="15" customHeight="1" x14ac:dyDescent="0.2">
      <c r="A106" s="114"/>
      <c r="B106" s="115" t="s">
        <v>170</v>
      </c>
      <c r="C106" s="18"/>
      <c r="D106" s="116"/>
      <c r="E106" s="113" t="s">
        <v>172</v>
      </c>
      <c r="F106" s="113" t="s">
        <v>171</v>
      </c>
    </row>
    <row r="107" spans="1:6" ht="15" customHeight="1" x14ac:dyDescent="0.2">
      <c r="A107" s="55" t="s">
        <v>132</v>
      </c>
      <c r="B107" s="17" t="s">
        <v>133</v>
      </c>
      <c r="C107" s="17"/>
      <c r="D107" s="17" t="s">
        <v>62</v>
      </c>
      <c r="E107" s="91">
        <v>6600</v>
      </c>
      <c r="F107" s="91">
        <v>14000</v>
      </c>
    </row>
    <row r="108" spans="1:6" ht="15" customHeight="1" x14ac:dyDescent="0.2">
      <c r="A108" s="55" t="s">
        <v>132</v>
      </c>
      <c r="B108" s="17" t="s">
        <v>134</v>
      </c>
      <c r="C108" s="17"/>
      <c r="D108" s="17" t="s">
        <v>62</v>
      </c>
      <c r="E108" s="91">
        <v>6600</v>
      </c>
      <c r="F108" s="91">
        <v>14000</v>
      </c>
    </row>
    <row r="109" spans="1:6" ht="15" customHeight="1" x14ac:dyDescent="0.2">
      <c r="A109" s="55" t="s">
        <v>132</v>
      </c>
      <c r="B109" s="17" t="s">
        <v>135</v>
      </c>
      <c r="C109" s="17"/>
      <c r="D109" s="17" t="s">
        <v>62</v>
      </c>
      <c r="E109" s="91">
        <v>6600</v>
      </c>
      <c r="F109" s="91">
        <v>14000</v>
      </c>
    </row>
    <row r="110" spans="1:6" ht="15" customHeight="1" x14ac:dyDescent="0.25">
      <c r="A110" s="55" t="s">
        <v>132</v>
      </c>
      <c r="B110" s="17" t="s">
        <v>136</v>
      </c>
      <c r="C110" s="17"/>
      <c r="D110" s="17" t="s">
        <v>77</v>
      </c>
      <c r="E110" s="91">
        <v>6600</v>
      </c>
      <c r="F110" s="91">
        <v>14000</v>
      </c>
    </row>
    <row r="111" spans="1:6" ht="15" x14ac:dyDescent="0.25">
      <c r="A111" s="55" t="s">
        <v>132</v>
      </c>
      <c r="B111" s="17" t="s">
        <v>137</v>
      </c>
      <c r="C111" s="17"/>
      <c r="D111" s="17" t="s">
        <v>142</v>
      </c>
      <c r="E111" s="91">
        <v>6600</v>
      </c>
      <c r="F111" s="91">
        <v>14000</v>
      </c>
    </row>
    <row r="112" spans="1:6" ht="15" x14ac:dyDescent="0.25">
      <c r="A112" s="55" t="s">
        <v>132</v>
      </c>
      <c r="B112" s="17" t="s">
        <v>138</v>
      </c>
      <c r="C112" s="17"/>
      <c r="D112" s="17" t="s">
        <v>142</v>
      </c>
      <c r="E112" s="91">
        <v>6600</v>
      </c>
      <c r="F112" s="91">
        <v>14000</v>
      </c>
    </row>
    <row r="113" spans="1:6" ht="15" x14ac:dyDescent="0.25">
      <c r="A113" s="55" t="s">
        <v>132</v>
      </c>
      <c r="B113" s="17" t="s">
        <v>92</v>
      </c>
      <c r="C113" s="17"/>
      <c r="D113" s="17" t="s">
        <v>142</v>
      </c>
      <c r="E113" s="91">
        <v>6600</v>
      </c>
      <c r="F113" s="91">
        <v>14000</v>
      </c>
    </row>
    <row r="114" spans="1:6" ht="15" x14ac:dyDescent="0.25">
      <c r="A114" s="55" t="s">
        <v>132</v>
      </c>
      <c r="B114" s="17" t="s">
        <v>155</v>
      </c>
      <c r="C114" s="17"/>
      <c r="D114" s="17" t="s">
        <v>77</v>
      </c>
      <c r="E114" s="91">
        <v>6600</v>
      </c>
      <c r="F114" s="91">
        <v>14000</v>
      </c>
    </row>
    <row r="115" spans="1:6" ht="15" x14ac:dyDescent="0.25">
      <c r="A115" s="55" t="s">
        <v>132</v>
      </c>
      <c r="B115" s="17" t="s">
        <v>139</v>
      </c>
      <c r="C115" s="17"/>
      <c r="D115" s="17" t="s">
        <v>77</v>
      </c>
      <c r="E115" s="91">
        <v>6600</v>
      </c>
      <c r="F115" s="91">
        <v>14000</v>
      </c>
    </row>
    <row r="116" spans="1:6" ht="15" x14ac:dyDescent="0.25">
      <c r="A116" s="55" t="s">
        <v>132</v>
      </c>
      <c r="B116" s="17" t="s">
        <v>140</v>
      </c>
      <c r="C116" s="17"/>
      <c r="D116" s="17" t="s">
        <v>142</v>
      </c>
      <c r="E116" s="91">
        <v>6600</v>
      </c>
      <c r="F116" s="91">
        <v>14000</v>
      </c>
    </row>
    <row r="117" spans="1:6" ht="15" x14ac:dyDescent="0.25">
      <c r="A117" s="55" t="s">
        <v>132</v>
      </c>
      <c r="B117" s="17" t="s">
        <v>141</v>
      </c>
      <c r="C117" s="17"/>
      <c r="D117" s="17" t="s">
        <v>142</v>
      </c>
      <c r="E117" s="91">
        <v>6600</v>
      </c>
      <c r="F117" s="91">
        <v>14000</v>
      </c>
    </row>
    <row r="118" spans="1:6" ht="15" x14ac:dyDescent="0.25">
      <c r="A118" s="55" t="s">
        <v>132</v>
      </c>
      <c r="B118" s="17" t="s">
        <v>94</v>
      </c>
      <c r="C118" s="17"/>
      <c r="D118" s="17" t="s">
        <v>142</v>
      </c>
      <c r="E118" s="91">
        <v>6600</v>
      </c>
      <c r="F118" s="91">
        <v>14000</v>
      </c>
    </row>
    <row r="119" spans="1:6" ht="15" x14ac:dyDescent="0.25">
      <c r="A119" s="55" t="s">
        <v>132</v>
      </c>
      <c r="B119" s="17" t="s">
        <v>165</v>
      </c>
      <c r="C119" s="17"/>
      <c r="D119" s="17" t="s">
        <v>142</v>
      </c>
      <c r="E119" s="91">
        <v>0</v>
      </c>
      <c r="F119" s="91">
        <v>0</v>
      </c>
    </row>
    <row r="120" spans="1:6" x14ac:dyDescent="0.2">
      <c r="A120" s="54"/>
      <c r="B120" s="95" t="s">
        <v>169</v>
      </c>
      <c r="C120" s="89"/>
      <c r="D120" s="89"/>
      <c r="E120" s="89"/>
      <c r="F120" s="90"/>
    </row>
    <row r="121" spans="1:6" x14ac:dyDescent="0.2">
      <c r="A121" s="55"/>
      <c r="B121" s="17"/>
      <c r="C121" s="17"/>
      <c r="D121" s="17"/>
      <c r="E121" s="17"/>
      <c r="F121" s="91"/>
    </row>
    <row r="122" spans="1:6" x14ac:dyDescent="0.2">
      <c r="A122" s="55"/>
      <c r="B122" s="17"/>
      <c r="C122" s="17"/>
      <c r="D122" s="17"/>
      <c r="E122" s="17"/>
      <c r="F122" s="91"/>
    </row>
    <row r="123" spans="1:6" x14ac:dyDescent="0.2">
      <c r="A123" s="55"/>
      <c r="B123" s="17"/>
      <c r="C123" s="17"/>
      <c r="D123" s="17"/>
      <c r="E123" s="17"/>
      <c r="F123" s="91"/>
    </row>
    <row r="124" spans="1:6" x14ac:dyDescent="0.2">
      <c r="A124" s="55"/>
      <c r="B124" s="17"/>
      <c r="C124" s="17"/>
      <c r="D124" s="17"/>
      <c r="E124" s="17"/>
      <c r="F124" s="91"/>
    </row>
    <row r="125" spans="1:6" x14ac:dyDescent="0.2">
      <c r="A125" s="55"/>
      <c r="B125" s="17"/>
      <c r="C125" s="17"/>
      <c r="D125" s="17"/>
      <c r="E125" s="17"/>
      <c r="F125" s="91"/>
    </row>
    <row r="126" spans="1:6" x14ac:dyDescent="0.2">
      <c r="A126" s="55"/>
      <c r="B126" s="17"/>
      <c r="C126" s="17"/>
      <c r="D126" s="17"/>
      <c r="E126" s="17"/>
      <c r="F126" s="91"/>
    </row>
    <row r="127" spans="1:6" x14ac:dyDescent="0.2">
      <c r="A127" s="56"/>
      <c r="B127" s="92"/>
      <c r="C127" s="92"/>
      <c r="D127" s="92"/>
      <c r="E127" s="92"/>
      <c r="F127" s="93"/>
    </row>
  </sheetData>
  <autoFilter ref="A1:F119"/>
  <dataValidations disablePrompts="1" count="1">
    <dataValidation type="list" allowBlank="1" showInputMessage="1" showErrorMessage="1" sqref="L13">
      <formula1>"двссыл=($N$6)"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24"/>
  <sheetViews>
    <sheetView topLeftCell="A5" workbookViewId="0">
      <selection activeCell="I8" sqref="I8"/>
    </sheetView>
  </sheetViews>
  <sheetFormatPr defaultRowHeight="12.75" x14ac:dyDescent="0.2"/>
  <cols>
    <col min="1" max="1" width="10.5703125" style="1" customWidth="1"/>
    <col min="2" max="2" width="10.28515625" style="1" customWidth="1"/>
    <col min="3" max="3" width="11.7109375" style="1" customWidth="1"/>
    <col min="4" max="4" width="13.5703125" style="1" customWidth="1"/>
    <col min="5" max="16384" width="9.140625" style="1"/>
  </cols>
  <sheetData>
    <row r="1" spans="1:14" x14ac:dyDescent="0.2">
      <c r="A1" s="351" t="s">
        <v>64</v>
      </c>
      <c r="B1" s="350" t="s">
        <v>79</v>
      </c>
      <c r="C1" s="350"/>
      <c r="D1" s="353"/>
      <c r="E1" s="79" t="s">
        <v>50</v>
      </c>
      <c r="F1" s="80"/>
      <c r="G1" s="88" t="s">
        <v>54</v>
      </c>
      <c r="H1" s="79"/>
      <c r="I1" s="80"/>
      <c r="J1" s="88" t="s">
        <v>70</v>
      </c>
      <c r="K1" s="80"/>
      <c r="L1" s="2"/>
      <c r="M1" s="2"/>
      <c r="N1" s="2"/>
    </row>
    <row r="2" spans="1:14" x14ac:dyDescent="0.2">
      <c r="A2" s="352" t="s">
        <v>65</v>
      </c>
      <c r="B2" s="17" t="s">
        <v>111</v>
      </c>
      <c r="C2" s="17"/>
      <c r="D2" s="91"/>
      <c r="E2" s="2" t="s">
        <v>51</v>
      </c>
      <c r="F2" s="81"/>
      <c r="G2" s="63" t="s">
        <v>55</v>
      </c>
      <c r="H2" s="53"/>
      <c r="I2" s="19"/>
      <c r="J2" s="63" t="s">
        <v>71</v>
      </c>
      <c r="K2" s="19"/>
      <c r="L2" s="2"/>
      <c r="M2" s="2"/>
      <c r="N2" s="2"/>
    </row>
    <row r="3" spans="1:14" x14ac:dyDescent="0.2">
      <c r="A3" s="81"/>
      <c r="B3" s="17" t="s">
        <v>112</v>
      </c>
      <c r="C3" s="17"/>
      <c r="D3" s="91"/>
      <c r="E3" s="2" t="s">
        <v>52</v>
      </c>
      <c r="F3" s="81"/>
      <c r="G3" s="2"/>
      <c r="H3" s="2"/>
      <c r="I3" s="2"/>
      <c r="J3" s="2"/>
      <c r="K3" s="2"/>
      <c r="L3" s="2"/>
      <c r="M3" s="2"/>
      <c r="N3" s="2"/>
    </row>
    <row r="4" spans="1:14" x14ac:dyDescent="0.2">
      <c r="A4" s="81"/>
      <c r="B4" s="17" t="s">
        <v>113</v>
      </c>
      <c r="C4" s="17"/>
      <c r="D4" s="91"/>
      <c r="E4" s="2"/>
      <c r="F4" s="81"/>
      <c r="L4" s="2"/>
      <c r="M4" s="2"/>
      <c r="N4" s="2"/>
    </row>
    <row r="5" spans="1:14" x14ac:dyDescent="0.2">
      <c r="A5" s="81"/>
      <c r="B5" s="17" t="s">
        <v>114</v>
      </c>
      <c r="C5" s="17"/>
      <c r="D5" s="91"/>
      <c r="E5" s="2"/>
      <c r="F5" s="81"/>
      <c r="L5" s="2"/>
      <c r="M5" s="2"/>
      <c r="N5" s="2"/>
    </row>
    <row r="6" spans="1:14" x14ac:dyDescent="0.2">
      <c r="A6" s="81"/>
      <c r="B6" s="17" t="s">
        <v>185</v>
      </c>
      <c r="C6" s="17"/>
      <c r="D6" s="91"/>
      <c r="E6" s="2"/>
      <c r="F6" s="81"/>
      <c r="L6" s="2"/>
      <c r="M6" s="2"/>
      <c r="N6" s="2"/>
    </row>
    <row r="7" spans="1:14" x14ac:dyDescent="0.2">
      <c r="A7" s="81"/>
      <c r="B7" s="17" t="s">
        <v>115</v>
      </c>
      <c r="C7" s="17"/>
      <c r="D7" s="91"/>
      <c r="E7" s="2"/>
      <c r="F7" s="81"/>
      <c r="L7" s="2"/>
      <c r="M7" s="2"/>
      <c r="N7" s="2"/>
    </row>
    <row r="8" spans="1:14" x14ac:dyDescent="0.2">
      <c r="A8" s="81"/>
      <c r="B8" s="17" t="s">
        <v>116</v>
      </c>
      <c r="C8" s="17"/>
      <c r="D8" s="91"/>
      <c r="E8" s="2"/>
      <c r="F8" s="81"/>
      <c r="L8" s="2"/>
      <c r="M8" s="2"/>
      <c r="N8" s="2"/>
    </row>
    <row r="9" spans="1:14" x14ac:dyDescent="0.2">
      <c r="A9" s="81"/>
      <c r="B9" s="17" t="s">
        <v>117</v>
      </c>
      <c r="C9" s="17"/>
      <c r="D9" s="91"/>
      <c r="E9" s="53"/>
      <c r="F9" s="19"/>
      <c r="L9" s="2"/>
      <c r="M9" s="2"/>
      <c r="N9" s="2"/>
    </row>
    <row r="10" spans="1:14" x14ac:dyDescent="0.2">
      <c r="A10" s="81"/>
      <c r="B10" s="56" t="s">
        <v>126</v>
      </c>
      <c r="C10" s="92"/>
      <c r="D10" s="93"/>
      <c r="E10" s="2"/>
      <c r="F10" s="2"/>
      <c r="L10" s="2"/>
      <c r="M10" s="2"/>
      <c r="N10" s="2"/>
    </row>
    <row r="11" spans="1:14" x14ac:dyDescent="0.2">
      <c r="B11" s="17"/>
      <c r="C11" s="17"/>
      <c r="D11" s="17"/>
      <c r="E11" s="2"/>
      <c r="F11" s="2"/>
    </row>
    <row r="12" spans="1:14" x14ac:dyDescent="0.2">
      <c r="A12" s="88" t="s">
        <v>164</v>
      </c>
      <c r="B12" s="79"/>
      <c r="C12" s="79"/>
      <c r="D12" s="80"/>
    </row>
    <row r="13" spans="1:14" x14ac:dyDescent="0.2">
      <c r="A13" s="117" t="s">
        <v>217</v>
      </c>
      <c r="B13" s="2"/>
      <c r="C13" s="2"/>
      <c r="D13" s="81"/>
    </row>
    <row r="14" spans="1:14" x14ac:dyDescent="0.2">
      <c r="A14" s="117" t="s">
        <v>218</v>
      </c>
      <c r="B14" s="2"/>
      <c r="C14" s="2"/>
      <c r="D14" s="81"/>
    </row>
    <row r="15" spans="1:14" x14ac:dyDescent="0.2">
      <c r="A15" s="63" t="s">
        <v>219</v>
      </c>
      <c r="B15" s="53"/>
      <c r="C15" s="53"/>
      <c r="D15" s="19"/>
    </row>
    <row r="16" spans="1:14" x14ac:dyDescent="0.2">
      <c r="A16" s="2"/>
      <c r="B16" s="2"/>
      <c r="C16" s="2"/>
      <c r="D16" s="2"/>
    </row>
    <row r="17" spans="1:3" x14ac:dyDescent="0.2">
      <c r="A17" s="2" t="s">
        <v>166</v>
      </c>
      <c r="B17" s="2"/>
      <c r="C17" s="2"/>
    </row>
    <row r="18" spans="1:3" x14ac:dyDescent="0.2">
      <c r="A18" s="2" t="s">
        <v>167</v>
      </c>
      <c r="B18" s="2"/>
      <c r="C18" s="2"/>
    </row>
    <row r="19" spans="1:3" x14ac:dyDescent="0.2">
      <c r="A19" s="2"/>
    </row>
    <row r="20" spans="1:3" x14ac:dyDescent="0.2">
      <c r="A20" s="2" t="s">
        <v>209</v>
      </c>
    </row>
    <row r="21" spans="1:3" x14ac:dyDescent="0.2">
      <c r="A21" s="2" t="s">
        <v>210</v>
      </c>
    </row>
    <row r="22" spans="1:3" x14ac:dyDescent="0.2">
      <c r="A22" s="2"/>
    </row>
    <row r="23" spans="1:3" x14ac:dyDescent="0.2">
      <c r="A23" s="2"/>
      <c r="B23" s="2"/>
      <c r="C23" s="2"/>
    </row>
    <row r="24" spans="1:3" x14ac:dyDescent="0.2">
      <c r="A24" s="2"/>
      <c r="B24" s="2"/>
      <c r="C24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14</vt:i4>
      </vt:variant>
    </vt:vector>
  </HeadingPairs>
  <TitlesOfParts>
    <vt:vector size="18" baseType="lpstr">
      <vt:lpstr> Общие данные</vt:lpstr>
      <vt:lpstr>Расчеты</vt:lpstr>
      <vt:lpstr>База материал</vt:lpstr>
      <vt:lpstr>Вспом. лист</vt:lpstr>
      <vt:lpstr>Балки_перекрытия_ест.вл._мм</vt:lpstr>
      <vt:lpstr>Балки_перекрытия_клееные_Вишера_мм</vt:lpstr>
      <vt:lpstr>Балки_перекрытия_клееные_ДДМ_мм</vt:lpstr>
      <vt:lpstr>Балки_перекрытия_клееные_Древоград_мм</vt:lpstr>
      <vt:lpstr>Брус_ест.влажности</vt:lpstr>
      <vt:lpstr>Клееный_брус_Вишера</vt:lpstr>
      <vt:lpstr>Клееный_брус_ДДМ</vt:lpstr>
      <vt:lpstr>Клееный_брус_Древоград</vt:lpstr>
      <vt:lpstr>ОЦБ_Строй_деталь</vt:lpstr>
      <vt:lpstr>Проф.брус_Древоград_ест.вл.</vt:lpstr>
      <vt:lpstr>Проф.брус_Киржач_ест.вл.</vt:lpstr>
      <vt:lpstr>Проф.брус_Киржач_подсушенный</vt:lpstr>
      <vt:lpstr>Проф.брус_Лестэк_ест.вл.</vt:lpstr>
      <vt:lpstr>Проф.брус_Лестэк_подсушенный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Сергей</cp:lastModifiedBy>
  <cp:lastPrinted>2014-10-07T15:20:16Z</cp:lastPrinted>
  <dcterms:created xsi:type="dcterms:W3CDTF">2014-09-15T09:05:42Z</dcterms:created>
  <dcterms:modified xsi:type="dcterms:W3CDTF">2014-10-12T12:38:51Z</dcterms:modified>
</cp:coreProperties>
</file>