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135" tabRatio="781"/>
  </bookViews>
  <sheets>
    <sheet name="расчет стоимости" sheetId="1" r:id="rId1"/>
    <sheet name="Площадь прям" sheetId="12" r:id="rId2"/>
    <sheet name="площадь круг" sheetId="11" r:id="rId3"/>
    <sheet name="Площади отводов" sheetId="13" r:id="rId4"/>
    <sheet name="Формулы расчета" sheetId="3" r:id="rId5"/>
    <sheet name="ПЛОЩАДИ" sheetId="8" r:id="rId6"/>
  </sheets>
  <definedNames>
    <definedName name="ввапвап">'расчет стоимости'!#REF!</definedName>
    <definedName name="мисми">'расчет стоимости'!#REF!</definedName>
    <definedName name="ПН" localSheetId="0">'расчет стоимости'!#REF!</definedName>
  </definedNames>
  <calcPr calcId="152511" refMode="R1C1"/>
</workbook>
</file>

<file path=xl/calcChain.xml><?xml version="1.0" encoding="utf-8"?>
<calcChain xmlns="http://schemas.openxmlformats.org/spreadsheetml/2006/main">
  <c r="D3" i="8" l="1"/>
  <c r="D4" i="8"/>
  <c r="D2" i="8"/>
  <c r="D5" i="8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L2" i="11"/>
  <c r="M2" i="11" s="1"/>
  <c r="L3" i="11"/>
  <c r="M3" i="11" s="1"/>
  <c r="L4" i="11"/>
  <c r="M4" i="11" s="1"/>
  <c r="L5" i="11"/>
  <c r="M5" i="11" s="1"/>
  <c r="Q2" i="11"/>
  <c r="Q3" i="11"/>
  <c r="Q4" i="11"/>
  <c r="Q5" i="11"/>
  <c r="P2" i="11"/>
  <c r="R2" i="11" s="1"/>
  <c r="S2" i="11" s="1"/>
  <c r="P3" i="11"/>
  <c r="R3" i="11" s="1"/>
  <c r="S3" i="11" s="1"/>
  <c r="P4" i="11"/>
  <c r="R4" i="11" s="1"/>
  <c r="S4" i="11" s="1"/>
  <c r="P5" i="11"/>
  <c r="R5" i="11" s="1"/>
  <c r="S5" i="11" s="1"/>
  <c r="Y2" i="11"/>
  <c r="Y3" i="11" l="1"/>
  <c r="Y4" i="11"/>
  <c r="Y5" i="11"/>
  <c r="K5" i="11"/>
  <c r="B3" i="11" l="1"/>
  <c r="B4" i="11"/>
  <c r="B5" i="11"/>
  <c r="D5" i="11"/>
  <c r="T5" i="11" s="1"/>
  <c r="O5" i="11"/>
  <c r="O2" i="11"/>
  <c r="O3" i="11"/>
  <c r="O4" i="11"/>
  <c r="K2" i="11"/>
  <c r="K3" i="11"/>
  <c r="K4" i="11"/>
  <c r="G5" i="11" l="1"/>
  <c r="I5" i="11" s="1"/>
  <c r="J5" i="11" s="1"/>
  <c r="Z5" i="11"/>
  <c r="X5" i="11"/>
  <c r="W5" i="11" s="1"/>
  <c r="V5" i="11"/>
  <c r="U5" i="11"/>
  <c r="E5" i="11"/>
  <c r="D2" i="11"/>
  <c r="T2" i="11" s="1"/>
  <c r="D3" i="11"/>
  <c r="T3" i="11" s="1"/>
  <c r="D4" i="11"/>
  <c r="T4" i="11" s="1"/>
  <c r="B2" i="11"/>
  <c r="Z2" i="12"/>
  <c r="AB2" i="12" s="1"/>
  <c r="Z3" i="12"/>
  <c r="AB3" i="12" s="1"/>
  <c r="Z4" i="12"/>
  <c r="AB4" i="12" s="1"/>
  <c r="Z5" i="12"/>
  <c r="AB5" i="12" s="1"/>
  <c r="Z2" i="1"/>
  <c r="Y2" i="12"/>
  <c r="AA2" i="12" s="1"/>
  <c r="Y3" i="12"/>
  <c r="AA3" i="12" s="1"/>
  <c r="Y4" i="12"/>
  <c r="AA4" i="12" s="1"/>
  <c r="Y5" i="12"/>
  <c r="AA5" i="12" s="1"/>
  <c r="Y2" i="1"/>
  <c r="V2" i="12"/>
  <c r="V3" i="12"/>
  <c r="V4" i="12"/>
  <c r="V5" i="12"/>
  <c r="S2" i="12"/>
  <c r="D4" i="12"/>
  <c r="AE4" i="12" s="1"/>
  <c r="C5" i="11" l="1"/>
  <c r="H5" i="11"/>
  <c r="Z2" i="11"/>
  <c r="G3" i="11"/>
  <c r="I3" i="11" s="1"/>
  <c r="J3" i="11" s="1"/>
  <c r="Z3" i="11"/>
  <c r="X3" i="11"/>
  <c r="W3" i="11" s="1"/>
  <c r="AH4" i="12"/>
  <c r="U4" i="11"/>
  <c r="Z4" i="11"/>
  <c r="X4" i="11"/>
  <c r="W4" i="11" s="1"/>
  <c r="G2" i="11"/>
  <c r="I2" i="11" s="1"/>
  <c r="J2" i="11" s="1"/>
  <c r="X2" i="11"/>
  <c r="W2" i="11" s="1"/>
  <c r="N5" i="11"/>
  <c r="F5" i="11"/>
  <c r="U3" i="11"/>
  <c r="U2" i="11"/>
  <c r="V4" i="11"/>
  <c r="V3" i="11"/>
  <c r="V2" i="11"/>
  <c r="C2" i="11"/>
  <c r="E3" i="11"/>
  <c r="G4" i="11"/>
  <c r="C4" i="11" s="1"/>
  <c r="E4" i="11"/>
  <c r="E2" i="11"/>
  <c r="S3" i="12"/>
  <c r="S4" i="12"/>
  <c r="S5" i="12"/>
  <c r="R2" i="12"/>
  <c r="R3" i="12"/>
  <c r="R4" i="12"/>
  <c r="R5" i="12"/>
  <c r="Q2" i="12"/>
  <c r="X2" i="12" s="1"/>
  <c r="Q3" i="12"/>
  <c r="Q4" i="12"/>
  <c r="Q5" i="12"/>
  <c r="N2" i="12"/>
  <c r="N3" i="12"/>
  <c r="N4" i="12"/>
  <c r="N5" i="12"/>
  <c r="M2" i="12"/>
  <c r="M3" i="12"/>
  <c r="M4" i="12"/>
  <c r="M5" i="12"/>
  <c r="L2" i="12"/>
  <c r="L3" i="12"/>
  <c r="L4" i="12"/>
  <c r="L5" i="12"/>
  <c r="U2" i="12"/>
  <c r="U3" i="12"/>
  <c r="U4" i="12"/>
  <c r="U5" i="12"/>
  <c r="B2" i="12"/>
  <c r="B3" i="12"/>
  <c r="D3" i="12"/>
  <c r="B4" i="12"/>
  <c r="G4" i="12"/>
  <c r="I4" i="12" s="1"/>
  <c r="B5" i="12"/>
  <c r="D5" i="12"/>
  <c r="H3" i="11" l="1"/>
  <c r="C3" i="11"/>
  <c r="AH5" i="12"/>
  <c r="AE5" i="12"/>
  <c r="AH3" i="12"/>
  <c r="AE3" i="12"/>
  <c r="H2" i="11"/>
  <c r="AC3" i="12"/>
  <c r="X3" i="12"/>
  <c r="G3" i="12"/>
  <c r="I3" i="12" s="1"/>
  <c r="AC5" i="12"/>
  <c r="X5" i="12"/>
  <c r="G5" i="12"/>
  <c r="I5" i="12" s="1"/>
  <c r="AC4" i="12"/>
  <c r="X4" i="12"/>
  <c r="N4" i="11"/>
  <c r="F4" i="11"/>
  <c r="N3" i="11"/>
  <c r="F3" i="11"/>
  <c r="N2" i="11"/>
  <c r="F2" i="11"/>
  <c r="H4" i="11"/>
  <c r="I4" i="11"/>
  <c r="J4" i="11" s="1"/>
  <c r="AC2" i="12"/>
  <c r="P5" i="12"/>
  <c r="O4" i="12"/>
  <c r="C4" i="12" s="1"/>
  <c r="P2" i="12"/>
  <c r="O5" i="12"/>
  <c r="P3" i="12"/>
  <c r="O2" i="12"/>
  <c r="P4" i="12"/>
  <c r="O3" i="12"/>
  <c r="K3" i="12"/>
  <c r="K4" i="12"/>
  <c r="K5" i="12"/>
  <c r="K2" i="12"/>
  <c r="E3" i="12"/>
  <c r="T3" i="12" s="1"/>
  <c r="F3" i="12"/>
  <c r="E5" i="12"/>
  <c r="T5" i="12" s="1"/>
  <c r="F5" i="12"/>
  <c r="E4" i="12"/>
  <c r="H4" i="12"/>
  <c r="AD4" i="12" s="1"/>
  <c r="F4" i="12"/>
  <c r="D2" i="12"/>
  <c r="AE2" i="12" s="1"/>
  <c r="H5" i="12" l="1"/>
  <c r="AD5" i="12" s="1"/>
  <c r="H3" i="12"/>
  <c r="AD3" i="12" s="1"/>
  <c r="T4" i="12"/>
  <c r="C3" i="12"/>
  <c r="AH2" i="12"/>
  <c r="C2" i="12"/>
  <c r="C5" i="12"/>
  <c r="E2" i="12"/>
  <c r="T2" i="12" s="1"/>
  <c r="G2" i="12"/>
  <c r="J5" i="12"/>
  <c r="J3" i="12"/>
  <c r="J4" i="12"/>
  <c r="F2" i="12"/>
  <c r="I2" i="12" l="1"/>
  <c r="J2" i="12" s="1"/>
  <c r="H2" i="12"/>
  <c r="AD2" i="12" s="1"/>
  <c r="W8" i="3" l="1"/>
  <c r="P23" i="3"/>
  <c r="P24" i="3"/>
  <c r="P25" i="3"/>
  <c r="P26" i="3"/>
  <c r="P27" i="3"/>
  <c r="P28" i="3"/>
  <c r="P29" i="3"/>
  <c r="P30" i="3"/>
  <c r="F23" i="3"/>
  <c r="AB28" i="3" l="1"/>
  <c r="AB29" i="3"/>
  <c r="C8" i="3"/>
  <c r="F25" i="3" l="1"/>
  <c r="F26" i="3"/>
  <c r="F27" i="3"/>
  <c r="F28" i="3"/>
  <c r="AB30" i="3"/>
  <c r="P31" i="3"/>
  <c r="AB31" i="3" s="1"/>
  <c r="O31" i="3" l="1"/>
  <c r="D35" i="3"/>
  <c r="D33" i="3"/>
  <c r="O36" i="3"/>
  <c r="D32" i="3"/>
  <c r="D26" i="3"/>
  <c r="F24" i="3"/>
  <c r="O45" i="3"/>
  <c r="D44" i="3"/>
  <c r="D43" i="3"/>
  <c r="O34" i="3"/>
  <c r="O52" i="3"/>
  <c r="D52" i="3"/>
  <c r="O51" i="3"/>
  <c r="D51" i="3"/>
  <c r="O50" i="3"/>
  <c r="D50" i="3"/>
  <c r="O49" i="3"/>
  <c r="D49" i="3"/>
  <c r="O48" i="3"/>
  <c r="D48" i="3"/>
  <c r="O47" i="3"/>
  <c r="D47" i="3"/>
  <c r="O46" i="3"/>
  <c r="D46" i="3"/>
  <c r="O43" i="3"/>
  <c r="O42" i="3"/>
  <c r="D42" i="3"/>
  <c r="O41" i="3"/>
  <c r="D41" i="3"/>
  <c r="O40" i="3"/>
  <c r="D40" i="3"/>
  <c r="O39" i="3"/>
  <c r="D39" i="3"/>
  <c r="O38" i="3"/>
  <c r="D38" i="3"/>
  <c r="O37" i="3"/>
  <c r="D37" i="3"/>
  <c r="O30" i="3"/>
  <c r="D30" i="3"/>
  <c r="O27" i="3"/>
  <c r="D27" i="3"/>
  <c r="D25" i="3"/>
  <c r="O57" i="3"/>
  <c r="D57" i="3"/>
  <c r="O56" i="3"/>
  <c r="D56" i="3"/>
  <c r="O55" i="3"/>
  <c r="D55" i="3"/>
  <c r="O54" i="3"/>
  <c r="D54" i="3"/>
  <c r="O53" i="3"/>
  <c r="D53" i="3"/>
  <c r="D45" i="3" l="1"/>
  <c r="O33" i="3"/>
  <c r="D36" i="3"/>
  <c r="O19" i="3"/>
  <c r="O25" i="3"/>
  <c r="O17" i="3"/>
  <c r="D31" i="3"/>
  <c r="O32" i="3"/>
  <c r="D34" i="3"/>
  <c r="D19" i="3"/>
  <c r="D17" i="3"/>
  <c r="O35" i="3"/>
  <c r="O44" i="3"/>
  <c r="O26" i="3"/>
  <c r="D22" i="3"/>
  <c r="O22" i="3"/>
  <c r="D20" i="3"/>
  <c r="O20" i="3"/>
  <c r="O18" i="3"/>
  <c r="D18" i="3"/>
  <c r="D21" i="3"/>
  <c r="O21" i="3"/>
  <c r="D23" i="3"/>
  <c r="O23" i="3"/>
  <c r="O28" i="3"/>
  <c r="D28" i="3"/>
  <c r="O29" i="3"/>
  <c r="D29" i="3"/>
  <c r="O15" i="3" l="1"/>
  <c r="O24" i="3"/>
  <c r="D24" i="3"/>
  <c r="D15" i="3"/>
  <c r="O16" i="3"/>
  <c r="D16" i="3"/>
  <c r="O14" i="3" l="1"/>
  <c r="D14" i="3"/>
  <c r="O13" i="3"/>
  <c r="D13" i="3"/>
  <c r="O12" i="3"/>
  <c r="D12" i="3"/>
  <c r="O11" i="3"/>
  <c r="D11" i="3"/>
  <c r="O10" i="3"/>
  <c r="D10" i="3"/>
  <c r="O9" i="3"/>
  <c r="D9" i="3"/>
  <c r="P9" i="3"/>
  <c r="P10" i="3"/>
  <c r="P11" i="3"/>
  <c r="P12" i="3"/>
  <c r="P13" i="3"/>
  <c r="F13" i="3" s="1"/>
  <c r="P14" i="3"/>
  <c r="F14" i="3" s="1"/>
  <c r="P15" i="3"/>
  <c r="F15" i="3" s="1"/>
  <c r="P16" i="3"/>
  <c r="F16" i="3" s="1"/>
  <c r="P17" i="3"/>
  <c r="F17" i="3" s="1"/>
  <c r="P18" i="3"/>
  <c r="F18" i="3" s="1"/>
  <c r="P19" i="3"/>
  <c r="P20" i="3"/>
  <c r="P21" i="3"/>
  <c r="P22" i="3"/>
  <c r="P32" i="3"/>
  <c r="P33" i="3"/>
  <c r="P34" i="3"/>
  <c r="P35" i="3"/>
  <c r="P36" i="3"/>
  <c r="P37" i="3"/>
  <c r="F12" i="3" l="1"/>
  <c r="F11" i="3"/>
  <c r="F10" i="3"/>
  <c r="F9" i="3"/>
  <c r="F22" i="3"/>
  <c r="F21" i="3"/>
  <c r="F20" i="3"/>
  <c r="F19" i="3"/>
  <c r="V8" i="3"/>
  <c r="AB37" i="3"/>
  <c r="AB36" i="3"/>
  <c r="AB35" i="3"/>
  <c r="AB34" i="3"/>
  <c r="AB33" i="3"/>
  <c r="AB32" i="3"/>
  <c r="D8" i="3"/>
  <c r="O8" i="3"/>
  <c r="W9" i="3" l="1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C9" i="3"/>
  <c r="E9" i="3"/>
  <c r="G9" i="3"/>
  <c r="H9" i="3"/>
  <c r="J9" i="3"/>
  <c r="M9" i="3"/>
  <c r="N9" i="3"/>
  <c r="C10" i="3"/>
  <c r="E10" i="3"/>
  <c r="G10" i="3"/>
  <c r="H10" i="3"/>
  <c r="J10" i="3"/>
  <c r="M10" i="3"/>
  <c r="N10" i="3"/>
  <c r="C11" i="3"/>
  <c r="E11" i="3"/>
  <c r="G11" i="3"/>
  <c r="H11" i="3"/>
  <c r="J11" i="3"/>
  <c r="M11" i="3"/>
  <c r="N11" i="3"/>
  <c r="C12" i="3"/>
  <c r="E12" i="3"/>
  <c r="G12" i="3"/>
  <c r="H12" i="3"/>
  <c r="J12" i="3"/>
  <c r="M12" i="3"/>
  <c r="N12" i="3"/>
  <c r="C13" i="3"/>
  <c r="E13" i="3"/>
  <c r="G13" i="3"/>
  <c r="H13" i="3"/>
  <c r="J13" i="3"/>
  <c r="M13" i="3"/>
  <c r="N13" i="3"/>
  <c r="C14" i="3"/>
  <c r="E14" i="3"/>
  <c r="G14" i="3"/>
  <c r="H14" i="3"/>
  <c r="J14" i="3"/>
  <c r="M14" i="3"/>
  <c r="N14" i="3"/>
  <c r="C15" i="3"/>
  <c r="E15" i="3"/>
  <c r="G15" i="3"/>
  <c r="H15" i="3"/>
  <c r="J15" i="3"/>
  <c r="M15" i="3"/>
  <c r="N15" i="3"/>
  <c r="C16" i="3"/>
  <c r="E16" i="3"/>
  <c r="G16" i="3"/>
  <c r="H16" i="3"/>
  <c r="J16" i="3"/>
  <c r="M16" i="3"/>
  <c r="N16" i="3"/>
  <c r="C17" i="3"/>
  <c r="E17" i="3"/>
  <c r="G17" i="3"/>
  <c r="H17" i="3"/>
  <c r="J17" i="3"/>
  <c r="M17" i="3"/>
  <c r="N17" i="3"/>
  <c r="C18" i="3"/>
  <c r="E18" i="3"/>
  <c r="G18" i="3"/>
  <c r="H18" i="3"/>
  <c r="J18" i="3"/>
  <c r="M18" i="3"/>
  <c r="N18" i="3"/>
  <c r="C19" i="3"/>
  <c r="E19" i="3"/>
  <c r="G19" i="3"/>
  <c r="H19" i="3"/>
  <c r="J19" i="3"/>
  <c r="M19" i="3"/>
  <c r="N19" i="3"/>
  <c r="C20" i="3"/>
  <c r="E20" i="3"/>
  <c r="G20" i="3"/>
  <c r="H20" i="3"/>
  <c r="J20" i="3"/>
  <c r="M20" i="3"/>
  <c r="N20" i="3"/>
  <c r="C21" i="3"/>
  <c r="E21" i="3"/>
  <c r="G21" i="3"/>
  <c r="H21" i="3"/>
  <c r="J21" i="3"/>
  <c r="M21" i="3"/>
  <c r="N21" i="3"/>
  <c r="C22" i="3"/>
  <c r="E22" i="3"/>
  <c r="G22" i="3"/>
  <c r="H22" i="3"/>
  <c r="J22" i="3"/>
  <c r="M22" i="3"/>
  <c r="N22" i="3"/>
  <c r="C23" i="3"/>
  <c r="E23" i="3"/>
  <c r="G23" i="3"/>
  <c r="H23" i="3"/>
  <c r="J23" i="3"/>
  <c r="M23" i="3"/>
  <c r="N23" i="3"/>
  <c r="C24" i="3"/>
  <c r="E24" i="3"/>
  <c r="G24" i="3"/>
  <c r="H24" i="3"/>
  <c r="J24" i="3"/>
  <c r="M24" i="3"/>
  <c r="N24" i="3"/>
  <c r="C25" i="3"/>
  <c r="E25" i="3"/>
  <c r="G25" i="3"/>
  <c r="H25" i="3"/>
  <c r="J25" i="3"/>
  <c r="M25" i="3"/>
  <c r="N25" i="3"/>
  <c r="C26" i="3"/>
  <c r="E26" i="3"/>
  <c r="G26" i="3"/>
  <c r="H26" i="3"/>
  <c r="J26" i="3"/>
  <c r="M26" i="3"/>
  <c r="N26" i="3"/>
  <c r="C27" i="3"/>
  <c r="E27" i="3"/>
  <c r="G27" i="3"/>
  <c r="H27" i="3"/>
  <c r="J27" i="3"/>
  <c r="M27" i="3"/>
  <c r="N27" i="3"/>
  <c r="C28" i="3"/>
  <c r="E28" i="3"/>
  <c r="AC28" i="3" s="1"/>
  <c r="G28" i="3"/>
  <c r="H28" i="3"/>
  <c r="J28" i="3"/>
  <c r="M28" i="3"/>
  <c r="N28" i="3"/>
  <c r="C29" i="3"/>
  <c r="E29" i="3"/>
  <c r="AC29" i="3" s="1"/>
  <c r="G29" i="3"/>
  <c r="H29" i="3"/>
  <c r="J29" i="3"/>
  <c r="M29" i="3"/>
  <c r="N29" i="3"/>
  <c r="C30" i="3"/>
  <c r="E30" i="3"/>
  <c r="AC30" i="3" s="1"/>
  <c r="G30" i="3"/>
  <c r="H30" i="3"/>
  <c r="J30" i="3"/>
  <c r="M30" i="3"/>
  <c r="N30" i="3"/>
  <c r="C31" i="3"/>
  <c r="E31" i="3"/>
  <c r="AC31" i="3" s="1"/>
  <c r="G31" i="3"/>
  <c r="H31" i="3"/>
  <c r="J31" i="3"/>
  <c r="M31" i="3"/>
  <c r="N31" i="3"/>
  <c r="C32" i="3"/>
  <c r="E32" i="3"/>
  <c r="AC32" i="3" s="1"/>
  <c r="G32" i="3"/>
  <c r="H32" i="3"/>
  <c r="J32" i="3"/>
  <c r="M32" i="3"/>
  <c r="N32" i="3"/>
  <c r="C33" i="3"/>
  <c r="E33" i="3"/>
  <c r="AC33" i="3" s="1"/>
  <c r="G33" i="3"/>
  <c r="H33" i="3"/>
  <c r="J33" i="3"/>
  <c r="M33" i="3"/>
  <c r="N33" i="3"/>
  <c r="C34" i="3"/>
  <c r="E34" i="3"/>
  <c r="AC34" i="3" s="1"/>
  <c r="G34" i="3"/>
  <c r="H34" i="3"/>
  <c r="J34" i="3"/>
  <c r="M34" i="3"/>
  <c r="N34" i="3"/>
  <c r="C35" i="3"/>
  <c r="E35" i="3"/>
  <c r="AC35" i="3" s="1"/>
  <c r="G35" i="3"/>
  <c r="H35" i="3"/>
  <c r="J35" i="3"/>
  <c r="M35" i="3"/>
  <c r="N35" i="3"/>
  <c r="C36" i="3"/>
  <c r="E36" i="3"/>
  <c r="AC36" i="3" s="1"/>
  <c r="G36" i="3"/>
  <c r="H36" i="3"/>
  <c r="J36" i="3"/>
  <c r="M36" i="3"/>
  <c r="L36" i="3" s="1"/>
  <c r="N36" i="3"/>
  <c r="C37" i="3"/>
  <c r="E37" i="3"/>
  <c r="AC37" i="3" s="1"/>
  <c r="G37" i="3"/>
  <c r="H37" i="3"/>
  <c r="J37" i="3"/>
  <c r="M37" i="3"/>
  <c r="L37" i="3" s="1"/>
  <c r="N37" i="3"/>
  <c r="C38" i="3"/>
  <c r="E38" i="3"/>
  <c r="G38" i="3"/>
  <c r="H38" i="3"/>
  <c r="J38" i="3"/>
  <c r="M38" i="3"/>
  <c r="L38" i="3" s="1"/>
  <c r="N38" i="3"/>
  <c r="P38" i="3"/>
  <c r="C39" i="3"/>
  <c r="E39" i="3"/>
  <c r="G39" i="3"/>
  <c r="H39" i="3"/>
  <c r="J39" i="3"/>
  <c r="M39" i="3"/>
  <c r="N39" i="3"/>
  <c r="P39" i="3"/>
  <c r="C40" i="3"/>
  <c r="E40" i="3"/>
  <c r="G40" i="3"/>
  <c r="H40" i="3"/>
  <c r="J40" i="3"/>
  <c r="M40" i="3"/>
  <c r="L40" i="3" s="1"/>
  <c r="N40" i="3"/>
  <c r="P40" i="3"/>
  <c r="C41" i="3"/>
  <c r="E41" i="3"/>
  <c r="G41" i="3"/>
  <c r="H41" i="3"/>
  <c r="J41" i="3"/>
  <c r="M41" i="3"/>
  <c r="L41" i="3" s="1"/>
  <c r="N41" i="3"/>
  <c r="P41" i="3"/>
  <c r="C42" i="3"/>
  <c r="E42" i="3"/>
  <c r="G42" i="3"/>
  <c r="H42" i="3"/>
  <c r="J42" i="3"/>
  <c r="M42" i="3"/>
  <c r="L42" i="3" s="1"/>
  <c r="N42" i="3"/>
  <c r="P42" i="3"/>
  <c r="C43" i="3"/>
  <c r="E43" i="3"/>
  <c r="G43" i="3"/>
  <c r="H43" i="3"/>
  <c r="J43" i="3"/>
  <c r="M43" i="3"/>
  <c r="L43" i="3" s="1"/>
  <c r="N43" i="3"/>
  <c r="P43" i="3"/>
  <c r="C44" i="3"/>
  <c r="E44" i="3"/>
  <c r="G44" i="3"/>
  <c r="H44" i="3"/>
  <c r="J44" i="3"/>
  <c r="M44" i="3"/>
  <c r="L44" i="3" s="1"/>
  <c r="N44" i="3"/>
  <c r="P44" i="3"/>
  <c r="C45" i="3"/>
  <c r="E45" i="3"/>
  <c r="G45" i="3"/>
  <c r="H45" i="3"/>
  <c r="J45" i="3"/>
  <c r="M45" i="3"/>
  <c r="L45" i="3" s="1"/>
  <c r="N45" i="3"/>
  <c r="P45" i="3"/>
  <c r="C46" i="3"/>
  <c r="E46" i="3"/>
  <c r="G46" i="3"/>
  <c r="H46" i="3"/>
  <c r="J46" i="3"/>
  <c r="M46" i="3"/>
  <c r="L46" i="3" s="1"/>
  <c r="N46" i="3"/>
  <c r="P46" i="3"/>
  <c r="C47" i="3"/>
  <c r="E47" i="3"/>
  <c r="G47" i="3"/>
  <c r="H47" i="3"/>
  <c r="J47" i="3"/>
  <c r="M47" i="3"/>
  <c r="L47" i="3" s="1"/>
  <c r="N47" i="3"/>
  <c r="P47" i="3"/>
  <c r="C48" i="3"/>
  <c r="E48" i="3"/>
  <c r="G48" i="3"/>
  <c r="H48" i="3"/>
  <c r="J48" i="3"/>
  <c r="M48" i="3"/>
  <c r="L48" i="3" s="1"/>
  <c r="N48" i="3"/>
  <c r="P48" i="3"/>
  <c r="C49" i="3"/>
  <c r="E49" i="3"/>
  <c r="G49" i="3"/>
  <c r="H49" i="3"/>
  <c r="J49" i="3"/>
  <c r="L49" i="3"/>
  <c r="M49" i="3"/>
  <c r="N49" i="3"/>
  <c r="P49" i="3"/>
  <c r="C50" i="3"/>
  <c r="E50" i="3"/>
  <c r="G50" i="3"/>
  <c r="H50" i="3"/>
  <c r="J50" i="3"/>
  <c r="L50" i="3"/>
  <c r="M50" i="3"/>
  <c r="N50" i="3"/>
  <c r="P50" i="3"/>
  <c r="C51" i="3"/>
  <c r="E51" i="3"/>
  <c r="G51" i="3"/>
  <c r="H51" i="3"/>
  <c r="J51" i="3"/>
  <c r="L51" i="3"/>
  <c r="M51" i="3"/>
  <c r="N51" i="3"/>
  <c r="P51" i="3"/>
  <c r="C52" i="3"/>
  <c r="E52" i="3"/>
  <c r="G52" i="3"/>
  <c r="H52" i="3"/>
  <c r="J52" i="3"/>
  <c r="L52" i="3"/>
  <c r="M52" i="3"/>
  <c r="N52" i="3"/>
  <c r="P52" i="3"/>
  <c r="C53" i="3"/>
  <c r="E53" i="3"/>
  <c r="G53" i="3"/>
  <c r="H53" i="3"/>
  <c r="J53" i="3"/>
  <c r="L53" i="3"/>
  <c r="M53" i="3"/>
  <c r="N53" i="3"/>
  <c r="P53" i="3"/>
  <c r="C54" i="3"/>
  <c r="E54" i="3"/>
  <c r="G54" i="3"/>
  <c r="H54" i="3"/>
  <c r="J54" i="3"/>
  <c r="L54" i="3"/>
  <c r="M54" i="3"/>
  <c r="N54" i="3"/>
  <c r="P54" i="3"/>
  <c r="C55" i="3"/>
  <c r="E55" i="3"/>
  <c r="G55" i="3"/>
  <c r="H55" i="3"/>
  <c r="J55" i="3"/>
  <c r="L55" i="3"/>
  <c r="M55" i="3"/>
  <c r="N55" i="3"/>
  <c r="P55" i="3"/>
  <c r="C56" i="3"/>
  <c r="E56" i="3"/>
  <c r="G56" i="3"/>
  <c r="H56" i="3"/>
  <c r="J56" i="3"/>
  <c r="L56" i="3"/>
  <c r="M56" i="3"/>
  <c r="N56" i="3"/>
  <c r="P56" i="3"/>
  <c r="C57" i="3"/>
  <c r="E57" i="3"/>
  <c r="G57" i="3"/>
  <c r="H57" i="3"/>
  <c r="J57" i="3"/>
  <c r="L57" i="3"/>
  <c r="M57" i="3"/>
  <c r="N57" i="3"/>
  <c r="P57" i="3"/>
  <c r="G8" i="3"/>
  <c r="H8" i="3"/>
  <c r="P8" i="3"/>
  <c r="N8" i="3"/>
  <c r="M8" i="3"/>
  <c r="J8" i="3"/>
  <c r="E8" i="3"/>
  <c r="L8" i="3" l="1"/>
  <c r="V31" i="3"/>
  <c r="V19" i="3"/>
  <c r="V17" i="3"/>
  <c r="V13" i="3"/>
  <c r="V11" i="3"/>
  <c r="V9" i="3"/>
  <c r="V32" i="3"/>
  <c r="V30" i="3"/>
  <c r="V24" i="3"/>
  <c r="V18" i="3"/>
  <c r="V16" i="3"/>
  <c r="V14" i="3"/>
  <c r="V12" i="3"/>
  <c r="AC16" i="3"/>
  <c r="AB16" i="3"/>
  <c r="F8" i="3"/>
  <c r="I8" i="3" s="1"/>
  <c r="AC17" i="3"/>
  <c r="AB17" i="3"/>
  <c r="V56" i="3"/>
  <c r="V54" i="3"/>
  <c r="V52" i="3"/>
  <c r="V50" i="3"/>
  <c r="V48" i="3"/>
  <c r="V46" i="3"/>
  <c r="V44" i="3"/>
  <c r="V42" i="3"/>
  <c r="V57" i="3"/>
  <c r="V55" i="3"/>
  <c r="V53" i="3"/>
  <c r="V51" i="3"/>
  <c r="V49" i="3"/>
  <c r="V47" i="3"/>
  <c r="V45" i="3"/>
  <c r="V43" i="3"/>
  <c r="AC14" i="3"/>
  <c r="AB14" i="3"/>
  <c r="AC13" i="3"/>
  <c r="AB13" i="3"/>
  <c r="AC9" i="3"/>
  <c r="AB9" i="3"/>
  <c r="V41" i="3"/>
  <c r="V40" i="3"/>
  <c r="V39" i="3"/>
  <c r="V38" i="3"/>
  <c r="V37" i="3"/>
  <c r="V36" i="3"/>
  <c r="V35" i="3"/>
  <c r="V34" i="3"/>
  <c r="V33" i="3"/>
  <c r="U15" i="3"/>
  <c r="U16" i="3"/>
  <c r="U14" i="3"/>
  <c r="U13" i="3"/>
  <c r="U12" i="3"/>
  <c r="U9" i="3"/>
  <c r="U10" i="3"/>
  <c r="U11" i="3"/>
  <c r="AC26" i="3"/>
  <c r="AB26" i="3"/>
  <c r="AC25" i="3"/>
  <c r="AB25" i="3"/>
  <c r="AC24" i="3"/>
  <c r="AB24" i="3"/>
  <c r="AC21" i="3"/>
  <c r="AB21" i="3"/>
  <c r="AC18" i="3"/>
  <c r="AB18" i="3"/>
  <c r="AC11" i="3"/>
  <c r="AB11" i="3"/>
  <c r="V29" i="3"/>
  <c r="V28" i="3"/>
  <c r="V26" i="3"/>
  <c r="V25" i="3"/>
  <c r="V22" i="3"/>
  <c r="V27" i="3"/>
  <c r="AC27" i="3"/>
  <c r="AB27" i="3"/>
  <c r="V23" i="3"/>
  <c r="AC23" i="3"/>
  <c r="AB23" i="3"/>
  <c r="AC22" i="3"/>
  <c r="AB22" i="3"/>
  <c r="V21" i="3"/>
  <c r="V20" i="3"/>
  <c r="AC20" i="3"/>
  <c r="AB20" i="3"/>
  <c r="AC19" i="3"/>
  <c r="AB19" i="3"/>
  <c r="AC12" i="3"/>
  <c r="AB12" i="3"/>
  <c r="AC10" i="3"/>
  <c r="AB10" i="3"/>
  <c r="V15" i="3"/>
  <c r="V10" i="3"/>
  <c r="AC15" i="3"/>
  <c r="AB15" i="3"/>
  <c r="AB57" i="3"/>
  <c r="AC57" i="3"/>
  <c r="AB56" i="3"/>
  <c r="AC56" i="3"/>
  <c r="AB55" i="3"/>
  <c r="AC55" i="3"/>
  <c r="AB54" i="3"/>
  <c r="AC54" i="3"/>
  <c r="AB53" i="3"/>
  <c r="AC53" i="3"/>
  <c r="AC8" i="3"/>
  <c r="AB8" i="3"/>
  <c r="AB52" i="3"/>
  <c r="AC52" i="3"/>
  <c r="AB51" i="3"/>
  <c r="AC51" i="3"/>
  <c r="AB50" i="3"/>
  <c r="AC50" i="3"/>
  <c r="AB49" i="3"/>
  <c r="AC49" i="3"/>
  <c r="AB48" i="3"/>
  <c r="AC48" i="3"/>
  <c r="AB47" i="3"/>
  <c r="AC47" i="3"/>
  <c r="AB46" i="3"/>
  <c r="AC46" i="3"/>
  <c r="AB45" i="3"/>
  <c r="AC45" i="3"/>
  <c r="AB44" i="3"/>
  <c r="AC44" i="3"/>
  <c r="AB43" i="3"/>
  <c r="AC43" i="3"/>
  <c r="AB42" i="3"/>
  <c r="AC42" i="3"/>
  <c r="AB41" i="3"/>
  <c r="AC41" i="3"/>
  <c r="AB40" i="3"/>
  <c r="AC40" i="3"/>
  <c r="AB39" i="3"/>
  <c r="AC39" i="3"/>
  <c r="AB38" i="3"/>
  <c r="AC38" i="3"/>
  <c r="L39" i="3"/>
  <c r="L35" i="3"/>
  <c r="L33" i="3"/>
  <c r="L31" i="3"/>
  <c r="L29" i="3"/>
  <c r="L27" i="3"/>
  <c r="L25" i="3"/>
  <c r="L23" i="3"/>
  <c r="L21" i="3"/>
  <c r="L19" i="3"/>
  <c r="L15" i="3"/>
  <c r="L32" i="3"/>
  <c r="N58" i="3"/>
  <c r="H58" i="3"/>
  <c r="L34" i="3"/>
  <c r="L30" i="3"/>
  <c r="L28" i="3"/>
  <c r="L26" i="3"/>
  <c r="L24" i="3"/>
  <c r="L22" i="3"/>
  <c r="L20" i="3"/>
  <c r="L18" i="3"/>
  <c r="G58" i="3"/>
  <c r="M58" i="3"/>
  <c r="J58" i="3"/>
  <c r="F57" i="3"/>
  <c r="Z57" i="3" s="1"/>
  <c r="F56" i="3"/>
  <c r="AA56" i="3" s="1"/>
  <c r="F55" i="3"/>
  <c r="Z55" i="3" s="1"/>
  <c r="F54" i="3"/>
  <c r="Z54" i="3" s="1"/>
  <c r="F53" i="3"/>
  <c r="Z53" i="3" s="1"/>
  <c r="F52" i="3"/>
  <c r="Z52" i="3" s="1"/>
  <c r="F51" i="3"/>
  <c r="Z51" i="3" s="1"/>
  <c r="F50" i="3"/>
  <c r="AA50" i="3" s="1"/>
  <c r="F49" i="3"/>
  <c r="I49" i="3" s="1"/>
  <c r="F48" i="3"/>
  <c r="I48" i="3" s="1"/>
  <c r="F47" i="3"/>
  <c r="I47" i="3" s="1"/>
  <c r="F46" i="3"/>
  <c r="I46" i="3" s="1"/>
  <c r="F45" i="3"/>
  <c r="I45" i="3" s="1"/>
  <c r="F44" i="3"/>
  <c r="I44" i="3" s="1"/>
  <c r="F43" i="3"/>
  <c r="I43" i="3" s="1"/>
  <c r="F42" i="3"/>
  <c r="I42" i="3" s="1"/>
  <c r="F41" i="3"/>
  <c r="I41" i="3" s="1"/>
  <c r="F40" i="3"/>
  <c r="I40" i="3" s="1"/>
  <c r="F39" i="3"/>
  <c r="I39" i="3" s="1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F31" i="3"/>
  <c r="I31" i="3" s="1"/>
  <c r="F30" i="3"/>
  <c r="I30" i="3" s="1"/>
  <c r="F29" i="3"/>
  <c r="I29" i="3" s="1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Z56" i="3"/>
  <c r="Z28" i="3"/>
  <c r="AA28" i="3"/>
  <c r="Z27" i="3"/>
  <c r="AA27" i="3"/>
  <c r="Z26" i="3"/>
  <c r="AA26" i="3"/>
  <c r="AA25" i="3"/>
  <c r="Z24" i="3"/>
  <c r="AA24" i="3"/>
  <c r="Z23" i="3"/>
  <c r="AA23" i="3"/>
  <c r="Z22" i="3"/>
  <c r="AA22" i="3"/>
  <c r="Z21" i="3"/>
  <c r="AA21" i="3"/>
  <c r="Z20" i="3"/>
  <c r="AA20" i="3"/>
  <c r="Z19" i="3"/>
  <c r="AA19" i="3"/>
  <c r="Z18" i="3"/>
  <c r="AA18" i="3"/>
  <c r="Z17" i="3"/>
  <c r="AA17" i="3"/>
  <c r="Z16" i="3"/>
  <c r="AA16" i="3"/>
  <c r="AA15" i="3"/>
  <c r="Z14" i="3"/>
  <c r="AA14" i="3"/>
  <c r="Z13" i="3"/>
  <c r="AA13" i="3"/>
  <c r="Z12" i="3"/>
  <c r="AA12" i="3"/>
  <c r="Z11" i="3"/>
  <c r="AA11" i="3"/>
  <c r="L9" i="3"/>
  <c r="Z9" i="3"/>
  <c r="AA9" i="3"/>
  <c r="L17" i="3"/>
  <c r="L16" i="3"/>
  <c r="L13" i="3"/>
  <c r="L12" i="3"/>
  <c r="L11" i="3"/>
  <c r="L10" i="3"/>
  <c r="L14" i="3"/>
  <c r="S50" i="3"/>
  <c r="U50" i="3"/>
  <c r="S49" i="3"/>
  <c r="U49" i="3"/>
  <c r="S48" i="3"/>
  <c r="U48" i="3"/>
  <c r="S47" i="3"/>
  <c r="U47" i="3"/>
  <c r="S46" i="3"/>
  <c r="U46" i="3"/>
  <c r="S45" i="3"/>
  <c r="U45" i="3"/>
  <c r="S44" i="3"/>
  <c r="U44" i="3"/>
  <c r="S43" i="3"/>
  <c r="U43" i="3"/>
  <c r="S42" i="3"/>
  <c r="U42" i="3"/>
  <c r="S41" i="3"/>
  <c r="U41" i="3"/>
  <c r="S40" i="3"/>
  <c r="U40" i="3"/>
  <c r="S39" i="3"/>
  <c r="U39" i="3"/>
  <c r="U57" i="3"/>
  <c r="S57" i="3"/>
  <c r="U56" i="3"/>
  <c r="S56" i="3"/>
  <c r="U55" i="3"/>
  <c r="S55" i="3"/>
  <c r="U54" i="3"/>
  <c r="S54" i="3"/>
  <c r="U53" i="3"/>
  <c r="S53" i="3"/>
  <c r="U52" i="3"/>
  <c r="S52" i="3"/>
  <c r="U51" i="3"/>
  <c r="S51" i="3"/>
  <c r="R51" i="3"/>
  <c r="Q51" i="3" s="1"/>
  <c r="AA53" i="3" l="1"/>
  <c r="AA36" i="3"/>
  <c r="AA52" i="3"/>
  <c r="AA44" i="3"/>
  <c r="AA32" i="3"/>
  <c r="AA48" i="3"/>
  <c r="AA40" i="3"/>
  <c r="Z43" i="3"/>
  <c r="AA51" i="3"/>
  <c r="AA55" i="3"/>
  <c r="Z47" i="3"/>
  <c r="Z29" i="3"/>
  <c r="Z38" i="3"/>
  <c r="Z30" i="3"/>
  <c r="Z50" i="3"/>
  <c r="AA54" i="3"/>
  <c r="Z34" i="3"/>
  <c r="Z41" i="3"/>
  <c r="Z45" i="3"/>
  <c r="AA49" i="3"/>
  <c r="AA57" i="3"/>
  <c r="Z42" i="3"/>
  <c r="Z46" i="3"/>
  <c r="Z31" i="3"/>
  <c r="Z33" i="3"/>
  <c r="Z35" i="3"/>
  <c r="Z37" i="3"/>
  <c r="Z39" i="3"/>
  <c r="Z49" i="3"/>
  <c r="AA8" i="3"/>
  <c r="K8" i="3"/>
  <c r="T8" i="3" s="1"/>
  <c r="AA30" i="3"/>
  <c r="Z32" i="3"/>
  <c r="AA34" i="3"/>
  <c r="Z36" i="3"/>
  <c r="AA38" i="3"/>
  <c r="Z40" i="3"/>
  <c r="AA42" i="3"/>
  <c r="Z44" i="3"/>
  <c r="AA46" i="3"/>
  <c r="Z48" i="3"/>
  <c r="Z8" i="3"/>
  <c r="AA29" i="3"/>
  <c r="AA31" i="3"/>
  <c r="AA33" i="3"/>
  <c r="AA35" i="3"/>
  <c r="AA37" i="3"/>
  <c r="AA39" i="3"/>
  <c r="AA41" i="3"/>
  <c r="AA43" i="3"/>
  <c r="AA45" i="3"/>
  <c r="AA47" i="3"/>
  <c r="AA10" i="3"/>
  <c r="Z10" i="3"/>
  <c r="I50" i="3"/>
  <c r="Y50" i="3"/>
  <c r="X50" i="3"/>
  <c r="I51" i="3"/>
  <c r="Y51" i="3"/>
  <c r="X51" i="3"/>
  <c r="I52" i="3"/>
  <c r="Y52" i="3"/>
  <c r="X52" i="3"/>
  <c r="I53" i="3"/>
  <c r="Y53" i="3"/>
  <c r="X53" i="3"/>
  <c r="I54" i="3"/>
  <c r="Y54" i="3"/>
  <c r="X54" i="3"/>
  <c r="I55" i="3"/>
  <c r="Y55" i="3"/>
  <c r="X55" i="3"/>
  <c r="I56" i="3"/>
  <c r="Y56" i="3"/>
  <c r="X56" i="3"/>
  <c r="I57" i="3"/>
  <c r="Y57" i="3"/>
  <c r="X57" i="3"/>
  <c r="S9" i="3"/>
  <c r="R9" i="3"/>
  <c r="S10" i="3"/>
  <c r="R10" i="3"/>
  <c r="S11" i="3"/>
  <c r="R11" i="3"/>
  <c r="S12" i="3"/>
  <c r="R12" i="3"/>
  <c r="S13" i="3"/>
  <c r="R13" i="3"/>
  <c r="S14" i="3"/>
  <c r="R14" i="3"/>
  <c r="S15" i="3"/>
  <c r="R15" i="3"/>
  <c r="S16" i="3"/>
  <c r="R16" i="3"/>
  <c r="S17" i="3"/>
  <c r="R17" i="3"/>
  <c r="S18" i="3"/>
  <c r="R18" i="3"/>
  <c r="S19" i="3"/>
  <c r="R19" i="3"/>
  <c r="S20" i="3"/>
  <c r="R20" i="3"/>
  <c r="Y49" i="3"/>
  <c r="X49" i="3"/>
  <c r="Y48" i="3"/>
  <c r="X48" i="3"/>
  <c r="Y47" i="3"/>
  <c r="X47" i="3"/>
  <c r="Y46" i="3"/>
  <c r="X46" i="3"/>
  <c r="Y9" i="3"/>
  <c r="X9" i="3"/>
  <c r="Y10" i="3"/>
  <c r="X10" i="3"/>
  <c r="Y11" i="3"/>
  <c r="X11" i="3"/>
  <c r="Y12" i="3"/>
  <c r="X12" i="3"/>
  <c r="Y13" i="3"/>
  <c r="X13" i="3"/>
  <c r="Y14" i="3"/>
  <c r="X14" i="3"/>
  <c r="Z15" i="3"/>
  <c r="Y15" i="3"/>
  <c r="X15" i="3"/>
  <c r="Y16" i="3"/>
  <c r="X16" i="3"/>
  <c r="Y17" i="3"/>
  <c r="X17" i="3"/>
  <c r="Y18" i="3"/>
  <c r="X18" i="3"/>
  <c r="Y19" i="3"/>
  <c r="X19" i="3"/>
  <c r="Y20" i="3"/>
  <c r="X20" i="3"/>
  <c r="Y21" i="3"/>
  <c r="X21" i="3"/>
  <c r="Y22" i="3"/>
  <c r="X22" i="3"/>
  <c r="Y23" i="3"/>
  <c r="X23" i="3"/>
  <c r="Y24" i="3"/>
  <c r="X24" i="3"/>
  <c r="Z25" i="3"/>
  <c r="Y25" i="3"/>
  <c r="X25" i="3"/>
  <c r="Y26" i="3"/>
  <c r="X26" i="3"/>
  <c r="Y27" i="3"/>
  <c r="X27" i="3"/>
  <c r="Y28" i="3"/>
  <c r="X28" i="3"/>
  <c r="Y29" i="3"/>
  <c r="X29" i="3"/>
  <c r="Y30" i="3"/>
  <c r="X30" i="3"/>
  <c r="Y31" i="3"/>
  <c r="X31" i="3"/>
  <c r="Y32" i="3"/>
  <c r="X32" i="3"/>
  <c r="Y33" i="3"/>
  <c r="X33" i="3"/>
  <c r="Y34" i="3"/>
  <c r="X34" i="3"/>
  <c r="Y35" i="3"/>
  <c r="X35" i="3"/>
  <c r="Y36" i="3"/>
  <c r="X36" i="3"/>
  <c r="Y37" i="3"/>
  <c r="X37" i="3"/>
  <c r="Y38" i="3"/>
  <c r="X38" i="3"/>
  <c r="Y39" i="3"/>
  <c r="X39" i="3"/>
  <c r="Y40" i="3"/>
  <c r="X40" i="3"/>
  <c r="Y41" i="3"/>
  <c r="X41" i="3"/>
  <c r="Y42" i="3"/>
  <c r="X42" i="3"/>
  <c r="Y43" i="3"/>
  <c r="X43" i="3"/>
  <c r="Y44" i="3"/>
  <c r="X44" i="3"/>
  <c r="Y45" i="3"/>
  <c r="X45" i="3"/>
  <c r="Y8" i="3"/>
  <c r="X8" i="3"/>
  <c r="K9" i="3"/>
  <c r="T9" i="3" s="1"/>
  <c r="K10" i="3"/>
  <c r="T10" i="3" s="1"/>
  <c r="K11" i="3"/>
  <c r="T11" i="3" s="1"/>
  <c r="K12" i="3"/>
  <c r="T12" i="3" s="1"/>
  <c r="K13" i="3"/>
  <c r="T13" i="3" s="1"/>
  <c r="K14" i="3"/>
  <c r="T14" i="3" s="1"/>
  <c r="K15" i="3"/>
  <c r="T15" i="3" s="1"/>
  <c r="K16" i="3"/>
  <c r="T16" i="3" s="1"/>
  <c r="K17" i="3"/>
  <c r="T17" i="3" s="1"/>
  <c r="K18" i="3"/>
  <c r="T18" i="3" s="1"/>
  <c r="K19" i="3"/>
  <c r="T19" i="3" s="1"/>
  <c r="K20" i="3"/>
  <c r="T20" i="3" s="1"/>
  <c r="K21" i="3"/>
  <c r="T21" i="3" s="1"/>
  <c r="K22" i="3"/>
  <c r="T22" i="3" s="1"/>
  <c r="K23" i="3"/>
  <c r="T23" i="3" s="1"/>
  <c r="K24" i="3"/>
  <c r="K25" i="3"/>
  <c r="T25" i="3" s="1"/>
  <c r="K26" i="3"/>
  <c r="T26" i="3" s="1"/>
  <c r="K27" i="3"/>
  <c r="T27" i="3" s="1"/>
  <c r="K28" i="3"/>
  <c r="T28" i="3" s="1"/>
  <c r="K29" i="3"/>
  <c r="T29" i="3" s="1"/>
  <c r="K30" i="3"/>
  <c r="K31" i="3"/>
  <c r="T31" i="3" s="1"/>
  <c r="K32" i="3"/>
  <c r="T32" i="3" s="1"/>
  <c r="K33" i="3"/>
  <c r="T33" i="3" s="1"/>
  <c r="K34" i="3"/>
  <c r="T34" i="3" s="1"/>
  <c r="K35" i="3"/>
  <c r="T35" i="3" s="1"/>
  <c r="K36" i="3"/>
  <c r="T36" i="3" s="1"/>
  <c r="K37" i="3"/>
  <c r="T37" i="3" s="1"/>
  <c r="K38" i="3"/>
  <c r="T38" i="3" s="1"/>
  <c r="K39" i="3"/>
  <c r="T39" i="3" s="1"/>
  <c r="K40" i="3"/>
  <c r="T40" i="3" s="1"/>
  <c r="K41" i="3"/>
  <c r="T41" i="3" s="1"/>
  <c r="K42" i="3"/>
  <c r="T42" i="3" s="1"/>
  <c r="K43" i="3"/>
  <c r="T43" i="3" s="1"/>
  <c r="K44" i="3"/>
  <c r="T44" i="3" s="1"/>
  <c r="K45" i="3"/>
  <c r="T45" i="3" s="1"/>
  <c r="K46" i="3"/>
  <c r="T46" i="3" s="1"/>
  <c r="K47" i="3"/>
  <c r="T47" i="3" s="1"/>
  <c r="K48" i="3"/>
  <c r="T48" i="3" s="1"/>
  <c r="K49" i="3"/>
  <c r="T49" i="3" s="1"/>
  <c r="K50" i="3"/>
  <c r="K51" i="3"/>
  <c r="T51" i="3" s="1"/>
  <c r="K52" i="3"/>
  <c r="T52" i="3" s="1"/>
  <c r="K53" i="3"/>
  <c r="K54" i="3"/>
  <c r="K55" i="3"/>
  <c r="T55" i="3" s="1"/>
  <c r="K56" i="3"/>
  <c r="T56" i="3" s="1"/>
  <c r="K57" i="3"/>
  <c r="L58" i="3"/>
  <c r="R52" i="3"/>
  <c r="Q52" i="3" s="1"/>
  <c r="R53" i="3"/>
  <c r="Q53" i="3" s="1"/>
  <c r="R54" i="3"/>
  <c r="Q54" i="3" s="1"/>
  <c r="R55" i="3"/>
  <c r="Q55" i="3" s="1"/>
  <c r="R56" i="3"/>
  <c r="Q56" i="3" s="1"/>
  <c r="R57" i="3"/>
  <c r="Q57" i="3" s="1"/>
  <c r="R39" i="3"/>
  <c r="Q39" i="3" s="1"/>
  <c r="R40" i="3"/>
  <c r="Q40" i="3" s="1"/>
  <c r="R41" i="3"/>
  <c r="Q41" i="3" s="1"/>
  <c r="R42" i="3"/>
  <c r="Q42" i="3" s="1"/>
  <c r="R43" i="3"/>
  <c r="Q43" i="3" s="1"/>
  <c r="R44" i="3"/>
  <c r="Q44" i="3" s="1"/>
  <c r="R45" i="3"/>
  <c r="Q45" i="3" s="1"/>
  <c r="R46" i="3"/>
  <c r="Q46" i="3" s="1"/>
  <c r="R47" i="3"/>
  <c r="Q47" i="3" s="1"/>
  <c r="R48" i="3"/>
  <c r="Q48" i="3" s="1"/>
  <c r="R49" i="3"/>
  <c r="Q49" i="3" s="1"/>
  <c r="R50" i="3"/>
  <c r="Q50" i="3" s="1"/>
  <c r="U17" i="3"/>
  <c r="U18" i="3"/>
  <c r="U19" i="3"/>
  <c r="U20" i="3"/>
  <c r="R21" i="3"/>
  <c r="S21" i="3"/>
  <c r="U21" i="3"/>
  <c r="R22" i="3"/>
  <c r="S22" i="3"/>
  <c r="U22" i="3"/>
  <c r="R23" i="3"/>
  <c r="S23" i="3"/>
  <c r="U23" i="3"/>
  <c r="R28" i="3"/>
  <c r="S28" i="3"/>
  <c r="U28" i="3"/>
  <c r="R29" i="3"/>
  <c r="S29" i="3"/>
  <c r="U29" i="3"/>
  <c r="R30" i="3"/>
  <c r="S30" i="3"/>
  <c r="U30" i="3"/>
  <c r="R31" i="3"/>
  <c r="S31" i="3"/>
  <c r="U31" i="3"/>
  <c r="R32" i="3"/>
  <c r="S32" i="3"/>
  <c r="U32" i="3"/>
  <c r="R33" i="3"/>
  <c r="S33" i="3"/>
  <c r="U33" i="3"/>
  <c r="R34" i="3"/>
  <c r="S34" i="3"/>
  <c r="U34" i="3"/>
  <c r="R35" i="3"/>
  <c r="S35" i="3"/>
  <c r="U35" i="3"/>
  <c r="R36" i="3"/>
  <c r="S36" i="3"/>
  <c r="U36" i="3"/>
  <c r="R37" i="3"/>
  <c r="S37" i="3"/>
  <c r="U37" i="3"/>
  <c r="R38" i="3"/>
  <c r="S38" i="3"/>
  <c r="U38" i="3"/>
  <c r="R24" i="3"/>
  <c r="S24" i="3"/>
  <c r="U24" i="3"/>
  <c r="R25" i="3"/>
  <c r="S25" i="3"/>
  <c r="U25" i="3"/>
  <c r="R26" i="3"/>
  <c r="S26" i="3"/>
  <c r="U26" i="3"/>
  <c r="R27" i="3"/>
  <c r="S27" i="3"/>
  <c r="U27" i="3"/>
  <c r="T54" i="3" l="1"/>
  <c r="T50" i="3"/>
  <c r="T57" i="3"/>
  <c r="T53" i="3"/>
  <c r="AA58" i="3"/>
  <c r="Y58" i="3"/>
  <c r="Z58" i="3"/>
  <c r="X58" i="3"/>
  <c r="T30" i="3"/>
  <c r="T24" i="3"/>
  <c r="I58" i="3"/>
  <c r="K58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3" i="3"/>
  <c r="Q16" i="3"/>
  <c r="Q15" i="3"/>
  <c r="Q14" i="3"/>
  <c r="Q12" i="3"/>
  <c r="Q10" i="3"/>
  <c r="Q9" i="3"/>
  <c r="Q11" i="3"/>
  <c r="T58" i="3" l="1"/>
  <c r="S8" i="3" l="1"/>
  <c r="U8" i="3"/>
  <c r="U58" i="3" s="1"/>
  <c r="AC58" i="3" l="1"/>
  <c r="AB58" i="3"/>
  <c r="R8" i="3"/>
  <c r="O58" i="3"/>
  <c r="S58" i="3"/>
  <c r="V58" i="3"/>
  <c r="W60" i="3" s="1"/>
  <c r="W61" i="3" s="1"/>
  <c r="W62" i="3" s="1"/>
  <c r="R58" i="3" l="1"/>
  <c r="Q8" i="3"/>
  <c r="Q58" i="3" s="1"/>
  <c r="B60" i="3" s="1"/>
  <c r="AD58" i="3"/>
  <c r="U60" i="3"/>
</calcChain>
</file>

<file path=xl/sharedStrings.xml><?xml version="1.0" encoding="utf-8"?>
<sst xmlns="http://schemas.openxmlformats.org/spreadsheetml/2006/main" count="149" uniqueCount="91">
  <si>
    <t>№</t>
  </si>
  <si>
    <t>Тип</t>
  </si>
  <si>
    <t>ширина</t>
  </si>
  <si>
    <t>высота</t>
  </si>
  <si>
    <t>длинна</t>
  </si>
  <si>
    <t>коли чество</t>
  </si>
  <si>
    <t>h шин</t>
  </si>
  <si>
    <t>уголков</t>
  </si>
  <si>
    <t>струбцин</t>
  </si>
  <si>
    <t>S м2</t>
  </si>
  <si>
    <t>металл</t>
  </si>
  <si>
    <t>фланцы</t>
  </si>
  <si>
    <t>цена за металл</t>
  </si>
  <si>
    <t>цена за комплектующие</t>
  </si>
  <si>
    <t>Доп. Расходы</t>
  </si>
  <si>
    <t>0,5(0,55)</t>
  </si>
  <si>
    <t>P шин</t>
  </si>
  <si>
    <t>цена шин</t>
  </si>
  <si>
    <t>цена уголков</t>
  </si>
  <si>
    <t>S м2 общ.</t>
  </si>
  <si>
    <t>фас/нет</t>
  </si>
  <si>
    <t>отх м2</t>
  </si>
  <si>
    <t>шейка</t>
  </si>
  <si>
    <t>S врезки</t>
  </si>
  <si>
    <t>P врез</t>
  </si>
  <si>
    <t>работа жесть</t>
  </si>
  <si>
    <t>Работа офланцовка</t>
  </si>
  <si>
    <t>метраж 20 шинорейки</t>
  </si>
  <si>
    <t>метраж 30 шинорейки</t>
  </si>
  <si>
    <t>уголки 20</t>
  </si>
  <si>
    <t>уголки 30</t>
  </si>
  <si>
    <t>ИТОГО</t>
  </si>
  <si>
    <t>○</t>
  </si>
  <si>
    <t>ПН</t>
  </si>
  <si>
    <t>S 0.7</t>
  </si>
  <si>
    <t>S 0.5</t>
  </si>
  <si>
    <t>ПНП</t>
  </si>
  <si>
    <t>ПНГ</t>
  </si>
  <si>
    <t>ПНГП</t>
  </si>
  <si>
    <t>ПН2П</t>
  </si>
  <si>
    <t>ПНГ2П</t>
  </si>
  <si>
    <t>ДНО</t>
  </si>
  <si>
    <t>ДНС</t>
  </si>
  <si>
    <t>Утка</t>
  </si>
  <si>
    <t>Заглушка</t>
  </si>
  <si>
    <t>ширина  /Ду</t>
  </si>
  <si>
    <t>О</t>
  </si>
  <si>
    <t>смещ ение/ отборт овка</t>
  </si>
  <si>
    <t>подрешетник</t>
  </si>
  <si>
    <t>Ду врез1/ перехода</t>
  </si>
  <si>
    <t>Ду врез2</t>
  </si>
  <si>
    <t>H врезки1/ перехода</t>
  </si>
  <si>
    <t>L врезки1/ перехода</t>
  </si>
  <si>
    <t>H врезки2</t>
  </si>
  <si>
    <t>L врезки2</t>
  </si>
  <si>
    <t>Врезка</t>
  </si>
  <si>
    <t>Тип перех</t>
  </si>
  <si>
    <t>Зонт вытяжной</t>
  </si>
  <si>
    <t>Зонт крышный</t>
  </si>
  <si>
    <t>ДК</t>
  </si>
  <si>
    <t>Зонт крышный-С</t>
  </si>
  <si>
    <t>ГТП</t>
  </si>
  <si>
    <t>ГП</t>
  </si>
  <si>
    <t>Стор</t>
  </si>
  <si>
    <t>Шея</t>
  </si>
  <si>
    <t>Зат</t>
  </si>
  <si>
    <t>ПН2Г</t>
  </si>
  <si>
    <t>Результат</t>
  </si>
  <si>
    <t>П1</t>
  </si>
  <si>
    <t>П2</t>
  </si>
  <si>
    <t>Л бок</t>
  </si>
  <si>
    <t>Сторона З1</t>
  </si>
  <si>
    <t>Сторона З2</t>
  </si>
  <si>
    <t>Сторона З3</t>
  </si>
  <si>
    <t>Сторона З4</t>
  </si>
  <si>
    <t>седло</t>
  </si>
  <si>
    <t>Муфта</t>
  </si>
  <si>
    <t>Ниппель</t>
  </si>
  <si>
    <t>15</t>
  </si>
  <si>
    <t>30</t>
  </si>
  <si>
    <t>45</t>
  </si>
  <si>
    <t>60</t>
  </si>
  <si>
    <t>75</t>
  </si>
  <si>
    <t>90</t>
  </si>
  <si>
    <t>Внут</t>
  </si>
  <si>
    <t>нар</t>
  </si>
  <si>
    <t>Гибкая вставка</t>
  </si>
  <si>
    <t>гибкая вставка</t>
  </si>
  <si>
    <t>наименование</t>
  </si>
  <si>
    <t>формулаКВ</t>
  </si>
  <si>
    <t>формулаКР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</si>
</sst>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164" formatCode="000000"/>
    <numFmt numFmtId="165" formatCode="#,##0_р_."/>
    <numFmt numFmtId="166" formatCode="#,##0.0_р_."/>
    <numFmt numFmtId="167" formatCode="#,##0.00_р_."/>
    <numFmt numFmtId="168" formatCode="0.0"/>
    <numFmt numFmtId="169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165" fontId="0" fillId="0" borderId="0" xfId="0" applyNumberFormat="1"/>
    <xf numFmtId="165" fontId="0" fillId="3" borderId="3" xfId="0" applyNumberFormat="1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 wrapText="1"/>
    </xf>
    <xf numFmtId="166" fontId="0" fillId="0" borderId="0" xfId="0" applyNumberFormat="1"/>
    <xf numFmtId="166" fontId="0" fillId="3" borderId="3" xfId="0" applyNumberFormat="1" applyFill="1" applyBorder="1" applyAlignment="1">
      <alignment horizontal="center" vertical="center"/>
    </xf>
    <xf numFmtId="167" fontId="0" fillId="0" borderId="0" xfId="0" applyNumberFormat="1"/>
    <xf numFmtId="166" fontId="0" fillId="3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0" xfId="0" applyAlignment="1"/>
    <xf numFmtId="165" fontId="0" fillId="0" borderId="1" xfId="0" applyNumberFormat="1" applyBorder="1"/>
    <xf numFmtId="0" fontId="0" fillId="0" borderId="5" xfId="0" applyBorder="1"/>
    <xf numFmtId="165" fontId="0" fillId="3" borderId="3" xfId="0" applyNumberFormat="1" applyFill="1" applyBorder="1" applyAlignment="1">
      <alignment horizontal="center" vertical="center" textRotation="90"/>
    </xf>
    <xf numFmtId="2" fontId="0" fillId="0" borderId="1" xfId="0" applyNumberFormat="1" applyBorder="1"/>
    <xf numFmtId="0" fontId="0" fillId="0" borderId="0" xfId="0" applyFill="1" applyBorder="1"/>
    <xf numFmtId="166" fontId="0" fillId="4" borderId="2" xfId="0" applyNumberFormat="1" applyFill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 wrapText="1"/>
    </xf>
    <xf numFmtId="0" fontId="0" fillId="0" borderId="13" xfId="0" applyBorder="1"/>
    <xf numFmtId="165" fontId="0" fillId="0" borderId="13" xfId="0" applyNumberFormat="1" applyBorder="1"/>
    <xf numFmtId="2" fontId="0" fillId="0" borderId="13" xfId="0" applyNumberFormat="1" applyBorder="1"/>
    <xf numFmtId="166" fontId="0" fillId="0" borderId="14" xfId="0" applyNumberFormat="1" applyBorder="1"/>
    <xf numFmtId="165" fontId="0" fillId="0" borderId="7" xfId="0" applyNumberFormat="1" applyBorder="1"/>
    <xf numFmtId="166" fontId="0" fillId="0" borderId="12" xfId="0" applyNumberFormat="1" applyBorder="1"/>
    <xf numFmtId="165" fontId="0" fillId="0" borderId="15" xfId="0" applyNumberFormat="1" applyBorder="1"/>
    <xf numFmtId="165" fontId="0" fillId="3" borderId="16" xfId="0" applyNumberFormat="1" applyFill="1" applyBorder="1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 wrapText="1"/>
    </xf>
    <xf numFmtId="168" fontId="0" fillId="0" borderId="0" xfId="0" applyNumberFormat="1"/>
    <xf numFmtId="41" fontId="0" fillId="0" borderId="0" xfId="0" applyNumberFormat="1"/>
    <xf numFmtId="0" fontId="0" fillId="0" borderId="10" xfId="0" applyBorder="1"/>
    <xf numFmtId="0" fontId="0" fillId="0" borderId="17" xfId="0" applyBorder="1"/>
    <xf numFmtId="0" fontId="0" fillId="0" borderId="6" xfId="0" applyBorder="1"/>
    <xf numFmtId="165" fontId="0" fillId="0" borderId="17" xfId="0" applyNumberFormat="1" applyBorder="1"/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166" fontId="0" fillId="0" borderId="1" xfId="0" applyNumberFormat="1" applyBorder="1"/>
    <xf numFmtId="0" fontId="0" fillId="0" borderId="8" xfId="0" applyBorder="1"/>
    <xf numFmtId="2" fontId="0" fillId="0" borderId="8" xfId="0" applyNumberFormat="1" applyBorder="1"/>
    <xf numFmtId="166" fontId="0" fillId="0" borderId="8" xfId="0" applyNumberFormat="1" applyBorder="1"/>
    <xf numFmtId="165" fontId="0" fillId="0" borderId="8" xfId="0" applyNumberFormat="1" applyBorder="1"/>
    <xf numFmtId="2" fontId="0" fillId="0" borderId="17" xfId="0" applyNumberFormat="1" applyBorder="1"/>
    <xf numFmtId="165" fontId="0" fillId="0" borderId="11" xfId="0" applyNumberFormat="1" applyBorder="1"/>
    <xf numFmtId="166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2" fontId="0" fillId="0" borderId="0" xfId="0" applyNumberFormat="1"/>
    <xf numFmtId="166" fontId="0" fillId="0" borderId="17" xfId="0" applyNumberFormat="1" applyBorder="1"/>
    <xf numFmtId="0" fontId="0" fillId="0" borderId="20" xfId="0" applyBorder="1"/>
    <xf numFmtId="167" fontId="0" fillId="0" borderId="19" xfId="0" applyNumberFormat="1" applyBorder="1"/>
    <xf numFmtId="0" fontId="1" fillId="2" borderId="2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167" fontId="1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3" xfId="0" applyNumberFormat="1" applyFill="1" applyBorder="1"/>
    <xf numFmtId="0" fontId="0" fillId="0" borderId="18" xfId="0" applyFill="1" applyBorder="1"/>
    <xf numFmtId="0" fontId="0" fillId="0" borderId="16" xfId="0" applyFill="1" applyBorder="1"/>
    <xf numFmtId="167" fontId="0" fillId="0" borderId="24" xfId="0" applyNumberFormat="1" applyFill="1" applyBorder="1"/>
    <xf numFmtId="0" fontId="0" fillId="0" borderId="23" xfId="0" applyNumberFormat="1" applyBorder="1"/>
    <xf numFmtId="0" fontId="0" fillId="0" borderId="18" xfId="0" applyBorder="1"/>
    <xf numFmtId="0" fontId="0" fillId="0" borderId="16" xfId="0" applyBorder="1"/>
    <xf numFmtId="167" fontId="0" fillId="0" borderId="24" xfId="0" applyNumberFormat="1" applyBorder="1"/>
    <xf numFmtId="0" fontId="0" fillId="5" borderId="0" xfId="0" applyFill="1"/>
    <xf numFmtId="2" fontId="0" fillId="5" borderId="0" xfId="0" applyNumberFormat="1" applyFill="1"/>
    <xf numFmtId="169" fontId="0" fillId="5" borderId="0" xfId="0" applyNumberFormat="1" applyFill="1"/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49" fontId="0" fillId="0" borderId="0" xfId="0" applyNumberFormat="1"/>
  </cellXfs>
  <cellStyles count="1">
    <cellStyle name="Обычный" xfId="0" builtinId="0"/>
  </cellStyles>
  <dxfs count="98">
    <dxf>
      <numFmt numFmtId="167" formatCode="#,##0.00_р_.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7" formatCode="#,##0.00_р_.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9" formatCode="0.000"/>
      <fill>
        <patternFill patternType="solid">
          <fgColor indexed="64"/>
          <bgColor theme="5" tint="0.59999389629810485"/>
        </patternFill>
      </fill>
    </dxf>
    <dxf>
      <numFmt numFmtId="2" formatCode="0.00"/>
      <fill>
        <patternFill patternType="solid">
          <fgColor indexed="64"/>
          <bgColor theme="5" tint="0.59999389629810485"/>
        </patternFill>
      </fill>
    </dxf>
    <dxf>
      <numFmt numFmtId="2" formatCode="0.00"/>
      <fill>
        <patternFill patternType="solid">
          <fgColor indexed="64"/>
          <bgColor theme="5" tint="0.59999389629810485"/>
        </patternFill>
      </fill>
    </dxf>
    <dxf>
      <numFmt numFmtId="2" formatCode="0.00"/>
    </dxf>
    <dxf>
      <numFmt numFmtId="2" formatCode="0.00"/>
    </dxf>
    <dxf>
      <numFmt numFmtId="2" formatCode="0.00"/>
      <fill>
        <patternFill patternType="solid">
          <fgColor indexed="64"/>
          <bgColor theme="5" tint="0.59999389629810485"/>
        </patternFill>
      </fill>
    </dxf>
    <dxf>
      <numFmt numFmtId="2" formatCode="0.00"/>
      <fill>
        <patternFill patternType="solid">
          <fgColor indexed="64"/>
          <bgColor theme="5" tint="0.59999389629810485"/>
        </patternFill>
      </fill>
    </dxf>
    <dxf>
      <numFmt numFmtId="2" formatCode="0.00"/>
      <fill>
        <patternFill patternType="solid">
          <fgColor indexed="64"/>
          <bgColor theme="5" tint="0.59999389629810485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font>
        <color theme="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2" defaultPivotStyle="PivotStyleLight16">
    <tableStyle name="Стиль таблицы 1" pivot="0" count="2">
      <tableStyleElement type="headerRow" dxfId="97"/>
      <tableStyleElement type="firstColumn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расчетная" displayName="расчетная" ref="A1:R31" headerRowBorderDxfId="36" tableBorderDxfId="37">
  <autoFilter ref="A1:R31"/>
  <tableColumns count="18">
    <tableColumn id="1" name="№" totalsRowLabel="Итог" dataDxfId="34" totalsRowDxfId="35"/>
    <tableColumn id="2" name="Тип" dataDxfId="32" totalsRowDxfId="33"/>
    <tableColumn id="3" name="ширина  /Ду" dataDxfId="30" totalsRowDxfId="31"/>
    <tableColumn id="4" name="высота" dataDxfId="28" totalsRowDxfId="29"/>
    <tableColumn id="5" name="длинна" dataDxfId="26" totalsRowDxfId="27"/>
    <tableColumn id="6" name="коли чество" totalsRowFunction="sum" dataDxfId="24" totalsRowDxfId="25"/>
    <tableColumn id="7" name="фланцы" dataDxfId="22" totalsRowDxfId="23"/>
    <tableColumn id="8" name="H врезки1/ перехода" dataDxfId="20" totalsRowDxfId="21"/>
    <tableColumn id="9" name="L врезки1/ перехода" dataDxfId="18" totalsRowDxfId="19"/>
    <tableColumn id="18" name="H врезки2" dataDxfId="16" totalsRowDxfId="17"/>
    <tableColumn id="19" name="L врезки2" dataDxfId="14" totalsRowDxfId="15"/>
    <tableColumn id="17" name="Ду врез1/ перехода" dataDxfId="12" totalsRowDxfId="13"/>
    <tableColumn id="12" name="Ду врез2" dataDxfId="10" totalsRowDxfId="11"/>
    <tableColumn id="13" name="○" dataDxfId="8" totalsRowDxfId="9"/>
    <tableColumn id="14" name="шейка" dataDxfId="6" totalsRowDxfId="7"/>
    <tableColumn id="15" name="смещ ение/ отборт овка" dataDxfId="4" totalsRowDxfId="5"/>
    <tableColumn id="20" name="Тип перех" dataDxfId="2" totalsRowDxfId="3"/>
    <tableColumn id="16" name="S м2 общ." totalsRowFunction="sum" dataDxfId="0" totalsRowDxfId="1">
      <calculatedColumnFormula>INDEX(ПЛОЩАДИ!C1:E30,MATCH(расчетная[[#This Row],[Тип]],ПЛОЩАДИ!C1:C30,0),IF(расчетная[[#This Row],[высота]]=0,3,2),1)</calculatedColumnFormula>
    </tableColumn>
  </tableColumns>
  <tableStyleInfo name="TableStyleLight17" showFirstColumn="0" showLastColumn="0" showRowStripes="0" showColumnStripes="0"/>
</table>
</file>

<file path=xl/tables/table2.xml><?xml version="1.0" encoding="utf-8"?>
<table xmlns="http://schemas.openxmlformats.org/spreadsheetml/2006/main" id="3" name="ППлощ" displayName="ППлощ" ref="B1:AH5" totalsRowShown="0">
  <autoFilter ref="B1:AH5"/>
  <tableColumns count="33">
    <tableColumn id="1" name="№" dataDxfId="70">
      <calculatedColumnFormula>расчетная[[#This Row],[Тип]]</calculatedColumnFormula>
    </tableColumn>
    <tableColumn id="30" name="Результат" dataDxfId="69">
      <calculatedColumnFormula>ROUND(INDEX(ППлощ[[#This Row],[ПН]:[Гибкая вставка]],1,MATCH(ППлощ[[#This Row],[№]],ППлощ[[#Headers],[ПН]:[Гибкая вставка]],0)),2)</calculatedColumnFormula>
    </tableColumn>
    <tableColumn id="2" name="ПН" dataDxfId="68">
      <calculatedColumnFormula>(расчетная[[#This Row],[ширина  /Ду]]*2+расчетная[[#This Row],[высота]]*2)*0.001*расчетная[[#This Row],[длинна]]*0.001</calculatedColumnFormula>
    </tableColumn>
    <tableColumn id="3" name="ПНГ" dataDxfId="67">
      <calculatedColumnFormula>ППлощ[[#This Row],[ПН]]+(расчетная[[#This Row],[ширина  /Ду]]*0.001*расчетная[[#This Row],[высота]]*0.001)</calculatedColumnFormula>
    </tableColumn>
    <tableColumn id="29" name="ПН2Г" dataDxfId="66">
      <calculatedColumnFormula>ППлощ[[#This Row],[ПН]]+('расчет стоимости'!C2*0.001*'расчет стоимости'!D2*0.001)*2</calculatedColumnFormula>
    </tableColumn>
    <tableColumn id="4" name="ПНП" dataDxfId="65">
      <calculatedColumnFormula>ППлощ[[#This Row],[ПН]]+IF(расчетная[[#This Row],[H врезки1/ перехода]]=0,(расчетная[[#This Row],[Ду врез1/ перехода]]*3.14*расчетная[[#This Row],[шейка]])*0.000001,((расчетная[[#This Row],[H врезки1/ перехода]]*2+расчетная[[#This Row],[L врезки1/ перехода]]*2)*0.001)*(расчетная[[#This Row],[шейка]]*0.001))</calculatedColumnFormula>
    </tableColumn>
    <tableColumn id="5" name="ПНГП" dataDxfId="64">
      <calculatedColumnFormula>ППлощ[[#This Row],[ПНП]]+('расчет стоимости'!C2*0.001*'расчет стоимости'!D2*0.001)</calculatedColumnFormula>
    </tableColumn>
    <tableColumn id="6" name="ПН2П" dataDxfId="63">
      <calculatedColumnFormula>ППлощ[[#This Row],[ПНП]]+IF(расчетная[[#This Row],[H врезки2]]=0,(расчетная[[#This Row],[Ду врез2]]*3.14*расчетная[[#This Row],[шейка]])*0.000001,(расчетная[[#This Row],[H врезки2]]*2+расчетная[[#This Row],[L врезки2]]*2)*0.001*(расчетная[[#This Row],[шейка]]*0.001))</calculatedColumnFormula>
    </tableColumn>
    <tableColumn id="7" name="ПНГ2П" dataDxfId="62">
      <calculatedColumnFormula>ППлощ[[#This Row],[ПН2П]]+('расчет стоимости'!C3*0.001*расчетная[[#This Row],[высота]]*0.001)</calculatedColumnFormula>
    </tableColumn>
    <tableColumn id="8" name="О" dataDxfId="61">
      <calculatedColumnFormula>ППлощ[[#This Row],[Шея]]+ППлощ[[#This Row],[Зат]]+ППлощ[[#This Row],[Стор]]</calculatedColumnFormula>
    </tableColumn>
    <tableColumn id="9" name="Шея" dataDxfId="60">
      <calculatedColumnFormula>(((расчетная[[#This Row],[ширина  /Ду]]*2+расчетная[[#This Row],[высота]]*2)*0.001)*(расчетная[[#This Row],[шейка]]*0.001))*2</calculatedColumnFormula>
    </tableColumn>
    <tableColumn id="10" name="Зат" dataDxfId="59">
      <calculatedColumnFormula>((PI()*(расчетная[[#This Row],[ширина  /Ду]]-расчетная[[#This Row],[шейка]])*0.001*расчетная[[#This Row],[○]])/180)</calculatedColumnFormula>
    </tableColumn>
    <tableColumn id="11" name="Стор" dataDxfId="58">
      <calculatedColumnFormula>(((PI()*((расчетная[[#This Row],[ширина  /Ду]]-расчетная[[#This Row],[шейка]])*0.001)*расчетная[[#This Row],[○]])/180)*(расчетная[[#This Row],[ширина  /Ду]]-расчетная[[#This Row],[шейка]])*0.001)</calculatedColumnFormula>
    </tableColumn>
    <tableColumn id="12" name="ДНС" dataDxfId="57">
      <calculatedColumnFormula>((ППлощ[[#This Row],[П1]]+ППлощ[[#This Row],[П2]])*(расчетная[[#This Row],[шейка]]*0.001))+((ППлощ[[#This Row],[П1]]+ППлощ[[#This Row],[П2]])/2)*ППлощ[[#This Row],[Л бок]]</calculatedColumnFormula>
    </tableColumn>
    <tableColumn id="13" name="ДНО" dataDxfId="56">
      <calculatedColumnFormula>((ППлощ[[#This Row],[П1]]+ППлощ[[#This Row],[П2]])*(расчетная[[#This Row],[шейка]]*0.001))+((ППлощ[[#This Row],[П1]]+ППлощ[[#This Row],[П2]])/2)*ППлощ[[#This Row],[Л бок]]</calculatedColumnFormula>
    </tableColumn>
    <tableColumn id="32" name="П1" dataDxfId="55">
      <calculatedColumnFormula>((расчетная[[#This Row],[ширина  /Ду]]*2+расчетная[[#This Row],[высота]]*2)*0.001)</calculatedColumnFormula>
    </tableColumn>
    <tableColumn id="31" name="П2" dataDxfId="54">
      <calculatedColumnFormula>IF(расчетная[[#This Row],[H врезки1/ перехода]]=0,(расчетная[[#This Row],[Ду врез1/ перехода]]*3.14*0.001),((расчетная[[#This Row],[H врезки1/ перехода]]+расчетная[[#This Row],[L врезки1/ перехода]])*2*0.001))</calculatedColumnFormula>
    </tableColumn>
    <tableColumn id="33" name="Л бок" dataDxfId="53">
      <calculatedColumnFormula>SQRT(POWER(((расчетная[[#This Row],[ширина  /Ду]]-IF(расчетная[[#This Row],[H врезки1/ перехода]]=0,расчетная[[#This Row],[Ду врез1/ перехода]]/2,расчетная[[#This Row],[H врезки1/ перехода]]))/2)*0.001,2)+POWER((расчетная[[#This Row],[длинна]]-расчетная[[#This Row],[шейка]]-расчетная[[#This Row],[шейка]])*0.001,2))</calculatedColumnFormula>
    </tableColumn>
    <tableColumn id="14" name="ДК" dataDxfId="52">
      <calculatedColumnFormula>ППлощ[[#This Row],[ПНГ]]</calculatedColumnFormula>
    </tableColumn>
    <tableColumn id="15" name="Заглушка" dataDxfId="51">
      <calculatedColumnFormula>(расчетная[[#This Row],[ширина  /Ду]]*0.001*расчетная[[#This Row],[высота]]*0.001)+(расчетная[[#This Row],[ширина  /Ду]]*2+расчетная[[#This Row],[высота]]*2)*0.001*(расчетная[[#This Row],[шейка]]*0.001)</calculatedColumnFormula>
    </tableColumn>
    <tableColumn id="16" name="Врезка" dataDxfId="50">
      <calculatedColumnFormula>((расчетная[[#This Row],[ширина  /Ду]]*2+расчетная[[#This Row],[высота]]*2)*0.001)*((расчетная[[#This Row],[шейка]]+расчетная[[#This Row],[смещ ение/ отборт овка]])*0.001)+(расчетная[[#This Row],[H врезки1/ перехода]]*расчетная[[#This Row],[L врезки1/ перехода]])*0.000001</calculatedColumnFormula>
    </tableColumn>
    <tableColumn id="17" name="Зонт крышный" dataDxfId="49"/>
    <tableColumn id="25" name="Зонт крышный-С" dataDxfId="48">
      <calculatedColumnFormula>ППлощ[[#This Row],[П1]]*(расчетная[[#This Row],[шейка]]*0.001)</calculatedColumnFormula>
    </tableColumn>
    <tableColumn id="20" name="Сторона З1" dataDxfId="47">
      <calculatedColumnFormula>SQRT(POWER((расчетная[[#This Row],[ширина  /Ду]]-расчетная[[#This Row],[H врезки1/ перехода]])*0.001/2,2)+POWER((расчетная[[#This Row],[длинна]]-расчетная[[#This Row],[смещ ение/ отборт овка]])*0.001,2))</calculatedColumnFormula>
    </tableColumn>
    <tableColumn id="21" name="Сторона З2" dataDxfId="46">
      <calculatedColumnFormula>SQRT(POWER((расчетная[[#This Row],[высота]]-расчетная[[#This Row],[L врезки1/ перехода]])*0.001/2,2)+POWER((расчетная[[#This Row],[длинна]]-расчетная[[#This Row],[смещ ение/ отборт овка]])*0.001,2))+расчетная[[#This Row],[Тип перех]]</calculatedColumnFormula>
    </tableColumn>
    <tableColumn id="34" name="Сторона З3" dataDxfId="45">
      <calculatedColumnFormula>((((расчетная[[#This Row],[ширина  /Ду]]+расчетная[[#This Row],[H врезки1/ перехода]])*0.001/2)*ППлощ[[#This Row],[Сторона З1]])*2)</calculatedColumnFormula>
    </tableColumn>
    <tableColumn id="35" name="Сторона З4" dataDxfId="44">
      <calculatedColumnFormula>((((расчетная[[#This Row],[высота]]+расчетная[[#This Row],[L врезки1/ перехода]])*0.001/2)*ППлощ[[#This Row],[Сторона З2]])*2)</calculatedColumnFormula>
    </tableColumn>
    <tableColumn id="18" name="Зонт вытяжной" dataDxfId="43">
      <calculatedColumnFormula>(ППлощ[[#This Row],[П1]]*(расчетная[[#This Row],[смещ ение/ отборт овка]]*0.001)+((расчетная[[#This Row],[H врезки1/ перехода]]*расчетная[[#This Row],[L врезки1/ перехода]])*0.000001)+(расчетная[[#This Row],[Ду врез1/ перехода]]*3.14*(расчетная[[#This Row],[шейка]]*0.001)*0.001))+(расчетная[[#This Row],[Ду врез2]]*3.14*(расчетная[[#This Row],[шейка]]*0.001)*0.001)+ППлощ[[#This Row],[Сторона З3]]+ППлощ[[#This Row],[Сторона З4]]</calculatedColumnFormula>
    </tableColumn>
    <tableColumn id="19" name="подрешетник" dataDxfId="42">
      <calculatedColumnFormula>ППлощ[[#This Row],[ПНГП]]+(расчетная[[#This Row],[смещ ение/ отборт овка]]*(расчетная[[#This Row],[ширина  /Ду]]*2+расчетная[[#This Row],[высота]]*2))*0.000001</calculatedColumnFormula>
    </tableColumn>
    <tableColumn id="24" name="Утка" dataDxfId="41">
      <calculatedColumnFormula>ППлощ[[#This Row],[ПН]]*(1.1+(расчетная[[#This Row],[смещ ение/ отборт овка]]*0.001))</calculatedColumnFormula>
    </tableColumn>
    <tableColumn id="26" name="ГТП" dataDxfId="40"/>
    <tableColumn id="27" name="ГП" dataDxfId="39"/>
    <tableColumn id="28" name="Гибкая вставка" dataDxfId="38">
      <calculatedColumnFormula>ППлощ[[#This Row],[ПН]]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КПлощ" displayName="КПлощ" ref="B1:Z5" totalsRowShown="0">
  <autoFilter ref="B1:Z5"/>
  <tableColumns count="25">
    <tableColumn id="1" name="№" dataDxfId="95">
      <calculatedColumnFormula>расчетная[[#This Row],[Тип]]</calculatedColumnFormula>
    </tableColumn>
    <tableColumn id="30" name="Результат" dataDxfId="94">
      <calculatedColumnFormula>ROUND(INDEX(КПлощ[[#This Row],[ПН]:[гибкая вставка]],1,MATCH(КПлощ[[#This Row],[№]],КПлощ[[#Headers],[ПН]:[гибкая вставка]],0)),2)</calculatedColumnFormula>
    </tableColumn>
    <tableColumn id="2" name="ПН" dataDxfId="93">
      <calculatedColumnFormula>расчетная[[#This Row],[ширина  /Ду]]*3.14*расчетная[[#This Row],[длинна]]*0.000001</calculatedColumnFormula>
    </tableColumn>
    <tableColumn id="3" name="ПНГ" dataDxfId="92">
      <calculatedColumnFormula>КПлощ[[#This Row],[ПН]]+PI()*POWER((расчетная[[#This Row],[ширина  /Ду]]/2*0.001),2)</calculatedColumnFormula>
    </tableColumn>
    <tableColumn id="29" name="ПН2Г" dataDxfId="91">
      <calculatedColumnFormula>КПлощ[[#This Row],[ПНГ]]+PI()*POWER((расчетная[[#This Row],[ширина  /Ду]]/2*0.001),2)</calculatedColumnFormula>
    </tableColumn>
    <tableColumn id="4" name="ПНП" dataDxfId="90">
      <calculatedColumnFormula>КПлощ[[#This Row],[ПН]]+расчетная[[#This Row],[Ду врез1/ перехода]]*3.14*0.001*(расчетная[[#This Row],[шейка]]*0.001)</calculatedColumnFormula>
    </tableColumn>
    <tableColumn id="5" name="ПНГП" dataDxfId="89">
      <calculatedColumnFormula>КПлощ[[#This Row],[ПНП]]+PI()*POWER((расчетная[[#This Row],[ширина  /Ду]]/2*0.001),2)</calculatedColumnFormula>
    </tableColumn>
    <tableColumn id="6" name="ПН2П" dataDxfId="88">
      <calculatedColumnFormula>КПлощ[[#This Row],[ПНП]]+расчетная[[#This Row],[Ду врез2]]*3.14*0.001*(расчетная[[#This Row],[шейка]]*0.001)</calculatedColumnFormula>
    </tableColumn>
    <tableColumn id="7" name="ПНГ2П" dataDxfId="87">
      <calculatedColumnFormula>КПлощ[[#This Row],[ПН2П]]+PI()*POWER((расчетная[[#This Row],[ширина  /Ду]]/2*0.001),2)</calculatedColumnFormula>
    </tableColumn>
    <tableColumn id="8" name="О" dataDxfId="86">
      <calculatedColumnFormula>INDEX(Sотв[#All],MATCH(расчетная[[#This Row],[ширина  /Ду]],Sотв[[#All],[О]],0),MATCH(расчетная[[#This Row],[○]],Sотв[#This Row]))</calculatedColumnFormula>
    </tableColumn>
    <tableColumn id="12" name="ДНС" dataDxfId="75">
      <calculatedColumnFormula>(расчетная[[#This Row],[ширина  /Ду]]*0.001*3.14*(расчетная[[#This Row],[шейка]]*0.001))+(расчетная[[#This Row],[Ду врез1/ перехода]]*0.001*3.14*(расчетная[[#This Row],[шейка]]*0.001))+((расчетная[[#This Row],[ширина  /Ду]]*3.14*0.001)+(расчетная[[#This Row],[Ду врез1/ перехода]]*3.14*0.001))/2*((расчетная[[#This Row],[длинна]]-2*расчетная[[#This Row],[шейка]])*0.001)</calculatedColumnFormula>
    </tableColumn>
    <tableColumn id="13" name="ДНО" dataDxfId="74">
      <calculatedColumnFormula>КПлощ[[#This Row],[ДНС]]</calculatedColumnFormula>
    </tableColumn>
    <tableColumn id="14" name="ДК" dataDxfId="85">
      <calculatedColumnFormula>КПлощ[[#This Row],[ПНГ]]</calculatedColumnFormula>
    </tableColumn>
    <tableColumn id="15" name="Заглушка" dataDxfId="84">
      <calculatedColumnFormula>PI()*POWER((расчетная[[#This Row],[ширина  /Ду]]/2*0.001),2)+(расчетная[[#This Row],[ширина  /Ду]]*3.14*0.001*0.07)</calculatedColumnFormula>
    </tableColumn>
    <tableColumn id="16" name="Врезка" dataDxfId="78">
      <calculatedColumnFormula>(расчетная[[#This Row],[ширина  /Ду]]*расчетная[[#This Row],[высота]])*0.000001+(расчетная[[#This Row],[Ду врез1/ перехода]]*0.001*3.14*(расчетная[[#This Row],[шейка]]*0.001))</calculatedColumnFormula>
    </tableColumn>
    <tableColumn id="36" name="седло" dataDxfId="77">
      <calculatedColumnFormula>расчетная[[#This Row],[ширина  /Ду]]*0.001*3.14*(расчетная[[#This Row],[длинна]]*0.001)</calculatedColumnFormula>
    </tableColumn>
    <tableColumn id="17" name="Зонт крышный" dataDxfId="72">
      <calculatedColumnFormula>PI()*POWER((расчетная[[#This Row],[ширина  /Ду]]*1.75/2*0.001),2)+КПлощ[[#This Row],[Врезка]]</calculatedColumnFormula>
    </tableColumn>
    <tableColumn id="25" name="Зонт крышный-С" dataDxfId="71">
      <calculatedColumnFormula>КПлощ[[#This Row],[Зонт крышный]]</calculatedColumnFormula>
    </tableColumn>
    <tableColumn id="24" name="Утка" dataDxfId="73">
      <calculatedColumnFormula>КПлощ[[#This Row],[ПН]]*(1.1+(расчетная[[#This Row],[смещ ение/ отборт овка]]*0.001))</calculatedColumnFormula>
    </tableColumn>
    <tableColumn id="38" name="Муфта" dataDxfId="83">
      <calculatedColumnFormula>КПлощ[[#This Row],[ПН]]</calculatedColumnFormula>
    </tableColumn>
    <tableColumn id="37" name="Ниппель" dataDxfId="82">
      <calculatedColumnFormula>КПлощ[[#This Row],[ПН]]</calculatedColumnFormula>
    </tableColumn>
    <tableColumn id="26" name="ГТП" dataDxfId="79">
      <calculatedColumnFormula>КПлощ[[#This Row],[Внут]]+КПлощ[[#This Row],[нар]]</calculatedColumnFormula>
    </tableColumn>
    <tableColumn id="19" name="Внут" dataDxfId="81">
      <calculatedColumnFormula>КПлощ[[#This Row],[ПН]]+(расчетная[[#This Row],[ширина  /Ду]]*0.001*3.14*0.15)*2</calculatedColumnFormula>
    </tableColumn>
    <tableColumn id="18" name="нар" dataDxfId="80">
      <calculatedColumnFormula>(расчетная[[#This Row],[ширина  /Ду]]+200)*0.001*3.14*(расчетная[[#This Row],[длинна]]*0.001)+PI()*POWER(((расчетная[[#This Row],[ширина  /Ду]]+200)/2*0.001),2)</calculatedColumnFormula>
    </tableColumn>
    <tableColumn id="28" name="гибкая вставка" dataDxfId="76">
      <calculatedColumnFormula>КПлощ[[#This Row],[ПН]]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Sотв" displayName="Sотв" ref="A1:G18" totalsRowShown="0">
  <autoFilter ref="A1:G18"/>
  <sortState ref="A2:G17">
    <sortCondition ref="C1:C17"/>
  </sortState>
  <tableColumns count="7">
    <tableColumn id="1" name="О"/>
    <tableColumn id="2" name="15"/>
    <tableColumn id="3" name="30"/>
    <tableColumn id="4" name="45"/>
    <tableColumn id="5" name="60"/>
    <tableColumn id="6" name="75"/>
    <tableColumn id="7" name="9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Z31"/>
  <sheetViews>
    <sheetView tabSelected="1" topLeftCell="E1" zoomScale="115" zoomScaleNormal="115" workbookViewId="0">
      <selection activeCell="R2" sqref="R2"/>
    </sheetView>
  </sheetViews>
  <sheetFormatPr defaultRowHeight="15" x14ac:dyDescent="0.25"/>
  <cols>
    <col min="1" max="1" width="4.5703125" customWidth="1"/>
    <col min="2" max="16" width="9.28515625" customWidth="1"/>
    <col min="17" max="17" width="6.7109375" customWidth="1"/>
    <col min="18" max="18" width="10.28515625" style="7" customWidth="1"/>
    <col min="19" max="20" width="6.42578125" customWidth="1"/>
    <col min="21" max="21" width="9.5703125" customWidth="1"/>
    <col min="22" max="24" width="6.42578125" customWidth="1"/>
  </cols>
  <sheetData>
    <row r="1" spans="1:26" ht="60.75" customHeight="1" thickBot="1" x14ac:dyDescent="0.3">
      <c r="A1" s="53" t="s">
        <v>0</v>
      </c>
      <c r="B1" s="54" t="s">
        <v>1</v>
      </c>
      <c r="C1" s="55" t="s">
        <v>45</v>
      </c>
      <c r="D1" s="54" t="s">
        <v>3</v>
      </c>
      <c r="E1" s="54" t="s">
        <v>4</v>
      </c>
      <c r="F1" s="56" t="s">
        <v>5</v>
      </c>
      <c r="G1" s="56" t="s">
        <v>11</v>
      </c>
      <c r="H1" s="57" t="s">
        <v>51</v>
      </c>
      <c r="I1" s="58" t="s">
        <v>52</v>
      </c>
      <c r="J1" s="58" t="s">
        <v>53</v>
      </c>
      <c r="K1" s="58" t="s">
        <v>54</v>
      </c>
      <c r="L1" s="55" t="s">
        <v>49</v>
      </c>
      <c r="M1" s="55" t="s">
        <v>50</v>
      </c>
      <c r="N1" s="59" t="s">
        <v>32</v>
      </c>
      <c r="O1" s="54" t="s">
        <v>22</v>
      </c>
      <c r="P1" s="55" t="s">
        <v>47</v>
      </c>
      <c r="Q1" s="61" t="s">
        <v>56</v>
      </c>
      <c r="R1" s="60" t="s">
        <v>19</v>
      </c>
    </row>
    <row r="2" spans="1:26" ht="15.75" thickBot="1" x14ac:dyDescent="0.3">
      <c r="A2" s="51">
        <v>1</v>
      </c>
      <c r="B2" s="1" t="s">
        <v>33</v>
      </c>
      <c r="C2" s="1">
        <v>500</v>
      </c>
      <c r="D2" s="1">
        <v>600</v>
      </c>
      <c r="E2" s="1">
        <v>500</v>
      </c>
      <c r="F2" s="1">
        <v>1</v>
      </c>
      <c r="G2" s="1"/>
      <c r="H2" s="1"/>
      <c r="I2" s="1"/>
      <c r="J2" s="1"/>
      <c r="K2" s="1"/>
      <c r="L2" s="1">
        <v>125</v>
      </c>
      <c r="M2" s="1"/>
      <c r="N2" s="12"/>
      <c r="O2" s="1">
        <v>100</v>
      </c>
      <c r="P2" s="12">
        <v>250</v>
      </c>
      <c r="Q2" s="62"/>
      <c r="R2" s="52">
        <f>INDEX(ПЛОЩАДИ!C1:E30,MATCH(расчетная[[#This Row],[Тип]],ПЛОЩАДИ!C1:C30,0),IF(расчетная[[#This Row],[высота]]=0,3,2),1)</f>
        <v>1.1000000000000001</v>
      </c>
      <c r="S2" s="2"/>
      <c r="Y2" t="e">
        <f>SQRT(степе)</f>
        <v>#NAME?</v>
      </c>
      <c r="Z2">
        <f>SQRT(POWER((расчетная[[#This Row],[ширина  /Ду]]-расчетная[[#This Row],[H врезки1/ перехода]])*0.001/2,2)+POWER((расчетная[[#This Row],[длинна]]-расчетная[[#This Row],[смещ ение/ отборт овка]])*0.001,2))</f>
        <v>0.35355339059327379</v>
      </c>
    </row>
    <row r="3" spans="1:26" ht="15.75" thickBot="1" x14ac:dyDescent="0.3">
      <c r="A3" s="31">
        <v>2</v>
      </c>
      <c r="B3" s="1" t="s">
        <v>36</v>
      </c>
      <c r="C3" s="1">
        <v>500</v>
      </c>
      <c r="D3" s="1">
        <v>400</v>
      </c>
      <c r="E3" s="1">
        <v>500</v>
      </c>
      <c r="F3" s="1">
        <v>1</v>
      </c>
      <c r="G3" s="1"/>
      <c r="H3" s="1"/>
      <c r="I3" s="1">
        <v>300</v>
      </c>
      <c r="J3" s="1"/>
      <c r="K3" s="1"/>
      <c r="L3" s="1">
        <v>125</v>
      </c>
      <c r="M3" s="1"/>
      <c r="N3" s="12"/>
      <c r="O3" s="1">
        <v>150</v>
      </c>
      <c r="P3" s="1"/>
      <c r="Q3" s="29"/>
      <c r="R3" s="52">
        <f>INDEX(ПЛОЩАДИ!C2:E31,MATCH(расчетная[[#This Row],[Тип]],ПЛОЩАДИ!C2:C31,0),IF(расчетная[[#This Row],[высота]]=0,3,2),1)</f>
        <v>0.95887500000000003</v>
      </c>
    </row>
    <row r="4" spans="1:26" ht="15.75" thickBot="1" x14ac:dyDescent="0.3">
      <c r="A4" s="31">
        <v>3</v>
      </c>
      <c r="B4" s="1" t="s">
        <v>36</v>
      </c>
      <c r="C4" s="1">
        <v>300</v>
      </c>
      <c r="D4" s="1">
        <v>200</v>
      </c>
      <c r="E4" s="1">
        <v>500</v>
      </c>
      <c r="F4" s="1">
        <v>1</v>
      </c>
      <c r="G4" s="1"/>
      <c r="H4" s="1">
        <v>200</v>
      </c>
      <c r="I4" s="1">
        <v>300</v>
      </c>
      <c r="J4" s="1"/>
      <c r="K4" s="1"/>
      <c r="L4" s="1">
        <v>125</v>
      </c>
      <c r="M4" s="1"/>
      <c r="N4" s="12"/>
      <c r="O4" s="1">
        <v>150</v>
      </c>
      <c r="P4" s="1"/>
      <c r="Q4" s="29"/>
      <c r="R4" s="52">
        <f>INDEX(ПЛОЩАДИ!C3:E32,MATCH(расчетная[[#This Row],[Тип]],ПЛОЩАДИ!C3:C32,0),IF(расчетная[[#This Row],[высота]]=0,3,2),1)</f>
        <v>0.95887500000000003</v>
      </c>
    </row>
    <row r="5" spans="1:26" x14ac:dyDescent="0.25">
      <c r="A5" s="31">
        <v>4</v>
      </c>
      <c r="B5" s="1" t="s">
        <v>33</v>
      </c>
      <c r="C5" s="1">
        <v>250</v>
      </c>
      <c r="D5" s="1">
        <v>400</v>
      </c>
      <c r="E5" s="1">
        <v>4100</v>
      </c>
      <c r="F5" s="1">
        <v>1</v>
      </c>
      <c r="G5" s="1"/>
      <c r="H5" s="1"/>
      <c r="I5" s="1"/>
      <c r="J5" s="1"/>
      <c r="K5" s="1"/>
      <c r="L5" s="1">
        <v>125</v>
      </c>
      <c r="M5" s="1"/>
      <c r="N5" s="1"/>
      <c r="O5" s="1"/>
      <c r="P5" s="1"/>
      <c r="Q5" s="29"/>
      <c r="R5" s="52" t="e">
        <f>INDEX(ПЛОЩАДИ!C4:E33,MATCH(расчетная[[#This Row],[Тип]],ПЛОЩАДИ!C4:C33,0),IF(расчетная[[#This Row],[высота]]=0,3,2),1)</f>
        <v>#N/A</v>
      </c>
    </row>
    <row r="6" spans="1:26" x14ac:dyDescent="0.25">
      <c r="A6" s="63">
        <v>5</v>
      </c>
      <c r="B6" s="1" t="s">
        <v>36</v>
      </c>
      <c r="C6" s="1"/>
      <c r="D6" s="1"/>
      <c r="E6" s="1"/>
      <c r="F6" s="1"/>
      <c r="G6" s="64"/>
      <c r="H6" s="64"/>
      <c r="I6" s="64"/>
      <c r="J6" s="64"/>
      <c r="K6" s="64"/>
      <c r="L6" s="1">
        <v>125</v>
      </c>
      <c r="M6" s="64"/>
      <c r="N6" s="64"/>
      <c r="O6" s="1"/>
      <c r="P6" s="64"/>
      <c r="Q6" s="65"/>
      <c r="R6" s="66" t="e">
        <f>INDEX(ПЛОЩАДИ!C5:E34,MATCH(расчетная[[#This Row],[Тип]],ПЛОЩАДИ!C5:C34,0),IF(расчетная[[#This Row],[высота]]=0,3,2),1)</f>
        <v>#N/A</v>
      </c>
      <c r="S6" s="15"/>
    </row>
    <row r="7" spans="1:26" x14ac:dyDescent="0.25">
      <c r="A7" s="63">
        <v>6</v>
      </c>
      <c r="B7" s="1"/>
      <c r="C7" s="1"/>
      <c r="D7" s="1"/>
      <c r="E7" s="1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  <c r="R7" s="66" t="e">
        <f>INDEX(ПЛОЩАДИ!C6:E35,MATCH(расчетная[[#This Row],[Тип]],ПЛОЩАДИ!C6:C35,0),IF(расчетная[[#This Row],[высота]]=0,3,2),1)</f>
        <v>#N/A</v>
      </c>
      <c r="S7" s="15"/>
    </row>
    <row r="8" spans="1:26" x14ac:dyDescent="0.25">
      <c r="A8" s="63">
        <v>7</v>
      </c>
      <c r="B8" s="1"/>
      <c r="C8" s="1"/>
      <c r="D8" s="1"/>
      <c r="E8" s="1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5"/>
      <c r="R8" s="66" t="e">
        <f>INDEX(ПЛОЩАДИ!C7:E36,MATCH(расчетная[[#This Row],[Тип]],ПЛОЩАДИ!C7:C36,0),IF(расчетная[[#This Row],[высота]]=0,3,2),1)</f>
        <v>#N/A</v>
      </c>
      <c r="S8" s="15"/>
    </row>
    <row r="9" spans="1:26" x14ac:dyDescent="0.25">
      <c r="A9" s="63">
        <v>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66" t="e">
        <f>INDEX(ПЛОЩАДИ!C8:E37,MATCH(расчетная[[#This Row],[Тип]],ПЛОЩАДИ!C8:C37,0),IF(расчетная[[#This Row],[высота]]=0,3,2),1)</f>
        <v>#N/A</v>
      </c>
    </row>
    <row r="10" spans="1:26" x14ac:dyDescent="0.25">
      <c r="A10" s="63">
        <v>9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 t="e">
        <f>INDEX(ПЛОЩАДИ!C9:E38,MATCH(расчетная[[#This Row],[Тип]],ПЛОЩАДИ!C9:C38,0),IF(расчетная[[#This Row],[высота]]=0,3,2),1)</f>
        <v>#N/A</v>
      </c>
    </row>
    <row r="11" spans="1:26" x14ac:dyDescent="0.25">
      <c r="A11" s="67">
        <v>10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  <c r="R11" s="70" t="e">
        <f>INDEX(ПЛОЩАДИ!C10:E39,MATCH(расчетная[[#This Row],[Тип]],ПЛОЩАДИ!C10:C39,0),IF(расчетная[[#This Row],[высота]]=0,3,2),1)</f>
        <v>#N/A</v>
      </c>
    </row>
    <row r="12" spans="1:26" x14ac:dyDescent="0.25">
      <c r="A12" s="67">
        <v>11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  <c r="R12" s="70" t="e">
        <f>INDEX(ПЛОЩАДИ!C11:E40,MATCH(расчетная[[#This Row],[Тип]],ПЛОЩАДИ!C11:C40,0),IF(расчетная[[#This Row],[высота]]=0,3,2),1)</f>
        <v>#N/A</v>
      </c>
    </row>
    <row r="13" spans="1:26" x14ac:dyDescent="0.25">
      <c r="A13" s="67">
        <v>12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70" t="e">
        <f>INDEX(ПЛОЩАДИ!C12:E41,MATCH(расчетная[[#This Row],[Тип]],ПЛОЩАДИ!C12:C41,0),IF(расчетная[[#This Row],[высота]]=0,3,2),1)</f>
        <v>#N/A</v>
      </c>
    </row>
    <row r="14" spans="1:26" x14ac:dyDescent="0.25">
      <c r="A14" s="67">
        <v>13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9"/>
      <c r="R14" s="70" t="e">
        <f>INDEX(ПЛОЩАДИ!C13:E42,MATCH(расчетная[[#This Row],[Тип]],ПЛОЩАДИ!C13:C42,0),IF(расчетная[[#This Row],[высота]]=0,3,2),1)</f>
        <v>#N/A</v>
      </c>
    </row>
    <row r="15" spans="1:26" x14ac:dyDescent="0.25">
      <c r="A15" s="67">
        <v>14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9"/>
      <c r="R15" s="70" t="e">
        <f>INDEX(ПЛОЩАДИ!C14:E43,MATCH(расчетная[[#This Row],[Тип]],ПЛОЩАДИ!C14:C43,0),IF(расчетная[[#This Row],[высота]]=0,3,2),1)</f>
        <v>#N/A</v>
      </c>
    </row>
    <row r="16" spans="1:26" x14ac:dyDescent="0.25">
      <c r="A16" s="67">
        <v>15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70" t="e">
        <f>INDEX(ПЛОЩАДИ!C15:E44,MATCH(расчетная[[#This Row],[Тип]],ПЛОЩАДИ!C15:C44,0),IF(расчетная[[#This Row],[высота]]=0,3,2),1)</f>
        <v>#N/A</v>
      </c>
    </row>
    <row r="17" spans="1:18" x14ac:dyDescent="0.25">
      <c r="A17" s="67">
        <v>16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70" t="e">
        <f>INDEX(ПЛОЩАДИ!C16:E45,MATCH(расчетная[[#This Row],[Тип]],ПЛОЩАДИ!C16:C45,0),IF(расчетная[[#This Row],[высота]]=0,3,2),1)</f>
        <v>#N/A</v>
      </c>
    </row>
    <row r="18" spans="1:18" x14ac:dyDescent="0.25">
      <c r="A18" s="67">
        <v>17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9"/>
      <c r="R18" s="70" t="e">
        <f>INDEX(ПЛОЩАДИ!C17:E46,MATCH(расчетная[[#This Row],[Тип]],ПЛОЩАДИ!C17:C46,0),IF(расчетная[[#This Row],[высота]]=0,3,2),1)</f>
        <v>#N/A</v>
      </c>
    </row>
    <row r="19" spans="1:18" x14ac:dyDescent="0.25">
      <c r="A19" s="67">
        <v>18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  <c r="R19" s="70" t="e">
        <f>INDEX(ПЛОЩАДИ!C18:E47,MATCH(расчетная[[#This Row],[Тип]],ПЛОЩАДИ!C18:C47,0),IF(расчетная[[#This Row],[высота]]=0,3,2),1)</f>
        <v>#N/A</v>
      </c>
    </row>
    <row r="20" spans="1:18" x14ac:dyDescent="0.25">
      <c r="A20" s="67">
        <v>19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9"/>
      <c r="R20" s="70" t="e">
        <f>INDEX(ПЛОЩАДИ!C19:E48,MATCH(расчетная[[#This Row],[Тип]],ПЛОЩАДИ!C19:C48,0),IF(расчетная[[#This Row],[высота]]=0,3,2),1)</f>
        <v>#N/A</v>
      </c>
    </row>
    <row r="21" spans="1:18" x14ac:dyDescent="0.25">
      <c r="A21" s="67">
        <v>20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  <c r="R21" s="70" t="e">
        <f>INDEX(ПЛОЩАДИ!C20:E49,MATCH(расчетная[[#This Row],[Тип]],ПЛОЩАДИ!C20:C49,0),IF(расчетная[[#This Row],[высота]]=0,3,2),1)</f>
        <v>#N/A</v>
      </c>
    </row>
    <row r="22" spans="1:18" x14ac:dyDescent="0.25">
      <c r="A22" s="67">
        <v>21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70" t="e">
        <f>INDEX(ПЛОЩАДИ!C21:E50,MATCH(расчетная[[#This Row],[Тип]],ПЛОЩАДИ!C21:C50,0),IF(расчетная[[#This Row],[высота]]=0,3,2),1)</f>
        <v>#N/A</v>
      </c>
    </row>
    <row r="23" spans="1:18" x14ac:dyDescent="0.25">
      <c r="A23" s="67">
        <v>22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70" t="e">
        <f>INDEX(ПЛОЩАДИ!C22:E51,MATCH(расчетная[[#This Row],[Тип]],ПЛОЩАДИ!C22:C51,0),IF(расчетная[[#This Row],[высота]]=0,3,2),1)</f>
        <v>#N/A</v>
      </c>
    </row>
    <row r="24" spans="1:18" x14ac:dyDescent="0.25">
      <c r="A24" s="67">
        <v>23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70" t="e">
        <f>INDEX(ПЛОЩАДИ!C23:E52,MATCH(расчетная[[#This Row],[Тип]],ПЛОЩАДИ!C23:C52,0),IF(расчетная[[#This Row],[высота]]=0,3,2),1)</f>
        <v>#N/A</v>
      </c>
    </row>
    <row r="25" spans="1:18" x14ac:dyDescent="0.25">
      <c r="A25" s="67">
        <v>24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9"/>
      <c r="R25" s="70" t="e">
        <f>INDEX(ПЛОЩАДИ!C24:E53,MATCH(расчетная[[#This Row],[Тип]],ПЛОЩАДИ!C24:C53,0),IF(расчетная[[#This Row],[высота]]=0,3,2),1)</f>
        <v>#N/A</v>
      </c>
    </row>
    <row r="26" spans="1:18" x14ac:dyDescent="0.25">
      <c r="A26" s="67">
        <v>25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70" t="e">
        <f>INDEX(ПЛОЩАДИ!C25:E54,MATCH(расчетная[[#This Row],[Тип]],ПЛОЩАДИ!C25:C54,0),IF(расчетная[[#This Row],[высота]]=0,3,2),1)</f>
        <v>#N/A</v>
      </c>
    </row>
    <row r="27" spans="1:18" x14ac:dyDescent="0.25">
      <c r="A27" s="67">
        <v>26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R27" s="70" t="e">
        <f>INDEX(ПЛОЩАДИ!C26:E55,MATCH(расчетная[[#This Row],[Тип]],ПЛОЩАДИ!C26:C55,0),IF(расчетная[[#This Row],[высота]]=0,3,2),1)</f>
        <v>#N/A</v>
      </c>
    </row>
    <row r="28" spans="1:18" x14ac:dyDescent="0.25">
      <c r="A28" s="67">
        <v>27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70" t="e">
        <f>INDEX(ПЛОЩАДИ!C27:E56,MATCH(расчетная[[#This Row],[Тип]],ПЛОЩАДИ!C27:C56,0),IF(расчетная[[#This Row],[высота]]=0,3,2),1)</f>
        <v>#N/A</v>
      </c>
    </row>
    <row r="29" spans="1:18" x14ac:dyDescent="0.25">
      <c r="A29" s="67">
        <v>28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70" t="e">
        <f>INDEX(ПЛОЩАДИ!C28:E57,MATCH(расчетная[[#This Row],[Тип]],ПЛОЩАДИ!C28:C57,0),IF(расчетная[[#This Row],[высота]]=0,3,2),1)</f>
        <v>#N/A</v>
      </c>
    </row>
    <row r="30" spans="1:18" x14ac:dyDescent="0.25">
      <c r="A30" s="67">
        <v>29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70" t="e">
        <f>INDEX(ПЛОЩАДИ!C29:E58,MATCH(расчетная[[#This Row],[Тип]],ПЛОЩАДИ!C29:C58,0),IF(расчетная[[#This Row],[высота]]=0,3,2),1)</f>
        <v>#N/A</v>
      </c>
    </row>
    <row r="31" spans="1:18" x14ac:dyDescent="0.25">
      <c r="A31" s="67">
        <v>30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9"/>
      <c r="R31" s="70" t="e">
        <f>INDEX(ПЛОЩАДИ!C30:E59,MATCH(расчетная[[#This Row],[Тип]],ПЛОЩАДИ!C30:C59,0),IF(расчетная[[#This Row],[высота]]=0,3,2),1)</f>
        <v>#N/A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AH5"/>
  <sheetViews>
    <sheetView workbookViewId="0">
      <selection activeCell="H2" sqref="H2"/>
    </sheetView>
  </sheetViews>
  <sheetFormatPr defaultRowHeight="15" x14ac:dyDescent="0.25"/>
  <cols>
    <col min="1" max="1" width="3.85546875" customWidth="1"/>
    <col min="2" max="2" width="6.7109375" customWidth="1"/>
    <col min="3" max="3" width="10.7109375" customWidth="1"/>
    <col min="4" max="8" width="8" customWidth="1"/>
    <col min="9" max="9" width="9.140625" customWidth="1"/>
    <col min="10" max="10" width="8.85546875" customWidth="1"/>
    <col min="11" max="11" width="8" customWidth="1"/>
    <col min="12" max="14" width="8" style="71" hidden="1" customWidth="1"/>
    <col min="15" max="16" width="8" customWidth="1"/>
    <col min="17" max="18" width="8" style="71" hidden="1" customWidth="1"/>
    <col min="19" max="19" width="9.42578125" style="71" hidden="1" customWidth="1"/>
    <col min="20" max="20" width="8" customWidth="1"/>
    <col min="21" max="21" width="11.5703125" customWidth="1"/>
    <col min="22" max="22" width="10.28515625" customWidth="1"/>
    <col min="23" max="23" width="16.7109375" customWidth="1"/>
    <col min="24" max="24" width="18.7109375" style="75" customWidth="1"/>
    <col min="25" max="25" width="15.5703125" customWidth="1"/>
    <col min="26" max="26" width="14.42578125" customWidth="1"/>
    <col min="27" max="27" width="15" customWidth="1"/>
    <col min="28" max="28" width="14.5703125" customWidth="1"/>
    <col min="29" max="29" width="16.140625" customWidth="1"/>
    <col min="30" max="30" width="18.42578125" customWidth="1"/>
    <col min="32" max="32" width="9.85546875" customWidth="1"/>
    <col min="34" max="34" width="11.85546875" customWidth="1"/>
  </cols>
  <sheetData>
    <row r="1" spans="1:34" x14ac:dyDescent="0.25">
      <c r="B1" t="s">
        <v>0</v>
      </c>
      <c r="C1" t="s">
        <v>67</v>
      </c>
      <c r="D1" t="s">
        <v>33</v>
      </c>
      <c r="E1" t="s">
        <v>37</v>
      </c>
      <c r="F1" t="s">
        <v>66</v>
      </c>
      <c r="G1" t="s">
        <v>36</v>
      </c>
      <c r="H1" t="s">
        <v>38</v>
      </c>
      <c r="I1" t="s">
        <v>39</v>
      </c>
      <c r="J1" t="s">
        <v>40</v>
      </c>
      <c r="K1" t="s">
        <v>46</v>
      </c>
      <c r="L1" s="71" t="s">
        <v>64</v>
      </c>
      <c r="M1" s="71" t="s">
        <v>65</v>
      </c>
      <c r="N1" s="71" t="s">
        <v>63</v>
      </c>
      <c r="O1" t="s">
        <v>42</v>
      </c>
      <c r="P1" t="s">
        <v>41</v>
      </c>
      <c r="Q1" s="71" t="s">
        <v>68</v>
      </c>
      <c r="R1" s="71" t="s">
        <v>69</v>
      </c>
      <c r="S1" s="71" t="s">
        <v>70</v>
      </c>
      <c r="T1" t="s">
        <v>59</v>
      </c>
      <c r="U1" t="s">
        <v>44</v>
      </c>
      <c r="V1" t="s">
        <v>55</v>
      </c>
      <c r="W1" t="s">
        <v>58</v>
      </c>
      <c r="X1" s="75" t="s">
        <v>60</v>
      </c>
      <c r="Y1" t="s">
        <v>71</v>
      </c>
      <c r="Z1" t="s">
        <v>72</v>
      </c>
      <c r="AA1" t="s">
        <v>73</v>
      </c>
      <c r="AB1" t="s">
        <v>74</v>
      </c>
      <c r="AC1" t="s">
        <v>57</v>
      </c>
      <c r="AD1" t="s">
        <v>48</v>
      </c>
      <c r="AE1" t="s">
        <v>43</v>
      </c>
      <c r="AF1" t="s">
        <v>61</v>
      </c>
      <c r="AG1" t="s">
        <v>62</v>
      </c>
      <c r="AH1" t="s">
        <v>86</v>
      </c>
    </row>
    <row r="2" spans="1:34" x14ac:dyDescent="0.25">
      <c r="A2">
        <v>1</v>
      </c>
      <c r="B2" t="str">
        <f>расчетная[[#This Row],[Тип]]</f>
        <v>ПН</v>
      </c>
      <c r="C2">
        <f>ROUND(INDEX(ППлощ[[#This Row],[ПН]:[Гибкая вставка]],1,MATCH(ППлощ[[#This Row],[№]],ППлощ[[#Headers],[ПН]:[Гибкая вставка]],0)),2)</f>
        <v>1.1000000000000001</v>
      </c>
      <c r="D2" s="49">
        <f>(расчетная[[#This Row],[ширина  /Ду]]*2+расчетная[[#This Row],[высота]]*2)*0.001*расчетная[[#This Row],[длинна]]*0.001</f>
        <v>1.1000000000000001</v>
      </c>
      <c r="E2" s="49">
        <f>ППлощ[[#This Row],[ПН]]+(расчетная[[#This Row],[ширина  /Ду]]*0.001*расчетная[[#This Row],[высота]]*0.001)</f>
        <v>1.4000000000000001</v>
      </c>
      <c r="F2" s="49">
        <f>ППлощ[[#This Row],[ПН]]+('расчет стоимости'!C2*0.001*'расчет стоимости'!D2*0.001)*2</f>
        <v>1.7000000000000002</v>
      </c>
      <c r="G2" s="49">
        <f>ППлощ[[#This Row],[ПН]]+IF(расчетная[[#This Row],[H врезки1/ перехода]]=0,(расчетная[[#This Row],[Ду врез1/ перехода]]*3.14*расчетная[[#This Row],[шейка]])*0.000001,((расчетная[[#This Row],[H врезки1/ перехода]]*2+расчетная[[#This Row],[L врезки1/ перехода]]*2)*0.001)*(расчетная[[#This Row],[шейка]]*0.001))</f>
        <v>1.1392500000000001</v>
      </c>
      <c r="H2" s="49">
        <f>ППлощ[[#This Row],[ПНП]]+('расчет стоимости'!C2*0.001*'расчет стоимости'!D2*0.001)</f>
        <v>1.4392500000000001</v>
      </c>
      <c r="I2" s="49">
        <f>ППлощ[[#This Row],[ПНП]]+IF(расчетная[[#This Row],[H врезки2]]=0,(расчетная[[#This Row],[Ду врез2]]*3.14*расчетная[[#This Row],[шейка]])*0.000001,(расчетная[[#This Row],[H врезки2]]*2+расчетная[[#This Row],[L врезки2]]*2)*0.001*(расчетная[[#This Row],[шейка]]*0.001))</f>
        <v>1.1392500000000001</v>
      </c>
      <c r="J2" s="49">
        <f>ППлощ[[#This Row],[ПН2П]]+('расчет стоимости'!C3*0.001*расчетная[[#This Row],[высота]]*0.001)</f>
        <v>1.4392500000000001</v>
      </c>
      <c r="K2" s="49">
        <f>ППлощ[[#This Row],[Шея]]+ППлощ[[#This Row],[Зат]]+ППлощ[[#This Row],[Стор]]</f>
        <v>0.44000000000000006</v>
      </c>
      <c r="L2" s="72">
        <f>(((расчетная[[#This Row],[ширина  /Ду]]*2+расчетная[[#This Row],[высота]]*2)*0.001)*(расчетная[[#This Row],[шейка]]*0.001))*2</f>
        <v>0.44000000000000006</v>
      </c>
      <c r="M2" s="72">
        <f>((PI()*(расчетная[[#This Row],[ширина  /Ду]]-расчетная[[#This Row],[шейка]])*0.001*расчетная[[#This Row],[○]])/180)</f>
        <v>0</v>
      </c>
      <c r="N2" s="72">
        <f>(((PI()*((расчетная[[#This Row],[ширина  /Ду]]-расчетная[[#This Row],[шейка]])*0.001)*расчетная[[#This Row],[○]])/180)*(расчетная[[#This Row],[ширина  /Ду]]-расчетная[[#This Row],[шейка]])*0.001)</f>
        <v>0</v>
      </c>
      <c r="O2" s="49">
        <f>((ППлощ[[#This Row],[П1]]+ППлощ[[#This Row],[П2]])*(расчетная[[#This Row],[шейка]]*0.001))+((ППлощ[[#This Row],[П1]]+ППлощ[[#This Row],[П2]])/2)*ППлощ[[#This Row],[Л бок]]</f>
        <v>0.74052645530217109</v>
      </c>
      <c r="P2" s="49">
        <f>((ППлощ[[#This Row],[П1]]+ППлощ[[#This Row],[П2]])*(расчетная[[#This Row],[шейка]]*0.001))+((ППлощ[[#This Row],[П1]]+ППлощ[[#This Row],[П2]])/2)*ППлощ[[#This Row],[Л бок]]</f>
        <v>0.74052645530217109</v>
      </c>
      <c r="Q2" s="72">
        <f>((расчетная[[#This Row],[ширина  /Ду]]*2+расчетная[[#This Row],[высота]]*2)*0.001)</f>
        <v>2.2000000000000002</v>
      </c>
      <c r="R2" s="72">
        <f>IF(расчетная[[#This Row],[H врезки1/ перехода]]=0,(расчетная[[#This Row],[Ду врез1/ перехода]]*3.14*0.001),((расчетная[[#This Row],[H врезки1/ перехода]]+расчетная[[#This Row],[L врезки1/ перехода]])*2*0.001))</f>
        <v>0.39250000000000002</v>
      </c>
      <c r="S2" s="73">
        <f>SQRT(POWER(((расчетная[[#This Row],[ширина  /Ду]]-IF(расчетная[[#This Row],[H врезки1/ перехода]]=0,расчетная[[#This Row],[Ду врез1/ перехода]]/2,расчетная[[#This Row],[H врезки1/ перехода]]))/2)*0.001,2)+POWER((расчетная[[#This Row],[длинна]]-расчетная[[#This Row],[шейка]]-расчетная[[#This Row],[шейка]])*0.001,2))</f>
        <v>0.37128366850697864</v>
      </c>
      <c r="T2" s="49">
        <f>ППлощ[[#This Row],[ПНГ]]</f>
        <v>1.4000000000000001</v>
      </c>
      <c r="U2" s="49">
        <f>(расчетная[[#This Row],[ширина  /Ду]]*0.001*расчетная[[#This Row],[высота]]*0.001)+(расчетная[[#This Row],[ширина  /Ду]]*2+расчетная[[#This Row],[высота]]*2)*0.001*(расчетная[[#This Row],[шейка]]*0.001)</f>
        <v>0.52</v>
      </c>
      <c r="V2" s="49">
        <f>((расчетная[[#This Row],[ширина  /Ду]]*2+расчетная[[#This Row],[высота]]*2)*0.001)*((расчетная[[#This Row],[шейка]]+расчетная[[#This Row],[смещ ение/ отборт овка]])*0.001)+(расчетная[[#This Row],[H врезки1/ перехода]]*расчетная[[#This Row],[L врезки1/ перехода]])*0.000001</f>
        <v>0.77000000000000013</v>
      </c>
      <c r="W2" s="49"/>
      <c r="X2" s="74">
        <f>ППлощ[[#This Row],[П1]]*(расчетная[[#This Row],[шейка]]*0.001)</f>
        <v>0.22000000000000003</v>
      </c>
      <c r="Y2" s="49">
        <f>SQRT(POWER((расчетная[[#This Row],[ширина  /Ду]]-расчетная[[#This Row],[H врезки1/ перехода]])*0.001/2,2)+POWER((расчетная[[#This Row],[длинна]]-расчетная[[#This Row],[смещ ение/ отборт овка]])*0.001,2))</f>
        <v>0.35355339059327379</v>
      </c>
      <c r="Z2" s="49">
        <f>SQRT(POWER((расчетная[[#This Row],[высота]]-расчетная[[#This Row],[L врезки1/ перехода]])*0.001/2,2)+POWER((расчетная[[#This Row],[длинна]]-расчетная[[#This Row],[смещ ение/ отборт овка]])*0.001,2))+расчетная[[#This Row],[Тип перех]]</f>
        <v>0.39051248379533271</v>
      </c>
      <c r="AA2" s="49">
        <f>((((расчетная[[#This Row],[ширина  /Ду]]+расчетная[[#This Row],[H врезки1/ перехода]])*0.001/2)*ППлощ[[#This Row],[Сторона З1]])*2)</f>
        <v>0.17677669529663689</v>
      </c>
      <c r="AB2" s="49">
        <f>((((расчетная[[#This Row],[высота]]+расчетная[[#This Row],[L врезки1/ перехода]])*0.001/2)*ППлощ[[#This Row],[Сторона З2]])*2)</f>
        <v>0.2343074902771996</v>
      </c>
      <c r="AC2" s="49">
        <f>(ППлощ[[#This Row],[П1]]*(расчетная[[#This Row],[смещ ение/ отборт овка]]*0.001)+((расчетная[[#This Row],[H врезки1/ перехода]]*расчетная[[#This Row],[L врезки1/ перехода]])*0.000001)+(расчетная[[#This Row],[Ду врез1/ перехода]]*3.14*(расчетная[[#This Row],[шейка]]*0.001)*0.001))+(расчетная[[#This Row],[Ду врез2]]*3.14*(расчетная[[#This Row],[шейка]]*0.001)*0.001)+ППлощ[[#This Row],[Сторона З3]]+ППлощ[[#This Row],[Сторона З4]]</f>
        <v>1.0003341855738366</v>
      </c>
      <c r="AD2" s="49">
        <f>ППлощ[[#This Row],[ПНГП]]+(расчетная[[#This Row],[смещ ение/ отборт овка]]*(расчетная[[#This Row],[ширина  /Ду]]*2+расчетная[[#This Row],[высота]]*2))*0.000001</f>
        <v>1.9892500000000002</v>
      </c>
      <c r="AE2" s="49">
        <f>ППлощ[[#This Row],[ПН]]*(1.1+(расчетная[[#This Row],[смещ ение/ отборт овка]]*0.001))</f>
        <v>1.4850000000000003</v>
      </c>
      <c r="AF2" s="49"/>
      <c r="AG2" s="49"/>
      <c r="AH2" s="49">
        <f>ППлощ[[#This Row],[ПН]]</f>
        <v>1.1000000000000001</v>
      </c>
    </row>
    <row r="3" spans="1:34" x14ac:dyDescent="0.25">
      <c r="A3">
        <v>2</v>
      </c>
      <c r="B3" t="str">
        <f>расчетная[[#This Row],[Тип]]</f>
        <v>ПНП</v>
      </c>
      <c r="C3">
        <f>ROUND(INDEX(ППлощ[[#This Row],[ПН]:[Гибкая вставка]],1,MATCH(ППлощ[[#This Row],[№]],ППлощ[[#Headers],[ПН]:[Гибкая вставка]],0)),2)</f>
        <v>0.96</v>
      </c>
      <c r="D3" s="49">
        <f>(расчетная[[#This Row],[ширина  /Ду]]*2+расчетная[[#This Row],[высота]]*2)*0.001*расчетная[[#This Row],[длинна]]*0.001</f>
        <v>0.9</v>
      </c>
      <c r="E3" s="49">
        <f>ППлощ[[#This Row],[ПН]]+(расчетная[[#This Row],[ширина  /Ду]]*0.001*расчетная[[#This Row],[высота]]*0.001)</f>
        <v>1.1000000000000001</v>
      </c>
      <c r="F3" s="49">
        <f>ППлощ[[#This Row],[ПН]]+('расчет стоимости'!C3*0.001*'расчет стоимости'!D3*0.001)*2</f>
        <v>1.3</v>
      </c>
      <c r="G3" s="49">
        <f>ППлощ[[#This Row],[ПН]]+IF(расчетная[[#This Row],[H врезки1/ перехода]]=0,(расчетная[[#This Row],[Ду врез1/ перехода]]*3.14*расчетная[[#This Row],[шейка]])*0.000001,((расчетная[[#This Row],[H врезки1/ перехода]]*2+расчетная[[#This Row],[L врезки1/ перехода]]*2)*0.001)*(расчетная[[#This Row],[шейка]]*0.001))</f>
        <v>0.95887500000000003</v>
      </c>
      <c r="H3" s="49">
        <f>ППлощ[[#This Row],[ПНП]]+('расчет стоимости'!C3*0.001*'расчет стоимости'!D3*0.001)</f>
        <v>1.1588750000000001</v>
      </c>
      <c r="I3" s="49">
        <f>ППлощ[[#This Row],[ПНП]]+IF(расчетная[[#This Row],[H врезки2]]=0,(расчетная[[#This Row],[Ду врез2]]*3.14*расчетная[[#This Row],[шейка]])*0.000001,(расчетная[[#This Row],[H врезки2]]*2+расчетная[[#This Row],[L врезки2]]*2)*0.001*(расчетная[[#This Row],[шейка]]*0.001))</f>
        <v>0.95887500000000003</v>
      </c>
      <c r="J3" s="49">
        <f>ППлощ[[#This Row],[ПН2П]]+('расчет стоимости'!C4*0.001*расчетная[[#This Row],[высота]]*0.001)</f>
        <v>1.078875</v>
      </c>
      <c r="K3" s="49">
        <f>ППлощ[[#This Row],[Шея]]+ППлощ[[#This Row],[Зат]]+ППлощ[[#This Row],[Стор]]</f>
        <v>0.54</v>
      </c>
      <c r="L3" s="72">
        <f>(((расчетная[[#This Row],[ширина  /Ду]]*2+расчетная[[#This Row],[высота]]*2)*0.001)*(расчетная[[#This Row],[шейка]]*0.001))*2</f>
        <v>0.54</v>
      </c>
      <c r="M3" s="72">
        <f>((PI()*(расчетная[[#This Row],[ширина  /Ду]]-расчетная[[#This Row],[шейка]])*0.001*расчетная[[#This Row],[○]])/180)</f>
        <v>0</v>
      </c>
      <c r="N3" s="72">
        <f>(((PI()*((расчетная[[#This Row],[ширина  /Ду]]-расчетная[[#This Row],[шейка]])*0.001)*расчетная[[#This Row],[○]])/180)*(расчетная[[#This Row],[ширина  /Ду]]-расчетная[[#This Row],[шейка]])*0.001)</f>
        <v>0</v>
      </c>
      <c r="O3" s="49">
        <f>((ППлощ[[#This Row],[П1]]+ППлощ[[#This Row],[П2]])*(расчетная[[#This Row],[шейка]]*0.001))+((ППлощ[[#This Row],[П1]]+ППлощ[[#This Row],[П2]])/2)*ППлощ[[#This Row],[Л бок]]</f>
        <v>0.65380091562842857</v>
      </c>
      <c r="P3" s="49">
        <f>((ППлощ[[#This Row],[П1]]+ППлощ[[#This Row],[П2]])*(расчетная[[#This Row],[шейка]]*0.001))+((ППлощ[[#This Row],[П1]]+ППлощ[[#This Row],[П2]])/2)*ППлощ[[#This Row],[Л бок]]</f>
        <v>0.65380091562842857</v>
      </c>
      <c r="Q3" s="72">
        <f>((расчетная[[#This Row],[ширина  /Ду]]*2+расчетная[[#This Row],[высота]]*2)*0.001)</f>
        <v>1.8</v>
      </c>
      <c r="R3" s="72">
        <f>IF(расчетная[[#This Row],[H врезки1/ перехода]]=0,(расчетная[[#This Row],[Ду врез1/ перехода]]*3.14*0.001),((расчетная[[#This Row],[H врезки1/ перехода]]+расчетная[[#This Row],[L врезки1/ перехода]])*2*0.001))</f>
        <v>0.39250000000000002</v>
      </c>
      <c r="S3" s="73">
        <f>SQRT(POWER(((расчетная[[#This Row],[ширина  /Ду]]-IF(расчетная[[#This Row],[H врезки1/ перехода]]=0,расчетная[[#This Row],[Ду врез1/ перехода]]/2,расчетная[[#This Row],[H врезки1/ перехода]]))/2)*0.001,2)+POWER((расчетная[[#This Row],[длинна]]-расчетная[[#This Row],[шейка]]-расчетная[[#This Row],[шейка]])*0.001,2))</f>
        <v>0.29639764253448442</v>
      </c>
      <c r="T3" s="49">
        <f>ППлощ[[#This Row],[ПНГ]]</f>
        <v>1.1000000000000001</v>
      </c>
      <c r="U3" s="49">
        <f>(расчетная[[#This Row],[ширина  /Ду]]*0.001*расчетная[[#This Row],[высота]]*0.001)+(расчетная[[#This Row],[ширина  /Ду]]*2+расчетная[[#This Row],[высота]]*2)*0.001*(расчетная[[#This Row],[шейка]]*0.001)</f>
        <v>0.47000000000000003</v>
      </c>
      <c r="V3" s="49">
        <f>((расчетная[[#This Row],[ширина  /Ду]]*2+расчетная[[#This Row],[высота]]*2)*0.001)*((расчетная[[#This Row],[шейка]]+расчетная[[#This Row],[смещ ение/ отборт овка]])*0.001)+(расчетная[[#This Row],[H врезки1/ перехода]]*расчетная[[#This Row],[L врезки1/ перехода]])*0.000001</f>
        <v>0.27</v>
      </c>
      <c r="W3" s="49"/>
      <c r="X3" s="74">
        <f>ППлощ[[#This Row],[П1]]*(расчетная[[#This Row],[шейка]]*0.001)</f>
        <v>0.27</v>
      </c>
      <c r="Y3" s="49">
        <f>SQRT(POWER((расчетная[[#This Row],[ширина  /Ду]]-расчетная[[#This Row],[H врезки1/ перехода]])*0.001/2,2)+POWER((расчетная[[#This Row],[длинна]]-расчетная[[#This Row],[смещ ение/ отборт овка]])*0.001,2))</f>
        <v>0.55901699437494745</v>
      </c>
      <c r="Z3" s="49">
        <f>SQRT(POWER((расчетная[[#This Row],[высота]]-расчетная[[#This Row],[L врезки1/ перехода]])*0.001/2,2)+POWER((расчетная[[#This Row],[длинна]]-расчетная[[#This Row],[смещ ение/ отборт овка]])*0.001,2))+расчетная[[#This Row],[Тип перех]]</f>
        <v>0.50249378105604448</v>
      </c>
      <c r="AA3" s="49">
        <f>((((расчетная[[#This Row],[ширина  /Ду]]+расчетная[[#This Row],[H врезки1/ перехода]])*0.001/2)*ППлощ[[#This Row],[Сторона З1]])*2)</f>
        <v>0.27950849718747373</v>
      </c>
      <c r="AB3" s="49">
        <f>((((расчетная[[#This Row],[высота]]+расчетная[[#This Row],[L врезки1/ перехода]])*0.001/2)*ППлощ[[#This Row],[Сторона З2]])*2)</f>
        <v>0.35174564673923114</v>
      </c>
      <c r="AC3" s="49">
        <f>(ППлощ[[#This Row],[П1]]*(расчетная[[#This Row],[смещ ение/ отборт овка]]*0.001)+((расчетная[[#This Row],[H врезки1/ перехода]]*расчетная[[#This Row],[L врезки1/ перехода]])*0.000001)+(расчетная[[#This Row],[Ду врез1/ перехода]]*3.14*(расчетная[[#This Row],[шейка]]*0.001)*0.001))+(расчетная[[#This Row],[Ду врез2]]*3.14*(расчетная[[#This Row],[шейка]]*0.001)*0.001)+ППлощ[[#This Row],[Сторона З3]]+ППлощ[[#This Row],[Сторона З4]]</f>
        <v>0.69012914392670488</v>
      </c>
      <c r="AD3" s="49">
        <f>ППлощ[[#This Row],[ПНГП]]+(расчетная[[#This Row],[смещ ение/ отборт овка]]*(расчетная[[#This Row],[ширина  /Ду]]*2+расчетная[[#This Row],[высота]]*2))*0.000001</f>
        <v>1.1588750000000001</v>
      </c>
      <c r="AE3" s="49">
        <f>ППлощ[[#This Row],[ПН]]*(1.1+(расчетная[[#This Row],[смещ ение/ отборт овка]]*0.001))</f>
        <v>0.9900000000000001</v>
      </c>
      <c r="AF3" s="49"/>
      <c r="AG3" s="49"/>
      <c r="AH3" s="49">
        <f>ППлощ[[#This Row],[ПН]]</f>
        <v>0.9</v>
      </c>
    </row>
    <row r="4" spans="1:34" x14ac:dyDescent="0.25">
      <c r="A4">
        <v>3</v>
      </c>
      <c r="B4" t="str">
        <f>расчетная[[#This Row],[Тип]]</f>
        <v>ПНП</v>
      </c>
      <c r="C4">
        <f>ROUND(INDEX(ППлощ[[#This Row],[ПН]:[Гибкая вставка]],1,MATCH(ППлощ[[#This Row],[№]],ППлощ[[#Headers],[ПН]:[Гибкая вставка]],0)),2)</f>
        <v>0.65</v>
      </c>
      <c r="D4" s="49">
        <f>(расчетная[[#This Row],[ширина  /Ду]]*2+расчетная[[#This Row],[высота]]*2)*0.001*расчетная[[#This Row],[длинна]]*0.001</f>
        <v>0.5</v>
      </c>
      <c r="E4" s="49">
        <f>ППлощ[[#This Row],[ПН]]+(расчетная[[#This Row],[ширина  /Ду]]*0.001*расчетная[[#This Row],[высота]]*0.001)</f>
        <v>0.56000000000000005</v>
      </c>
      <c r="F4" s="49">
        <f>ППлощ[[#This Row],[ПН]]+('расчет стоимости'!C4*0.001*'расчет стоимости'!D4*0.001)*2</f>
        <v>0.62</v>
      </c>
      <c r="G4" s="49">
        <f>ППлощ[[#This Row],[ПН]]+IF(расчетная[[#This Row],[H врезки1/ перехода]]=0,(расчетная[[#This Row],[Ду врез1/ перехода]]*3.14*расчетная[[#This Row],[шейка]])*0.000001,((расчетная[[#This Row],[H врезки1/ перехода]]*2+расчетная[[#This Row],[L врезки1/ перехода]]*2)*0.001)*(расчетная[[#This Row],[шейка]]*0.001))</f>
        <v>0.65</v>
      </c>
      <c r="H4" s="49">
        <f>ППлощ[[#This Row],[ПНП]]+('расчет стоимости'!C4*0.001*'расчет стоимости'!D4*0.001)</f>
        <v>0.71</v>
      </c>
      <c r="I4" s="49">
        <f>ППлощ[[#This Row],[ПНП]]+IF(расчетная[[#This Row],[H врезки2]]=0,(расчетная[[#This Row],[Ду врез2]]*3.14*расчетная[[#This Row],[шейка]])*0.000001,(расчетная[[#This Row],[H врезки2]]*2+расчетная[[#This Row],[L врезки2]]*2)*0.001*(расчетная[[#This Row],[шейка]]*0.001))</f>
        <v>0.65</v>
      </c>
      <c r="J4" s="49">
        <f>ППлощ[[#This Row],[ПН2П]]+('расчет стоимости'!C5*0.001*расчетная[[#This Row],[высота]]*0.001)</f>
        <v>0.70000000000000007</v>
      </c>
      <c r="K4" s="49">
        <f>ППлощ[[#This Row],[Шея]]+ППлощ[[#This Row],[Зат]]+ППлощ[[#This Row],[Стор]]</f>
        <v>0.3</v>
      </c>
      <c r="L4" s="72">
        <f>(((расчетная[[#This Row],[ширина  /Ду]]*2+расчетная[[#This Row],[высота]]*2)*0.001)*(расчетная[[#This Row],[шейка]]*0.001))*2</f>
        <v>0.3</v>
      </c>
      <c r="M4" s="72">
        <f>((PI()*(расчетная[[#This Row],[ширина  /Ду]]-расчетная[[#This Row],[шейка]])*0.001*расчетная[[#This Row],[○]])/180)</f>
        <v>0</v>
      </c>
      <c r="N4" s="72">
        <f>(((PI()*((расчетная[[#This Row],[ширина  /Ду]]-расчетная[[#This Row],[шейка]])*0.001)*расчетная[[#This Row],[○]])/180)*(расчетная[[#This Row],[ширина  /Ду]]-расчетная[[#This Row],[шейка]])*0.001)</f>
        <v>0</v>
      </c>
      <c r="O4" s="49">
        <f>((ППлощ[[#This Row],[П1]]+ППлощ[[#This Row],[П2]])*(расчетная[[#This Row],[шейка]]*0.001))+((ППлощ[[#This Row],[П1]]+ППлощ[[#This Row],[П2]])/2)*ППлощ[[#This Row],[Л бок]]</f>
        <v>0.50615528128088305</v>
      </c>
      <c r="P4" s="49">
        <f>((ППлощ[[#This Row],[П1]]+ППлощ[[#This Row],[П2]])*(расчетная[[#This Row],[шейка]]*0.001))+((ППлощ[[#This Row],[П1]]+ППлощ[[#This Row],[П2]])/2)*ППлощ[[#This Row],[Л бок]]</f>
        <v>0.50615528128088305</v>
      </c>
      <c r="Q4" s="72">
        <f>((расчетная[[#This Row],[ширина  /Ду]]*2+расчетная[[#This Row],[высота]]*2)*0.001)</f>
        <v>1</v>
      </c>
      <c r="R4" s="72">
        <f>IF(расчетная[[#This Row],[H врезки1/ перехода]]=0,(расчетная[[#This Row],[Ду врез1/ перехода]]*3.14*0.001),((расчетная[[#This Row],[H врезки1/ перехода]]+расчетная[[#This Row],[L врезки1/ перехода]])*2*0.001))</f>
        <v>1</v>
      </c>
      <c r="S4" s="73">
        <f>SQRT(POWER(((расчетная[[#This Row],[ширина  /Ду]]-IF(расчетная[[#This Row],[H врезки1/ перехода]]=0,расчетная[[#This Row],[Ду врез1/ перехода]]/2,расчетная[[#This Row],[H врезки1/ перехода]]))/2)*0.001,2)+POWER((расчетная[[#This Row],[длинна]]-расчетная[[#This Row],[шейка]]-расчетная[[#This Row],[шейка]])*0.001,2))</f>
        <v>0.20615528128088306</v>
      </c>
      <c r="T4" s="49">
        <f>ППлощ[[#This Row],[ПНГ]]</f>
        <v>0.56000000000000005</v>
      </c>
      <c r="U4" s="49">
        <f>(расчетная[[#This Row],[ширина  /Ду]]*0.001*расчетная[[#This Row],[высота]]*0.001)+(расчетная[[#This Row],[ширина  /Ду]]*2+расчетная[[#This Row],[высота]]*2)*0.001*(расчетная[[#This Row],[шейка]]*0.001)</f>
        <v>0.21</v>
      </c>
      <c r="V4" s="49">
        <f>((расчетная[[#This Row],[ширина  /Ду]]*2+расчетная[[#This Row],[высота]]*2)*0.001)*((расчетная[[#This Row],[шейка]]+расчетная[[#This Row],[смещ ение/ отборт овка]])*0.001)+(расчетная[[#This Row],[H врезки1/ перехода]]*расчетная[[#This Row],[L врезки1/ перехода]])*0.000001</f>
        <v>0.21</v>
      </c>
      <c r="W4" s="49"/>
      <c r="X4" s="74">
        <f>ППлощ[[#This Row],[П1]]*(расчетная[[#This Row],[шейка]]*0.001)</f>
        <v>0.15</v>
      </c>
      <c r="Y4" s="49">
        <f>SQRT(POWER((расчетная[[#This Row],[ширина  /Ду]]-расчетная[[#This Row],[H врезки1/ перехода]])*0.001/2,2)+POWER((расчетная[[#This Row],[длинна]]-расчетная[[#This Row],[смещ ение/ отборт овка]])*0.001,2))</f>
        <v>0.50249378105604448</v>
      </c>
      <c r="Z4" s="49">
        <f>SQRT(POWER((расчетная[[#This Row],[высота]]-расчетная[[#This Row],[L врезки1/ перехода]])*0.001/2,2)+POWER((расчетная[[#This Row],[длинна]]-расчетная[[#This Row],[смещ ение/ отборт овка]])*0.001,2))+расчетная[[#This Row],[Тип перех]]</f>
        <v>0.50249378105604448</v>
      </c>
      <c r="AA4" s="49">
        <f>((((расчетная[[#This Row],[ширина  /Ду]]+расчетная[[#This Row],[H врезки1/ перехода]])*0.001/2)*ППлощ[[#This Row],[Сторона З1]])*2)</f>
        <v>0.25124689052802224</v>
      </c>
      <c r="AB4" s="49">
        <f>((((расчетная[[#This Row],[высота]]+расчетная[[#This Row],[L врезки1/ перехода]])*0.001/2)*ППлощ[[#This Row],[Сторона З2]])*2)</f>
        <v>0.25124689052802224</v>
      </c>
      <c r="AC4" s="49">
        <f>(ППлощ[[#This Row],[П1]]*(расчетная[[#This Row],[смещ ение/ отборт овка]]*0.001)+((расчетная[[#This Row],[H врезки1/ перехода]]*расчетная[[#This Row],[L врезки1/ перехода]])*0.000001)+(расчетная[[#This Row],[Ду врез1/ перехода]]*3.14*(расчетная[[#This Row],[шейка]]*0.001)*0.001))+(расчетная[[#This Row],[Ду врез2]]*3.14*(расчетная[[#This Row],[шейка]]*0.001)*0.001)+ППлощ[[#This Row],[Сторона З3]]+ППлощ[[#This Row],[Сторона З4]]</f>
        <v>0.62136878105604443</v>
      </c>
      <c r="AD4" s="49">
        <f>ППлощ[[#This Row],[ПНГП]]+(расчетная[[#This Row],[смещ ение/ отборт овка]]*(расчетная[[#This Row],[ширина  /Ду]]*2+расчетная[[#This Row],[высота]]*2))*0.000001</f>
        <v>0.71</v>
      </c>
      <c r="AE4" s="49">
        <f>ППлощ[[#This Row],[ПН]]*(1.1+(расчетная[[#This Row],[смещ ение/ отборт овка]]*0.001))</f>
        <v>0.55000000000000004</v>
      </c>
      <c r="AF4" s="49"/>
      <c r="AG4" s="49"/>
      <c r="AH4" s="49">
        <f>ППлощ[[#This Row],[ПН]]</f>
        <v>0.5</v>
      </c>
    </row>
    <row r="5" spans="1:34" x14ac:dyDescent="0.25">
      <c r="A5">
        <v>4</v>
      </c>
      <c r="B5" t="str">
        <f>расчетная[[#This Row],[Тип]]</f>
        <v>ПН</v>
      </c>
      <c r="C5">
        <f>ROUND(INDEX(ППлощ[[#This Row],[ПН]:[Гибкая вставка]],1,MATCH(ППлощ[[#This Row],[№]],ППлощ[[#Headers],[ПН]:[Гибкая вставка]],0)),2)</f>
        <v>5.33</v>
      </c>
      <c r="D5" s="49">
        <f>(расчетная[[#This Row],[ширина  /Ду]]*2+расчетная[[#This Row],[высота]]*2)*0.001*расчетная[[#This Row],[длинна]]*0.001</f>
        <v>5.33</v>
      </c>
      <c r="E5" s="49">
        <f>ППлощ[[#This Row],[ПН]]+(расчетная[[#This Row],[ширина  /Ду]]*0.001*расчетная[[#This Row],[высота]]*0.001)</f>
        <v>5.43</v>
      </c>
      <c r="F5" s="49">
        <f>ППлощ[[#This Row],[ПН]]+('расчет стоимости'!C5*0.001*'расчет стоимости'!D5*0.001)*2</f>
        <v>5.53</v>
      </c>
      <c r="G5" s="49">
        <f>ППлощ[[#This Row],[ПН]]+IF(расчетная[[#This Row],[H врезки1/ перехода]]=0,(расчетная[[#This Row],[Ду врез1/ перехода]]*3.14*расчетная[[#This Row],[шейка]])*0.000001,((расчетная[[#This Row],[H врезки1/ перехода]]*2+расчетная[[#This Row],[L врезки1/ перехода]]*2)*0.001)*(расчетная[[#This Row],[шейка]]*0.001))</f>
        <v>5.33</v>
      </c>
      <c r="H5" s="49">
        <f>ППлощ[[#This Row],[ПНП]]+('расчет стоимости'!C5*0.001*'расчет стоимости'!D5*0.001)</f>
        <v>5.43</v>
      </c>
      <c r="I5" s="49">
        <f>ППлощ[[#This Row],[ПНП]]+IF(расчетная[[#This Row],[H врезки2]]=0,(расчетная[[#This Row],[Ду врез2]]*3.14*расчетная[[#This Row],[шейка]])*0.000001,(расчетная[[#This Row],[H врезки2]]*2+расчетная[[#This Row],[L врезки2]]*2)*0.001*(расчетная[[#This Row],[шейка]]*0.001))</f>
        <v>5.33</v>
      </c>
      <c r="J5" s="49">
        <f>ППлощ[[#This Row],[ПН2П]]+('расчет стоимости'!C6*0.001*расчетная[[#This Row],[высота]]*0.001)</f>
        <v>5.33</v>
      </c>
      <c r="K5" s="49">
        <f>ППлощ[[#This Row],[Шея]]+ППлощ[[#This Row],[Зат]]+ППлощ[[#This Row],[Стор]]</f>
        <v>0</v>
      </c>
      <c r="L5" s="72">
        <f>(((расчетная[[#This Row],[ширина  /Ду]]*2+расчетная[[#This Row],[высота]]*2)*0.001)*(расчетная[[#This Row],[шейка]]*0.001))*2</f>
        <v>0</v>
      </c>
      <c r="M5" s="72">
        <f>((PI()*(расчетная[[#This Row],[ширина  /Ду]]-расчетная[[#This Row],[шейка]])*0.001*расчетная[[#This Row],[○]])/180)</f>
        <v>0</v>
      </c>
      <c r="N5" s="72">
        <f>(((PI()*((расчетная[[#This Row],[ширина  /Ду]]-расчетная[[#This Row],[шейка]])*0.001)*расчетная[[#This Row],[○]])/180)*(расчетная[[#This Row],[ширина  /Ду]]-расчетная[[#This Row],[шейка]])*0.001)</f>
        <v>0</v>
      </c>
      <c r="O5" s="49">
        <f>((ППлощ[[#This Row],[П1]]+ППлощ[[#This Row],[П2]])*(расчетная[[#This Row],[шейка]]*0.001))+((ППлощ[[#This Row],[П1]]+ППлощ[[#This Row],[П2]])/2)*ППлощ[[#This Row],[Л бок]]</f>
        <v>3.470531923438251</v>
      </c>
      <c r="P5" s="49">
        <f>((ППлощ[[#This Row],[П1]]+ППлощ[[#This Row],[П2]])*(расчетная[[#This Row],[шейка]]*0.001))+((ППлощ[[#This Row],[П1]]+ППлощ[[#This Row],[П2]])/2)*ППлощ[[#This Row],[Л бок]]</f>
        <v>3.470531923438251</v>
      </c>
      <c r="Q5" s="72">
        <f>((расчетная[[#This Row],[ширина  /Ду]]*2+расчетная[[#This Row],[высота]]*2)*0.001)</f>
        <v>1.3</v>
      </c>
      <c r="R5" s="72">
        <f>IF(расчетная[[#This Row],[H врезки1/ перехода]]=0,(расчетная[[#This Row],[Ду врез1/ перехода]]*3.14*0.001),((расчетная[[#This Row],[H врезки1/ перехода]]+расчетная[[#This Row],[L врезки1/ перехода]])*2*0.001))</f>
        <v>0.39250000000000002</v>
      </c>
      <c r="S5" s="73">
        <f>SQRT(POWER(((расчетная[[#This Row],[ширина  /Ду]]-IF(расчетная[[#This Row],[H врезки1/ перехода]]=0,расчетная[[#This Row],[Ду врез1/ перехода]]/2,расчетная[[#This Row],[H врезки1/ перехода]]))/2)*0.001,2)+POWER((расчетная[[#This Row],[длинна]]-расчетная[[#This Row],[шейка]]-расчетная[[#This Row],[шейка]])*0.001,2))</f>
        <v>4.1010716968251115</v>
      </c>
      <c r="T5" s="49">
        <f>ППлощ[[#This Row],[ПНГ]]</f>
        <v>5.43</v>
      </c>
      <c r="U5" s="49">
        <f>(расчетная[[#This Row],[ширина  /Ду]]*0.001*расчетная[[#This Row],[высота]]*0.001)+(расчетная[[#This Row],[ширина  /Ду]]*2+расчетная[[#This Row],[высота]]*2)*0.001*(расчетная[[#This Row],[шейка]]*0.001)</f>
        <v>0.1</v>
      </c>
      <c r="V5" s="49">
        <f>((расчетная[[#This Row],[ширина  /Ду]]*2+расчетная[[#This Row],[высота]]*2)*0.001)*((расчетная[[#This Row],[шейка]]+расчетная[[#This Row],[смещ ение/ отборт овка]])*0.001)+(расчетная[[#This Row],[H врезки1/ перехода]]*расчетная[[#This Row],[L врезки1/ перехода]])*0.000001</f>
        <v>0</v>
      </c>
      <c r="W5" s="49"/>
      <c r="X5" s="74">
        <f>ППлощ[[#This Row],[П1]]*(расчетная[[#This Row],[шейка]]*0.001)</f>
        <v>0</v>
      </c>
      <c r="Y5" s="49">
        <f>SQRT(POWER((расчетная[[#This Row],[ширина  /Ду]]-расчетная[[#This Row],[H врезки1/ перехода]])*0.001/2,2)+POWER((расчетная[[#This Row],[длинна]]-расчетная[[#This Row],[смещ ение/ отборт овка]])*0.001,2))</f>
        <v>4.1019050452198424</v>
      </c>
      <c r="Z5" s="49">
        <f>SQRT(POWER((расчетная[[#This Row],[высота]]-расчетная[[#This Row],[L врезки1/ перехода]])*0.001/2,2)+POWER((расчетная[[#This Row],[длинна]]-расчетная[[#This Row],[смещ ение/ отборт овка]])*0.001,2))+расчетная[[#This Row],[Тип перех]]</f>
        <v>4.1048751503547578</v>
      </c>
      <c r="AA5" s="49">
        <f>((((расчетная[[#This Row],[ширина  /Ду]]+расчетная[[#This Row],[H врезки1/ перехода]])*0.001/2)*ППлощ[[#This Row],[Сторона З1]])*2)</f>
        <v>1.0254762613049606</v>
      </c>
      <c r="AB5" s="49">
        <f>((((расчетная[[#This Row],[высота]]+расчетная[[#This Row],[L врезки1/ перехода]])*0.001/2)*ППлощ[[#This Row],[Сторона З2]])*2)</f>
        <v>1.6419500601419033</v>
      </c>
      <c r="AC5" s="49">
        <f>(ППлощ[[#This Row],[П1]]*(расчетная[[#This Row],[смещ ение/ отборт овка]]*0.001)+((расчетная[[#This Row],[H врезки1/ перехода]]*расчетная[[#This Row],[L врезки1/ перехода]])*0.000001)+(расчетная[[#This Row],[Ду врез1/ перехода]]*3.14*(расчетная[[#This Row],[шейка]]*0.001)*0.001))+(расчетная[[#This Row],[Ду врез2]]*3.14*(расчетная[[#This Row],[шейка]]*0.001)*0.001)+ППлощ[[#This Row],[Сторона З3]]+ППлощ[[#This Row],[Сторона З4]]</f>
        <v>2.6674263214468636</v>
      </c>
      <c r="AD5" s="49">
        <f>ППлощ[[#This Row],[ПНГП]]+(расчетная[[#This Row],[смещ ение/ отборт овка]]*(расчетная[[#This Row],[ширина  /Ду]]*2+расчетная[[#This Row],[высота]]*2))*0.000001</f>
        <v>5.43</v>
      </c>
      <c r="AE5" s="49">
        <f>ППлощ[[#This Row],[ПН]]*(1.1+(расчетная[[#This Row],[смещ ение/ отборт овка]]*0.001))</f>
        <v>5.8630000000000004</v>
      </c>
      <c r="AF5" s="49"/>
      <c r="AG5" s="49"/>
      <c r="AH5" s="49">
        <f>ППлощ[[#This Row],[ПН]]</f>
        <v>5.33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AB5"/>
  <sheetViews>
    <sheetView workbookViewId="0">
      <selection activeCell="K2" sqref="K2"/>
    </sheetView>
  </sheetViews>
  <sheetFormatPr defaultRowHeight="15" x14ac:dyDescent="0.25"/>
  <cols>
    <col min="1" max="1" width="3.85546875" customWidth="1"/>
    <col min="2" max="2" width="6.7109375" customWidth="1"/>
    <col min="3" max="3" width="10.7109375" customWidth="1"/>
    <col min="4" max="4" width="8" customWidth="1"/>
    <col min="5" max="5" width="7.28515625" customWidth="1"/>
    <col min="6" max="8" width="8" customWidth="1"/>
    <col min="9" max="9" width="9.140625" customWidth="1"/>
    <col min="10" max="10" width="8.85546875" customWidth="1"/>
    <col min="11" max="14" width="8" customWidth="1"/>
    <col min="15" max="15" width="11.5703125" customWidth="1"/>
    <col min="16" max="17" width="10.28515625" customWidth="1"/>
    <col min="18" max="18" width="16.7109375" customWidth="1"/>
    <col min="19" max="19" width="18.85546875" style="76" customWidth="1"/>
    <col min="23" max="23" width="9.85546875" customWidth="1"/>
    <col min="24" max="25" width="9.85546875" hidden="1" customWidth="1"/>
    <col min="26" max="26" width="11.85546875" customWidth="1"/>
  </cols>
  <sheetData>
    <row r="1" spans="1:26" x14ac:dyDescent="0.25">
      <c r="B1" t="s">
        <v>0</v>
      </c>
      <c r="C1" t="s">
        <v>67</v>
      </c>
      <c r="D1" t="s">
        <v>33</v>
      </c>
      <c r="E1" t="s">
        <v>37</v>
      </c>
      <c r="F1" t="s">
        <v>66</v>
      </c>
      <c r="G1" t="s">
        <v>36</v>
      </c>
      <c r="H1" t="s">
        <v>38</v>
      </c>
      <c r="I1" t="s">
        <v>39</v>
      </c>
      <c r="J1" t="s">
        <v>40</v>
      </c>
      <c r="K1" t="s">
        <v>46</v>
      </c>
      <c r="L1" t="s">
        <v>42</v>
      </c>
      <c r="M1" t="s">
        <v>41</v>
      </c>
      <c r="N1" t="s">
        <v>59</v>
      </c>
      <c r="O1" t="s">
        <v>44</v>
      </c>
      <c r="P1" t="s">
        <v>55</v>
      </c>
      <c r="Q1" t="s">
        <v>75</v>
      </c>
      <c r="R1" t="s">
        <v>58</v>
      </c>
      <c r="S1" s="76" t="s">
        <v>60</v>
      </c>
      <c r="T1" t="s">
        <v>43</v>
      </c>
      <c r="U1" t="s">
        <v>76</v>
      </c>
      <c r="V1" t="s">
        <v>77</v>
      </c>
      <c r="W1" t="s">
        <v>61</v>
      </c>
      <c r="X1" t="s">
        <v>84</v>
      </c>
      <c r="Y1" t="s">
        <v>85</v>
      </c>
      <c r="Z1" t="s">
        <v>87</v>
      </c>
    </row>
    <row r="2" spans="1:26" x14ac:dyDescent="0.25">
      <c r="A2">
        <v>1</v>
      </c>
      <c r="B2" t="str">
        <f>расчетная[[#This Row],[Тип]]</f>
        <v>ПН</v>
      </c>
      <c r="C2">
        <f>ROUND(INDEX(КПлощ[[#This Row],[ПН]:[гибкая вставка]],1,MATCH(КПлощ[[#This Row],[№]],КПлощ[[#Headers],[ПН]:[гибкая вставка]],0)),2)</f>
        <v>0.79</v>
      </c>
      <c r="D2" s="49">
        <f>расчетная[[#This Row],[ширина  /Ду]]*3.14*расчетная[[#This Row],[длинна]]*0.000001</f>
        <v>0.78499999999999992</v>
      </c>
      <c r="E2" s="49">
        <f>КПлощ[[#This Row],[ПН]]+PI()*POWER((расчетная[[#This Row],[ширина  /Ду]]/2*0.001),2)</f>
        <v>0.98134954084936199</v>
      </c>
      <c r="F2" s="49">
        <f>КПлощ[[#This Row],[ПНГ]]+PI()*POWER((расчетная[[#This Row],[ширина  /Ду]]/2*0.001),2)</f>
        <v>1.1776990816987241</v>
      </c>
      <c r="G2" s="49">
        <f>КПлощ[[#This Row],[ПН]]+расчетная[[#This Row],[Ду врез1/ перехода]]*3.14*0.001*(расчетная[[#This Row],[шейка]]*0.001)</f>
        <v>0.82424999999999993</v>
      </c>
      <c r="H2" s="49">
        <f>КПлощ[[#This Row],[ПНП]]+PI()*POWER((расчетная[[#This Row],[ширина  /Ду]]/2*0.001),2)</f>
        <v>1.020599540849362</v>
      </c>
      <c r="I2" s="49">
        <f>КПлощ[[#This Row],[ПНП]]+расчетная[[#This Row],[Ду врез2]]*3.14*0.001*(расчетная[[#This Row],[шейка]]*0.001)</f>
        <v>0.82424999999999993</v>
      </c>
      <c r="J2" s="49">
        <f>КПлощ[[#This Row],[ПН2П]]+PI()*POWER((расчетная[[#This Row],[ширина  /Ду]]/2*0.001),2)</f>
        <v>1.020599540849362</v>
      </c>
      <c r="K2" s="49" t="e">
        <f>INDEX(Sотв[#All],MATCH(расчетная[[#This Row],[ширина  /Ду]],Sотв[[#All],[О]],0),MATCH(расчетная[[#This Row],[○]],Sотв[#This Row]))</f>
        <v>#N/A</v>
      </c>
      <c r="L2" s="49">
        <f>(расчетная[[#This Row],[ширина  /Ду]]*0.001*3.14*(расчетная[[#This Row],[шейка]]*0.001))+(расчетная[[#This Row],[Ду врез1/ перехода]]*0.001*3.14*(расчетная[[#This Row],[шейка]]*0.001))+((расчетная[[#This Row],[ширина  /Ду]]*3.14*0.001)+(расчетная[[#This Row],[Ду врез1/ перехода]]*3.14*0.001))/2*((расчетная[[#This Row],[длинна]]-2*расчетная[[#This Row],[шейка]])*0.001)</f>
        <v>0.49062500000000003</v>
      </c>
      <c r="M2" s="49">
        <f>КПлощ[[#This Row],[ДНС]]</f>
        <v>0.49062500000000003</v>
      </c>
      <c r="N2" s="49">
        <f>КПлощ[[#This Row],[ПНГ]]</f>
        <v>0.98134954084936199</v>
      </c>
      <c r="O2" s="49">
        <f>PI()*POWER((расчетная[[#This Row],[ширина  /Ду]]/2*0.001),2)+(расчетная[[#This Row],[ширина  /Ду]]*3.14*0.001*0.07)</f>
        <v>0.30624954084936207</v>
      </c>
      <c r="P2" s="49">
        <f>(расчетная[[#This Row],[ширина  /Ду]]*расчетная[[#This Row],[высота]])*0.000001+(расчетная[[#This Row],[Ду врез1/ перехода]]*0.001*3.14*(расчетная[[#This Row],[шейка]]*0.001))</f>
        <v>0.33925</v>
      </c>
      <c r="Q2" s="49">
        <f>расчетная[[#This Row],[ширина  /Ду]]*0.001*3.14*(расчетная[[#This Row],[длинна]]*0.001)</f>
        <v>0.78500000000000003</v>
      </c>
      <c r="R2" s="49">
        <f>PI()*POWER((расчетная[[#This Row],[ширина  /Ду]]*1.75/2*0.001),2)+КПлощ[[#This Row],[Врезка]]</f>
        <v>0.94057046885117135</v>
      </c>
      <c r="S2" s="77">
        <f>КПлощ[[#This Row],[Зонт крышный]]</f>
        <v>0.94057046885117135</v>
      </c>
      <c r="T2" s="49">
        <f>КПлощ[[#This Row],[ПН]]*(1.1+(расчетная[[#This Row],[смещ ение/ отборт овка]]*0.001))</f>
        <v>1.05975</v>
      </c>
      <c r="U2" s="49">
        <f>КПлощ[[#This Row],[ПН]]</f>
        <v>0.78499999999999992</v>
      </c>
      <c r="V2" s="49">
        <f>КПлощ[[#This Row],[ПН]]</f>
        <v>0.78499999999999992</v>
      </c>
      <c r="W2" s="49">
        <f>КПлощ[[#This Row],[Внут]]+КПлощ[[#This Row],[нар]]</f>
        <v>2.7398451000647497</v>
      </c>
      <c r="X2" s="49">
        <f>КПлощ[[#This Row],[ПН]]+(расчетная[[#This Row],[ширина  /Ду]]*0.001*3.14*0.15)*2</f>
        <v>1.2559999999999998</v>
      </c>
      <c r="Y2" s="49">
        <f>(расчетная[[#This Row],[ширина  /Ду]]+200)*0.001*3.14*(расчетная[[#This Row],[длинна]]*0.001)+PI()*POWER(((расчетная[[#This Row],[ширина  /Ду]]+200)/2*0.001),2)</f>
        <v>1.4838451000647499</v>
      </c>
      <c r="Z2" s="49">
        <f>КПлощ[[#This Row],[ПН]]</f>
        <v>0.78499999999999992</v>
      </c>
    </row>
    <row r="3" spans="1:26" x14ac:dyDescent="0.25">
      <c r="B3" t="str">
        <f>расчетная[[#This Row],[Тип]]</f>
        <v>ПНП</v>
      </c>
      <c r="C3">
        <f>ROUND(INDEX(КПлощ[[#This Row],[ПН]:[гибкая вставка]],1,MATCH(КПлощ[[#This Row],[№]],КПлощ[[#Headers],[ПН]:[гибкая вставка]],0)),2)</f>
        <v>0.84</v>
      </c>
      <c r="D3" s="49">
        <f>расчетная[[#This Row],[ширина  /Ду]]*3.14*расчетная[[#This Row],[длинна]]*0.000001</f>
        <v>0.78499999999999992</v>
      </c>
      <c r="E3" s="49">
        <f>КПлощ[[#This Row],[ПН]]+PI()*POWER((расчетная[[#This Row],[ширина  /Ду]]/2*0.001),2)</f>
        <v>0.98134954084936199</v>
      </c>
      <c r="F3" s="49">
        <f>КПлощ[[#This Row],[ПНГ]]+PI()*POWER((расчетная[[#This Row],[ширина  /Ду]]/2*0.001),2)</f>
        <v>1.1776990816987241</v>
      </c>
      <c r="G3" s="49">
        <f>КПлощ[[#This Row],[ПН]]+расчетная[[#This Row],[Ду врез1/ перехода]]*3.14*0.001*(расчетная[[#This Row],[шейка]]*0.001)</f>
        <v>0.84387499999999993</v>
      </c>
      <c r="H3" s="49">
        <f>КПлощ[[#This Row],[ПНП]]+PI()*POWER((расчетная[[#This Row],[ширина  /Ду]]/2*0.001),2)</f>
        <v>1.040224540849362</v>
      </c>
      <c r="I3" s="49">
        <f>КПлощ[[#This Row],[ПНП]]+расчетная[[#This Row],[Ду врез2]]*3.14*0.001*(расчетная[[#This Row],[шейка]]*0.001)</f>
        <v>0.84387499999999993</v>
      </c>
      <c r="J3" s="49">
        <f>КПлощ[[#This Row],[ПН2П]]+PI()*POWER((расчетная[[#This Row],[ширина  /Ду]]/2*0.001),2)</f>
        <v>1.040224540849362</v>
      </c>
      <c r="K3" s="49" t="e">
        <f>INDEX(Sотв[#All],MATCH(расчетная[[#This Row],[ширина  /Ду]],Sотв[[#All],[О]],0),MATCH(расчетная[[#This Row],[○]],Sотв[#This Row]))</f>
        <v>#N/A</v>
      </c>
      <c r="L3" s="49">
        <f>(расчетная[[#This Row],[ширина  /Ду]]*0.001*3.14*(расчетная[[#This Row],[шейка]]*0.001))+(расчетная[[#This Row],[Ду врез1/ перехода]]*0.001*3.14*(расчетная[[#This Row],[шейка]]*0.001))+((расчетная[[#This Row],[ширина  /Ду]]*3.14*0.001)+(расчетная[[#This Row],[Ду врез1/ перехода]]*3.14*0.001))/2*((расчетная[[#This Row],[длинна]]-2*расчетная[[#This Row],[шейка]])*0.001)</f>
        <v>0.49062500000000003</v>
      </c>
      <c r="M3" s="49">
        <f>КПлощ[[#This Row],[ДНС]]</f>
        <v>0.49062500000000003</v>
      </c>
      <c r="N3" s="49">
        <f>КПлощ[[#This Row],[ПНГ]]</f>
        <v>0.98134954084936199</v>
      </c>
      <c r="O3" s="49">
        <f>PI()*POWER((расчетная[[#This Row],[ширина  /Ду]]/2*0.001),2)+(расчетная[[#This Row],[ширина  /Ду]]*3.14*0.001*0.07)</f>
        <v>0.30624954084936207</v>
      </c>
      <c r="P3" s="49">
        <f>(расчетная[[#This Row],[ширина  /Ду]]*расчетная[[#This Row],[высота]])*0.000001+(расчетная[[#This Row],[Ду врез1/ перехода]]*0.001*3.14*(расчетная[[#This Row],[шейка]]*0.001))</f>
        <v>0.25887499999999997</v>
      </c>
      <c r="Q3" s="49">
        <f>расчетная[[#This Row],[ширина  /Ду]]*0.001*3.14*(расчетная[[#This Row],[длинна]]*0.001)</f>
        <v>0.78500000000000003</v>
      </c>
      <c r="R3" s="49">
        <f>PI()*POWER((расчетная[[#This Row],[ширина  /Ду]]*1.75/2*0.001),2)+КПлощ[[#This Row],[Врезка]]</f>
        <v>0.86019546885117126</v>
      </c>
      <c r="S3" s="77">
        <f>КПлощ[[#This Row],[Зонт крышный]]</f>
        <v>0.86019546885117126</v>
      </c>
      <c r="T3" s="49">
        <f>КПлощ[[#This Row],[ПН]]*(1.1+(расчетная[[#This Row],[смещ ение/ отборт овка]]*0.001))</f>
        <v>0.86349999999999993</v>
      </c>
      <c r="U3" s="49">
        <f>КПлощ[[#This Row],[ПН]]</f>
        <v>0.78499999999999992</v>
      </c>
      <c r="V3" s="49">
        <f>КПлощ[[#This Row],[ПН]]</f>
        <v>0.78499999999999992</v>
      </c>
      <c r="W3" s="49">
        <f>КПлощ[[#This Row],[Внут]]+КПлощ[[#This Row],[нар]]</f>
        <v>2.7398451000647497</v>
      </c>
      <c r="X3" s="49">
        <f>КПлощ[[#This Row],[ПН]]+(расчетная[[#This Row],[ширина  /Ду]]*0.001*3.14*0.15)*2</f>
        <v>1.2559999999999998</v>
      </c>
      <c r="Y3" s="49">
        <f>(расчетная[[#This Row],[ширина  /Ду]]+200)*0.001*3.14*(расчетная[[#This Row],[длинна]]*0.001)+PI()*POWER(((расчетная[[#This Row],[ширина  /Ду]]+200)/2*0.001),2)</f>
        <v>1.4838451000647499</v>
      </c>
      <c r="Z3" s="49">
        <f>КПлощ[[#This Row],[ПН]]</f>
        <v>0.78499999999999992</v>
      </c>
    </row>
    <row r="4" spans="1:26" x14ac:dyDescent="0.25">
      <c r="B4" t="str">
        <f>расчетная[[#This Row],[Тип]]</f>
        <v>ПНП</v>
      </c>
      <c r="C4">
        <f>ROUND(INDEX(КПлощ[[#This Row],[ПН]:[гибкая вставка]],1,MATCH(КПлощ[[#This Row],[№]],КПлощ[[#Headers],[ПН]:[гибкая вставка]],0)),2)</f>
        <v>0.53</v>
      </c>
      <c r="D4" s="49">
        <f>расчетная[[#This Row],[ширина  /Ду]]*3.14*расчетная[[#This Row],[длинна]]*0.000001</f>
        <v>0.47099999999999997</v>
      </c>
      <c r="E4" s="49">
        <f>КПлощ[[#This Row],[ПН]]+PI()*POWER((расчетная[[#This Row],[ширина  /Ду]]/2*0.001),2)</f>
        <v>0.54168583470577036</v>
      </c>
      <c r="F4" s="49">
        <f>КПлощ[[#This Row],[ПНГ]]+PI()*POWER((расчетная[[#This Row],[ширина  /Ду]]/2*0.001),2)</f>
        <v>0.61237166941154075</v>
      </c>
      <c r="G4" s="49">
        <f>КПлощ[[#This Row],[ПН]]+расчетная[[#This Row],[Ду врез1/ перехода]]*3.14*0.001*(расчетная[[#This Row],[шейка]]*0.001)</f>
        <v>0.52987499999999998</v>
      </c>
      <c r="H4" s="49">
        <f>КПлощ[[#This Row],[ПНП]]+PI()*POWER((расчетная[[#This Row],[ширина  /Ду]]/2*0.001),2)</f>
        <v>0.60056083470577037</v>
      </c>
      <c r="I4" s="49">
        <f>КПлощ[[#This Row],[ПНП]]+расчетная[[#This Row],[Ду врез2]]*3.14*0.001*(расчетная[[#This Row],[шейка]]*0.001)</f>
        <v>0.52987499999999998</v>
      </c>
      <c r="J4" s="49">
        <f>КПлощ[[#This Row],[ПН2П]]+PI()*POWER((расчетная[[#This Row],[ширина  /Ду]]/2*0.001),2)</f>
        <v>0.60056083470577037</v>
      </c>
      <c r="K4" s="49" t="e">
        <f>INDEX(Sотв[#All],MATCH(расчетная[[#This Row],[ширина  /Ду]],Sотв[[#All],[О]],0),MATCH(расчетная[[#This Row],[○]],Sотв[#This Row]))</f>
        <v>#N/A</v>
      </c>
      <c r="L4" s="49">
        <f>(расчетная[[#This Row],[ширина  /Ду]]*0.001*3.14*(расчетная[[#This Row],[шейка]]*0.001))+(расчетная[[#This Row],[Ду врез1/ перехода]]*0.001*3.14*(расчетная[[#This Row],[шейка]]*0.001))+((расчетная[[#This Row],[ширина  /Ду]]*3.14*0.001)+(расчетная[[#This Row],[Ду врез1/ перехода]]*3.14*0.001))/2*((расчетная[[#This Row],[длинна]]-2*расчетная[[#This Row],[шейка]])*0.001)</f>
        <v>0.333625</v>
      </c>
      <c r="M4" s="49">
        <f>КПлощ[[#This Row],[ДНС]]</f>
        <v>0.333625</v>
      </c>
      <c r="N4" s="49">
        <f>КПлощ[[#This Row],[ПНГ]]</f>
        <v>0.54168583470577036</v>
      </c>
      <c r="O4" s="49">
        <f>PI()*POWER((расчетная[[#This Row],[ширина  /Ду]]/2*0.001),2)+(расчетная[[#This Row],[ширина  /Ду]]*3.14*0.001*0.07)</f>
        <v>0.13662583470577036</v>
      </c>
      <c r="P4" s="49">
        <f>(расчетная[[#This Row],[ширина  /Ду]]*расчетная[[#This Row],[высота]])*0.000001+(расчетная[[#This Row],[Ду врез1/ перехода]]*0.001*3.14*(расчетная[[#This Row],[шейка]]*0.001))</f>
        <v>0.11887499999999999</v>
      </c>
      <c r="Q4" s="49">
        <f>расчетная[[#This Row],[ширина  /Ду]]*0.001*3.14*(расчетная[[#This Row],[длинна]]*0.001)</f>
        <v>0.47099999999999997</v>
      </c>
      <c r="R4" s="49">
        <f>PI()*POWER((расчетная[[#This Row],[ширина  /Ду]]*1.75/2*0.001),2)+КПлощ[[#This Row],[Врезка]]</f>
        <v>0.33535036878642166</v>
      </c>
      <c r="S4" s="77">
        <f>КПлощ[[#This Row],[Зонт крышный]]</f>
        <v>0.33535036878642166</v>
      </c>
      <c r="T4" s="49">
        <f>КПлощ[[#This Row],[ПН]]*(1.1+(расчетная[[#This Row],[смещ ение/ отборт овка]]*0.001))</f>
        <v>0.5181</v>
      </c>
      <c r="U4" s="49">
        <f>КПлощ[[#This Row],[ПН]]</f>
        <v>0.47099999999999997</v>
      </c>
      <c r="V4" s="49">
        <f>КПлощ[[#This Row],[ПН]]</f>
        <v>0.47099999999999997</v>
      </c>
      <c r="W4" s="49">
        <f>КПлощ[[#This Row],[Внут]]+КПлощ[[#This Row],[нар]]</f>
        <v>1.734949540849362</v>
      </c>
      <c r="X4" s="49">
        <f>КПлощ[[#This Row],[ПН]]+(расчетная[[#This Row],[ширина  /Ду]]*0.001*3.14*0.15)*2</f>
        <v>0.75359999999999994</v>
      </c>
      <c r="Y4" s="49">
        <f>(расчетная[[#This Row],[ширина  /Ду]]+200)*0.001*3.14*(расчетная[[#This Row],[длинна]]*0.001)+PI()*POWER(((расчетная[[#This Row],[ширина  /Ду]]+200)/2*0.001),2)</f>
        <v>0.9813495408493621</v>
      </c>
      <c r="Z4" s="49">
        <f>КПлощ[[#This Row],[ПН]]</f>
        <v>0.47099999999999997</v>
      </c>
    </row>
    <row r="5" spans="1:26" x14ac:dyDescent="0.25">
      <c r="B5" t="str">
        <f>расчетная[[#This Row],[Тип]]</f>
        <v>ПН</v>
      </c>
      <c r="C5">
        <f>ROUND(INDEX(КПлощ[[#This Row],[ПН]:[гибкая вставка]],1,MATCH(КПлощ[[#This Row],[№]],КПлощ[[#Headers],[ПН]:[гибкая вставка]],0)),2)</f>
        <v>3.22</v>
      </c>
      <c r="D5" s="49">
        <f>расчетная[[#This Row],[ширина  /Ду]]*3.14*расчетная[[#This Row],[длинна]]*0.000001</f>
        <v>3.2184999999999997</v>
      </c>
      <c r="E5" s="49">
        <f>КПлощ[[#This Row],[ПН]]+PI()*POWER((расчетная[[#This Row],[ширина  /Ду]]/2*0.001),2)</f>
        <v>3.26758738521234</v>
      </c>
      <c r="F5" s="49">
        <f>КПлощ[[#This Row],[ПНГ]]+PI()*POWER((расчетная[[#This Row],[ширина  /Ду]]/2*0.001),2)</f>
        <v>3.3166747704246804</v>
      </c>
      <c r="G5" s="49">
        <f>КПлощ[[#This Row],[ПН]]+расчетная[[#This Row],[Ду врез1/ перехода]]*3.14*0.001*(расчетная[[#This Row],[шейка]]*0.001)</f>
        <v>3.2184999999999997</v>
      </c>
      <c r="H5" s="49">
        <f>КПлощ[[#This Row],[ПНП]]+PI()*POWER((расчетная[[#This Row],[ширина  /Ду]]/2*0.001),2)</f>
        <v>3.26758738521234</v>
      </c>
      <c r="I5" s="49">
        <f>КПлощ[[#This Row],[ПНП]]+расчетная[[#This Row],[Ду врез2]]*3.14*0.001*(расчетная[[#This Row],[шейка]]*0.001)</f>
        <v>3.2184999999999997</v>
      </c>
      <c r="J5" s="49">
        <f>КПлощ[[#This Row],[ПН2П]]+PI()*POWER((расчетная[[#This Row],[ширина  /Ду]]/2*0.001),2)</f>
        <v>3.26758738521234</v>
      </c>
      <c r="K5" s="49" t="e">
        <f>INDEX(Sотв[#All],MATCH(расчетная[[#This Row],[ширина  /Ду]],Sотв[[#All],[О]],0),MATCH(расчетная[[#This Row],[○]],Sотв[#This Row]))</f>
        <v>#N/A</v>
      </c>
      <c r="L5" s="49">
        <f>(расчетная[[#This Row],[ширина  /Ду]]*0.001*3.14*(расчетная[[#This Row],[шейка]]*0.001))+(расчетная[[#This Row],[Ду врез1/ перехода]]*0.001*3.14*(расчетная[[#This Row],[шейка]]*0.001))+((расчетная[[#This Row],[ширина  /Ду]]*3.14*0.001)+(расчетная[[#This Row],[Ду врез1/ перехода]]*3.14*0.001))/2*((расчетная[[#This Row],[длинна]]-2*расчетная[[#This Row],[шейка]])*0.001)</f>
        <v>2.413875</v>
      </c>
      <c r="M5" s="49">
        <f>КПлощ[[#This Row],[ДНС]]</f>
        <v>2.413875</v>
      </c>
      <c r="N5" s="49">
        <f>КПлощ[[#This Row],[ПНГ]]</f>
        <v>3.26758738521234</v>
      </c>
      <c r="O5" s="49">
        <f>PI()*POWER((расчетная[[#This Row],[ширина  /Ду]]/2*0.001),2)+(расчетная[[#This Row],[ширина  /Ду]]*3.14*0.001*0.07)</f>
        <v>0.10403738521234052</v>
      </c>
      <c r="P5" s="49">
        <f>(расчетная[[#This Row],[ширина  /Ду]]*расчетная[[#This Row],[высота]])*0.000001+(расчетная[[#This Row],[Ду врез1/ перехода]]*0.001*3.14*(расчетная[[#This Row],[шейка]]*0.001))</f>
        <v>9.9999999999999992E-2</v>
      </c>
      <c r="Q5" s="49">
        <f>расчетная[[#This Row],[ширина  /Ду]]*0.001*3.14*(расчетная[[#This Row],[длинна]]*0.001)</f>
        <v>3.2184999999999997</v>
      </c>
      <c r="R5" s="49">
        <f>PI()*POWER((расчетная[[#This Row],[ширина  /Ду]]*1.75/2*0.001),2)+КПлощ[[#This Row],[Врезка]]</f>
        <v>0.2503301172127928</v>
      </c>
      <c r="S5" s="77">
        <f>КПлощ[[#This Row],[Зонт крышный]]</f>
        <v>0.2503301172127928</v>
      </c>
      <c r="T5" s="49">
        <f>КПлощ[[#This Row],[ПН]]*(1.1+(расчетная[[#This Row],[смещ ение/ отборт овка]]*0.001))</f>
        <v>3.5403500000000001</v>
      </c>
      <c r="U5" s="49">
        <f>КПлощ[[#This Row],[ПН]]</f>
        <v>3.2184999999999997</v>
      </c>
      <c r="V5" s="49">
        <f>КПлощ[[#This Row],[ПН]]</f>
        <v>3.2184999999999997</v>
      </c>
      <c r="W5" s="49">
        <f>КПлощ[[#This Row],[Внут]]+КПлощ[[#This Row],[нар]]</f>
        <v>9.4063431280879826</v>
      </c>
      <c r="X5" s="49">
        <f>КПлощ[[#This Row],[ПН]]+(расчетная[[#This Row],[ширина  /Ду]]*0.001*3.14*0.15)*2</f>
        <v>3.4539999999999997</v>
      </c>
      <c r="Y5" s="49">
        <f>(расчетная[[#This Row],[ширина  /Ду]]+200)*0.001*3.14*(расчетная[[#This Row],[длинна]]*0.001)+PI()*POWER(((расчетная[[#This Row],[ширина  /Ду]]+200)/2*0.001),2)</f>
        <v>5.9523431280879828</v>
      </c>
      <c r="Z5" s="49">
        <f>КПлощ[[#This Row],[ПН]]</f>
        <v>3.2184999999999997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18"/>
  <sheetViews>
    <sheetView showZeros="0" workbookViewId="0">
      <selection activeCell="AA3" sqref="AA3:AB6"/>
    </sheetView>
  </sheetViews>
  <sheetFormatPr defaultRowHeight="15" x14ac:dyDescent="0.25"/>
  <sheetData>
    <row r="1" spans="1:27" x14ac:dyDescent="0.25">
      <c r="A1" t="s">
        <v>46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</row>
    <row r="2" spans="1:27" x14ac:dyDescent="0.25">
      <c r="A2" s="75"/>
      <c r="B2" s="75">
        <v>15</v>
      </c>
      <c r="C2" s="75">
        <v>30</v>
      </c>
      <c r="D2" s="75">
        <v>45</v>
      </c>
      <c r="E2" s="75">
        <v>60</v>
      </c>
      <c r="F2" s="75">
        <v>75</v>
      </c>
      <c r="G2" s="75">
        <v>90</v>
      </c>
      <c r="J2" t="s">
        <v>0</v>
      </c>
      <c r="K2" t="s">
        <v>1</v>
      </c>
      <c r="L2" t="s">
        <v>45</v>
      </c>
      <c r="M2" t="s">
        <v>3</v>
      </c>
      <c r="N2" t="s">
        <v>4</v>
      </c>
      <c r="O2" t="s">
        <v>5</v>
      </c>
      <c r="P2" t="s">
        <v>11</v>
      </c>
      <c r="Q2" t="s">
        <v>51</v>
      </c>
      <c r="R2" t="s">
        <v>52</v>
      </c>
      <c r="S2" t="s">
        <v>53</v>
      </c>
      <c r="T2" t="s">
        <v>54</v>
      </c>
      <c r="U2" t="s">
        <v>49</v>
      </c>
      <c r="V2" t="s">
        <v>50</v>
      </c>
      <c r="W2" t="s">
        <v>32</v>
      </c>
      <c r="X2" t="s">
        <v>22</v>
      </c>
      <c r="Y2" t="s">
        <v>47</v>
      </c>
      <c r="Z2" t="s">
        <v>56</v>
      </c>
      <c r="AA2" t="s">
        <v>19</v>
      </c>
    </row>
    <row r="3" spans="1:27" x14ac:dyDescent="0.25">
      <c r="A3" s="75">
        <v>100</v>
      </c>
      <c r="B3">
        <v>6.6000000000000003E-2</v>
      </c>
      <c r="C3">
        <v>7.9000000000000001E-2</v>
      </c>
      <c r="D3">
        <v>9.1999999999999998E-2</v>
      </c>
      <c r="E3">
        <v>0.104</v>
      </c>
      <c r="F3">
        <v>0.11700000000000001</v>
      </c>
      <c r="G3">
        <v>0.129</v>
      </c>
      <c r="J3">
        <v>1</v>
      </c>
      <c r="K3" t="s">
        <v>46</v>
      </c>
      <c r="L3">
        <v>315</v>
      </c>
      <c r="M3">
        <v>600</v>
      </c>
      <c r="N3">
        <v>1000</v>
      </c>
      <c r="O3">
        <v>1</v>
      </c>
      <c r="Q3">
        <v>250</v>
      </c>
      <c r="R3">
        <v>250</v>
      </c>
      <c r="U3">
        <v>200</v>
      </c>
      <c r="V3">
        <v>200</v>
      </c>
      <c r="W3">
        <v>90</v>
      </c>
      <c r="X3">
        <v>100</v>
      </c>
      <c r="Y3">
        <v>0</v>
      </c>
    </row>
    <row r="4" spans="1:27" x14ac:dyDescent="0.25">
      <c r="A4" s="75">
        <v>125</v>
      </c>
      <c r="B4">
        <v>8.3000000000000004E-2</v>
      </c>
      <c r="C4">
        <v>0.1</v>
      </c>
      <c r="D4">
        <v>0.11899999999999999</v>
      </c>
      <c r="E4">
        <v>0.13400000000000001</v>
      </c>
      <c r="F4">
        <v>0.152</v>
      </c>
      <c r="G4">
        <v>0.16800000000000001</v>
      </c>
      <c r="J4">
        <v>2</v>
      </c>
      <c r="K4" t="s">
        <v>46</v>
      </c>
      <c r="L4">
        <v>250</v>
      </c>
      <c r="M4">
        <v>500</v>
      </c>
      <c r="N4">
        <v>500</v>
      </c>
      <c r="O4">
        <v>1</v>
      </c>
      <c r="Q4">
        <v>500</v>
      </c>
      <c r="R4">
        <v>300</v>
      </c>
      <c r="W4">
        <v>60</v>
      </c>
      <c r="X4">
        <v>100</v>
      </c>
    </row>
    <row r="5" spans="1:27" x14ac:dyDescent="0.25">
      <c r="A5" s="75">
        <v>150</v>
      </c>
      <c r="B5">
        <v>0.10199999999999999</v>
      </c>
      <c r="C5">
        <v>0.124</v>
      </c>
      <c r="D5">
        <v>0.14799999999999999</v>
      </c>
      <c r="E5">
        <v>0.16800000000000001</v>
      </c>
      <c r="F5">
        <v>0.192</v>
      </c>
      <c r="G5">
        <v>0.21299999999999999</v>
      </c>
      <c r="J5">
        <v>3</v>
      </c>
      <c r="K5" t="s">
        <v>42</v>
      </c>
      <c r="L5">
        <v>100</v>
      </c>
      <c r="M5">
        <v>300</v>
      </c>
      <c r="N5">
        <v>500</v>
      </c>
      <c r="O5">
        <v>1</v>
      </c>
      <c r="W5">
        <v>45</v>
      </c>
      <c r="X5">
        <v>100</v>
      </c>
    </row>
    <row r="6" spans="1:27" x14ac:dyDescent="0.25">
      <c r="A6" s="75">
        <v>160</v>
      </c>
      <c r="B6">
        <v>0.109</v>
      </c>
      <c r="C6">
        <v>0.13400000000000001</v>
      </c>
      <c r="D6">
        <v>0.16</v>
      </c>
      <c r="E6">
        <v>0.182</v>
      </c>
      <c r="F6">
        <v>0.20799999999999999</v>
      </c>
      <c r="G6">
        <v>0.23100000000000001</v>
      </c>
      <c r="J6">
        <v>4</v>
      </c>
      <c r="K6" t="s">
        <v>42</v>
      </c>
      <c r="L6">
        <v>100</v>
      </c>
      <c r="M6">
        <v>600</v>
      </c>
      <c r="N6">
        <v>500</v>
      </c>
      <c r="O6">
        <v>1</v>
      </c>
      <c r="Q6">
        <v>500</v>
      </c>
      <c r="R6">
        <v>300</v>
      </c>
      <c r="X6">
        <v>100</v>
      </c>
    </row>
    <row r="7" spans="1:27" x14ac:dyDescent="0.25">
      <c r="A7" s="75">
        <v>180</v>
      </c>
      <c r="B7">
        <v>0.124</v>
      </c>
      <c r="C7">
        <v>0.154</v>
      </c>
      <c r="D7">
        <v>0.185</v>
      </c>
      <c r="E7">
        <v>0.21199999999999999</v>
      </c>
      <c r="F7">
        <v>0.24199999999999999</v>
      </c>
      <c r="G7">
        <v>0.26900000000000002</v>
      </c>
      <c r="J7">
        <v>5</v>
      </c>
      <c r="K7" t="s">
        <v>42</v>
      </c>
      <c r="L7">
        <v>500</v>
      </c>
      <c r="M7">
        <v>600</v>
      </c>
      <c r="O7">
        <v>1</v>
      </c>
      <c r="Q7">
        <v>700</v>
      </c>
      <c r="R7">
        <v>500</v>
      </c>
      <c r="X7">
        <v>100</v>
      </c>
    </row>
    <row r="8" spans="1:27" x14ac:dyDescent="0.25">
      <c r="A8" s="75">
        <v>200</v>
      </c>
      <c r="B8">
        <v>0.14799999999999999</v>
      </c>
      <c r="C8">
        <v>0.191</v>
      </c>
      <c r="D8">
        <v>0.23699999999999999</v>
      </c>
      <c r="E8">
        <v>0.27500000000000002</v>
      </c>
      <c r="F8">
        <v>0.32</v>
      </c>
      <c r="G8">
        <v>0.35899999999999999</v>
      </c>
      <c r="J8">
        <v>6</v>
      </c>
      <c r="K8" t="s">
        <v>42</v>
      </c>
      <c r="L8">
        <v>500</v>
      </c>
      <c r="M8">
        <v>300</v>
      </c>
      <c r="N8">
        <v>500</v>
      </c>
      <c r="O8">
        <v>1</v>
      </c>
      <c r="U8">
        <v>125</v>
      </c>
    </row>
    <row r="9" spans="1:27" x14ac:dyDescent="0.25">
      <c r="A9" s="75">
        <v>220</v>
      </c>
      <c r="B9">
        <v>0.16700000000000001</v>
      </c>
      <c r="C9">
        <v>0.217</v>
      </c>
      <c r="D9">
        <v>0.27200000000000002</v>
      </c>
      <c r="E9">
        <v>0.318</v>
      </c>
      <c r="F9">
        <v>0.371</v>
      </c>
      <c r="G9">
        <v>0.41799999999999998</v>
      </c>
      <c r="J9">
        <v>7</v>
      </c>
      <c r="K9" t="s">
        <v>36</v>
      </c>
      <c r="L9">
        <v>100</v>
      </c>
      <c r="M9">
        <v>200</v>
      </c>
      <c r="N9">
        <v>500</v>
      </c>
      <c r="O9">
        <v>1</v>
      </c>
    </row>
    <row r="10" spans="1:27" x14ac:dyDescent="0.25">
      <c r="A10" s="75">
        <v>250</v>
      </c>
      <c r="B10">
        <v>0.20100000000000001</v>
      </c>
      <c r="C10">
        <v>0.251</v>
      </c>
      <c r="D10">
        <v>0.316</v>
      </c>
      <c r="E10">
        <v>0.36899999999999999</v>
      </c>
      <c r="F10">
        <v>0.432</v>
      </c>
      <c r="G10">
        <v>0.48699999999999999</v>
      </c>
      <c r="J10">
        <v>8</v>
      </c>
    </row>
    <row r="11" spans="1:27" x14ac:dyDescent="0.25">
      <c r="A11" s="75">
        <v>280</v>
      </c>
      <c r="B11">
        <v>0.247</v>
      </c>
      <c r="C11">
        <v>0.28199999999999997</v>
      </c>
      <c r="D11">
        <v>0.35</v>
      </c>
      <c r="E11">
        <v>0.41399999999999998</v>
      </c>
      <c r="F11">
        <v>0.48399999999999999</v>
      </c>
      <c r="G11">
        <v>0.54600000000000004</v>
      </c>
      <c r="J11">
        <v>9</v>
      </c>
    </row>
    <row r="12" spans="1:27" x14ac:dyDescent="0.25">
      <c r="A12" s="75">
        <v>315</v>
      </c>
      <c r="B12">
        <v>0.25900000000000001</v>
      </c>
      <c r="C12">
        <v>0.35399999999999998</v>
      </c>
      <c r="D12">
        <v>0.45500000000000002</v>
      </c>
      <c r="E12">
        <v>0.53900000000000003</v>
      </c>
      <c r="F12">
        <v>0.63900000000000001</v>
      </c>
      <c r="G12">
        <v>0.72499999999999998</v>
      </c>
      <c r="J12">
        <v>10</v>
      </c>
    </row>
    <row r="13" spans="1:27" x14ac:dyDescent="0.25">
      <c r="A13" s="75">
        <v>355</v>
      </c>
      <c r="B13">
        <v>0.307</v>
      </c>
      <c r="C13">
        <v>0.42899999999999999</v>
      </c>
      <c r="D13">
        <v>0.55900000000000005</v>
      </c>
      <c r="E13">
        <v>0.66800000000000004</v>
      </c>
      <c r="F13">
        <v>0.79500000000000004</v>
      </c>
      <c r="G13">
        <v>0.90700000000000003</v>
      </c>
    </row>
    <row r="14" spans="1:27" x14ac:dyDescent="0.25">
      <c r="A14" s="75">
        <v>400</v>
      </c>
      <c r="B14">
        <v>0.35099999999999998</v>
      </c>
      <c r="C14">
        <v>0.47</v>
      </c>
      <c r="D14">
        <v>0.61</v>
      </c>
      <c r="E14">
        <v>0.74</v>
      </c>
      <c r="F14">
        <v>0.88400000000000001</v>
      </c>
      <c r="G14">
        <v>1</v>
      </c>
    </row>
    <row r="15" spans="1:27" x14ac:dyDescent="0.25">
      <c r="A15" s="75">
        <v>450</v>
      </c>
      <c r="B15">
        <v>0.375</v>
      </c>
      <c r="C15">
        <v>0.52900000000000003</v>
      </c>
      <c r="D15">
        <v>0.69499999999999995</v>
      </c>
      <c r="E15">
        <v>0.83199999999999996</v>
      </c>
      <c r="F15">
        <v>0.99399999999999999</v>
      </c>
      <c r="G15">
        <v>1.1399999999999999</v>
      </c>
    </row>
    <row r="16" spans="1:27" x14ac:dyDescent="0.25">
      <c r="A16" s="75">
        <v>500</v>
      </c>
      <c r="B16">
        <v>0.437</v>
      </c>
      <c r="C16">
        <v>0.63</v>
      </c>
      <c r="D16">
        <v>0.83699999999999997</v>
      </c>
      <c r="E16">
        <v>1.0089999999999999</v>
      </c>
      <c r="F16">
        <v>1.2110000000000001</v>
      </c>
      <c r="G16">
        <v>1.3879999999999999</v>
      </c>
    </row>
    <row r="17" spans="1:1" x14ac:dyDescent="0.25">
      <c r="A17" s="75">
        <v>560</v>
      </c>
    </row>
    <row r="18" spans="1:1" x14ac:dyDescent="0.25">
      <c r="A18" s="75">
        <v>630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B5:AD62"/>
  <sheetViews>
    <sheetView topLeftCell="J4" workbookViewId="0">
      <selection activeCell="T14" sqref="T14"/>
    </sheetView>
  </sheetViews>
  <sheetFormatPr defaultRowHeight="15" x14ac:dyDescent="0.25"/>
  <cols>
    <col min="2" max="2" width="15.7109375" bestFit="1" customWidth="1"/>
    <col min="3" max="3" width="8.140625" style="5" customWidth="1"/>
    <col min="4" max="4" width="7.28515625" style="5" customWidth="1"/>
    <col min="5" max="5" width="7.5703125" customWidth="1"/>
    <col min="6" max="7" width="7.28515625" style="2" customWidth="1"/>
    <col min="8" max="8" width="11" style="2" customWidth="1"/>
    <col min="9" max="9" width="10.28515625" style="2" customWidth="1"/>
    <col min="10" max="10" width="9" style="2" customWidth="1"/>
    <col min="11" max="11" width="9.85546875" style="2" customWidth="1"/>
    <col min="12" max="12" width="9.28515625" style="2" customWidth="1"/>
    <col min="13" max="14" width="5.140625" style="2" customWidth="1"/>
    <col min="15" max="15" width="8.140625" style="2" customWidth="1"/>
    <col min="16" max="16" width="7.140625" style="5" customWidth="1"/>
    <col min="17" max="17" width="11.28515625" style="2" customWidth="1"/>
    <col min="18" max="19" width="10.85546875" style="2" customWidth="1"/>
    <col min="20" max="20" width="12" style="2" customWidth="1"/>
    <col min="21" max="21" width="10.85546875" style="2" customWidth="1"/>
    <col min="22" max="22" width="9.5703125" style="2" customWidth="1"/>
    <col min="23" max="23" width="11" style="2" customWidth="1"/>
    <col min="24" max="29" width="8" customWidth="1"/>
  </cols>
  <sheetData>
    <row r="5" spans="2:29" ht="15.75" thickBot="1" x14ac:dyDescent="0.3"/>
    <row r="6" spans="2:29" ht="60.75" thickBot="1" x14ac:dyDescent="0.3">
      <c r="C6" s="16" t="s">
        <v>20</v>
      </c>
      <c r="D6" s="6" t="s">
        <v>9</v>
      </c>
      <c r="E6" s="9" t="s">
        <v>23</v>
      </c>
      <c r="F6" s="3" t="s">
        <v>6</v>
      </c>
      <c r="G6" s="3" t="s">
        <v>16</v>
      </c>
      <c r="H6" s="3" t="s">
        <v>24</v>
      </c>
      <c r="I6" s="3" t="s">
        <v>17</v>
      </c>
      <c r="J6" s="3" t="s">
        <v>7</v>
      </c>
      <c r="K6" s="4" t="s">
        <v>18</v>
      </c>
      <c r="L6" s="3" t="s">
        <v>8</v>
      </c>
      <c r="M6" s="13" t="s">
        <v>2</v>
      </c>
      <c r="N6" s="13" t="s">
        <v>3</v>
      </c>
      <c r="O6" s="3" t="s">
        <v>21</v>
      </c>
      <c r="P6" s="6" t="s">
        <v>10</v>
      </c>
      <c r="Q6" s="4" t="s">
        <v>12</v>
      </c>
      <c r="R6" s="4" t="s">
        <v>15</v>
      </c>
      <c r="S6" s="8">
        <v>0.7</v>
      </c>
      <c r="T6" s="4" t="s">
        <v>13</v>
      </c>
      <c r="U6" s="4" t="s">
        <v>14</v>
      </c>
      <c r="V6" s="4" t="s">
        <v>25</v>
      </c>
      <c r="W6" s="17" t="s">
        <v>26</v>
      </c>
      <c r="X6" s="25" t="s">
        <v>27</v>
      </c>
      <c r="Y6" s="25" t="s">
        <v>28</v>
      </c>
      <c r="Z6" s="26" t="s">
        <v>29</v>
      </c>
      <c r="AA6" s="26" t="s">
        <v>30</v>
      </c>
      <c r="AB6" t="s">
        <v>34</v>
      </c>
      <c r="AC6" t="s">
        <v>35</v>
      </c>
    </row>
    <row r="7" spans="2:29" ht="15.75" thickBot="1" x14ac:dyDescent="0.3">
      <c r="C7" s="43"/>
      <c r="D7" s="46"/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45"/>
      <c r="R7" s="45"/>
      <c r="S7" s="45"/>
      <c r="T7" s="45"/>
      <c r="U7" s="45"/>
      <c r="V7" s="47"/>
      <c r="W7" s="48"/>
    </row>
    <row r="8" spans="2:29" x14ac:dyDescent="0.25">
      <c r="B8">
        <v>1</v>
      </c>
      <c r="C8" s="21" t="e">
        <f>IF('расчет стоимости'!O2&lt;&gt;0,#REF!,IF('расчет стоимости'!I2&lt;&gt;0,#REF!,#REF!))</f>
        <v>#REF!</v>
      </c>
      <c r="D8" s="50">
        <f>'расчет стоимости'!R2</f>
        <v>1.1000000000000001</v>
      </c>
      <c r="E8" s="30" t="e">
        <f>IF('расчет стоимости'!M2&lt;&gt;0,('расчет стоимости'!M2*3.14*0.001)*('расчет стоимости'!O2*0.001)*'расчет стоимости'!F2,'расчет стоимости'!#REF!*'расчет стоимости'!#REF!*'расчет стоимости'!O2/1000000000*'расчет стоимости'!F2)</f>
        <v>#REF!</v>
      </c>
      <c r="F8" s="19">
        <f t="shared" ref="F8:F18" si="0">IF(P8=0.5,20,30)</f>
        <v>30</v>
      </c>
      <c r="G8" s="41" t="e">
        <f>IF('расчет стоимости'!#REF!=0,(('расчет стоимости'!C2*0.001)+('расчет стоимости'!D2*0.001))*2*'расчет стоимости'!G2,((('расчет стоимости'!#REF!+'расчет стоимости'!#REF!)*0.001)*2)+(('расчет стоимости'!C2+'расчет стоимости'!D2)*0.001*2*('расчет стоимости'!G2-1)))</f>
        <v>#REF!</v>
      </c>
      <c r="H8" s="33" t="e">
        <f>('расчет стоимости'!#REF!+'расчет стоимости'!#REF!)*0.001*2</f>
        <v>#REF!</v>
      </c>
      <c r="I8" s="34" t="e">
        <f>IF(F8=20,'расчет стоимости'!F2*G8*#REF!,'расчет стоимости'!F2*G8*#REF!)</f>
        <v>#REF!</v>
      </c>
      <c r="J8" s="34">
        <f>IF('расчет стоимости'!G2=0,0,'расчет стоимости'!G2*'расчет стоимости'!F2*4)</f>
        <v>0</v>
      </c>
      <c r="K8" s="34" t="e">
        <f>IF(F8=20,J8*#REF!,J8*#REF!)</f>
        <v>#REF!</v>
      </c>
      <c r="L8" s="34">
        <f>IF('расчет стоимости'!G2=0,0,(M8+N8)*2*'расчет стоимости'!F2)</f>
        <v>0</v>
      </c>
      <c r="M8" s="34">
        <f>IF('расчет стоимости'!C2&lt;400,0,IF('расчет стоимости'!C2&lt;=500,1,IF('расчет стоимости'!C2&lt;900,2,IF('расчет стоимости'!C2&lt;=1200,3,4))))</f>
        <v>1</v>
      </c>
      <c r="N8" s="34">
        <f>IF('расчет стоимости'!D2&lt;400,0,IF('расчет стоимости'!D2&lt;=500,1,IF('расчет стоимости'!D2&lt;900,2,3)))</f>
        <v>2</v>
      </c>
      <c r="O8" s="35">
        <f>IF(ПЛОЩАДИ!Y7=1,'расчет стоимости'!R2*0.15,'расчет стоимости'!R2*0.1)</f>
        <v>0.11000000000000001</v>
      </c>
      <c r="P8" s="33">
        <f>IF(('расчет стоимости'!C2+'расчет стоимости'!D2)*2&lt;=1400,0.5,0.7)</f>
        <v>0.7</v>
      </c>
      <c r="Q8" s="34" t="e">
        <f>IF(P8=0.7,S8,R8)</f>
        <v>#REF!</v>
      </c>
      <c r="R8" s="34" t="e">
        <f>#REF!*('расчет стоимости'!R2+O8)</f>
        <v>#REF!</v>
      </c>
      <c r="S8" s="34" t="e">
        <f>#REF!*('расчет стоимости'!R2+O8)</f>
        <v>#REF!</v>
      </c>
      <c r="T8" s="32" t="e">
        <f>K8+I8+(L8*#REF!)</f>
        <v>#REF!</v>
      </c>
      <c r="U8" s="32" t="e">
        <f>'расчет стоимости'!R2*(#REF!+#REF!)*#REF!+#REF!*'расчет стоимости'!R2</f>
        <v>#REF!</v>
      </c>
      <c r="V8" s="32" t="e">
        <f>'расчет стоимости'!R2*IF('Формулы расчета'!C8=#REF!,#REF!*#REF!,#REF!*#REF!)+'Формулы расчета'!W8</f>
        <v>#REF!</v>
      </c>
      <c r="W8" s="42">
        <f>IF('расчет стоимости'!G2&lt;&gt;0,'расчет стоимости'!F2*(#REF!*#REF!),0)</f>
        <v>0</v>
      </c>
      <c r="X8">
        <f>IF(F8=20,G8*'расчет стоимости'!F2,0)</f>
        <v>0</v>
      </c>
      <c r="Y8" t="e">
        <f>IF(F8=30,G8*'расчет стоимости'!F2,0)</f>
        <v>#REF!</v>
      </c>
      <c r="Z8">
        <f>IF(F8=20,J8,0)</f>
        <v>0</v>
      </c>
      <c r="AA8">
        <f>IF(F8=30,J8,0)</f>
        <v>0</v>
      </c>
      <c r="AB8" t="e">
        <f>IF(P8=0.7,(D8+E8)+O8,0)</f>
        <v>#REF!</v>
      </c>
      <c r="AC8">
        <f>IF(P8&lt;&gt;0.7,(D8+E8)+O8,0)</f>
        <v>0</v>
      </c>
    </row>
    <row r="9" spans="2:29" x14ac:dyDescent="0.25">
      <c r="B9">
        <v>2</v>
      </c>
      <c r="C9" s="21" t="e">
        <f>IF('расчет стоимости'!O3&lt;&gt;0,#REF!,IF('расчет стоимости'!I3&lt;&gt;0,#REF!,#REF!))</f>
        <v>#REF!</v>
      </c>
      <c r="D9" s="50">
        <f>'расчет стоимости'!R3</f>
        <v>0.95887500000000003</v>
      </c>
      <c r="E9" s="18" t="e">
        <f>IF('расчет стоимости'!M3&lt;&gt;0,('расчет стоимости'!M3*3.14*0.001)*('расчет стоимости'!O3*0.001)*'расчет стоимости'!F3,'расчет стоимости'!#REF!*'расчет стоимости'!#REF!*'расчет стоимости'!O3/1000000000*'расчет стоимости'!F3)</f>
        <v>#REF!</v>
      </c>
      <c r="F9" s="19">
        <f t="shared" si="0"/>
        <v>30</v>
      </c>
      <c r="G9" s="20" t="e">
        <f>IF('расчет стоимости'!#REF!=0,(('расчет стоимости'!C3*0.001)+('расчет стоимости'!D3*0.001))*2*'расчет стоимости'!G3,((('расчет стоимости'!#REF!+'расчет стоимости'!#REF!)*0.001)*2)+(('расчет стоимости'!C3+'расчет стоимости'!D3)*0.001*2*('расчет стоимости'!G3-1)))</f>
        <v>#REF!</v>
      </c>
      <c r="H9" s="36" t="e">
        <f>('расчет стоимости'!#REF!+'расчет стоимости'!#REF!)*0.001*2</f>
        <v>#REF!</v>
      </c>
      <c r="I9" s="34" t="e">
        <f>IF(F9=20,'расчет стоимости'!F3*G9*#REF!,'расчет стоимости'!F3*G9*#REF!)</f>
        <v>#REF!</v>
      </c>
      <c r="J9" s="11">
        <f>IF('расчет стоимости'!G3=0,0,'расчет стоимости'!G3*'расчет стоимости'!F3*4)</f>
        <v>0</v>
      </c>
      <c r="K9" s="11" t="e">
        <f>IF(F9=20,J9*#REF!,J9*#REF!)</f>
        <v>#REF!</v>
      </c>
      <c r="L9" s="11">
        <f>IF('расчет стоимости'!G3=0,0,(M9+N9)*2*'расчет стоимости'!F3)</f>
        <v>0</v>
      </c>
      <c r="M9" s="11">
        <f>IF('расчет стоимости'!C3&lt;400,0,IF('расчет стоимости'!C3&lt;=500,1,IF('расчет стоимости'!C3&lt;900,2,IF('расчет стоимости'!C3&lt;=1200,3,4))))</f>
        <v>1</v>
      </c>
      <c r="N9" s="11">
        <f>IF('расчет стоимости'!D3&lt;400,0,IF('расчет стоимости'!D3&lt;=500,1,IF('расчет стоимости'!D3&lt;900,2,3)))</f>
        <v>1</v>
      </c>
      <c r="O9" s="35">
        <f>IF(ПЛОЩАДИ!Y8=1,'расчет стоимости'!R3*0.15,'расчет стоимости'!R3*0.1)</f>
        <v>9.5887500000000014E-2</v>
      </c>
      <c r="P9" s="33">
        <f>IF(('расчет стоимости'!C3+'расчет стоимости'!D3)*2&lt;=1400,0.5,0.7)</f>
        <v>0.7</v>
      </c>
      <c r="Q9" s="11" t="e">
        <f t="shared" ref="Q9:Q57" si="1">IF(P9=0.7,S9,R9)</f>
        <v>#REF!</v>
      </c>
      <c r="R9" s="11" t="e">
        <f>#REF!*('расчет стоимости'!R3+O9)</f>
        <v>#REF!</v>
      </c>
      <c r="S9" s="11" t="e">
        <f>#REF!*('расчет стоимости'!R3+O9)</f>
        <v>#REF!</v>
      </c>
      <c r="T9" s="19" t="e">
        <f>K9+I9+(L9*#REF!)</f>
        <v>#REF!</v>
      </c>
      <c r="U9" s="32" t="e">
        <f>'расчет стоимости'!R3*(#REF!+#REF!)*#REF!+#REF!*'расчет стоимости'!R3</f>
        <v>#REF!</v>
      </c>
      <c r="V9" s="32" t="e">
        <f>'расчет стоимости'!R3*IF('Формулы расчета'!C9=#REF!,#REF!*#REF!,#REF!*#REF!)+'Формулы расчета'!W9</f>
        <v>#REF!</v>
      </c>
      <c r="W9" s="22">
        <f>IF('расчет стоимости'!G3&lt;&gt;0,'расчет стоимости'!F3*(#REF!*#REF!),0)</f>
        <v>0</v>
      </c>
      <c r="X9">
        <f>IF(F9=20,G9*'расчет стоимости'!F3,0)</f>
        <v>0</v>
      </c>
      <c r="Y9" t="e">
        <f>IF(F9=30,G9*'расчет стоимости'!F3,0)</f>
        <v>#REF!</v>
      </c>
      <c r="Z9">
        <f t="shared" ref="Z9:Z57" si="2">IF(F9=20,J9,0)</f>
        <v>0</v>
      </c>
      <c r="AA9">
        <f t="shared" ref="AA9:AA57" si="3">IF(F9=30,J9,0)</f>
        <v>0</v>
      </c>
      <c r="AB9" t="e">
        <f t="shared" ref="AB9:AB57" si="4">IF(P9=0.7,(D9+E9)+O9,0)</f>
        <v>#REF!</v>
      </c>
      <c r="AC9">
        <f t="shared" ref="AC9:AC57" si="5">IF(P9&lt;&gt;0.7,(D9+E9)+O9,0)</f>
        <v>0</v>
      </c>
    </row>
    <row r="10" spans="2:29" x14ac:dyDescent="0.25">
      <c r="B10">
        <v>3</v>
      </c>
      <c r="C10" s="21" t="e">
        <f>IF('расчет стоимости'!O4&lt;&gt;0,#REF!,IF('расчет стоимости'!I4&lt;&gt;0,#REF!,#REF!))</f>
        <v>#REF!</v>
      </c>
      <c r="D10" s="50">
        <f>'расчет стоимости'!R4</f>
        <v>0.95887500000000003</v>
      </c>
      <c r="E10" s="18" t="e">
        <f>IF('расчет стоимости'!M4&lt;&gt;0,('расчет стоимости'!M4*3.14*0.001)*('расчет стоимости'!O4*0.001)*'расчет стоимости'!F4,'расчет стоимости'!#REF!*'расчет стоимости'!#REF!*'расчет стоимости'!O4/1000000000*'расчет стоимости'!F4)</f>
        <v>#REF!</v>
      </c>
      <c r="F10" s="19">
        <f t="shared" si="0"/>
        <v>20</v>
      </c>
      <c r="G10" s="20" t="e">
        <f>IF('расчет стоимости'!#REF!=0,(('расчет стоимости'!C4*0.001)+('расчет стоимости'!D4*0.001))*2*'расчет стоимости'!G4,((('расчет стоимости'!#REF!+'расчет стоимости'!#REF!)*0.001)*2)+(('расчет стоимости'!C4+'расчет стоимости'!D4)*0.001*2*('расчет стоимости'!G4-1)))</f>
        <v>#REF!</v>
      </c>
      <c r="H10" s="36" t="e">
        <f>('расчет стоимости'!#REF!+'расчет стоимости'!#REF!)*0.001*2</f>
        <v>#REF!</v>
      </c>
      <c r="I10" s="34" t="e">
        <f>IF(F10=20,'расчет стоимости'!F4*G10*#REF!,'расчет стоимости'!F4*G10*#REF!)</f>
        <v>#REF!</v>
      </c>
      <c r="J10" s="11">
        <f>IF('расчет стоимости'!G4=0,0,'расчет стоимости'!G4*'расчет стоимости'!F4*4)</f>
        <v>0</v>
      </c>
      <c r="K10" s="11" t="e">
        <f>IF(F10=20,J10*#REF!,J10*#REF!)</f>
        <v>#REF!</v>
      </c>
      <c r="L10" s="11">
        <f>IF('расчет стоимости'!G4=0,0,(M10+N10)*2*'расчет стоимости'!F4)</f>
        <v>0</v>
      </c>
      <c r="M10" s="11">
        <f>IF('расчет стоимости'!C4&lt;400,0,IF('расчет стоимости'!C4&lt;=500,1,IF('расчет стоимости'!C4&lt;900,2,IF('расчет стоимости'!C4&lt;=1200,3,4))))</f>
        <v>0</v>
      </c>
      <c r="N10" s="11">
        <f>IF('расчет стоимости'!D4&lt;400,0,IF('расчет стоимости'!D4&lt;=500,1,IF('расчет стоимости'!D4&lt;900,2,3)))</f>
        <v>0</v>
      </c>
      <c r="O10" s="35">
        <f>IF(ПЛОЩАДИ!Y9=1,'расчет стоимости'!R4*0.15,'расчет стоимости'!R4*0.1)</f>
        <v>9.5887500000000014E-2</v>
      </c>
      <c r="P10" s="33">
        <f>IF(('расчет стоимости'!C4+'расчет стоимости'!D4)*2&lt;=1400,0.5,0.7)</f>
        <v>0.5</v>
      </c>
      <c r="Q10" s="11" t="e">
        <f t="shared" si="1"/>
        <v>#REF!</v>
      </c>
      <c r="R10" s="11" t="e">
        <f>#REF!*('расчет стоимости'!R4+O10)</f>
        <v>#REF!</v>
      </c>
      <c r="S10" s="11" t="e">
        <f>#REF!*('расчет стоимости'!R4+O10)</f>
        <v>#REF!</v>
      </c>
      <c r="T10" s="11" t="e">
        <f>K10+I10+(L10*#REF!)</f>
        <v>#REF!</v>
      </c>
      <c r="U10" s="32" t="e">
        <f>'расчет стоимости'!R4*(#REF!+#REF!)*#REF!+#REF!*'расчет стоимости'!R4</f>
        <v>#REF!</v>
      </c>
      <c r="V10" s="32" t="e">
        <f>'расчет стоимости'!R4*IF('Формулы расчета'!C10=#REF!,#REF!*#REF!,#REF!*#REF!)+'Формулы расчета'!W10</f>
        <v>#REF!</v>
      </c>
      <c r="W10" s="22">
        <f>IF('расчет стоимости'!G4&lt;&gt;0,'расчет стоимости'!F4*(#REF!*#REF!),0)</f>
        <v>0</v>
      </c>
      <c r="X10" t="e">
        <f>IF(F10=20,G10*'расчет стоимости'!F4,0)</f>
        <v>#REF!</v>
      </c>
      <c r="Y10">
        <f>IF(F10=30,G10*'расчет стоимости'!F4,0)</f>
        <v>0</v>
      </c>
      <c r="Z10">
        <f t="shared" si="2"/>
        <v>0</v>
      </c>
      <c r="AA10">
        <f t="shared" si="3"/>
        <v>0</v>
      </c>
      <c r="AB10">
        <f t="shared" si="4"/>
        <v>0</v>
      </c>
      <c r="AC10" t="e">
        <f t="shared" si="5"/>
        <v>#REF!</v>
      </c>
    </row>
    <row r="11" spans="2:29" x14ac:dyDescent="0.25">
      <c r="B11">
        <v>4</v>
      </c>
      <c r="C11" s="21" t="e">
        <f>IF('расчет стоимости'!O5&lt;&gt;0,#REF!,IF('расчет стоимости'!I5&lt;&gt;0,#REF!,#REF!))</f>
        <v>#REF!</v>
      </c>
      <c r="D11" s="50" t="e">
        <f>'расчет стоимости'!R5</f>
        <v>#N/A</v>
      </c>
      <c r="E11" s="18" t="e">
        <f>IF('расчет стоимости'!M5&lt;&gt;0,('расчет стоимости'!M5*3.14*0.001)*('расчет стоимости'!O5*0.001)*'расчет стоимости'!F5,'расчет стоимости'!#REF!*'расчет стоимости'!#REF!*'расчет стоимости'!O5/1000000000*'расчет стоимости'!F5)</f>
        <v>#REF!</v>
      </c>
      <c r="F11" s="19">
        <f t="shared" si="0"/>
        <v>20</v>
      </c>
      <c r="G11" s="20" t="e">
        <f>IF('расчет стоимости'!#REF!=0,(('расчет стоимости'!C5*0.001)+('расчет стоимости'!D5*0.001))*2*'расчет стоимости'!G5,((('расчет стоимости'!#REF!+'расчет стоимости'!#REF!)*0.001)*2)+(('расчет стоимости'!C5+'расчет стоимости'!D5)*0.001*2*('расчет стоимости'!G5-1)))</f>
        <v>#REF!</v>
      </c>
      <c r="H11" s="36" t="e">
        <f>('расчет стоимости'!#REF!+'расчет стоимости'!#REF!)*0.001*2</f>
        <v>#REF!</v>
      </c>
      <c r="I11" s="34" t="e">
        <f>IF(F11=20,'расчет стоимости'!F5*G11*#REF!,'расчет стоимости'!F5*G11*#REF!)</f>
        <v>#REF!</v>
      </c>
      <c r="J11" s="11">
        <f>IF('расчет стоимости'!G5=0,0,'расчет стоимости'!G5*'расчет стоимости'!F5*4)</f>
        <v>0</v>
      </c>
      <c r="K11" s="11" t="e">
        <f>IF(F11=20,J11*#REF!,J11*#REF!)</f>
        <v>#REF!</v>
      </c>
      <c r="L11" s="11">
        <f>IF('расчет стоимости'!G5=0,0,(M11+N11)*2*'расчет стоимости'!F5)</f>
        <v>0</v>
      </c>
      <c r="M11" s="11">
        <f>IF('расчет стоимости'!C5&lt;400,0,IF('расчет стоимости'!C5&lt;=500,1,IF('расчет стоимости'!C5&lt;900,2,IF('расчет стоимости'!C5&lt;=1200,3,4))))</f>
        <v>0</v>
      </c>
      <c r="N11" s="11">
        <f>IF('расчет стоимости'!D5&lt;400,0,IF('расчет стоимости'!D5&lt;=500,1,IF('расчет стоимости'!D5&lt;900,2,3)))</f>
        <v>1</v>
      </c>
      <c r="O11" s="35" t="e">
        <f>IF(ПЛОЩАДИ!Y10=1,'расчет стоимости'!R5*0.15,'расчет стоимости'!R5*0.1)</f>
        <v>#N/A</v>
      </c>
      <c r="P11" s="33">
        <f>IF(('расчет стоимости'!C5+'расчет стоимости'!D5)*2&lt;=1400,0.5,0.7)</f>
        <v>0.5</v>
      </c>
      <c r="Q11" s="11" t="e">
        <f t="shared" si="1"/>
        <v>#REF!</v>
      </c>
      <c r="R11" s="11" t="e">
        <f>#REF!*('расчет стоимости'!R5+O11)</f>
        <v>#REF!</v>
      </c>
      <c r="S11" s="11" t="e">
        <f>#REF!*('расчет стоимости'!R5+O11)</f>
        <v>#REF!</v>
      </c>
      <c r="T11" s="11" t="e">
        <f>K11+I11+(L11*#REF!)</f>
        <v>#REF!</v>
      </c>
      <c r="U11" s="32" t="e">
        <f>'расчет стоимости'!R5*(#REF!+#REF!)*#REF!+#REF!*'расчет стоимости'!R5</f>
        <v>#N/A</v>
      </c>
      <c r="V11" s="32" t="e">
        <f>'расчет стоимости'!R5*IF('Формулы расчета'!C11=#REF!,#REF!*#REF!,#REF!*#REF!)+'Формулы расчета'!W11</f>
        <v>#N/A</v>
      </c>
      <c r="W11" s="22">
        <f>IF('расчет стоимости'!G5&lt;&gt;0,'расчет стоимости'!F5*(#REF!*#REF!),0)</f>
        <v>0</v>
      </c>
      <c r="X11" t="e">
        <f>IF(F11=20,G11*'расчет стоимости'!F5,0)</f>
        <v>#REF!</v>
      </c>
      <c r="Y11">
        <f>IF(F11=30,G11*'расчет стоимости'!F5,0)</f>
        <v>0</v>
      </c>
      <c r="Z11">
        <f t="shared" si="2"/>
        <v>0</v>
      </c>
      <c r="AA11">
        <f t="shared" si="3"/>
        <v>0</v>
      </c>
      <c r="AB11">
        <f t="shared" si="4"/>
        <v>0</v>
      </c>
      <c r="AC11" t="e">
        <f t="shared" si="5"/>
        <v>#N/A</v>
      </c>
    </row>
    <row r="12" spans="2:29" x14ac:dyDescent="0.25">
      <c r="B12">
        <v>5</v>
      </c>
      <c r="C12" s="21" t="e">
        <f>IF('расчет стоимости'!#REF!&lt;&gt;0,#REF!,IF('расчет стоимости'!#REF!&lt;&gt;0,#REF!,#REF!))</f>
        <v>#REF!</v>
      </c>
      <c r="D12" s="50" t="e">
        <f>'расчет стоимости'!#REF!</f>
        <v>#REF!</v>
      </c>
      <c r="E12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2" s="19" t="e">
        <f t="shared" si="0"/>
        <v>#REF!</v>
      </c>
      <c r="G12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2" s="36" t="e">
        <f>('расчет стоимости'!#REF!+'расчет стоимости'!#REF!)*0.001*2</f>
        <v>#REF!</v>
      </c>
      <c r="I12" s="34" t="e">
        <f>IF(F12=20,'расчет стоимости'!#REF!*G12*#REF!,'расчет стоимости'!#REF!*G12*#REF!)</f>
        <v>#REF!</v>
      </c>
      <c r="J12" s="11" t="e">
        <f>IF('расчет стоимости'!#REF!=0,0,'расчет стоимости'!#REF!*'расчет стоимости'!#REF!*4)</f>
        <v>#REF!</v>
      </c>
      <c r="K12" s="11" t="e">
        <f>IF(F12=20,J12*#REF!,J12*#REF!)</f>
        <v>#REF!</v>
      </c>
      <c r="L12" s="11" t="e">
        <f>IF('расчет стоимости'!#REF!=0,0,(M12+N12)*2*'расчет стоимости'!#REF!)</f>
        <v>#REF!</v>
      </c>
      <c r="M12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2" s="11" t="e">
        <f>IF('расчет стоимости'!#REF!&lt;400,0,IF('расчет стоимости'!#REF!&lt;=500,1,IF('расчет стоимости'!#REF!&lt;900,2,3)))</f>
        <v>#REF!</v>
      </c>
      <c r="O12" s="35" t="e">
        <f>IF(ПЛОЩАДИ!Y11=1,'расчет стоимости'!#REF!*0.15,'расчет стоимости'!#REF!*0.1)</f>
        <v>#REF!</v>
      </c>
      <c r="P12" s="33" t="e">
        <f>IF(('расчет стоимости'!#REF!+'расчет стоимости'!#REF!)*2&lt;=1400,0.5,0.7)</f>
        <v>#REF!</v>
      </c>
      <c r="Q12" s="11" t="e">
        <f t="shared" si="1"/>
        <v>#REF!</v>
      </c>
      <c r="R12" s="11" t="e">
        <f>#REF!*('расчет стоимости'!#REF!+O12)</f>
        <v>#REF!</v>
      </c>
      <c r="S12" s="11" t="e">
        <f>#REF!*('расчет стоимости'!#REF!+O12)</f>
        <v>#REF!</v>
      </c>
      <c r="T12" s="11" t="e">
        <f>K12+I12+(L12*#REF!)</f>
        <v>#REF!</v>
      </c>
      <c r="U12" s="32" t="e">
        <f>'расчет стоимости'!#REF!*(#REF!+#REF!)*#REF!+#REF!*'расчет стоимости'!#REF!</f>
        <v>#REF!</v>
      </c>
      <c r="V12" s="32" t="e">
        <f>'расчет стоимости'!#REF!*IF('Формулы расчета'!C12=#REF!,#REF!*#REF!,#REF!*#REF!)+'Формулы расчета'!W12</f>
        <v>#REF!</v>
      </c>
      <c r="W12" s="22" t="e">
        <f>IF('расчет стоимости'!#REF!&lt;&gt;0,'расчет стоимости'!#REF!*(#REF!*#REF!),0)</f>
        <v>#REF!</v>
      </c>
      <c r="X12" t="e">
        <f>IF(F12=20,G12*'расчет стоимости'!#REF!,0)</f>
        <v>#REF!</v>
      </c>
      <c r="Y12" t="e">
        <f>IF(F12=30,G12*'расчет стоимости'!#REF!,0)</f>
        <v>#REF!</v>
      </c>
      <c r="Z12" t="e">
        <f t="shared" si="2"/>
        <v>#REF!</v>
      </c>
      <c r="AA12" t="e">
        <f t="shared" si="3"/>
        <v>#REF!</v>
      </c>
      <c r="AB12" t="e">
        <f t="shared" si="4"/>
        <v>#REF!</v>
      </c>
      <c r="AC12" t="e">
        <f t="shared" si="5"/>
        <v>#REF!</v>
      </c>
    </row>
    <row r="13" spans="2:29" x14ac:dyDescent="0.25">
      <c r="B13">
        <v>6</v>
      </c>
      <c r="C13" s="21" t="e">
        <f>IF('расчет стоимости'!#REF!&lt;&gt;0,#REF!,IF('расчет стоимости'!#REF!&lt;&gt;0,#REF!,#REF!))</f>
        <v>#REF!</v>
      </c>
      <c r="D13" s="50" t="e">
        <f>'расчет стоимости'!#REF!</f>
        <v>#REF!</v>
      </c>
      <c r="E13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3" s="19" t="e">
        <f t="shared" si="0"/>
        <v>#REF!</v>
      </c>
      <c r="G13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3" s="36" t="e">
        <f>('расчет стоимости'!#REF!+'расчет стоимости'!#REF!)*0.001*2</f>
        <v>#REF!</v>
      </c>
      <c r="I13" s="34" t="e">
        <f>IF(F13=20,'расчет стоимости'!#REF!*G13*#REF!,'расчет стоимости'!#REF!*G13*#REF!)</f>
        <v>#REF!</v>
      </c>
      <c r="J13" s="11" t="e">
        <f>IF('расчет стоимости'!#REF!=0,0,'расчет стоимости'!#REF!*'расчет стоимости'!#REF!*4)</f>
        <v>#REF!</v>
      </c>
      <c r="K13" s="11" t="e">
        <f>IF(F13=20,J13*#REF!,J13*#REF!)</f>
        <v>#REF!</v>
      </c>
      <c r="L13" s="11" t="e">
        <f>IF('расчет стоимости'!#REF!=0,0,(M13+N13)*2*'расчет стоимости'!#REF!)</f>
        <v>#REF!</v>
      </c>
      <c r="M13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3" s="11" t="e">
        <f>IF('расчет стоимости'!#REF!&lt;400,0,IF('расчет стоимости'!#REF!&lt;=500,1,IF('расчет стоимости'!#REF!&lt;900,2,3)))</f>
        <v>#REF!</v>
      </c>
      <c r="O13" s="35" t="e">
        <f>IF(ПЛОЩАДИ!Y12=1,'расчет стоимости'!#REF!*0.15,'расчет стоимости'!#REF!*0.1)</f>
        <v>#REF!</v>
      </c>
      <c r="P13" s="33" t="e">
        <f>IF(('расчет стоимости'!#REF!+'расчет стоимости'!#REF!)*2&lt;=1400,0.5,0.7)</f>
        <v>#REF!</v>
      </c>
      <c r="Q13" s="11" t="e">
        <f t="shared" si="1"/>
        <v>#REF!</v>
      </c>
      <c r="R13" s="11" t="e">
        <f>#REF!*('расчет стоимости'!#REF!+O13)</f>
        <v>#REF!</v>
      </c>
      <c r="S13" s="11" t="e">
        <f>#REF!*('расчет стоимости'!#REF!+O13)</f>
        <v>#REF!</v>
      </c>
      <c r="T13" s="11" t="e">
        <f>K13+I13+(L13*#REF!)</f>
        <v>#REF!</v>
      </c>
      <c r="U13" s="32" t="e">
        <f>'расчет стоимости'!#REF!*(#REF!+#REF!)*#REF!+#REF!*'расчет стоимости'!#REF!</f>
        <v>#REF!</v>
      </c>
      <c r="V13" s="32" t="e">
        <f>'расчет стоимости'!#REF!*IF('Формулы расчета'!C13=#REF!,#REF!*#REF!,#REF!*#REF!)+'Формулы расчета'!W13</f>
        <v>#REF!</v>
      </c>
      <c r="W13" s="22" t="e">
        <f>IF('расчет стоимости'!#REF!&lt;&gt;0,'расчет стоимости'!#REF!*(#REF!*#REF!),0)</f>
        <v>#REF!</v>
      </c>
      <c r="X13" t="e">
        <f>IF(F13=20,G13*'расчет стоимости'!#REF!,0)</f>
        <v>#REF!</v>
      </c>
      <c r="Y13" t="e">
        <f>IF(F13=30,G13*'расчет стоимости'!#REF!,0)</f>
        <v>#REF!</v>
      </c>
      <c r="Z13" t="e">
        <f t="shared" si="2"/>
        <v>#REF!</v>
      </c>
      <c r="AA13" t="e">
        <f t="shared" si="3"/>
        <v>#REF!</v>
      </c>
      <c r="AB13" t="e">
        <f t="shared" si="4"/>
        <v>#REF!</v>
      </c>
      <c r="AC13" t="e">
        <f t="shared" si="5"/>
        <v>#REF!</v>
      </c>
    </row>
    <row r="14" spans="2:29" x14ac:dyDescent="0.25">
      <c r="B14">
        <v>7</v>
      </c>
      <c r="C14" s="21" t="e">
        <f>IF('расчет стоимости'!#REF!&lt;&gt;0,#REF!,IF('расчет стоимости'!#REF!&lt;&gt;0,#REF!,#REF!))</f>
        <v>#REF!</v>
      </c>
      <c r="D14" s="50" t="e">
        <f>'расчет стоимости'!#REF!</f>
        <v>#REF!</v>
      </c>
      <c r="E14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4" s="19" t="e">
        <f t="shared" si="0"/>
        <v>#REF!</v>
      </c>
      <c r="G14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4" s="36" t="e">
        <f>('расчет стоимости'!#REF!+'расчет стоимости'!#REF!)*0.001*2</f>
        <v>#REF!</v>
      </c>
      <c r="I14" s="34" t="e">
        <f>IF(F14=20,'расчет стоимости'!#REF!*G14*#REF!,'расчет стоимости'!#REF!*G14*#REF!)</f>
        <v>#REF!</v>
      </c>
      <c r="J14" s="11" t="e">
        <f>IF('расчет стоимости'!#REF!=0,0,'расчет стоимости'!#REF!*'расчет стоимости'!#REF!*4)</f>
        <v>#REF!</v>
      </c>
      <c r="K14" s="11" t="e">
        <f>IF(F14=20,J14*#REF!,J14*#REF!)</f>
        <v>#REF!</v>
      </c>
      <c r="L14" s="11" t="e">
        <f>IF('расчет стоимости'!#REF!=0,0,(M14+N14)*2*'расчет стоимости'!#REF!)</f>
        <v>#REF!</v>
      </c>
      <c r="M14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4" s="11" t="e">
        <f>IF('расчет стоимости'!#REF!&lt;400,0,IF('расчет стоимости'!#REF!&lt;=500,1,IF('расчет стоимости'!#REF!&lt;900,2,3)))</f>
        <v>#REF!</v>
      </c>
      <c r="O14" s="35" t="e">
        <f>IF(ПЛОЩАДИ!Y13=1,'расчет стоимости'!#REF!*0.15,'расчет стоимости'!#REF!*0.1)</f>
        <v>#REF!</v>
      </c>
      <c r="P14" s="33" t="e">
        <f>IF(('расчет стоимости'!#REF!+'расчет стоимости'!#REF!)*2&lt;=1400,0.5,0.7)</f>
        <v>#REF!</v>
      </c>
      <c r="Q14" s="11" t="e">
        <f t="shared" si="1"/>
        <v>#REF!</v>
      </c>
      <c r="R14" s="11" t="e">
        <f>#REF!*('расчет стоимости'!#REF!+O14)</f>
        <v>#REF!</v>
      </c>
      <c r="S14" s="11" t="e">
        <f>#REF!*('расчет стоимости'!#REF!+O14)</f>
        <v>#REF!</v>
      </c>
      <c r="T14" s="11" t="e">
        <f>K14+I14+(L14*#REF!)</f>
        <v>#REF!</v>
      </c>
      <c r="U14" s="32" t="e">
        <f>'расчет стоимости'!#REF!*(#REF!+#REF!)*#REF!+#REF!*'расчет стоимости'!#REF!</f>
        <v>#REF!</v>
      </c>
      <c r="V14" s="32" t="e">
        <f>'расчет стоимости'!#REF!*IF('Формулы расчета'!C14=#REF!,#REF!*#REF!,#REF!*#REF!)+'Формулы расчета'!W14</f>
        <v>#REF!</v>
      </c>
      <c r="W14" s="22" t="e">
        <f>IF('расчет стоимости'!#REF!&lt;&gt;0,'расчет стоимости'!#REF!*(#REF!*#REF!),0)</f>
        <v>#REF!</v>
      </c>
      <c r="X14" t="e">
        <f>IF(F14=20,G14*'расчет стоимости'!#REF!,0)</f>
        <v>#REF!</v>
      </c>
      <c r="Y14" t="e">
        <f>IF(F14=30,G14*'расчет стоимости'!#REF!,0)</f>
        <v>#REF!</v>
      </c>
      <c r="Z14" t="e">
        <f t="shared" si="2"/>
        <v>#REF!</v>
      </c>
      <c r="AA14" t="e">
        <f t="shared" si="3"/>
        <v>#REF!</v>
      </c>
      <c r="AB14" t="e">
        <f t="shared" si="4"/>
        <v>#REF!</v>
      </c>
      <c r="AC14" t="e">
        <f t="shared" si="5"/>
        <v>#REF!</v>
      </c>
    </row>
    <row r="15" spans="2:29" x14ac:dyDescent="0.25">
      <c r="B15">
        <v>8</v>
      </c>
      <c r="C15" s="21" t="e">
        <f>IF('расчет стоимости'!#REF!&lt;&gt;0,#REF!,IF('расчет стоимости'!#REF!&lt;&gt;0,#REF!,#REF!))</f>
        <v>#REF!</v>
      </c>
      <c r="D15" s="50" t="e">
        <f>'расчет стоимости'!#REF!</f>
        <v>#REF!</v>
      </c>
      <c r="E15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5" s="19" t="e">
        <f t="shared" si="0"/>
        <v>#REF!</v>
      </c>
      <c r="G15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5" s="36" t="e">
        <f>('расчет стоимости'!#REF!+'расчет стоимости'!#REF!)*0.001*2</f>
        <v>#REF!</v>
      </c>
      <c r="I15" s="34" t="e">
        <f>IF(F15=20,'расчет стоимости'!#REF!*G15*#REF!,'расчет стоимости'!#REF!*G15*#REF!)</f>
        <v>#REF!</v>
      </c>
      <c r="J15" s="11" t="e">
        <f>IF('расчет стоимости'!#REF!=0,0,'расчет стоимости'!#REF!*'расчет стоимости'!#REF!*4)</f>
        <v>#REF!</v>
      </c>
      <c r="K15" s="11" t="e">
        <f>IF(F15=20,J15*#REF!,J15*#REF!)</f>
        <v>#REF!</v>
      </c>
      <c r="L15" s="11" t="e">
        <f>IF('расчет стоимости'!#REF!=0,0,(M15+N15)*2*'расчет стоимости'!#REF!)</f>
        <v>#REF!</v>
      </c>
      <c r="M15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5" s="11" t="e">
        <f>IF('расчет стоимости'!#REF!&lt;400,0,IF('расчет стоимости'!#REF!&lt;=500,1,IF('расчет стоимости'!#REF!&lt;900,2,3)))</f>
        <v>#REF!</v>
      </c>
      <c r="O15" s="35" t="e">
        <f>IF(ПЛОЩАДИ!Y14=1,'расчет стоимости'!#REF!*0.15,'расчет стоимости'!#REF!*0.1)</f>
        <v>#REF!</v>
      </c>
      <c r="P15" s="33" t="e">
        <f>IF(('расчет стоимости'!#REF!+'расчет стоимости'!#REF!)*2&lt;=1400,0.5,0.7)</f>
        <v>#REF!</v>
      </c>
      <c r="Q15" s="11" t="e">
        <f t="shared" si="1"/>
        <v>#REF!</v>
      </c>
      <c r="R15" s="11" t="e">
        <f>#REF!*('расчет стоимости'!#REF!+O15)</f>
        <v>#REF!</v>
      </c>
      <c r="S15" s="11" t="e">
        <f>#REF!*('расчет стоимости'!#REF!+O15)</f>
        <v>#REF!</v>
      </c>
      <c r="T15" s="11" t="e">
        <f>K15+I15+(L15*#REF!)</f>
        <v>#REF!</v>
      </c>
      <c r="U15" s="32" t="e">
        <f>'расчет стоимости'!#REF!*(#REF!+#REF!)*#REF!+#REF!*'расчет стоимости'!#REF!</f>
        <v>#REF!</v>
      </c>
      <c r="V15" s="32" t="e">
        <f>'расчет стоимости'!#REF!*IF('Формулы расчета'!C15=#REF!,#REF!*#REF!,#REF!*#REF!)+'Формулы расчета'!W15</f>
        <v>#REF!</v>
      </c>
      <c r="W15" s="22" t="e">
        <f>IF('расчет стоимости'!#REF!&lt;&gt;0,'расчет стоимости'!#REF!*(#REF!*#REF!),0)</f>
        <v>#REF!</v>
      </c>
      <c r="X15" t="e">
        <f>IF(F15=20,G15*'расчет стоимости'!#REF!,0)</f>
        <v>#REF!</v>
      </c>
      <c r="Y15" t="e">
        <f>IF(F15=30,G15*'расчет стоимости'!#REF!,0)</f>
        <v>#REF!</v>
      </c>
      <c r="Z15" t="e">
        <f t="shared" si="2"/>
        <v>#REF!</v>
      </c>
      <c r="AA15" t="e">
        <f t="shared" si="3"/>
        <v>#REF!</v>
      </c>
      <c r="AB15" t="e">
        <f t="shared" si="4"/>
        <v>#REF!</v>
      </c>
      <c r="AC15" t="e">
        <f t="shared" si="5"/>
        <v>#REF!</v>
      </c>
    </row>
    <row r="16" spans="2:29" x14ac:dyDescent="0.25">
      <c r="B16">
        <v>9</v>
      </c>
      <c r="C16" s="21" t="e">
        <f>IF('расчет стоимости'!#REF!&lt;&gt;0,#REF!,IF('расчет стоимости'!#REF!&lt;&gt;0,#REF!,#REF!))</f>
        <v>#REF!</v>
      </c>
      <c r="D16" s="50" t="e">
        <f>'расчет стоимости'!#REF!</f>
        <v>#REF!</v>
      </c>
      <c r="E16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6" s="19" t="e">
        <f t="shared" si="0"/>
        <v>#REF!</v>
      </c>
      <c r="G16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6" s="36" t="e">
        <f>('расчет стоимости'!#REF!+'расчет стоимости'!#REF!)*0.001*2</f>
        <v>#REF!</v>
      </c>
      <c r="I16" s="34" t="e">
        <f>IF(F16=20,'расчет стоимости'!#REF!*G16*#REF!,'расчет стоимости'!#REF!*G16*#REF!)</f>
        <v>#REF!</v>
      </c>
      <c r="J16" s="11" t="e">
        <f>IF('расчет стоимости'!#REF!=0,0,'расчет стоимости'!#REF!*'расчет стоимости'!#REF!*4)</f>
        <v>#REF!</v>
      </c>
      <c r="K16" s="11" t="e">
        <f>IF(F16=20,J16*#REF!,J16*#REF!)</f>
        <v>#REF!</v>
      </c>
      <c r="L16" s="11" t="e">
        <f>IF('расчет стоимости'!#REF!=0,0,(M16+N16)*2*'расчет стоимости'!#REF!)</f>
        <v>#REF!</v>
      </c>
      <c r="M16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6" s="11" t="e">
        <f>IF('расчет стоимости'!#REF!&lt;400,0,IF('расчет стоимости'!#REF!&lt;=500,1,IF('расчет стоимости'!#REF!&lt;900,2,3)))</f>
        <v>#REF!</v>
      </c>
      <c r="O16" s="35" t="e">
        <f>IF(ПЛОЩАДИ!Y15=1,'расчет стоимости'!#REF!*0.15,'расчет стоимости'!#REF!*0.1)</f>
        <v>#REF!</v>
      </c>
      <c r="P16" s="33" t="e">
        <f>IF(('расчет стоимости'!#REF!+'расчет стоимости'!#REF!)*2&lt;=1400,0.5,0.7)</f>
        <v>#REF!</v>
      </c>
      <c r="Q16" s="11" t="e">
        <f t="shared" si="1"/>
        <v>#REF!</v>
      </c>
      <c r="R16" s="11" t="e">
        <f>#REF!*('расчет стоимости'!#REF!+O16)</f>
        <v>#REF!</v>
      </c>
      <c r="S16" s="11" t="e">
        <f>#REF!*('расчет стоимости'!#REF!+O16)</f>
        <v>#REF!</v>
      </c>
      <c r="T16" s="11" t="e">
        <f>K16+I16+(L16*#REF!)</f>
        <v>#REF!</v>
      </c>
      <c r="U16" s="32" t="e">
        <f>'расчет стоимости'!#REF!*(#REF!+#REF!)*#REF!+#REF!*'расчет стоимости'!#REF!</f>
        <v>#REF!</v>
      </c>
      <c r="V16" s="32" t="e">
        <f>'расчет стоимости'!#REF!*IF('Формулы расчета'!C16=#REF!,#REF!*#REF!,#REF!*#REF!)+'Формулы расчета'!W16</f>
        <v>#REF!</v>
      </c>
      <c r="W16" s="22" t="e">
        <f>IF('расчет стоимости'!#REF!&lt;&gt;0,'расчет стоимости'!#REF!*(#REF!*#REF!),0)</f>
        <v>#REF!</v>
      </c>
      <c r="X16" t="e">
        <f>IF(F16=20,G16*'расчет стоимости'!#REF!,0)</f>
        <v>#REF!</v>
      </c>
      <c r="Y16" t="e">
        <f>IF(F16=30,G16*'расчет стоимости'!#REF!,0)</f>
        <v>#REF!</v>
      </c>
      <c r="Z16" t="e">
        <f t="shared" si="2"/>
        <v>#REF!</v>
      </c>
      <c r="AA16" t="e">
        <f t="shared" si="3"/>
        <v>#REF!</v>
      </c>
      <c r="AB16" t="e">
        <f t="shared" si="4"/>
        <v>#REF!</v>
      </c>
      <c r="AC16" t="e">
        <f t="shared" si="5"/>
        <v>#REF!</v>
      </c>
    </row>
    <row r="17" spans="2:29" x14ac:dyDescent="0.25">
      <c r="B17">
        <v>10</v>
      </c>
      <c r="C17" s="21" t="e">
        <f>IF('расчет стоимости'!#REF!&lt;&gt;0,#REF!,IF('расчет стоимости'!#REF!&lt;&gt;0,#REF!,#REF!))</f>
        <v>#REF!</v>
      </c>
      <c r="D17" s="50" t="e">
        <f>'расчет стоимости'!#REF!</f>
        <v>#REF!</v>
      </c>
      <c r="E17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7" s="19" t="e">
        <f t="shared" si="0"/>
        <v>#REF!</v>
      </c>
      <c r="G17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7" s="36" t="e">
        <f>('расчет стоимости'!#REF!+'расчет стоимости'!#REF!)*0.001*2</f>
        <v>#REF!</v>
      </c>
      <c r="I17" s="34" t="e">
        <f>IF(F17=20,'расчет стоимости'!#REF!*G17*#REF!,'расчет стоимости'!#REF!*G17*#REF!)</f>
        <v>#REF!</v>
      </c>
      <c r="J17" s="11" t="e">
        <f>IF('расчет стоимости'!#REF!=0,0,'расчет стоимости'!#REF!*'расчет стоимости'!#REF!*4)</f>
        <v>#REF!</v>
      </c>
      <c r="K17" s="11" t="e">
        <f>IF(F17=20,J17*#REF!,J17*#REF!)</f>
        <v>#REF!</v>
      </c>
      <c r="L17" s="11" t="e">
        <f>IF('расчет стоимости'!#REF!=0,0,(M17+N17)*2*'расчет стоимости'!#REF!)</f>
        <v>#REF!</v>
      </c>
      <c r="M17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7" s="11" t="e">
        <f>IF('расчет стоимости'!#REF!&lt;400,0,IF('расчет стоимости'!#REF!&lt;=500,1,IF('расчет стоимости'!#REF!&lt;900,2,3)))</f>
        <v>#REF!</v>
      </c>
      <c r="O17" s="35" t="e">
        <f>IF(ПЛОЩАДИ!Y16=1,'расчет стоимости'!#REF!*0.15,'расчет стоимости'!#REF!*0.1)</f>
        <v>#REF!</v>
      </c>
      <c r="P17" s="33" t="e">
        <f>IF(('расчет стоимости'!#REF!+'расчет стоимости'!#REF!)*2&lt;=1400,0.5,0.7)</f>
        <v>#REF!</v>
      </c>
      <c r="Q17" s="11" t="e">
        <f t="shared" si="1"/>
        <v>#REF!</v>
      </c>
      <c r="R17" s="11" t="e">
        <f>#REF!*('расчет стоимости'!#REF!+O17)</f>
        <v>#REF!</v>
      </c>
      <c r="S17" s="11" t="e">
        <f>#REF!*('расчет стоимости'!#REF!+O17)</f>
        <v>#REF!</v>
      </c>
      <c r="T17" s="11" t="e">
        <f>K17+I17+(L17*#REF!)</f>
        <v>#REF!</v>
      </c>
      <c r="U17" s="11" t="e">
        <f>'расчет стоимости'!#REF!*(#REF!+#REF!)*#REF!</f>
        <v>#REF!</v>
      </c>
      <c r="V17" s="32" t="e">
        <f>'расчет стоимости'!#REF!*IF('Формулы расчета'!C17=#REF!,#REF!*#REF!,#REF!*#REF!)+'Формулы расчета'!W17</f>
        <v>#REF!</v>
      </c>
      <c r="W17" s="22" t="e">
        <f>IF('расчет стоимости'!#REF!&lt;&gt;0,'расчет стоимости'!#REF!*(#REF!*#REF!),0)</f>
        <v>#REF!</v>
      </c>
      <c r="X17" t="e">
        <f>IF(F17=20,G17*'расчет стоимости'!#REF!,0)</f>
        <v>#REF!</v>
      </c>
      <c r="Y17" t="e">
        <f>IF(F17=30,G17*'расчет стоимости'!#REF!,0)</f>
        <v>#REF!</v>
      </c>
      <c r="Z17" t="e">
        <f t="shared" si="2"/>
        <v>#REF!</v>
      </c>
      <c r="AA17" t="e">
        <f t="shared" si="3"/>
        <v>#REF!</v>
      </c>
      <c r="AB17" t="e">
        <f t="shared" si="4"/>
        <v>#REF!</v>
      </c>
      <c r="AC17" t="e">
        <f t="shared" si="5"/>
        <v>#REF!</v>
      </c>
    </row>
    <row r="18" spans="2:29" x14ac:dyDescent="0.25">
      <c r="B18">
        <v>11</v>
      </c>
      <c r="C18" s="21" t="e">
        <f>IF('расчет стоимости'!#REF!&lt;&gt;0,#REF!,IF('расчет стоимости'!#REF!&lt;&gt;0,#REF!,#REF!))</f>
        <v>#REF!</v>
      </c>
      <c r="D18" s="50" t="e">
        <f>'расчет стоимости'!#REF!</f>
        <v>#REF!</v>
      </c>
      <c r="E18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8" s="19" t="e">
        <f t="shared" si="0"/>
        <v>#REF!</v>
      </c>
      <c r="G18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8" s="36" t="e">
        <f>('расчет стоимости'!#REF!+'расчет стоимости'!#REF!)*0.001*2</f>
        <v>#REF!</v>
      </c>
      <c r="I18" s="34" t="e">
        <f>IF(F18=20,'расчет стоимости'!#REF!*G18*#REF!,'расчет стоимости'!#REF!*G18*#REF!)</f>
        <v>#REF!</v>
      </c>
      <c r="J18" s="11" t="e">
        <f>IF('расчет стоимости'!#REF!=0,0,'расчет стоимости'!#REF!*'расчет стоимости'!#REF!*4)</f>
        <v>#REF!</v>
      </c>
      <c r="K18" s="11" t="e">
        <f>IF(F18=20,J18*#REF!,J18*#REF!)</f>
        <v>#REF!</v>
      </c>
      <c r="L18" s="11" t="e">
        <f>IF('расчет стоимости'!#REF!=0,0,(M18+N18)*2*'расчет стоимости'!#REF!)</f>
        <v>#REF!</v>
      </c>
      <c r="M18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8" s="11" t="e">
        <f>IF('расчет стоимости'!#REF!&lt;400,0,IF('расчет стоимости'!#REF!&lt;=500,1,IF('расчет стоимости'!#REF!&lt;900,2,3)))</f>
        <v>#REF!</v>
      </c>
      <c r="O18" s="35" t="e">
        <f>IF(ПЛОЩАДИ!Y17=1,'расчет стоимости'!#REF!*0.15,'расчет стоимости'!#REF!*0.1)</f>
        <v>#REF!</v>
      </c>
      <c r="P18" s="33" t="e">
        <f>IF(('расчет стоимости'!#REF!+'расчет стоимости'!#REF!)*2&lt;=1400,0.5,0.7)</f>
        <v>#REF!</v>
      </c>
      <c r="Q18" s="11" t="e">
        <f t="shared" si="1"/>
        <v>#REF!</v>
      </c>
      <c r="R18" s="11" t="e">
        <f>#REF!*('расчет стоимости'!#REF!+O18)</f>
        <v>#REF!</v>
      </c>
      <c r="S18" s="11" t="e">
        <f>#REF!*('расчет стоимости'!#REF!+O18)</f>
        <v>#REF!</v>
      </c>
      <c r="T18" s="11" t="e">
        <f>K18+I18+(L18*#REF!)</f>
        <v>#REF!</v>
      </c>
      <c r="U18" s="11" t="e">
        <f>'расчет стоимости'!#REF!*(#REF!+#REF!)*#REF!</f>
        <v>#REF!</v>
      </c>
      <c r="V18" s="32" t="e">
        <f>'расчет стоимости'!#REF!*IF('Формулы расчета'!C18=#REF!,#REF!*#REF!,#REF!*#REF!)+'Формулы расчета'!W18</f>
        <v>#REF!</v>
      </c>
      <c r="W18" s="22" t="e">
        <f>IF('расчет стоимости'!#REF!&lt;&gt;0,'расчет стоимости'!#REF!*(#REF!*#REF!),0)</f>
        <v>#REF!</v>
      </c>
      <c r="X18" t="e">
        <f>IF(F18=20,G18*'расчет стоимости'!#REF!,0)</f>
        <v>#REF!</v>
      </c>
      <c r="Y18" t="e">
        <f>IF(F18=30,G18*'расчет стоимости'!#REF!,0)</f>
        <v>#REF!</v>
      </c>
      <c r="Z18" t="e">
        <f t="shared" si="2"/>
        <v>#REF!</v>
      </c>
      <c r="AA18" t="e">
        <f t="shared" si="3"/>
        <v>#REF!</v>
      </c>
      <c r="AB18" t="e">
        <f t="shared" si="4"/>
        <v>#REF!</v>
      </c>
      <c r="AC18" t="e">
        <f t="shared" si="5"/>
        <v>#REF!</v>
      </c>
    </row>
    <row r="19" spans="2:29" x14ac:dyDescent="0.25">
      <c r="B19">
        <v>12</v>
      </c>
      <c r="C19" s="21" t="e">
        <f>IF('расчет стоимости'!#REF!&lt;&gt;0,#REF!,IF('расчет стоимости'!#REF!&lt;&gt;0,#REF!,#REF!))</f>
        <v>#REF!</v>
      </c>
      <c r="D19" s="50" t="e">
        <f>'расчет стоимости'!#REF!</f>
        <v>#REF!</v>
      </c>
      <c r="E19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19" s="19" t="e">
        <f t="shared" ref="F19:F28" si="6">IF(P19=0.5,20,30)</f>
        <v>#REF!</v>
      </c>
      <c r="G19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19" s="36" t="e">
        <f>('расчет стоимости'!#REF!+'расчет стоимости'!#REF!)*0.001*2</f>
        <v>#REF!</v>
      </c>
      <c r="I19" s="34" t="e">
        <f>IF(F19=20,'расчет стоимости'!#REF!*G19*#REF!,'расчет стоимости'!#REF!*G19*#REF!)</f>
        <v>#REF!</v>
      </c>
      <c r="J19" s="11" t="e">
        <f>IF('расчет стоимости'!#REF!=0,0,'расчет стоимости'!#REF!*'расчет стоимости'!#REF!*4)</f>
        <v>#REF!</v>
      </c>
      <c r="K19" s="11" t="e">
        <f>IF(F19=20,J19*#REF!,J19*#REF!)</f>
        <v>#REF!</v>
      </c>
      <c r="L19" s="11" t="e">
        <f>IF('расчет стоимости'!#REF!=0,0,(M19+N19)*2*'расчет стоимости'!#REF!)</f>
        <v>#REF!</v>
      </c>
      <c r="M19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19" s="11" t="e">
        <f>IF('расчет стоимости'!#REF!&lt;400,0,IF('расчет стоимости'!#REF!&lt;=500,1,IF('расчет стоимости'!#REF!&lt;900,2,3)))</f>
        <v>#REF!</v>
      </c>
      <c r="O19" s="35" t="e">
        <f>IF(ПЛОЩАДИ!Y18=1,'расчет стоимости'!#REF!*0.15,'расчет стоимости'!#REF!*0.1)</f>
        <v>#REF!</v>
      </c>
      <c r="P19" s="33" t="e">
        <f>IF(('расчет стоимости'!#REF!+'расчет стоимости'!#REF!)*2&lt;=1400,0.5,0.7)</f>
        <v>#REF!</v>
      </c>
      <c r="Q19" s="11" t="e">
        <f t="shared" si="1"/>
        <v>#REF!</v>
      </c>
      <c r="R19" s="11" t="e">
        <f>#REF!*('расчет стоимости'!#REF!+O19)</f>
        <v>#REF!</v>
      </c>
      <c r="S19" s="11" t="e">
        <f>#REF!*('расчет стоимости'!#REF!+O19)</f>
        <v>#REF!</v>
      </c>
      <c r="T19" s="11" t="e">
        <f>K19+I19+(L19*#REF!)</f>
        <v>#REF!</v>
      </c>
      <c r="U19" s="11" t="e">
        <f>'расчет стоимости'!#REF!*(#REF!+#REF!)*#REF!</f>
        <v>#REF!</v>
      </c>
      <c r="V19" s="32" t="e">
        <f>'расчет стоимости'!#REF!*IF('Формулы расчета'!C19=#REF!,#REF!*#REF!,#REF!*#REF!)+'Формулы расчета'!W19</f>
        <v>#REF!</v>
      </c>
      <c r="W19" s="22" t="e">
        <f>IF('расчет стоимости'!#REF!&lt;&gt;0,'расчет стоимости'!#REF!*(#REF!*#REF!),0)</f>
        <v>#REF!</v>
      </c>
      <c r="X19" t="e">
        <f>IF(F19=20,G19*'расчет стоимости'!#REF!,0)</f>
        <v>#REF!</v>
      </c>
      <c r="Y19" t="e">
        <f>IF(F19=30,G19*'расчет стоимости'!#REF!,0)</f>
        <v>#REF!</v>
      </c>
      <c r="Z19" t="e">
        <f t="shared" si="2"/>
        <v>#REF!</v>
      </c>
      <c r="AA19" t="e">
        <f t="shared" si="3"/>
        <v>#REF!</v>
      </c>
      <c r="AB19" t="e">
        <f t="shared" si="4"/>
        <v>#REF!</v>
      </c>
      <c r="AC19" t="e">
        <f t="shared" si="5"/>
        <v>#REF!</v>
      </c>
    </row>
    <row r="20" spans="2:29" x14ac:dyDescent="0.25">
      <c r="B20">
        <v>13</v>
      </c>
      <c r="C20" s="21" t="e">
        <f>IF('расчет стоимости'!#REF!&lt;&gt;0,#REF!,IF('расчет стоимости'!#REF!&lt;&gt;0,#REF!,#REF!))</f>
        <v>#REF!</v>
      </c>
      <c r="D20" s="50" t="e">
        <f>'расчет стоимости'!#REF!</f>
        <v>#REF!</v>
      </c>
      <c r="E20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0" s="19" t="e">
        <f t="shared" si="6"/>
        <v>#REF!</v>
      </c>
      <c r="G20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0" s="36" t="e">
        <f>('расчет стоимости'!#REF!+'расчет стоимости'!#REF!)*0.001*2</f>
        <v>#REF!</v>
      </c>
      <c r="I20" s="34" t="e">
        <f>IF(F20=20,'расчет стоимости'!#REF!*G20*#REF!,'расчет стоимости'!#REF!*G20*#REF!)</f>
        <v>#REF!</v>
      </c>
      <c r="J20" s="11" t="e">
        <f>IF('расчет стоимости'!#REF!=0,0,'расчет стоимости'!#REF!*'расчет стоимости'!#REF!*4)</f>
        <v>#REF!</v>
      </c>
      <c r="K20" s="11" t="e">
        <f>IF(F20=20,J20*#REF!,J20*#REF!)</f>
        <v>#REF!</v>
      </c>
      <c r="L20" s="11" t="e">
        <f>IF('расчет стоимости'!#REF!=0,0,(M20+N20)*2*'расчет стоимости'!#REF!)</f>
        <v>#REF!</v>
      </c>
      <c r="M20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0" s="11" t="e">
        <f>IF('расчет стоимости'!#REF!&lt;400,0,IF('расчет стоимости'!#REF!&lt;=500,1,IF('расчет стоимости'!#REF!&lt;900,2,3)))</f>
        <v>#REF!</v>
      </c>
      <c r="O20" s="35" t="e">
        <f>IF(ПЛОЩАДИ!Y19=1,'расчет стоимости'!#REF!*0.15,'расчет стоимости'!#REF!*0.1)</f>
        <v>#REF!</v>
      </c>
      <c r="P20" s="33" t="e">
        <f>IF(('расчет стоимости'!#REF!+'расчет стоимости'!#REF!)*2&lt;=1400,0.5,0.7)</f>
        <v>#REF!</v>
      </c>
      <c r="Q20" s="11" t="e">
        <f t="shared" si="1"/>
        <v>#REF!</v>
      </c>
      <c r="R20" s="11" t="e">
        <f>#REF!*('расчет стоимости'!#REF!+O20)</f>
        <v>#REF!</v>
      </c>
      <c r="S20" s="11" t="e">
        <f>#REF!*('расчет стоимости'!#REF!+O20)</f>
        <v>#REF!</v>
      </c>
      <c r="T20" s="11" t="e">
        <f>K20+I20+(L20*#REF!)</f>
        <v>#REF!</v>
      </c>
      <c r="U20" s="11" t="e">
        <f>'расчет стоимости'!#REF!*(#REF!+#REF!)*#REF!</f>
        <v>#REF!</v>
      </c>
      <c r="V20" s="32" t="e">
        <f>'расчет стоимости'!#REF!*IF('Формулы расчета'!C20=#REF!,#REF!*#REF!,#REF!*#REF!)+'Формулы расчета'!W20</f>
        <v>#REF!</v>
      </c>
      <c r="W20" s="22" t="e">
        <f>IF('расчет стоимости'!#REF!&lt;&gt;0,'расчет стоимости'!#REF!*(#REF!*#REF!),0)</f>
        <v>#REF!</v>
      </c>
      <c r="X20" t="e">
        <f>IF(F20=20,G20*'расчет стоимости'!#REF!,0)</f>
        <v>#REF!</v>
      </c>
      <c r="Y20" t="e">
        <f>IF(F20=30,G20*'расчет стоимости'!#REF!,0)</f>
        <v>#REF!</v>
      </c>
      <c r="Z20" t="e">
        <f t="shared" si="2"/>
        <v>#REF!</v>
      </c>
      <c r="AA20" t="e">
        <f t="shared" si="3"/>
        <v>#REF!</v>
      </c>
      <c r="AB20" t="e">
        <f t="shared" si="4"/>
        <v>#REF!</v>
      </c>
      <c r="AC20" t="e">
        <f t="shared" si="5"/>
        <v>#REF!</v>
      </c>
    </row>
    <row r="21" spans="2:29" x14ac:dyDescent="0.25">
      <c r="B21">
        <v>14</v>
      </c>
      <c r="C21" s="21" t="e">
        <f>IF('расчет стоимости'!#REF!&lt;&gt;0,#REF!,IF('расчет стоимости'!#REF!&lt;&gt;0,#REF!,#REF!))</f>
        <v>#REF!</v>
      </c>
      <c r="D21" s="50" t="e">
        <f>'расчет стоимости'!#REF!</f>
        <v>#REF!</v>
      </c>
      <c r="E21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1" s="19" t="e">
        <f t="shared" si="6"/>
        <v>#REF!</v>
      </c>
      <c r="G21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1" s="36" t="e">
        <f>('расчет стоимости'!#REF!+'расчет стоимости'!#REF!)*0.001*2</f>
        <v>#REF!</v>
      </c>
      <c r="I21" s="34" t="e">
        <f>IF(F21=20,'расчет стоимости'!#REF!*G21*#REF!,'расчет стоимости'!#REF!*G21*#REF!)</f>
        <v>#REF!</v>
      </c>
      <c r="J21" s="11" t="e">
        <f>IF('расчет стоимости'!#REF!=0,0,'расчет стоимости'!#REF!*'расчет стоимости'!#REF!*4)</f>
        <v>#REF!</v>
      </c>
      <c r="K21" s="11" t="e">
        <f>IF(F21=20,J21*#REF!,J21*#REF!)</f>
        <v>#REF!</v>
      </c>
      <c r="L21" s="11" t="e">
        <f>IF('расчет стоимости'!#REF!=0,0,(M21+N21)*2*'расчет стоимости'!#REF!)</f>
        <v>#REF!</v>
      </c>
      <c r="M21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1" s="11" t="e">
        <f>IF('расчет стоимости'!#REF!&lt;400,0,IF('расчет стоимости'!#REF!&lt;=500,1,IF('расчет стоимости'!#REF!&lt;900,2,3)))</f>
        <v>#REF!</v>
      </c>
      <c r="O21" s="35" t="e">
        <f>IF(ПЛОЩАДИ!Y20=1,'расчет стоимости'!#REF!*0.15,'расчет стоимости'!#REF!*0.1)</f>
        <v>#REF!</v>
      </c>
      <c r="P21" s="33" t="e">
        <f>IF(('расчет стоимости'!#REF!+'расчет стоимости'!#REF!)*2&lt;=1400,0.5,0.7)</f>
        <v>#REF!</v>
      </c>
      <c r="Q21" s="11" t="e">
        <f t="shared" si="1"/>
        <v>#REF!</v>
      </c>
      <c r="R21" s="11" t="e">
        <f>#REF!*('расчет стоимости'!#REF!+O21)</f>
        <v>#REF!</v>
      </c>
      <c r="S21" s="11" t="e">
        <f>#REF!*('расчет стоимости'!#REF!+O21)</f>
        <v>#REF!</v>
      </c>
      <c r="T21" s="11" t="e">
        <f>K21+I21+(L21*#REF!)</f>
        <v>#REF!</v>
      </c>
      <c r="U21" s="11" t="e">
        <f>'расчет стоимости'!#REF!*(#REF!+#REF!)*#REF!</f>
        <v>#REF!</v>
      </c>
      <c r="V21" s="32" t="e">
        <f>'расчет стоимости'!#REF!*IF('Формулы расчета'!C21=#REF!,#REF!*#REF!,#REF!*#REF!)+'Формулы расчета'!W21</f>
        <v>#REF!</v>
      </c>
      <c r="W21" s="22" t="e">
        <f>IF('расчет стоимости'!#REF!&lt;&gt;0,'расчет стоимости'!#REF!*(#REF!*#REF!),0)</f>
        <v>#REF!</v>
      </c>
      <c r="X21" t="e">
        <f>IF(F21=20,G21*'расчет стоимости'!#REF!,0)</f>
        <v>#REF!</v>
      </c>
      <c r="Y21" t="e">
        <f>IF(F21=30,G21*'расчет стоимости'!#REF!,0)</f>
        <v>#REF!</v>
      </c>
      <c r="Z21" t="e">
        <f t="shared" si="2"/>
        <v>#REF!</v>
      </c>
      <c r="AA21" t="e">
        <f t="shared" si="3"/>
        <v>#REF!</v>
      </c>
      <c r="AB21" t="e">
        <f t="shared" si="4"/>
        <v>#REF!</v>
      </c>
      <c r="AC21" t="e">
        <f t="shared" si="5"/>
        <v>#REF!</v>
      </c>
    </row>
    <row r="22" spans="2:29" x14ac:dyDescent="0.25">
      <c r="B22">
        <v>15</v>
      </c>
      <c r="C22" s="21" t="e">
        <f>IF('расчет стоимости'!#REF!&lt;&gt;0,#REF!,IF('расчет стоимости'!#REF!&lt;&gt;0,#REF!,#REF!))</f>
        <v>#REF!</v>
      </c>
      <c r="D22" s="50" t="e">
        <f>'расчет стоимости'!#REF!</f>
        <v>#REF!</v>
      </c>
      <c r="E22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2" s="19" t="e">
        <f t="shared" si="6"/>
        <v>#REF!</v>
      </c>
      <c r="G22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2" s="36" t="e">
        <f>('расчет стоимости'!#REF!+'расчет стоимости'!#REF!)*0.001*2</f>
        <v>#REF!</v>
      </c>
      <c r="I22" s="34" t="e">
        <f>IF(F22=20,'расчет стоимости'!#REF!*G22*#REF!,'расчет стоимости'!#REF!*G22*#REF!)</f>
        <v>#REF!</v>
      </c>
      <c r="J22" s="11" t="e">
        <f>IF('расчет стоимости'!#REF!=0,0,'расчет стоимости'!#REF!*'расчет стоимости'!#REF!*4)</f>
        <v>#REF!</v>
      </c>
      <c r="K22" s="11" t="e">
        <f>IF(F22=20,J22*#REF!,J22*#REF!)</f>
        <v>#REF!</v>
      </c>
      <c r="L22" s="11" t="e">
        <f>IF('расчет стоимости'!#REF!=0,0,(M22+N22)*2*'расчет стоимости'!#REF!)</f>
        <v>#REF!</v>
      </c>
      <c r="M22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2" s="11" t="e">
        <f>IF('расчет стоимости'!#REF!&lt;400,0,IF('расчет стоимости'!#REF!&lt;=500,1,IF('расчет стоимости'!#REF!&lt;900,2,3)))</f>
        <v>#REF!</v>
      </c>
      <c r="O22" s="35" t="e">
        <f>IF(ПЛОЩАДИ!Y21=1,'расчет стоимости'!#REF!*0.15,'расчет стоимости'!#REF!*0.1)</f>
        <v>#REF!</v>
      </c>
      <c r="P22" s="33" t="e">
        <f>IF(('расчет стоимости'!#REF!+'расчет стоимости'!#REF!)*2&lt;=1400,0.5,0.7)</f>
        <v>#REF!</v>
      </c>
      <c r="Q22" s="11" t="e">
        <f t="shared" si="1"/>
        <v>#REF!</v>
      </c>
      <c r="R22" s="11" t="e">
        <f>#REF!*('расчет стоимости'!#REF!+O22)</f>
        <v>#REF!</v>
      </c>
      <c r="S22" s="11" t="e">
        <f>#REF!*('расчет стоимости'!#REF!+O22)</f>
        <v>#REF!</v>
      </c>
      <c r="T22" s="11" t="e">
        <f>K22+I22+(L22*#REF!)</f>
        <v>#REF!</v>
      </c>
      <c r="U22" s="11" t="e">
        <f>'расчет стоимости'!#REF!*(#REF!+#REF!)*#REF!</f>
        <v>#REF!</v>
      </c>
      <c r="V22" s="32" t="e">
        <f>'расчет стоимости'!#REF!*IF('Формулы расчета'!C22=#REF!,#REF!*#REF!,#REF!*#REF!)+'Формулы расчета'!W22</f>
        <v>#REF!</v>
      </c>
      <c r="W22" s="22" t="e">
        <f>IF('расчет стоимости'!#REF!&lt;&gt;0,'расчет стоимости'!#REF!*(#REF!*#REF!),0)</f>
        <v>#REF!</v>
      </c>
      <c r="X22" t="e">
        <f>IF(F22=20,G22*'расчет стоимости'!#REF!,0)</f>
        <v>#REF!</v>
      </c>
      <c r="Y22" t="e">
        <f>IF(F22=30,G22*'расчет стоимости'!#REF!,0)</f>
        <v>#REF!</v>
      </c>
      <c r="Z22" t="e">
        <f t="shared" si="2"/>
        <v>#REF!</v>
      </c>
      <c r="AA22" t="e">
        <f t="shared" si="3"/>
        <v>#REF!</v>
      </c>
      <c r="AB22" t="e">
        <f t="shared" si="4"/>
        <v>#REF!</v>
      </c>
      <c r="AC22" t="e">
        <f t="shared" si="5"/>
        <v>#REF!</v>
      </c>
    </row>
    <row r="23" spans="2:29" x14ac:dyDescent="0.25">
      <c r="B23">
        <v>16</v>
      </c>
      <c r="C23" s="21" t="e">
        <f>IF('расчет стоимости'!#REF!&lt;&gt;0,#REF!,IF('расчет стоимости'!#REF!&lt;&gt;0,#REF!,#REF!))</f>
        <v>#REF!</v>
      </c>
      <c r="D23" s="50" t="e">
        <f>'расчет стоимости'!#REF!</f>
        <v>#REF!</v>
      </c>
      <c r="E23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3" s="19" t="e">
        <f t="shared" si="6"/>
        <v>#REF!</v>
      </c>
      <c r="G23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3" s="36" t="e">
        <f>('расчет стоимости'!#REF!+'расчет стоимости'!#REF!)*0.001*2</f>
        <v>#REF!</v>
      </c>
      <c r="I23" s="34" t="e">
        <f>IF(F23=20,'расчет стоимости'!#REF!*G23*#REF!,'расчет стоимости'!#REF!*G23*#REF!)</f>
        <v>#REF!</v>
      </c>
      <c r="J23" s="11" t="e">
        <f>IF('расчет стоимости'!#REF!=0,0,'расчет стоимости'!#REF!*'расчет стоимости'!#REF!*4)</f>
        <v>#REF!</v>
      </c>
      <c r="K23" s="11" t="e">
        <f>IF(F23=20,J23*#REF!,J23*#REF!)</f>
        <v>#REF!</v>
      </c>
      <c r="L23" s="11" t="e">
        <f>IF('расчет стоимости'!#REF!=0,0,(M23+N23)*2*'расчет стоимости'!#REF!)</f>
        <v>#REF!</v>
      </c>
      <c r="M23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3" s="11" t="e">
        <f>IF('расчет стоимости'!#REF!&lt;400,0,IF('расчет стоимости'!#REF!&lt;=500,1,IF('расчет стоимости'!#REF!&lt;900,2,3)))</f>
        <v>#REF!</v>
      </c>
      <c r="O23" s="35" t="e">
        <f>IF(ПЛОЩАДИ!Y22=1,'расчет стоимости'!#REF!*0.15,'расчет стоимости'!#REF!*0.1)</f>
        <v>#REF!</v>
      </c>
      <c r="P23" s="33" t="e">
        <f>IF(('расчет стоимости'!#REF!+'расчет стоимости'!#REF!)*2&lt;=1400,0.5,0.7)</f>
        <v>#REF!</v>
      </c>
      <c r="Q23" s="11" t="e">
        <f t="shared" si="1"/>
        <v>#REF!</v>
      </c>
      <c r="R23" s="11" t="e">
        <f>#REF!*('расчет стоимости'!#REF!+O23)</f>
        <v>#REF!</v>
      </c>
      <c r="S23" s="11" t="e">
        <f>#REF!*('расчет стоимости'!#REF!+O23)</f>
        <v>#REF!</v>
      </c>
      <c r="T23" s="11" t="e">
        <f>K23+I23+(L23*#REF!)</f>
        <v>#REF!</v>
      </c>
      <c r="U23" s="11" t="e">
        <f>'расчет стоимости'!#REF!*(#REF!+#REF!)*#REF!</f>
        <v>#REF!</v>
      </c>
      <c r="V23" s="32" t="e">
        <f>'расчет стоимости'!#REF!*IF('Формулы расчета'!C23=#REF!,#REF!*#REF!,#REF!*#REF!)+'Формулы расчета'!W23</f>
        <v>#REF!</v>
      </c>
      <c r="W23" s="22" t="e">
        <f>IF('расчет стоимости'!#REF!&lt;&gt;0,'расчет стоимости'!#REF!*(#REF!*#REF!),0)</f>
        <v>#REF!</v>
      </c>
      <c r="X23" t="e">
        <f>IF(F23=20,G23*'расчет стоимости'!#REF!,0)</f>
        <v>#REF!</v>
      </c>
      <c r="Y23" t="e">
        <f>IF(F23=30,G23*'расчет стоимости'!#REF!,0)</f>
        <v>#REF!</v>
      </c>
      <c r="Z23" t="e">
        <f t="shared" si="2"/>
        <v>#REF!</v>
      </c>
      <c r="AA23" t="e">
        <f t="shared" si="3"/>
        <v>#REF!</v>
      </c>
      <c r="AB23" t="e">
        <f t="shared" si="4"/>
        <v>#REF!</v>
      </c>
      <c r="AC23" t="e">
        <f t="shared" si="5"/>
        <v>#REF!</v>
      </c>
    </row>
    <row r="24" spans="2:29" x14ac:dyDescent="0.25">
      <c r="B24">
        <v>17</v>
      </c>
      <c r="C24" s="21" t="e">
        <f>IF('расчет стоимости'!#REF!&lt;&gt;0,#REF!,IF('расчет стоимости'!#REF!&lt;&gt;0,#REF!,#REF!))</f>
        <v>#REF!</v>
      </c>
      <c r="D24" s="50" t="e">
        <f>'расчет стоимости'!#REF!</f>
        <v>#REF!</v>
      </c>
      <c r="E24" s="18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4" s="19" t="e">
        <f t="shared" si="6"/>
        <v>#REF!</v>
      </c>
      <c r="G24" s="20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4" s="36" t="e">
        <f>('расчет стоимости'!#REF!+'расчет стоимости'!#REF!)*0.001*2</f>
        <v>#REF!</v>
      </c>
      <c r="I24" s="34" t="e">
        <f>IF(F24=20,'расчет стоимости'!#REF!*G24*#REF!,'расчет стоимости'!#REF!*G24*#REF!)</f>
        <v>#REF!</v>
      </c>
      <c r="J24" s="11" t="e">
        <f>IF('расчет стоимости'!#REF!=0,0,'расчет стоимости'!#REF!*'расчет стоимости'!#REF!*4)</f>
        <v>#REF!</v>
      </c>
      <c r="K24" s="11" t="e">
        <f>IF(F24=20,J24*#REF!,J24*#REF!)</f>
        <v>#REF!</v>
      </c>
      <c r="L24" s="11" t="e">
        <f>IF('расчет стоимости'!#REF!=0,0,(M24+N24)*2*'расчет стоимости'!#REF!)</f>
        <v>#REF!</v>
      </c>
      <c r="M24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4" s="11" t="e">
        <f>IF('расчет стоимости'!#REF!&lt;400,0,IF('расчет стоимости'!#REF!&lt;=500,1,IF('расчет стоимости'!#REF!&lt;900,2,3)))</f>
        <v>#REF!</v>
      </c>
      <c r="O24" s="35" t="e">
        <f>IF(ПЛОЩАДИ!Y23=1,'расчет стоимости'!#REF!*0.15,'расчет стоимости'!#REF!*0.1)</f>
        <v>#REF!</v>
      </c>
      <c r="P24" s="33" t="e">
        <f>IF(('расчет стоимости'!#REF!+'расчет стоимости'!#REF!)*2&lt;=1400,0.5,0.7)</f>
        <v>#REF!</v>
      </c>
      <c r="Q24" s="11" t="e">
        <f t="shared" si="1"/>
        <v>#REF!</v>
      </c>
      <c r="R24" s="11" t="e">
        <f>#REF!*('расчет стоимости'!#REF!+O24)</f>
        <v>#REF!</v>
      </c>
      <c r="S24" s="11" t="e">
        <f>#REF!*('расчет стоимости'!#REF!+O24)</f>
        <v>#REF!</v>
      </c>
      <c r="T24" s="11" t="e">
        <f>K24+I24+(L24*#REF!)</f>
        <v>#REF!</v>
      </c>
      <c r="U24" s="11" t="e">
        <f>'расчет стоимости'!#REF!*(#REF!+#REF!)*#REF!</f>
        <v>#REF!</v>
      </c>
      <c r="V24" s="32" t="e">
        <f>'расчет стоимости'!#REF!*IF('Формулы расчета'!C24=#REF!,#REF!*#REF!,#REF!*#REF!)+'Формулы расчета'!W24</f>
        <v>#REF!</v>
      </c>
      <c r="W24" s="22" t="e">
        <f>IF('расчет стоимости'!#REF!&lt;&gt;0,'расчет стоимости'!#REF!*(#REF!*#REF!),0)</f>
        <v>#REF!</v>
      </c>
      <c r="X24" t="e">
        <f>IF(F24=20,G24*'расчет стоимости'!#REF!,0)</f>
        <v>#REF!</v>
      </c>
      <c r="Y24" t="e">
        <f>IF(F24=30,G24*'расчет стоимости'!#REF!,0)</f>
        <v>#REF!</v>
      </c>
      <c r="Z24" t="e">
        <f t="shared" si="2"/>
        <v>#REF!</v>
      </c>
      <c r="AA24" t="e">
        <f t="shared" si="3"/>
        <v>#REF!</v>
      </c>
      <c r="AB24" t="e">
        <f t="shared" si="4"/>
        <v>#REF!</v>
      </c>
      <c r="AC24" t="e">
        <f t="shared" si="5"/>
        <v>#REF!</v>
      </c>
    </row>
    <row r="25" spans="2:29" x14ac:dyDescent="0.25">
      <c r="B25">
        <v>18</v>
      </c>
      <c r="C25" s="21" t="e">
        <f>IF('расчет стоимости'!#REF!&lt;&gt;0,#REF!,IF('расчет стоимости'!#REF!&lt;&gt;0,#REF!,#REF!))</f>
        <v>#REF!</v>
      </c>
      <c r="D25" s="50" t="e">
        <f>'расчет стоимости'!#REF!</f>
        <v>#REF!</v>
      </c>
      <c r="E25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5" s="19" t="e">
        <f t="shared" si="6"/>
        <v>#REF!</v>
      </c>
      <c r="G25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5" s="36" t="e">
        <f>('расчет стоимости'!#REF!+'расчет стоимости'!#REF!)*0.001*2</f>
        <v>#REF!</v>
      </c>
      <c r="I25" s="34" t="e">
        <f>IF(F25=20,'расчет стоимости'!#REF!*G25*#REF!,'расчет стоимости'!#REF!*G25*#REF!)</f>
        <v>#REF!</v>
      </c>
      <c r="J25" s="11" t="e">
        <f>IF('расчет стоимости'!#REF!=0,0,'расчет стоимости'!#REF!*'расчет стоимости'!#REF!*4)</f>
        <v>#REF!</v>
      </c>
      <c r="K25" s="11" t="e">
        <f>IF(F25=20,J25*#REF!,J25*#REF!)</f>
        <v>#REF!</v>
      </c>
      <c r="L25" s="11" t="e">
        <f>IF('расчет стоимости'!#REF!=0,0,(M25+N25)*2*'расчет стоимости'!#REF!)</f>
        <v>#REF!</v>
      </c>
      <c r="M25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5" s="11" t="e">
        <f>IF('расчет стоимости'!#REF!&lt;400,0,IF('расчет стоимости'!#REF!&lt;=500,1,IF('расчет стоимости'!#REF!&lt;900,2,3)))</f>
        <v>#REF!</v>
      </c>
      <c r="O25" s="35" t="e">
        <f>IF(ПЛОЩАДИ!Y24=1,'расчет стоимости'!#REF!*0.15,'расчет стоимости'!#REF!*0.1)</f>
        <v>#REF!</v>
      </c>
      <c r="P25" s="33" t="e">
        <f>IF(('расчет стоимости'!#REF!+'расчет стоимости'!#REF!)*2&lt;=1400,0.5,0.7)</f>
        <v>#REF!</v>
      </c>
      <c r="Q25" s="11" t="e">
        <f t="shared" si="1"/>
        <v>#REF!</v>
      </c>
      <c r="R25" s="11" t="e">
        <f>#REF!*('расчет стоимости'!#REF!+O25)</f>
        <v>#REF!</v>
      </c>
      <c r="S25" s="11" t="e">
        <f>#REF!*('расчет стоимости'!#REF!+O25)</f>
        <v>#REF!</v>
      </c>
      <c r="T25" s="11" t="e">
        <f>K25+I25+(L25*#REF!)</f>
        <v>#REF!</v>
      </c>
      <c r="U25" s="11" t="e">
        <f>'расчет стоимости'!#REF!*(#REF!+#REF!)*#REF!</f>
        <v>#REF!</v>
      </c>
      <c r="V25" s="32" t="e">
        <f>'расчет стоимости'!#REF!*IF('Формулы расчета'!C25=#REF!,#REF!*#REF!,#REF!*#REF!)+'Формулы расчета'!W25</f>
        <v>#REF!</v>
      </c>
      <c r="W25" s="22" t="e">
        <f>IF('расчет стоимости'!#REF!&lt;&gt;0,'расчет стоимости'!#REF!*(#REF!*#REF!),0)</f>
        <v>#REF!</v>
      </c>
      <c r="X25" t="e">
        <f>IF(F25=20,G25*'расчет стоимости'!#REF!,0)</f>
        <v>#REF!</v>
      </c>
      <c r="Y25" t="e">
        <f>IF(F25=30,G25*'расчет стоимости'!#REF!,0)</f>
        <v>#REF!</v>
      </c>
      <c r="Z25" t="e">
        <f t="shared" si="2"/>
        <v>#REF!</v>
      </c>
      <c r="AA25" t="e">
        <f t="shared" si="3"/>
        <v>#REF!</v>
      </c>
      <c r="AB25" t="e">
        <f t="shared" si="4"/>
        <v>#REF!</v>
      </c>
      <c r="AC25" t="e">
        <f t="shared" si="5"/>
        <v>#REF!</v>
      </c>
    </row>
    <row r="26" spans="2:29" x14ac:dyDescent="0.25">
      <c r="B26">
        <v>19</v>
      </c>
      <c r="C26" s="21" t="e">
        <f>IF('расчет стоимости'!#REF!&lt;&gt;0,#REF!,IF('расчет стоимости'!#REF!&lt;&gt;0,#REF!,#REF!))</f>
        <v>#REF!</v>
      </c>
      <c r="D26" s="50" t="e">
        <f>'расчет стоимости'!#REF!</f>
        <v>#REF!</v>
      </c>
      <c r="E26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6" s="19" t="e">
        <f t="shared" si="6"/>
        <v>#REF!</v>
      </c>
      <c r="G26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6" s="36" t="e">
        <f>('расчет стоимости'!#REF!+'расчет стоимости'!#REF!)*0.001*2</f>
        <v>#REF!</v>
      </c>
      <c r="I26" s="34" t="e">
        <f>IF(F26=20,'расчет стоимости'!#REF!*G26*#REF!,'расчет стоимости'!#REF!*G26*#REF!)</f>
        <v>#REF!</v>
      </c>
      <c r="J26" s="11" t="e">
        <f>IF('расчет стоимости'!#REF!=0,0,'расчет стоимости'!#REF!*'расчет стоимости'!#REF!*4)</f>
        <v>#REF!</v>
      </c>
      <c r="K26" s="11" t="e">
        <f>IF(F26=20,J26*#REF!,J26*#REF!)</f>
        <v>#REF!</v>
      </c>
      <c r="L26" s="11" t="e">
        <f>IF('расчет стоимости'!#REF!=0,0,(M26+N26)*2*'расчет стоимости'!#REF!)</f>
        <v>#REF!</v>
      </c>
      <c r="M26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6" s="11" t="e">
        <f>IF('расчет стоимости'!#REF!&lt;400,0,IF('расчет стоимости'!#REF!&lt;=500,1,IF('расчет стоимости'!#REF!&lt;900,2,3)))</f>
        <v>#REF!</v>
      </c>
      <c r="O26" s="35" t="e">
        <f>IF(ПЛОЩАДИ!Y25=1,'расчет стоимости'!#REF!*0.15,'расчет стоимости'!#REF!*0.1)</f>
        <v>#REF!</v>
      </c>
      <c r="P26" s="33" t="e">
        <f>IF(('расчет стоимости'!#REF!+'расчет стоимости'!#REF!)*2&lt;=1400,0.5,0.7)</f>
        <v>#REF!</v>
      </c>
      <c r="Q26" s="11" t="e">
        <f t="shared" si="1"/>
        <v>#REF!</v>
      </c>
      <c r="R26" s="11" t="e">
        <f>#REF!*('расчет стоимости'!#REF!+O26)</f>
        <v>#REF!</v>
      </c>
      <c r="S26" s="11" t="e">
        <f>#REF!*('расчет стоимости'!#REF!+O26)</f>
        <v>#REF!</v>
      </c>
      <c r="T26" s="11" t="e">
        <f>K26+I26+(L26*#REF!)</f>
        <v>#REF!</v>
      </c>
      <c r="U26" s="11" t="e">
        <f>'расчет стоимости'!#REF!*(#REF!+#REF!)*#REF!</f>
        <v>#REF!</v>
      </c>
      <c r="V26" s="32" t="e">
        <f>'расчет стоимости'!#REF!*IF('Формулы расчета'!C26=#REF!,#REF!*#REF!,#REF!*#REF!)+'Формулы расчета'!W26</f>
        <v>#REF!</v>
      </c>
      <c r="W26" s="22" t="e">
        <f>IF('расчет стоимости'!#REF!&lt;&gt;0,'расчет стоимости'!#REF!*(#REF!*#REF!),0)</f>
        <v>#REF!</v>
      </c>
      <c r="X26" t="e">
        <f>IF(F26=20,G26*'расчет стоимости'!#REF!,0)</f>
        <v>#REF!</v>
      </c>
      <c r="Y26" t="e">
        <f>IF(F26=30,G26*'расчет стоимости'!#REF!,0)</f>
        <v>#REF!</v>
      </c>
      <c r="Z26" t="e">
        <f t="shared" si="2"/>
        <v>#REF!</v>
      </c>
      <c r="AA26" t="e">
        <f t="shared" si="3"/>
        <v>#REF!</v>
      </c>
      <c r="AB26" t="e">
        <f t="shared" si="4"/>
        <v>#REF!</v>
      </c>
      <c r="AC26" t="e">
        <f t="shared" si="5"/>
        <v>#REF!</v>
      </c>
    </row>
    <row r="27" spans="2:29" x14ac:dyDescent="0.25">
      <c r="B27">
        <v>20</v>
      </c>
      <c r="C27" s="21" t="e">
        <f>IF('расчет стоимости'!#REF!&lt;&gt;0,#REF!,IF('расчет стоимости'!#REF!&lt;&gt;0,#REF!,#REF!))</f>
        <v>#REF!</v>
      </c>
      <c r="D27" s="50" t="e">
        <f>'расчет стоимости'!#REF!</f>
        <v>#REF!</v>
      </c>
      <c r="E27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7" s="19" t="e">
        <f t="shared" si="6"/>
        <v>#REF!</v>
      </c>
      <c r="G27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7" s="36" t="e">
        <f>('расчет стоимости'!#REF!+'расчет стоимости'!#REF!)*0.001*2</f>
        <v>#REF!</v>
      </c>
      <c r="I27" s="34" t="e">
        <f>IF(F27=20,'расчет стоимости'!#REF!*G27*#REF!,'расчет стоимости'!#REF!*G27*#REF!)</f>
        <v>#REF!</v>
      </c>
      <c r="J27" s="11" t="e">
        <f>IF('расчет стоимости'!#REF!=0,0,'расчет стоимости'!#REF!*'расчет стоимости'!#REF!*4)</f>
        <v>#REF!</v>
      </c>
      <c r="K27" s="11" t="e">
        <f>IF(F27=20,J27*#REF!,J27*#REF!)</f>
        <v>#REF!</v>
      </c>
      <c r="L27" s="11" t="e">
        <f>IF('расчет стоимости'!#REF!=0,0,(M27+N27)*2*'расчет стоимости'!#REF!)</f>
        <v>#REF!</v>
      </c>
      <c r="M27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7" s="11" t="e">
        <f>IF('расчет стоимости'!#REF!&lt;400,0,IF('расчет стоимости'!#REF!&lt;=500,1,IF('расчет стоимости'!#REF!&lt;900,2,3)))</f>
        <v>#REF!</v>
      </c>
      <c r="O27" s="35" t="e">
        <f>IF(ПЛОЩАДИ!Y26=1,'расчет стоимости'!#REF!*0.15,'расчет стоимости'!#REF!*0.1)</f>
        <v>#REF!</v>
      </c>
      <c r="P27" s="33" t="e">
        <f>IF(('расчет стоимости'!#REF!+'расчет стоимости'!#REF!)*2&lt;=1400,0.5,0.7)</f>
        <v>#REF!</v>
      </c>
      <c r="Q27" s="11" t="e">
        <f t="shared" si="1"/>
        <v>#REF!</v>
      </c>
      <c r="R27" s="11" t="e">
        <f>#REF!*('расчет стоимости'!#REF!+O27)</f>
        <v>#REF!</v>
      </c>
      <c r="S27" s="11" t="e">
        <f>#REF!*('расчет стоимости'!#REF!+O27)</f>
        <v>#REF!</v>
      </c>
      <c r="T27" s="11" t="e">
        <f>K27+I27+(L27*#REF!)</f>
        <v>#REF!</v>
      </c>
      <c r="U27" s="11" t="e">
        <f>'расчет стоимости'!#REF!*(#REF!+#REF!)*#REF!</f>
        <v>#REF!</v>
      </c>
      <c r="V27" s="32" t="e">
        <f>'расчет стоимости'!#REF!*IF('Формулы расчета'!C27=#REF!,#REF!*#REF!,#REF!*#REF!)+'Формулы расчета'!W27</f>
        <v>#REF!</v>
      </c>
      <c r="W27" s="22" t="e">
        <f>IF('расчет стоимости'!#REF!&lt;&gt;0,'расчет стоимости'!#REF!*(#REF!*#REF!),0)</f>
        <v>#REF!</v>
      </c>
      <c r="X27" t="e">
        <f>IF(F27=20,G27*'расчет стоимости'!#REF!,0)</f>
        <v>#REF!</v>
      </c>
      <c r="Y27" t="e">
        <f>IF(F27=30,G27*'расчет стоимости'!#REF!,0)</f>
        <v>#REF!</v>
      </c>
      <c r="Z27" t="e">
        <f t="shared" si="2"/>
        <v>#REF!</v>
      </c>
      <c r="AA27" t="e">
        <f t="shared" si="3"/>
        <v>#REF!</v>
      </c>
      <c r="AB27" t="e">
        <f t="shared" si="4"/>
        <v>#REF!</v>
      </c>
      <c r="AC27" t="e">
        <f t="shared" si="5"/>
        <v>#REF!</v>
      </c>
    </row>
    <row r="28" spans="2:29" x14ac:dyDescent="0.25">
      <c r="B28">
        <v>21</v>
      </c>
      <c r="C28" s="21" t="e">
        <f>IF('расчет стоимости'!#REF!&lt;&gt;0,#REF!,IF('расчет стоимости'!#REF!&lt;&gt;0,#REF!,#REF!))</f>
        <v>#REF!</v>
      </c>
      <c r="D28" s="50" t="e">
        <f>'расчет стоимости'!#REF!</f>
        <v>#REF!</v>
      </c>
      <c r="E28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8" s="19" t="e">
        <f t="shared" si="6"/>
        <v>#REF!</v>
      </c>
      <c r="G28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8" s="36" t="e">
        <f>('расчет стоимости'!#REF!+'расчет стоимости'!#REF!)*0.001*2</f>
        <v>#REF!</v>
      </c>
      <c r="I28" s="34" t="e">
        <f>IF(F28=20,'расчет стоимости'!#REF!*G28*#REF!,'расчет стоимости'!#REF!*G28*#REF!)</f>
        <v>#REF!</v>
      </c>
      <c r="J28" s="11" t="e">
        <f>IF('расчет стоимости'!#REF!=0,0,'расчет стоимости'!#REF!*'расчет стоимости'!#REF!*4)</f>
        <v>#REF!</v>
      </c>
      <c r="K28" s="11" t="e">
        <f>IF(F28=20,J28*#REF!,J28*#REF!)</f>
        <v>#REF!</v>
      </c>
      <c r="L28" s="11" t="e">
        <f>IF('расчет стоимости'!#REF!=0,0,(M28+N28)*2*'расчет стоимости'!#REF!)</f>
        <v>#REF!</v>
      </c>
      <c r="M28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8" s="11" t="e">
        <f>IF('расчет стоимости'!#REF!&lt;400,0,IF('расчет стоимости'!#REF!&lt;=500,1,IF('расчет стоимости'!#REF!&lt;900,2,3)))</f>
        <v>#REF!</v>
      </c>
      <c r="O28" s="35" t="e">
        <f>IF(ПЛОЩАДИ!Y27=1,'расчет стоимости'!#REF!*0.15,'расчет стоимости'!#REF!*0.1)</f>
        <v>#REF!</v>
      </c>
      <c r="P28" s="33" t="e">
        <f>IF(('расчет стоимости'!#REF!+'расчет стоимости'!#REF!)*2&lt;=1400,0.5,0.7)</f>
        <v>#REF!</v>
      </c>
      <c r="Q28" s="11" t="e">
        <f t="shared" si="1"/>
        <v>#REF!</v>
      </c>
      <c r="R28" s="11" t="e">
        <f>#REF!*('расчет стоимости'!#REF!+O28)</f>
        <v>#REF!</v>
      </c>
      <c r="S28" s="11" t="e">
        <f>#REF!*('расчет стоимости'!#REF!+O28)</f>
        <v>#REF!</v>
      </c>
      <c r="T28" s="11" t="e">
        <f>K28+I28+(L28*#REF!)</f>
        <v>#REF!</v>
      </c>
      <c r="U28" s="11" t="e">
        <f>'расчет стоимости'!#REF!*(#REF!+#REF!)*#REF!</f>
        <v>#REF!</v>
      </c>
      <c r="V28" s="32" t="e">
        <f>'расчет стоимости'!#REF!*IF('Формулы расчета'!C28=#REF!,#REF!*#REF!,#REF!*#REF!)+'Формулы расчета'!W28</f>
        <v>#REF!</v>
      </c>
      <c r="W28" s="22" t="e">
        <f>IF('расчет стоимости'!#REF!&lt;&gt;0,'расчет стоимости'!#REF!*(#REF!*#REF!),0)</f>
        <v>#REF!</v>
      </c>
      <c r="X28" t="e">
        <f>IF(F28=20,G28*'расчет стоимости'!#REF!,0)</f>
        <v>#REF!</v>
      </c>
      <c r="Y28" t="e">
        <f>IF(F28=30,G28*'расчет стоимости'!#REF!,0)</f>
        <v>#REF!</v>
      </c>
      <c r="Z28" t="e">
        <f t="shared" si="2"/>
        <v>#REF!</v>
      </c>
      <c r="AA28" t="e">
        <f t="shared" si="3"/>
        <v>#REF!</v>
      </c>
      <c r="AB28" t="e">
        <f t="shared" si="4"/>
        <v>#REF!</v>
      </c>
      <c r="AC28" t="e">
        <f t="shared" si="5"/>
        <v>#REF!</v>
      </c>
    </row>
    <row r="29" spans="2:29" x14ac:dyDescent="0.25">
      <c r="B29">
        <v>22</v>
      </c>
      <c r="C29" s="21" t="e">
        <f>IF('расчет стоимости'!#REF!&lt;&gt;0,#REF!,IF('расчет стоимости'!#REF!&lt;&gt;0,#REF!,#REF!))</f>
        <v>#REF!</v>
      </c>
      <c r="D29" s="50" t="e">
        <f>'расчет стоимости'!#REF!</f>
        <v>#REF!</v>
      </c>
      <c r="E29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29" s="11" t="e">
        <f t="shared" ref="F29:F57" si="7">IF(P29=0.5,20,30)</f>
        <v>#REF!</v>
      </c>
      <c r="G29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29" s="36" t="e">
        <f>('расчет стоимости'!#REF!+'расчет стоимости'!#REF!)*0.001*2</f>
        <v>#REF!</v>
      </c>
      <c r="I29" s="34" t="e">
        <f>IF(F29=20,'расчет стоимости'!#REF!*G29*#REF!,'расчет стоимости'!#REF!*G29*#REF!)</f>
        <v>#REF!</v>
      </c>
      <c r="J29" s="11" t="e">
        <f>IF('расчет стоимости'!#REF!=0,0,'расчет стоимости'!#REF!*'расчет стоимости'!#REF!*4)</f>
        <v>#REF!</v>
      </c>
      <c r="K29" s="11" t="e">
        <f>IF(F29=20,J29*#REF!,J29*#REF!)</f>
        <v>#REF!</v>
      </c>
      <c r="L29" s="11" t="e">
        <f>IF('расчет стоимости'!#REF!=0,0,(M29+N29)*2*'расчет стоимости'!#REF!)</f>
        <v>#REF!</v>
      </c>
      <c r="M29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29" s="11" t="e">
        <f>IF('расчет стоимости'!#REF!&lt;400,0,IF('расчет стоимости'!#REF!&lt;=500,1,IF('расчет стоимости'!#REF!&lt;900,2,3)))</f>
        <v>#REF!</v>
      </c>
      <c r="O29" s="35" t="e">
        <f>IF(ПЛОЩАДИ!Y28=1,'расчет стоимости'!#REF!*0.15,'расчет стоимости'!#REF!*0.1)</f>
        <v>#REF!</v>
      </c>
      <c r="P29" s="33" t="e">
        <f>IF(('расчет стоимости'!#REF!+'расчет стоимости'!#REF!)*2&lt;=1400,0.5,0.7)</f>
        <v>#REF!</v>
      </c>
      <c r="Q29" s="11" t="e">
        <f t="shared" si="1"/>
        <v>#REF!</v>
      </c>
      <c r="R29" s="11" t="e">
        <f>#REF!*('расчет стоимости'!#REF!+O29)</f>
        <v>#REF!</v>
      </c>
      <c r="S29" s="11" t="e">
        <f>#REF!*('расчет стоимости'!#REF!+O29)</f>
        <v>#REF!</v>
      </c>
      <c r="T29" s="11" t="e">
        <f>K29+I29+(L29*#REF!)</f>
        <v>#REF!</v>
      </c>
      <c r="U29" s="11" t="e">
        <f>'расчет стоимости'!#REF!*(#REF!+#REF!)*#REF!</f>
        <v>#REF!</v>
      </c>
      <c r="V29" s="32" t="e">
        <f>'расчет стоимости'!#REF!*IF('Формулы расчета'!C29=#REF!,#REF!*#REF!,#REF!*#REF!)+'Формулы расчета'!W29</f>
        <v>#REF!</v>
      </c>
      <c r="W29" s="22" t="e">
        <f>IF('расчет стоимости'!#REF!&lt;&gt;0,'расчет стоимости'!#REF!*(#REF!*#REF!),0)</f>
        <v>#REF!</v>
      </c>
      <c r="X29" t="e">
        <f>IF(F29=20,G29*'расчет стоимости'!#REF!,0)</f>
        <v>#REF!</v>
      </c>
      <c r="Y29" t="e">
        <f>IF(F29=30,G29*'расчет стоимости'!#REF!,0)</f>
        <v>#REF!</v>
      </c>
      <c r="Z29" t="e">
        <f t="shared" si="2"/>
        <v>#REF!</v>
      </c>
      <c r="AA29" t="e">
        <f t="shared" si="3"/>
        <v>#REF!</v>
      </c>
      <c r="AB29" t="e">
        <f t="shared" si="4"/>
        <v>#REF!</v>
      </c>
      <c r="AC29" t="e">
        <f t="shared" si="5"/>
        <v>#REF!</v>
      </c>
    </row>
    <row r="30" spans="2:29" x14ac:dyDescent="0.25">
      <c r="B30">
        <v>23</v>
      </c>
      <c r="C30" s="21" t="e">
        <f>IF('расчет стоимости'!#REF!&lt;&gt;0,#REF!,IF('расчет стоимости'!#REF!&lt;&gt;0,#REF!,#REF!))</f>
        <v>#REF!</v>
      </c>
      <c r="D30" s="50" t="e">
        <f>'расчет стоимости'!#REF!</f>
        <v>#REF!</v>
      </c>
      <c r="E30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0" s="11" t="e">
        <f t="shared" si="7"/>
        <v>#REF!</v>
      </c>
      <c r="G30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0" s="36" t="e">
        <f>('расчет стоимости'!#REF!+'расчет стоимости'!#REF!)*0.001*2</f>
        <v>#REF!</v>
      </c>
      <c r="I30" s="34" t="e">
        <f>IF(F30=20,'расчет стоимости'!#REF!*G30*#REF!,'расчет стоимости'!#REF!*G30*#REF!)</f>
        <v>#REF!</v>
      </c>
      <c r="J30" s="11" t="e">
        <f>IF('расчет стоимости'!#REF!=0,0,'расчет стоимости'!#REF!*'расчет стоимости'!#REF!*4)</f>
        <v>#REF!</v>
      </c>
      <c r="K30" s="11" t="e">
        <f>IF(F30=20,J30*#REF!,J30*#REF!)</f>
        <v>#REF!</v>
      </c>
      <c r="L30" s="11" t="e">
        <f>IF('расчет стоимости'!#REF!=0,0,(M30+N30)*2*'расчет стоимости'!#REF!)</f>
        <v>#REF!</v>
      </c>
      <c r="M30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0" s="11" t="e">
        <f>IF('расчет стоимости'!#REF!&lt;400,0,IF('расчет стоимости'!#REF!&lt;=500,1,IF('расчет стоимости'!#REF!&lt;900,2,3)))</f>
        <v>#REF!</v>
      </c>
      <c r="O30" s="35" t="e">
        <f>IF(ПЛОЩАДИ!Y29=1,'расчет стоимости'!#REF!*0.15,'расчет стоимости'!#REF!*0.1)</f>
        <v>#REF!</v>
      </c>
      <c r="P30" s="33" t="e">
        <f>IF(('расчет стоимости'!#REF!+'расчет стоимости'!#REF!)*2&lt;=1400,0.5,0.7)</f>
        <v>#REF!</v>
      </c>
      <c r="Q30" s="11" t="e">
        <f t="shared" si="1"/>
        <v>#REF!</v>
      </c>
      <c r="R30" s="11" t="e">
        <f>#REF!*('расчет стоимости'!#REF!+O30)</f>
        <v>#REF!</v>
      </c>
      <c r="S30" s="11" t="e">
        <f>#REF!*('расчет стоимости'!#REF!+O30)</f>
        <v>#REF!</v>
      </c>
      <c r="T30" s="11" t="e">
        <f>K30+I30+(L30*#REF!)</f>
        <v>#REF!</v>
      </c>
      <c r="U30" s="11" t="e">
        <f>'расчет стоимости'!#REF!*(#REF!+#REF!)*#REF!</f>
        <v>#REF!</v>
      </c>
      <c r="V30" s="32" t="e">
        <f>'расчет стоимости'!#REF!*IF('Формулы расчета'!C30=#REF!,#REF!*#REF!,#REF!*#REF!)+'Формулы расчета'!W30</f>
        <v>#REF!</v>
      </c>
      <c r="W30" s="22" t="e">
        <f>IF('расчет стоимости'!#REF!&lt;&gt;0,'расчет стоимости'!#REF!*(#REF!*#REF!),0)</f>
        <v>#REF!</v>
      </c>
      <c r="X30" t="e">
        <f>IF(F30=20,G30*'расчет стоимости'!#REF!,0)</f>
        <v>#REF!</v>
      </c>
      <c r="Y30" t="e">
        <f>IF(F30=30,G30*'расчет стоимости'!#REF!,0)</f>
        <v>#REF!</v>
      </c>
      <c r="Z30" t="e">
        <f t="shared" si="2"/>
        <v>#REF!</v>
      </c>
      <c r="AA30" t="e">
        <f t="shared" si="3"/>
        <v>#REF!</v>
      </c>
      <c r="AB30" t="e">
        <f t="shared" si="4"/>
        <v>#REF!</v>
      </c>
      <c r="AC30" t="e">
        <f t="shared" si="5"/>
        <v>#REF!</v>
      </c>
    </row>
    <row r="31" spans="2:29" x14ac:dyDescent="0.25">
      <c r="B31">
        <v>24</v>
      </c>
      <c r="C31" s="21" t="e">
        <f>IF('расчет стоимости'!#REF!&lt;&gt;0,#REF!,IF('расчет стоимости'!#REF!&lt;&gt;0,#REF!,#REF!))</f>
        <v>#REF!</v>
      </c>
      <c r="D31" s="50" t="e">
        <f>'расчет стоимости'!#REF!</f>
        <v>#REF!</v>
      </c>
      <c r="E31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1" s="11" t="e">
        <f t="shared" si="7"/>
        <v>#REF!</v>
      </c>
      <c r="G31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1" s="36" t="e">
        <f>('расчет стоимости'!#REF!+'расчет стоимости'!#REF!)*0.001*2</f>
        <v>#REF!</v>
      </c>
      <c r="I31" s="34" t="e">
        <f>IF(F31=20,'расчет стоимости'!#REF!*G31*#REF!,'расчет стоимости'!#REF!*G31*#REF!)</f>
        <v>#REF!</v>
      </c>
      <c r="J31" s="11" t="e">
        <f>IF('расчет стоимости'!#REF!=0,0,'расчет стоимости'!#REF!*'расчет стоимости'!#REF!*4)</f>
        <v>#REF!</v>
      </c>
      <c r="K31" s="11" t="e">
        <f>IF(F31=20,J31*#REF!,J31*#REF!)</f>
        <v>#REF!</v>
      </c>
      <c r="L31" s="11" t="e">
        <f>IF('расчет стоимости'!#REF!=0,0,(M31+N31)*2*'расчет стоимости'!#REF!)</f>
        <v>#REF!</v>
      </c>
      <c r="M31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1" s="11" t="e">
        <f>IF('расчет стоимости'!#REF!&lt;400,0,IF('расчет стоимости'!#REF!&lt;=500,1,IF('расчет стоимости'!#REF!&lt;900,2,3)))</f>
        <v>#REF!</v>
      </c>
      <c r="O31" s="35" t="e">
        <f>IF(ПЛОЩАДИ!Y30=1,'расчет стоимости'!#REF!*0.15,'расчет стоимости'!#REF!*0.1)</f>
        <v>#REF!</v>
      </c>
      <c r="P31" s="33" t="e">
        <f>IF(('расчет стоимости'!#REF!+'расчет стоимости'!#REF!)*2&lt;=1400,0.5,0.7)</f>
        <v>#REF!</v>
      </c>
      <c r="Q31" s="11" t="e">
        <f t="shared" si="1"/>
        <v>#REF!</v>
      </c>
      <c r="R31" s="11" t="e">
        <f>#REF!*('расчет стоимости'!#REF!+O31)</f>
        <v>#REF!</v>
      </c>
      <c r="S31" s="11" t="e">
        <f>#REF!*('расчет стоимости'!#REF!+O31)</f>
        <v>#REF!</v>
      </c>
      <c r="T31" s="11" t="e">
        <f>K31+I31+(L31*#REF!)</f>
        <v>#REF!</v>
      </c>
      <c r="U31" s="11" t="e">
        <f>'расчет стоимости'!#REF!*(#REF!+#REF!)*#REF!</f>
        <v>#REF!</v>
      </c>
      <c r="V31" s="32" t="e">
        <f>'расчет стоимости'!#REF!*IF('Формулы расчета'!C31=#REF!,#REF!*#REF!,#REF!*#REF!)+'Формулы расчета'!W31</f>
        <v>#REF!</v>
      </c>
      <c r="W31" s="22" t="e">
        <f>IF('расчет стоимости'!#REF!&lt;&gt;0,'расчет стоимости'!#REF!*(#REF!*#REF!),0)</f>
        <v>#REF!</v>
      </c>
      <c r="X31" t="e">
        <f>IF(F31=20,G31*'расчет стоимости'!#REF!,0)</f>
        <v>#REF!</v>
      </c>
      <c r="Y31" t="e">
        <f>IF(F31=30,G31*'расчет стоимости'!#REF!,0)</f>
        <v>#REF!</v>
      </c>
      <c r="Z31" t="e">
        <f t="shared" si="2"/>
        <v>#REF!</v>
      </c>
      <c r="AA31" t="e">
        <f t="shared" si="3"/>
        <v>#REF!</v>
      </c>
      <c r="AB31" t="e">
        <f t="shared" si="4"/>
        <v>#REF!</v>
      </c>
      <c r="AC31" t="e">
        <f t="shared" si="5"/>
        <v>#REF!</v>
      </c>
    </row>
    <row r="32" spans="2:29" x14ac:dyDescent="0.25">
      <c r="B32">
        <v>25</v>
      </c>
      <c r="C32" s="21" t="e">
        <f>IF('расчет стоимости'!#REF!&lt;&gt;0,#REF!,IF('расчет стоимости'!#REF!&lt;&gt;0,#REF!,#REF!))</f>
        <v>#REF!</v>
      </c>
      <c r="D32" s="50" t="e">
        <f>'расчет стоимости'!#REF!</f>
        <v>#REF!</v>
      </c>
      <c r="E32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2" s="11" t="e">
        <f t="shared" si="7"/>
        <v>#REF!</v>
      </c>
      <c r="G32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2" s="36" t="e">
        <f>('расчет стоимости'!#REF!+'расчет стоимости'!#REF!)*0.001*2</f>
        <v>#REF!</v>
      </c>
      <c r="I32" s="34" t="e">
        <f>IF(F32=20,'расчет стоимости'!#REF!*G32*#REF!,'расчет стоимости'!#REF!*G32*#REF!)</f>
        <v>#REF!</v>
      </c>
      <c r="J32" s="11" t="e">
        <f>IF('расчет стоимости'!#REF!=0,0,'расчет стоимости'!#REF!*'расчет стоимости'!#REF!*4)</f>
        <v>#REF!</v>
      </c>
      <c r="K32" s="11" t="e">
        <f>IF(F32=20,J32*#REF!,J32*#REF!)</f>
        <v>#REF!</v>
      </c>
      <c r="L32" s="11" t="e">
        <f>IF('расчет стоимости'!#REF!=0,0,(M32+N32)*2*'расчет стоимости'!#REF!)</f>
        <v>#REF!</v>
      </c>
      <c r="M32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2" s="11" t="e">
        <f>IF('расчет стоимости'!#REF!&lt;400,0,IF('расчет стоимости'!#REF!&lt;=500,1,IF('расчет стоимости'!#REF!&lt;900,2,3)))</f>
        <v>#REF!</v>
      </c>
      <c r="O32" s="35" t="e">
        <f>IF(ПЛОЩАДИ!Y31=1,'расчет стоимости'!#REF!*0.15,'расчет стоимости'!#REF!*0.1)</f>
        <v>#REF!</v>
      </c>
      <c r="P32" s="33" t="e">
        <f>IF(('расчет стоимости'!#REF!+'расчет стоимости'!#REF!)*2&lt;=1400,0.5,0.7)</f>
        <v>#REF!</v>
      </c>
      <c r="Q32" s="11" t="e">
        <f t="shared" si="1"/>
        <v>#REF!</v>
      </c>
      <c r="R32" s="11" t="e">
        <f>#REF!*('расчет стоимости'!#REF!+O32)</f>
        <v>#REF!</v>
      </c>
      <c r="S32" s="11" t="e">
        <f>#REF!*('расчет стоимости'!#REF!+O32)</f>
        <v>#REF!</v>
      </c>
      <c r="T32" s="11" t="e">
        <f>K32+I32+(L32*#REF!)</f>
        <v>#REF!</v>
      </c>
      <c r="U32" s="11" t="e">
        <f>'расчет стоимости'!#REF!*(#REF!+#REF!)*#REF!</f>
        <v>#REF!</v>
      </c>
      <c r="V32" s="32" t="e">
        <f>'расчет стоимости'!#REF!*IF('Формулы расчета'!C32=#REF!,#REF!*#REF!,#REF!*#REF!)+'Формулы расчета'!W32</f>
        <v>#REF!</v>
      </c>
      <c r="W32" s="22" t="e">
        <f>IF('расчет стоимости'!#REF!&lt;&gt;0,'расчет стоимости'!#REF!*(#REF!*#REF!),0)</f>
        <v>#REF!</v>
      </c>
      <c r="X32" t="e">
        <f>IF(F32=20,G32*'расчет стоимости'!#REF!,0)</f>
        <v>#REF!</v>
      </c>
      <c r="Y32" t="e">
        <f>IF(F32=30,G32*'расчет стоимости'!#REF!,0)</f>
        <v>#REF!</v>
      </c>
      <c r="Z32" t="e">
        <f t="shared" si="2"/>
        <v>#REF!</v>
      </c>
      <c r="AA32" t="e">
        <f t="shared" si="3"/>
        <v>#REF!</v>
      </c>
      <c r="AB32" t="e">
        <f t="shared" si="4"/>
        <v>#REF!</v>
      </c>
      <c r="AC32" t="e">
        <f t="shared" si="5"/>
        <v>#REF!</v>
      </c>
    </row>
    <row r="33" spans="2:29" x14ac:dyDescent="0.25">
      <c r="B33">
        <v>26</v>
      </c>
      <c r="C33" s="21" t="e">
        <f>IF('расчет стоимости'!#REF!&lt;&gt;0,#REF!,IF('расчет стоимости'!#REF!&lt;&gt;0,#REF!,#REF!))</f>
        <v>#REF!</v>
      </c>
      <c r="D33" s="50" t="e">
        <f>'расчет стоимости'!#REF!</f>
        <v>#REF!</v>
      </c>
      <c r="E33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3" s="11" t="e">
        <f t="shared" si="7"/>
        <v>#REF!</v>
      </c>
      <c r="G33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3" s="36" t="e">
        <f>('расчет стоимости'!#REF!+'расчет стоимости'!#REF!)*0.001*2</f>
        <v>#REF!</v>
      </c>
      <c r="I33" s="34" t="e">
        <f>IF(F33=20,'расчет стоимости'!#REF!*G33*#REF!,'расчет стоимости'!#REF!*G33*#REF!)</f>
        <v>#REF!</v>
      </c>
      <c r="J33" s="11" t="e">
        <f>IF('расчет стоимости'!#REF!=0,0,'расчет стоимости'!#REF!*'расчет стоимости'!#REF!*4)</f>
        <v>#REF!</v>
      </c>
      <c r="K33" s="11" t="e">
        <f>IF(F33=20,J33*#REF!,J33*#REF!)</f>
        <v>#REF!</v>
      </c>
      <c r="L33" s="11" t="e">
        <f>IF('расчет стоимости'!#REF!=0,0,(M33+N33)*2*'расчет стоимости'!#REF!)</f>
        <v>#REF!</v>
      </c>
      <c r="M33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3" s="11" t="e">
        <f>IF('расчет стоимости'!#REF!&lt;400,0,IF('расчет стоимости'!#REF!&lt;=500,1,IF('расчет стоимости'!#REF!&lt;900,2,3)))</f>
        <v>#REF!</v>
      </c>
      <c r="O33" s="35" t="e">
        <f>IF(ПЛОЩАДИ!Y32=1,'расчет стоимости'!#REF!*0.15,'расчет стоимости'!#REF!*0.1)</f>
        <v>#REF!</v>
      </c>
      <c r="P33" s="33" t="e">
        <f>IF(('расчет стоимости'!#REF!+'расчет стоимости'!#REF!)*2&lt;=1400,0.5,0.7)</f>
        <v>#REF!</v>
      </c>
      <c r="Q33" s="11" t="e">
        <f t="shared" si="1"/>
        <v>#REF!</v>
      </c>
      <c r="R33" s="11" t="e">
        <f>#REF!*('расчет стоимости'!#REF!+O33)</f>
        <v>#REF!</v>
      </c>
      <c r="S33" s="11" t="e">
        <f>#REF!*('расчет стоимости'!#REF!+O33)</f>
        <v>#REF!</v>
      </c>
      <c r="T33" s="11" t="e">
        <f>K33+I33+(L33*#REF!)</f>
        <v>#REF!</v>
      </c>
      <c r="U33" s="11" t="e">
        <f>'расчет стоимости'!#REF!*(#REF!+#REF!)*#REF!</f>
        <v>#REF!</v>
      </c>
      <c r="V33" s="32" t="e">
        <f>'расчет стоимости'!#REF!*IF('Формулы расчета'!C33=#REF!,#REF!*#REF!,#REF!*#REF!)+'Формулы расчета'!W33</f>
        <v>#REF!</v>
      </c>
      <c r="W33" s="22" t="e">
        <f>IF('расчет стоимости'!#REF!&lt;&gt;0,'расчет стоимости'!#REF!*(#REF!*#REF!),0)</f>
        <v>#REF!</v>
      </c>
      <c r="X33" t="e">
        <f>IF(F33=20,G33*'расчет стоимости'!#REF!,0)</f>
        <v>#REF!</v>
      </c>
      <c r="Y33" t="e">
        <f>IF(F33=30,G33*'расчет стоимости'!#REF!,0)</f>
        <v>#REF!</v>
      </c>
      <c r="Z33" t="e">
        <f t="shared" si="2"/>
        <v>#REF!</v>
      </c>
      <c r="AA33" t="e">
        <f t="shared" si="3"/>
        <v>#REF!</v>
      </c>
      <c r="AB33" t="e">
        <f t="shared" si="4"/>
        <v>#REF!</v>
      </c>
      <c r="AC33" t="e">
        <f t="shared" si="5"/>
        <v>#REF!</v>
      </c>
    </row>
    <row r="34" spans="2:29" x14ac:dyDescent="0.25">
      <c r="B34">
        <v>27</v>
      </c>
      <c r="C34" s="21" t="e">
        <f>IF('расчет стоимости'!#REF!&lt;&gt;0,#REF!,IF('расчет стоимости'!#REF!&lt;&gt;0,#REF!,#REF!))</f>
        <v>#REF!</v>
      </c>
      <c r="D34" s="50" t="e">
        <f>'расчет стоимости'!#REF!</f>
        <v>#REF!</v>
      </c>
      <c r="E34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4" s="11" t="e">
        <f t="shared" si="7"/>
        <v>#REF!</v>
      </c>
      <c r="G34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4" s="36" t="e">
        <f>('расчет стоимости'!#REF!+'расчет стоимости'!#REF!)*0.001*2</f>
        <v>#REF!</v>
      </c>
      <c r="I34" s="34" t="e">
        <f>IF(F34=20,'расчет стоимости'!#REF!*G34*#REF!,'расчет стоимости'!#REF!*G34*#REF!)</f>
        <v>#REF!</v>
      </c>
      <c r="J34" s="11" t="e">
        <f>IF('расчет стоимости'!#REF!=0,0,'расчет стоимости'!#REF!*'расчет стоимости'!#REF!*4)</f>
        <v>#REF!</v>
      </c>
      <c r="K34" s="11" t="e">
        <f>IF(F34=20,J34*#REF!,J34*#REF!)</f>
        <v>#REF!</v>
      </c>
      <c r="L34" s="11" t="e">
        <f>IF('расчет стоимости'!#REF!=0,0,(M34+N34)*2*'расчет стоимости'!#REF!)</f>
        <v>#REF!</v>
      </c>
      <c r="M34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4" s="11" t="e">
        <f>IF('расчет стоимости'!#REF!&lt;400,0,IF('расчет стоимости'!#REF!&lt;=500,1,IF('расчет стоимости'!#REF!&lt;900,2,3)))</f>
        <v>#REF!</v>
      </c>
      <c r="O34" s="35" t="e">
        <f>IF(ПЛОЩАДИ!Y33=1,'расчет стоимости'!#REF!*0.15,'расчет стоимости'!#REF!*0.1)</f>
        <v>#REF!</v>
      </c>
      <c r="P34" s="33" t="e">
        <f>IF(('расчет стоимости'!#REF!+'расчет стоимости'!#REF!)*2&lt;=1400,0.5,0.7)</f>
        <v>#REF!</v>
      </c>
      <c r="Q34" s="11" t="e">
        <f t="shared" si="1"/>
        <v>#REF!</v>
      </c>
      <c r="R34" s="11" t="e">
        <f>#REF!*('расчет стоимости'!#REF!+O34)</f>
        <v>#REF!</v>
      </c>
      <c r="S34" s="11" t="e">
        <f>#REF!*('расчет стоимости'!#REF!+O34)</f>
        <v>#REF!</v>
      </c>
      <c r="T34" s="11" t="e">
        <f>K34+I34+(L34*#REF!)</f>
        <v>#REF!</v>
      </c>
      <c r="U34" s="11" t="e">
        <f>'расчет стоимости'!#REF!*(#REF!+#REF!)*#REF!</f>
        <v>#REF!</v>
      </c>
      <c r="V34" s="32" t="e">
        <f>'расчет стоимости'!#REF!*IF('Формулы расчета'!C34=#REF!,#REF!*#REF!,#REF!*#REF!)+'Формулы расчета'!W34</f>
        <v>#REF!</v>
      </c>
      <c r="W34" s="22" t="e">
        <f>IF('расчет стоимости'!#REF!&lt;&gt;0,'расчет стоимости'!#REF!*(#REF!*#REF!),0)</f>
        <v>#REF!</v>
      </c>
      <c r="X34" t="e">
        <f>IF(F34=20,G34*'расчет стоимости'!#REF!,0)</f>
        <v>#REF!</v>
      </c>
      <c r="Y34" t="e">
        <f>IF(F34=30,G34*'расчет стоимости'!#REF!,0)</f>
        <v>#REF!</v>
      </c>
      <c r="Z34" t="e">
        <f t="shared" si="2"/>
        <v>#REF!</v>
      </c>
      <c r="AA34" t="e">
        <f t="shared" si="3"/>
        <v>#REF!</v>
      </c>
      <c r="AB34" t="e">
        <f t="shared" si="4"/>
        <v>#REF!</v>
      </c>
      <c r="AC34" t="e">
        <f t="shared" si="5"/>
        <v>#REF!</v>
      </c>
    </row>
    <row r="35" spans="2:29" x14ac:dyDescent="0.25">
      <c r="B35">
        <v>28</v>
      </c>
      <c r="C35" s="21" t="e">
        <f>IF('расчет стоимости'!#REF!&lt;&gt;0,#REF!,IF('расчет стоимости'!#REF!&lt;&gt;0,#REF!,#REF!))</f>
        <v>#REF!</v>
      </c>
      <c r="D35" s="50" t="e">
        <f>'расчет стоимости'!#REF!</f>
        <v>#REF!</v>
      </c>
      <c r="E35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5" s="11" t="e">
        <f t="shared" si="7"/>
        <v>#REF!</v>
      </c>
      <c r="G35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5" s="36" t="e">
        <f>('расчет стоимости'!#REF!+'расчет стоимости'!#REF!)*0.001*2</f>
        <v>#REF!</v>
      </c>
      <c r="I35" s="34" t="e">
        <f>IF(F35=20,'расчет стоимости'!#REF!*G35*#REF!,'расчет стоимости'!#REF!*G35*#REF!)</f>
        <v>#REF!</v>
      </c>
      <c r="J35" s="11" t="e">
        <f>IF('расчет стоимости'!#REF!=0,0,'расчет стоимости'!#REF!*'расчет стоимости'!#REF!*4)</f>
        <v>#REF!</v>
      </c>
      <c r="K35" s="11" t="e">
        <f>IF(F35=20,J35*#REF!,J35*#REF!)</f>
        <v>#REF!</v>
      </c>
      <c r="L35" s="11" t="e">
        <f>IF('расчет стоимости'!#REF!=0,0,(M35+N35)*2*'расчет стоимости'!#REF!)</f>
        <v>#REF!</v>
      </c>
      <c r="M35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5" s="11" t="e">
        <f>IF('расчет стоимости'!#REF!&lt;400,0,IF('расчет стоимости'!#REF!&lt;=500,1,IF('расчет стоимости'!#REF!&lt;900,2,3)))</f>
        <v>#REF!</v>
      </c>
      <c r="O35" s="35" t="e">
        <f>IF(ПЛОЩАДИ!Y34=1,'расчет стоимости'!#REF!*0.15,'расчет стоимости'!#REF!*0.1)</f>
        <v>#REF!</v>
      </c>
      <c r="P35" s="33" t="e">
        <f>IF(('расчет стоимости'!#REF!+'расчет стоимости'!#REF!)*2&lt;=1400,0.5,0.7)</f>
        <v>#REF!</v>
      </c>
      <c r="Q35" s="11" t="e">
        <f t="shared" si="1"/>
        <v>#REF!</v>
      </c>
      <c r="R35" s="11" t="e">
        <f>#REF!*('расчет стоимости'!#REF!+O35)</f>
        <v>#REF!</v>
      </c>
      <c r="S35" s="11" t="e">
        <f>#REF!*('расчет стоимости'!#REF!+O35)</f>
        <v>#REF!</v>
      </c>
      <c r="T35" s="11" t="e">
        <f>K35+I35+(L35*#REF!)</f>
        <v>#REF!</v>
      </c>
      <c r="U35" s="11" t="e">
        <f>'расчет стоимости'!#REF!*(#REF!+#REF!)*#REF!</f>
        <v>#REF!</v>
      </c>
      <c r="V35" s="32" t="e">
        <f>'расчет стоимости'!#REF!*IF('Формулы расчета'!C35=#REF!,#REF!*#REF!,#REF!*#REF!)+'Формулы расчета'!W35</f>
        <v>#REF!</v>
      </c>
      <c r="W35" s="22" t="e">
        <f>IF('расчет стоимости'!#REF!&lt;&gt;0,'расчет стоимости'!#REF!*(#REF!*#REF!),0)</f>
        <v>#REF!</v>
      </c>
      <c r="X35" t="e">
        <f>IF(F35=20,G35*'расчет стоимости'!#REF!,0)</f>
        <v>#REF!</v>
      </c>
      <c r="Y35" t="e">
        <f>IF(F35=30,G35*'расчет стоимости'!#REF!,0)</f>
        <v>#REF!</v>
      </c>
      <c r="Z35" t="e">
        <f t="shared" si="2"/>
        <v>#REF!</v>
      </c>
      <c r="AA35" t="e">
        <f t="shared" si="3"/>
        <v>#REF!</v>
      </c>
      <c r="AB35" t="e">
        <f t="shared" si="4"/>
        <v>#REF!</v>
      </c>
      <c r="AC35" t="e">
        <f t="shared" si="5"/>
        <v>#REF!</v>
      </c>
    </row>
    <row r="36" spans="2:29" x14ac:dyDescent="0.25">
      <c r="B36">
        <v>29</v>
      </c>
      <c r="C36" s="21" t="e">
        <f>IF('расчет стоимости'!#REF!&lt;&gt;0,#REF!,IF('расчет стоимости'!#REF!&lt;&gt;0,#REF!,#REF!))</f>
        <v>#REF!</v>
      </c>
      <c r="D36" s="50" t="e">
        <f>'расчет стоимости'!#REF!</f>
        <v>#REF!</v>
      </c>
      <c r="E36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6" s="11" t="e">
        <f t="shared" si="7"/>
        <v>#REF!</v>
      </c>
      <c r="G36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6" s="36" t="e">
        <f>('расчет стоимости'!#REF!+'расчет стоимости'!#REF!)*0.001*2</f>
        <v>#REF!</v>
      </c>
      <c r="I36" s="34" t="e">
        <f>IF(F36=20,'расчет стоимости'!#REF!*G36*#REF!,'расчет стоимости'!#REF!*G36*#REF!)</f>
        <v>#REF!</v>
      </c>
      <c r="J36" s="11" t="e">
        <f>IF('расчет стоимости'!#REF!=0,0,'расчет стоимости'!#REF!*'расчет стоимости'!#REF!*4)</f>
        <v>#REF!</v>
      </c>
      <c r="K36" s="11" t="e">
        <f>IF(F36=20,J36*#REF!,J36*#REF!)</f>
        <v>#REF!</v>
      </c>
      <c r="L36" s="11" t="e">
        <f>IF('расчет стоимости'!#REF!=0,0,(M36+N36)*2*'расчет стоимости'!#REF!)</f>
        <v>#REF!</v>
      </c>
      <c r="M36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6" s="11" t="e">
        <f>IF('расчет стоимости'!#REF!&lt;400,0,IF('расчет стоимости'!#REF!&lt;=500,1,IF('расчет стоимости'!#REF!&lt;900,2,3)))</f>
        <v>#REF!</v>
      </c>
      <c r="O36" s="35" t="e">
        <f>IF(ПЛОЩАДИ!Y35=1,'расчет стоимости'!#REF!*0.15,'расчет стоимости'!#REF!*0.1)</f>
        <v>#REF!</v>
      </c>
      <c r="P36" s="33" t="e">
        <f>IF(('расчет стоимости'!#REF!+'расчет стоимости'!#REF!)*2&lt;=1400,0.5,0.7)</f>
        <v>#REF!</v>
      </c>
      <c r="Q36" s="11" t="e">
        <f t="shared" si="1"/>
        <v>#REF!</v>
      </c>
      <c r="R36" s="11" t="e">
        <f>#REF!*('расчет стоимости'!#REF!+O36)</f>
        <v>#REF!</v>
      </c>
      <c r="S36" s="11" t="e">
        <f>#REF!*('расчет стоимости'!#REF!+O36)</f>
        <v>#REF!</v>
      </c>
      <c r="T36" s="11" t="e">
        <f>K36+I36+(L36*#REF!)</f>
        <v>#REF!</v>
      </c>
      <c r="U36" s="11" t="e">
        <f>'расчет стоимости'!#REF!*(#REF!+#REF!)*#REF!</f>
        <v>#REF!</v>
      </c>
      <c r="V36" s="32" t="e">
        <f>'расчет стоимости'!#REF!*IF('Формулы расчета'!C36=#REF!,#REF!*#REF!,#REF!*#REF!)+'Формулы расчета'!W36</f>
        <v>#REF!</v>
      </c>
      <c r="W36" s="22" t="e">
        <f>IF('расчет стоимости'!#REF!&lt;&gt;0,'расчет стоимости'!#REF!*(#REF!*#REF!),0)</f>
        <v>#REF!</v>
      </c>
      <c r="X36" t="e">
        <f>IF(F36=20,G36*'расчет стоимости'!#REF!,0)</f>
        <v>#REF!</v>
      </c>
      <c r="Y36" t="e">
        <f>IF(F36=30,G36*'расчет стоимости'!#REF!,0)</f>
        <v>#REF!</v>
      </c>
      <c r="Z36" t="e">
        <f t="shared" si="2"/>
        <v>#REF!</v>
      </c>
      <c r="AA36" t="e">
        <f t="shared" si="3"/>
        <v>#REF!</v>
      </c>
      <c r="AB36" t="e">
        <f t="shared" si="4"/>
        <v>#REF!</v>
      </c>
      <c r="AC36" t="e">
        <f t="shared" si="5"/>
        <v>#REF!</v>
      </c>
    </row>
    <row r="37" spans="2:29" x14ac:dyDescent="0.25">
      <c r="B37">
        <v>30</v>
      </c>
      <c r="C37" s="21" t="e">
        <f>IF('расчет стоимости'!#REF!&lt;&gt;0,#REF!,IF('расчет стоимости'!#REF!&lt;&gt;0,#REF!,#REF!))</f>
        <v>#REF!</v>
      </c>
      <c r="D37" s="50" t="e">
        <f>'расчет стоимости'!#REF!</f>
        <v>#REF!</v>
      </c>
      <c r="E37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7" s="11" t="e">
        <f t="shared" si="7"/>
        <v>#REF!</v>
      </c>
      <c r="G37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7" s="36" t="e">
        <f>('расчет стоимости'!#REF!+'расчет стоимости'!#REF!)*0.001*2</f>
        <v>#REF!</v>
      </c>
      <c r="I37" s="34" t="e">
        <f>IF(F37=20,'расчет стоимости'!#REF!*G37*#REF!,'расчет стоимости'!#REF!*G37*#REF!)</f>
        <v>#REF!</v>
      </c>
      <c r="J37" s="11" t="e">
        <f>IF('расчет стоимости'!#REF!=0,0,'расчет стоимости'!#REF!*'расчет стоимости'!#REF!*4)</f>
        <v>#REF!</v>
      </c>
      <c r="K37" s="11" t="e">
        <f>IF(F37=20,J37*#REF!,J37*#REF!)</f>
        <v>#REF!</v>
      </c>
      <c r="L37" s="11" t="e">
        <f>IF('расчет стоимости'!#REF!=0,0,(M37+N37)*2*'расчет стоимости'!#REF!)</f>
        <v>#REF!</v>
      </c>
      <c r="M37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7" s="11" t="e">
        <f>IF('расчет стоимости'!#REF!&lt;400,0,IF('расчет стоимости'!#REF!&lt;=500,1,IF('расчет стоимости'!#REF!&lt;900,2,3)))</f>
        <v>#REF!</v>
      </c>
      <c r="O37" s="35" t="e">
        <f>IF(ПЛОЩАДИ!Y36=1,'расчет стоимости'!#REF!*0.15,'расчет стоимости'!#REF!*0.1)</f>
        <v>#REF!</v>
      </c>
      <c r="P37" s="33" t="e">
        <f>IF(('расчет стоимости'!#REF!+'расчет стоимости'!#REF!)*2&lt;=1400,0.5,0.7)</f>
        <v>#REF!</v>
      </c>
      <c r="Q37" s="11" t="e">
        <f t="shared" si="1"/>
        <v>#REF!</v>
      </c>
      <c r="R37" s="11" t="e">
        <f>#REF!*('расчет стоимости'!#REF!+O37)</f>
        <v>#REF!</v>
      </c>
      <c r="S37" s="11" t="e">
        <f>#REF!*('расчет стоимости'!#REF!+O37)</f>
        <v>#REF!</v>
      </c>
      <c r="T37" s="11" t="e">
        <f>K37+I37+(L37*#REF!)</f>
        <v>#REF!</v>
      </c>
      <c r="U37" s="11" t="e">
        <f>'расчет стоимости'!#REF!*(#REF!+#REF!)*#REF!</f>
        <v>#REF!</v>
      </c>
      <c r="V37" s="32" t="e">
        <f>'расчет стоимости'!#REF!*IF('Формулы расчета'!C37=#REF!,#REF!*#REF!,#REF!*#REF!)+'Формулы расчета'!W37</f>
        <v>#REF!</v>
      </c>
      <c r="W37" s="22" t="e">
        <f>IF('расчет стоимости'!#REF!&lt;&gt;0,'расчет стоимости'!#REF!*(#REF!*#REF!),0)</f>
        <v>#REF!</v>
      </c>
      <c r="X37" t="e">
        <f>IF(F37=20,G37*'расчет стоимости'!#REF!,0)</f>
        <v>#REF!</v>
      </c>
      <c r="Y37" t="e">
        <f>IF(F37=30,G37*'расчет стоимости'!#REF!,0)</f>
        <v>#REF!</v>
      </c>
      <c r="Z37" t="e">
        <f t="shared" si="2"/>
        <v>#REF!</v>
      </c>
      <c r="AA37" t="e">
        <f t="shared" si="3"/>
        <v>#REF!</v>
      </c>
      <c r="AB37" t="e">
        <f t="shared" si="4"/>
        <v>#REF!</v>
      </c>
      <c r="AC37" t="e">
        <f t="shared" si="5"/>
        <v>#REF!</v>
      </c>
    </row>
    <row r="38" spans="2:29" x14ac:dyDescent="0.25">
      <c r="B38">
        <v>31</v>
      </c>
      <c r="C38" s="21" t="e">
        <f>IF('расчет стоимости'!#REF!&lt;&gt;0,#REF!,IF('расчет стоимости'!#REF!&lt;&gt;0,#REF!,#REF!))</f>
        <v>#REF!</v>
      </c>
      <c r="D38" s="50" t="e">
        <f>'расчет стоимости'!#REF!</f>
        <v>#REF!</v>
      </c>
      <c r="E38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8" s="11" t="e">
        <f t="shared" si="7"/>
        <v>#REF!</v>
      </c>
      <c r="G38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8" s="36" t="e">
        <f>('расчет стоимости'!#REF!+'расчет стоимости'!#REF!)*0.001*2</f>
        <v>#REF!</v>
      </c>
      <c r="I38" s="34" t="e">
        <f>IF(F38=20,'расчет стоимости'!#REF!*G38*#REF!,'расчет стоимости'!#REF!*G38*#REF!)</f>
        <v>#REF!</v>
      </c>
      <c r="J38" s="11" t="e">
        <f>IF('расчет стоимости'!#REF!=0,0,'расчет стоимости'!#REF!*'расчет стоимости'!#REF!*4)</f>
        <v>#REF!</v>
      </c>
      <c r="K38" s="11" t="e">
        <f>IF(F38=20,J38*#REF!,J38*#REF!)</f>
        <v>#REF!</v>
      </c>
      <c r="L38" s="11" t="e">
        <f>IF('расчет стоимости'!#REF!=0,0,(M38+N38)*2*'расчет стоимости'!#REF!)</f>
        <v>#REF!</v>
      </c>
      <c r="M38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8" s="11" t="e">
        <f>IF('расчет стоимости'!#REF!&lt;400,0,IF('расчет стоимости'!#REF!&lt;=500,1,IF('расчет стоимости'!#REF!&lt;900,2,3)))</f>
        <v>#REF!</v>
      </c>
      <c r="O38" s="35" t="e">
        <f>IF(ПЛОЩАДИ!Y37=1,'расчет стоимости'!#REF!*0.15,'расчет стоимости'!#REF!*0.1)</f>
        <v>#REF!</v>
      </c>
      <c r="P38" s="36" t="e">
        <f>IF(('расчет стоимости'!#REF!+'расчет стоимости'!#REF!)*2&lt;=1400,0.5,0.7)</f>
        <v>#REF!</v>
      </c>
      <c r="Q38" s="11" t="e">
        <f t="shared" si="1"/>
        <v>#REF!</v>
      </c>
      <c r="R38" s="11" t="e">
        <f>#REF!*('расчет стоимости'!#REF!+O38)</f>
        <v>#REF!</v>
      </c>
      <c r="S38" s="11" t="e">
        <f>#REF!*('расчет стоимости'!#REF!+O38)</f>
        <v>#REF!</v>
      </c>
      <c r="T38" s="11" t="e">
        <f>K38+I38+(L38*#REF!)</f>
        <v>#REF!</v>
      </c>
      <c r="U38" s="11" t="e">
        <f>'расчет стоимости'!#REF!*(#REF!+#REF!)*#REF!</f>
        <v>#REF!</v>
      </c>
      <c r="V38" s="32" t="e">
        <f>'расчет стоимости'!#REF!*IF('Формулы расчета'!C38=#REF!,#REF!*#REF!,#REF!*#REF!)+'Формулы расчета'!W38</f>
        <v>#REF!</v>
      </c>
      <c r="W38" s="22" t="e">
        <f>IF('расчет стоимости'!#REF!&lt;&gt;0,'расчет стоимости'!#REF!*(#REF!*#REF!),0)</f>
        <v>#REF!</v>
      </c>
      <c r="X38" t="e">
        <f>IF(F38=20,G38*'расчет стоимости'!#REF!,0)</f>
        <v>#REF!</v>
      </c>
      <c r="Y38" t="e">
        <f>IF(F38=30,G38*'расчет стоимости'!#REF!,0)</f>
        <v>#REF!</v>
      </c>
      <c r="Z38" t="e">
        <f t="shared" si="2"/>
        <v>#REF!</v>
      </c>
      <c r="AA38" t="e">
        <f t="shared" si="3"/>
        <v>#REF!</v>
      </c>
      <c r="AB38" t="e">
        <f t="shared" si="4"/>
        <v>#REF!</v>
      </c>
      <c r="AC38" t="e">
        <f t="shared" si="5"/>
        <v>#REF!</v>
      </c>
    </row>
    <row r="39" spans="2:29" x14ac:dyDescent="0.25">
      <c r="B39">
        <v>32</v>
      </c>
      <c r="C39" s="21" t="e">
        <f>IF('расчет стоимости'!#REF!&lt;&gt;0,#REF!,IF('расчет стоимости'!#REF!&lt;&gt;0,#REF!,#REF!))</f>
        <v>#REF!</v>
      </c>
      <c r="D39" s="50" t="e">
        <f>'расчет стоимости'!#REF!</f>
        <v>#REF!</v>
      </c>
      <c r="E39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39" s="11" t="e">
        <f t="shared" si="7"/>
        <v>#REF!</v>
      </c>
      <c r="G39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39" s="36" t="e">
        <f>('расчет стоимости'!#REF!+'расчет стоимости'!#REF!)*0.001*2</f>
        <v>#REF!</v>
      </c>
      <c r="I39" s="34" t="e">
        <f>IF(F39=20,'расчет стоимости'!#REF!*G39*#REF!,'расчет стоимости'!#REF!*G39*#REF!)</f>
        <v>#REF!</v>
      </c>
      <c r="J39" s="11" t="e">
        <f>IF('расчет стоимости'!#REF!=0,0,'расчет стоимости'!#REF!*'расчет стоимости'!#REF!*4)</f>
        <v>#REF!</v>
      </c>
      <c r="K39" s="11" t="e">
        <f>IF(F39=20,J39*#REF!,J39*#REF!)</f>
        <v>#REF!</v>
      </c>
      <c r="L39" s="11" t="e">
        <f>IF('расчет стоимости'!#REF!=0,0,(M39+N39)*2*'расчет стоимости'!#REF!)</f>
        <v>#REF!</v>
      </c>
      <c r="M39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39" s="11" t="e">
        <f>IF('расчет стоимости'!#REF!&lt;400,0,IF('расчет стоимости'!#REF!&lt;=500,1,IF('расчет стоимости'!#REF!&lt;900,2,3)))</f>
        <v>#REF!</v>
      </c>
      <c r="O39" s="35" t="e">
        <f>IF(ПЛОЩАДИ!Y38=1,'расчет стоимости'!#REF!*0.15,'расчет стоимости'!#REF!*0.1)</f>
        <v>#REF!</v>
      </c>
      <c r="P39" s="36" t="e">
        <f>IF(('расчет стоимости'!#REF!+'расчет стоимости'!#REF!)*2&lt;=1400,0.5,0.7)</f>
        <v>#REF!</v>
      </c>
      <c r="Q39" s="11" t="e">
        <f t="shared" si="1"/>
        <v>#REF!</v>
      </c>
      <c r="R39" s="11" t="e">
        <f>#REF!*('расчет стоимости'!#REF!+O39)</f>
        <v>#REF!</v>
      </c>
      <c r="S39" s="11" t="e">
        <f>#REF!*('расчет стоимости'!#REF!+O39)</f>
        <v>#REF!</v>
      </c>
      <c r="T39" s="11" t="e">
        <f>K39+I39+(L39*#REF!)</f>
        <v>#REF!</v>
      </c>
      <c r="U39" s="11" t="e">
        <f>'расчет стоимости'!#REF!*(#REF!+#REF!)*#REF!</f>
        <v>#REF!</v>
      </c>
      <c r="V39" s="32" t="e">
        <f>'расчет стоимости'!#REF!*IF('Формулы расчета'!C39=#REF!,#REF!*#REF!,#REF!*#REF!)+'Формулы расчета'!W39</f>
        <v>#REF!</v>
      </c>
      <c r="W39" s="22" t="e">
        <f>IF('расчет стоимости'!#REF!&lt;&gt;0,'расчет стоимости'!#REF!*(#REF!*#REF!),0)</f>
        <v>#REF!</v>
      </c>
      <c r="X39" t="e">
        <f>IF(F39=20,G39*'расчет стоимости'!#REF!,0)</f>
        <v>#REF!</v>
      </c>
      <c r="Y39" t="e">
        <f>IF(F39=30,G39*'расчет стоимости'!#REF!,0)</f>
        <v>#REF!</v>
      </c>
      <c r="Z39" t="e">
        <f t="shared" si="2"/>
        <v>#REF!</v>
      </c>
      <c r="AA39" t="e">
        <f t="shared" si="3"/>
        <v>#REF!</v>
      </c>
      <c r="AB39" t="e">
        <f t="shared" si="4"/>
        <v>#REF!</v>
      </c>
      <c r="AC39" t="e">
        <f t="shared" si="5"/>
        <v>#REF!</v>
      </c>
    </row>
    <row r="40" spans="2:29" x14ac:dyDescent="0.25">
      <c r="B40">
        <v>33</v>
      </c>
      <c r="C40" s="21" t="e">
        <f>IF('расчет стоимости'!#REF!&lt;&gt;0,#REF!,IF('расчет стоимости'!#REF!&lt;&gt;0,#REF!,#REF!))</f>
        <v>#REF!</v>
      </c>
      <c r="D40" s="50" t="e">
        <f>'расчет стоимости'!#REF!</f>
        <v>#REF!</v>
      </c>
      <c r="E40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0" s="11" t="e">
        <f t="shared" si="7"/>
        <v>#REF!</v>
      </c>
      <c r="G40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0" s="36" t="e">
        <f>('расчет стоимости'!#REF!+'расчет стоимости'!#REF!)*0.001*2</f>
        <v>#REF!</v>
      </c>
      <c r="I40" s="34" t="e">
        <f>IF(F40=20,'расчет стоимости'!#REF!*G40*#REF!,'расчет стоимости'!#REF!*G40*#REF!)</f>
        <v>#REF!</v>
      </c>
      <c r="J40" s="11" t="e">
        <f>IF('расчет стоимости'!#REF!=0,0,'расчет стоимости'!#REF!*'расчет стоимости'!#REF!*4)</f>
        <v>#REF!</v>
      </c>
      <c r="K40" s="11" t="e">
        <f>IF(F40=20,J40*#REF!,J40*#REF!)</f>
        <v>#REF!</v>
      </c>
      <c r="L40" s="11" t="e">
        <f>IF('расчет стоимости'!#REF!=0,0,(M40+N40)*2*'расчет стоимости'!#REF!)</f>
        <v>#REF!</v>
      </c>
      <c r="M40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0" s="11" t="e">
        <f>IF('расчет стоимости'!#REF!&lt;400,0,IF('расчет стоимости'!#REF!&lt;=500,1,IF('расчет стоимости'!#REF!&lt;900,2,3)))</f>
        <v>#REF!</v>
      </c>
      <c r="O40" s="35" t="e">
        <f>IF(ПЛОЩАДИ!Y39=1,'расчет стоимости'!#REF!*0.15,'расчет стоимости'!#REF!*0.1)</f>
        <v>#REF!</v>
      </c>
      <c r="P40" s="36" t="e">
        <f>IF(('расчет стоимости'!#REF!+'расчет стоимости'!#REF!)*2&lt;=1400,0.5,0.7)</f>
        <v>#REF!</v>
      </c>
      <c r="Q40" s="11" t="e">
        <f t="shared" si="1"/>
        <v>#REF!</v>
      </c>
      <c r="R40" s="11" t="e">
        <f>#REF!*('расчет стоимости'!#REF!+O40)</f>
        <v>#REF!</v>
      </c>
      <c r="S40" s="11" t="e">
        <f>#REF!*('расчет стоимости'!#REF!+O40)</f>
        <v>#REF!</v>
      </c>
      <c r="T40" s="11" t="e">
        <f>K40+I40+(L40*#REF!)</f>
        <v>#REF!</v>
      </c>
      <c r="U40" s="11" t="e">
        <f>'расчет стоимости'!#REF!*(#REF!+#REF!)*#REF!</f>
        <v>#REF!</v>
      </c>
      <c r="V40" s="32" t="e">
        <f>'расчет стоимости'!#REF!*IF('Формулы расчета'!C40=#REF!,#REF!*#REF!,#REF!*#REF!)+'Формулы расчета'!W40</f>
        <v>#REF!</v>
      </c>
      <c r="W40" s="22" t="e">
        <f>IF('расчет стоимости'!#REF!&lt;&gt;0,'расчет стоимости'!#REF!*(#REF!*#REF!),0)</f>
        <v>#REF!</v>
      </c>
      <c r="X40" t="e">
        <f>IF(F40=20,G40*'расчет стоимости'!#REF!,0)</f>
        <v>#REF!</v>
      </c>
      <c r="Y40" t="e">
        <f>IF(F40=30,G40*'расчет стоимости'!#REF!,0)</f>
        <v>#REF!</v>
      </c>
      <c r="Z40" t="e">
        <f t="shared" si="2"/>
        <v>#REF!</v>
      </c>
      <c r="AA40" t="e">
        <f t="shared" si="3"/>
        <v>#REF!</v>
      </c>
      <c r="AB40" t="e">
        <f t="shared" si="4"/>
        <v>#REF!</v>
      </c>
      <c r="AC40" t="e">
        <f t="shared" si="5"/>
        <v>#REF!</v>
      </c>
    </row>
    <row r="41" spans="2:29" x14ac:dyDescent="0.25">
      <c r="B41">
        <v>34</v>
      </c>
      <c r="C41" s="21" t="e">
        <f>IF('расчет стоимости'!#REF!&lt;&gt;0,#REF!,IF('расчет стоимости'!#REF!&lt;&gt;0,#REF!,#REF!))</f>
        <v>#REF!</v>
      </c>
      <c r="D41" s="50" t="e">
        <f>'расчет стоимости'!#REF!</f>
        <v>#REF!</v>
      </c>
      <c r="E41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1" s="11" t="e">
        <f t="shared" si="7"/>
        <v>#REF!</v>
      </c>
      <c r="G41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1" s="36" t="e">
        <f>('расчет стоимости'!#REF!+'расчет стоимости'!#REF!)*0.001*2</f>
        <v>#REF!</v>
      </c>
      <c r="I41" s="34" t="e">
        <f>IF(F41=20,'расчет стоимости'!#REF!*G41*#REF!,'расчет стоимости'!#REF!*G41*#REF!)</f>
        <v>#REF!</v>
      </c>
      <c r="J41" s="11" t="e">
        <f>IF('расчет стоимости'!#REF!=0,0,'расчет стоимости'!#REF!*'расчет стоимости'!#REF!*4)</f>
        <v>#REF!</v>
      </c>
      <c r="K41" s="11" t="e">
        <f>IF(F41=20,J41*#REF!,J41*#REF!)</f>
        <v>#REF!</v>
      </c>
      <c r="L41" s="11" t="e">
        <f>IF('расчет стоимости'!#REF!=0,0,(M41+N41)*2*'расчет стоимости'!#REF!)</f>
        <v>#REF!</v>
      </c>
      <c r="M41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1" s="11" t="e">
        <f>IF('расчет стоимости'!#REF!&lt;400,0,IF('расчет стоимости'!#REF!&lt;=500,1,IF('расчет стоимости'!#REF!&lt;900,2,3)))</f>
        <v>#REF!</v>
      </c>
      <c r="O41" s="35" t="e">
        <f>IF(ПЛОЩАДИ!Y40=1,'расчет стоимости'!#REF!*0.15,'расчет стоимости'!#REF!*0.1)</f>
        <v>#REF!</v>
      </c>
      <c r="P41" s="36" t="e">
        <f>IF(('расчет стоимости'!#REF!+'расчет стоимости'!#REF!)*2&lt;=1400,0.5,0.7)</f>
        <v>#REF!</v>
      </c>
      <c r="Q41" s="11" t="e">
        <f t="shared" si="1"/>
        <v>#REF!</v>
      </c>
      <c r="R41" s="11" t="e">
        <f>#REF!*('расчет стоимости'!#REF!+O41)</f>
        <v>#REF!</v>
      </c>
      <c r="S41" s="11" t="e">
        <f>#REF!*('расчет стоимости'!#REF!+O41)</f>
        <v>#REF!</v>
      </c>
      <c r="T41" s="11" t="e">
        <f>K41+I41+(L41*#REF!)</f>
        <v>#REF!</v>
      </c>
      <c r="U41" s="11" t="e">
        <f>'расчет стоимости'!#REF!*(#REF!+#REF!)*#REF!</f>
        <v>#REF!</v>
      </c>
      <c r="V41" s="32" t="e">
        <f>'расчет стоимости'!#REF!*IF('Формулы расчета'!C41=#REF!,#REF!*#REF!,#REF!*#REF!)+'Формулы расчета'!W41</f>
        <v>#REF!</v>
      </c>
      <c r="W41" s="22" t="e">
        <f>IF('расчет стоимости'!#REF!&lt;&gt;0,'расчет стоимости'!#REF!*(#REF!*#REF!),0)</f>
        <v>#REF!</v>
      </c>
      <c r="X41" t="e">
        <f>IF(F41=20,G41*'расчет стоимости'!#REF!,0)</f>
        <v>#REF!</v>
      </c>
      <c r="Y41" t="e">
        <f>IF(F41=30,G41*'расчет стоимости'!#REF!,0)</f>
        <v>#REF!</v>
      </c>
      <c r="Z41" t="e">
        <f t="shared" si="2"/>
        <v>#REF!</v>
      </c>
      <c r="AA41" t="e">
        <f t="shared" si="3"/>
        <v>#REF!</v>
      </c>
      <c r="AB41" t="e">
        <f t="shared" si="4"/>
        <v>#REF!</v>
      </c>
      <c r="AC41" t="e">
        <f t="shared" si="5"/>
        <v>#REF!</v>
      </c>
    </row>
    <row r="42" spans="2:29" x14ac:dyDescent="0.25">
      <c r="B42">
        <v>35</v>
      </c>
      <c r="C42" s="21" t="e">
        <f>IF('расчет стоимости'!#REF!&lt;&gt;0,#REF!,IF('расчет стоимости'!#REF!&lt;&gt;0,#REF!,#REF!))</f>
        <v>#REF!</v>
      </c>
      <c r="D42" s="50" t="e">
        <f>'расчет стоимости'!#REF!</f>
        <v>#REF!</v>
      </c>
      <c r="E42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2" s="11" t="e">
        <f t="shared" si="7"/>
        <v>#REF!</v>
      </c>
      <c r="G42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2" s="36" t="e">
        <f>('расчет стоимости'!#REF!+'расчет стоимости'!#REF!)*0.001*2</f>
        <v>#REF!</v>
      </c>
      <c r="I42" s="34" t="e">
        <f>IF(F42=20,'расчет стоимости'!#REF!*G42*#REF!,'расчет стоимости'!#REF!*G42*#REF!)</f>
        <v>#REF!</v>
      </c>
      <c r="J42" s="11" t="e">
        <f>IF('расчет стоимости'!#REF!=0,0,'расчет стоимости'!#REF!*'расчет стоимости'!#REF!*4)</f>
        <v>#REF!</v>
      </c>
      <c r="K42" s="11" t="e">
        <f>IF(F42=20,J42*#REF!,J42*#REF!)</f>
        <v>#REF!</v>
      </c>
      <c r="L42" s="11" t="e">
        <f>IF('расчет стоимости'!#REF!=0,0,(M42+N42)*2*'расчет стоимости'!#REF!)</f>
        <v>#REF!</v>
      </c>
      <c r="M42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2" s="11" t="e">
        <f>IF('расчет стоимости'!#REF!&lt;400,0,IF('расчет стоимости'!#REF!&lt;=500,1,IF('расчет стоимости'!#REF!&lt;900,2,3)))</f>
        <v>#REF!</v>
      </c>
      <c r="O42" s="35" t="e">
        <f>IF(ПЛОЩАДИ!Y41=1,'расчет стоимости'!#REF!*0.15,'расчет стоимости'!#REF!*0.1)</f>
        <v>#REF!</v>
      </c>
      <c r="P42" s="36" t="e">
        <f>IF(('расчет стоимости'!#REF!+'расчет стоимости'!#REF!)*2&lt;=1400,0.5,0.7)</f>
        <v>#REF!</v>
      </c>
      <c r="Q42" s="11" t="e">
        <f t="shared" si="1"/>
        <v>#REF!</v>
      </c>
      <c r="R42" s="11" t="e">
        <f>#REF!*('расчет стоимости'!#REF!+O42)</f>
        <v>#REF!</v>
      </c>
      <c r="S42" s="11" t="e">
        <f>#REF!*('расчет стоимости'!#REF!+O42)</f>
        <v>#REF!</v>
      </c>
      <c r="T42" s="11" t="e">
        <f>K42+I42+(L42*#REF!)</f>
        <v>#REF!</v>
      </c>
      <c r="U42" s="11" t="e">
        <f>'расчет стоимости'!#REF!*(#REF!+#REF!)*#REF!</f>
        <v>#REF!</v>
      </c>
      <c r="V42" s="32" t="e">
        <f>'расчет стоимости'!#REF!*IF('Формулы расчета'!C42=#REF!,#REF!*#REF!,#REF!*#REF!)+'Формулы расчета'!W42</f>
        <v>#REF!</v>
      </c>
      <c r="W42" s="22" t="e">
        <f>IF('расчет стоимости'!#REF!&lt;&gt;0,'расчет стоимости'!#REF!*(#REF!*#REF!),0)</f>
        <v>#REF!</v>
      </c>
      <c r="X42" t="e">
        <f>IF(F42=20,G42*'расчет стоимости'!#REF!,0)</f>
        <v>#REF!</v>
      </c>
      <c r="Y42" t="e">
        <f>IF(F42=30,G42*'расчет стоимости'!#REF!,0)</f>
        <v>#REF!</v>
      </c>
      <c r="Z42" t="e">
        <f t="shared" si="2"/>
        <v>#REF!</v>
      </c>
      <c r="AA42" t="e">
        <f t="shared" si="3"/>
        <v>#REF!</v>
      </c>
      <c r="AB42" t="e">
        <f t="shared" si="4"/>
        <v>#REF!</v>
      </c>
      <c r="AC42" t="e">
        <f t="shared" si="5"/>
        <v>#REF!</v>
      </c>
    </row>
    <row r="43" spans="2:29" x14ac:dyDescent="0.25">
      <c r="B43">
        <v>36</v>
      </c>
      <c r="C43" s="21" t="e">
        <f>IF('расчет стоимости'!#REF!&lt;&gt;0,#REF!,IF('расчет стоимости'!#REF!&lt;&gt;0,#REF!,#REF!))</f>
        <v>#REF!</v>
      </c>
      <c r="D43" s="50" t="e">
        <f>'расчет стоимости'!#REF!</f>
        <v>#REF!</v>
      </c>
      <c r="E43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3" s="11" t="e">
        <f t="shared" si="7"/>
        <v>#REF!</v>
      </c>
      <c r="G43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3" s="36" t="e">
        <f>('расчет стоимости'!#REF!+'расчет стоимости'!#REF!)*0.001*2</f>
        <v>#REF!</v>
      </c>
      <c r="I43" s="34" t="e">
        <f>IF(F43=20,'расчет стоимости'!#REF!*G43*#REF!,'расчет стоимости'!#REF!*G43*#REF!)</f>
        <v>#REF!</v>
      </c>
      <c r="J43" s="11" t="e">
        <f>IF('расчет стоимости'!#REF!=0,0,'расчет стоимости'!#REF!*'расчет стоимости'!#REF!*4)</f>
        <v>#REF!</v>
      </c>
      <c r="K43" s="11" t="e">
        <f>IF(F43=20,J43*#REF!,J43*#REF!)</f>
        <v>#REF!</v>
      </c>
      <c r="L43" s="11" t="e">
        <f>IF('расчет стоимости'!#REF!=0,0,(M43+N43)*2*'расчет стоимости'!#REF!)</f>
        <v>#REF!</v>
      </c>
      <c r="M43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3" s="11" t="e">
        <f>IF('расчет стоимости'!#REF!&lt;400,0,IF('расчет стоимости'!#REF!&lt;=500,1,IF('расчет стоимости'!#REF!&lt;900,2,3)))</f>
        <v>#REF!</v>
      </c>
      <c r="O43" s="35" t="e">
        <f>IF(ПЛОЩАДИ!Y42=1,'расчет стоимости'!#REF!*0.15,'расчет стоимости'!#REF!*0.1)</f>
        <v>#REF!</v>
      </c>
      <c r="P43" s="36" t="e">
        <f>IF(('расчет стоимости'!#REF!+'расчет стоимости'!#REF!)*2&lt;=1400,0.5,0.7)</f>
        <v>#REF!</v>
      </c>
      <c r="Q43" s="11" t="e">
        <f t="shared" si="1"/>
        <v>#REF!</v>
      </c>
      <c r="R43" s="11" t="e">
        <f>#REF!*('расчет стоимости'!#REF!+O43)</f>
        <v>#REF!</v>
      </c>
      <c r="S43" s="11" t="e">
        <f>#REF!*('расчет стоимости'!#REF!+O43)</f>
        <v>#REF!</v>
      </c>
      <c r="T43" s="11" t="e">
        <f>K43+I43+(L43*#REF!)</f>
        <v>#REF!</v>
      </c>
      <c r="U43" s="11" t="e">
        <f>'расчет стоимости'!#REF!*(#REF!+#REF!)*#REF!</f>
        <v>#REF!</v>
      </c>
      <c r="V43" s="32" t="e">
        <f>'расчет стоимости'!#REF!*IF('Формулы расчета'!C43=#REF!,#REF!*#REF!,#REF!*#REF!)+'Формулы расчета'!W43</f>
        <v>#REF!</v>
      </c>
      <c r="W43" s="22" t="e">
        <f>IF('расчет стоимости'!#REF!&lt;&gt;0,'расчет стоимости'!#REF!*(#REF!*#REF!),0)</f>
        <v>#REF!</v>
      </c>
      <c r="X43" t="e">
        <f>IF(F43=20,G43*'расчет стоимости'!#REF!,0)</f>
        <v>#REF!</v>
      </c>
      <c r="Y43" t="e">
        <f>IF(F43=30,G43*'расчет стоимости'!#REF!,0)</f>
        <v>#REF!</v>
      </c>
      <c r="Z43" t="e">
        <f t="shared" si="2"/>
        <v>#REF!</v>
      </c>
      <c r="AA43" t="e">
        <f t="shared" si="3"/>
        <v>#REF!</v>
      </c>
      <c r="AB43" t="e">
        <f t="shared" si="4"/>
        <v>#REF!</v>
      </c>
      <c r="AC43" t="e">
        <f t="shared" si="5"/>
        <v>#REF!</v>
      </c>
    </row>
    <row r="44" spans="2:29" x14ac:dyDescent="0.25">
      <c r="B44">
        <v>37</v>
      </c>
      <c r="C44" s="21" t="e">
        <f>IF('расчет стоимости'!#REF!&lt;&gt;0,#REF!,IF('расчет стоимости'!#REF!&lt;&gt;0,#REF!,#REF!))</f>
        <v>#REF!</v>
      </c>
      <c r="D44" s="50" t="e">
        <f>'расчет стоимости'!#REF!</f>
        <v>#REF!</v>
      </c>
      <c r="E44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4" s="11" t="e">
        <f t="shared" si="7"/>
        <v>#REF!</v>
      </c>
      <c r="G44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4" s="36" t="e">
        <f>('расчет стоимости'!#REF!+'расчет стоимости'!#REF!)*0.001*2</f>
        <v>#REF!</v>
      </c>
      <c r="I44" s="34" t="e">
        <f>IF(F44=20,'расчет стоимости'!#REF!*G44*#REF!,'расчет стоимости'!#REF!*G44*#REF!)</f>
        <v>#REF!</v>
      </c>
      <c r="J44" s="11" t="e">
        <f>IF('расчет стоимости'!#REF!=0,0,'расчет стоимости'!#REF!*'расчет стоимости'!#REF!*4)</f>
        <v>#REF!</v>
      </c>
      <c r="K44" s="11" t="e">
        <f>IF(F44=20,J44*#REF!,J44*#REF!)</f>
        <v>#REF!</v>
      </c>
      <c r="L44" s="11" t="e">
        <f>IF('расчет стоимости'!#REF!=0,0,(M44+N44)*2*'расчет стоимости'!#REF!)</f>
        <v>#REF!</v>
      </c>
      <c r="M44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4" s="11" t="e">
        <f>IF('расчет стоимости'!#REF!&lt;400,0,IF('расчет стоимости'!#REF!&lt;=500,1,IF('расчет стоимости'!#REF!&lt;900,2,3)))</f>
        <v>#REF!</v>
      </c>
      <c r="O44" s="35" t="e">
        <f>IF(ПЛОЩАДИ!Y43=1,'расчет стоимости'!#REF!*0.15,'расчет стоимости'!#REF!*0.1)</f>
        <v>#REF!</v>
      </c>
      <c r="P44" s="36" t="e">
        <f>IF(('расчет стоимости'!#REF!+'расчет стоимости'!#REF!)*2&lt;=1400,0.5,0.7)</f>
        <v>#REF!</v>
      </c>
      <c r="Q44" s="11" t="e">
        <f t="shared" si="1"/>
        <v>#REF!</v>
      </c>
      <c r="R44" s="11" t="e">
        <f>#REF!*('расчет стоимости'!#REF!+O44)</f>
        <v>#REF!</v>
      </c>
      <c r="S44" s="11" t="e">
        <f>#REF!*('расчет стоимости'!#REF!+O44)</f>
        <v>#REF!</v>
      </c>
      <c r="T44" s="11" t="e">
        <f>K44+I44+(L44*#REF!)</f>
        <v>#REF!</v>
      </c>
      <c r="U44" s="11" t="e">
        <f>'расчет стоимости'!#REF!*(#REF!+#REF!)*#REF!</f>
        <v>#REF!</v>
      </c>
      <c r="V44" s="32" t="e">
        <f>'расчет стоимости'!#REF!*IF('Формулы расчета'!C44=#REF!,#REF!*#REF!,#REF!*#REF!)+'Формулы расчета'!W44</f>
        <v>#REF!</v>
      </c>
      <c r="W44" s="22" t="e">
        <f>IF('расчет стоимости'!#REF!&lt;&gt;0,'расчет стоимости'!#REF!*(#REF!*#REF!),0)</f>
        <v>#REF!</v>
      </c>
      <c r="X44" t="e">
        <f>IF(F44=20,G44*'расчет стоимости'!#REF!,0)</f>
        <v>#REF!</v>
      </c>
      <c r="Y44" t="e">
        <f>IF(F44=30,G44*'расчет стоимости'!#REF!,0)</f>
        <v>#REF!</v>
      </c>
      <c r="Z44" t="e">
        <f t="shared" si="2"/>
        <v>#REF!</v>
      </c>
      <c r="AA44" t="e">
        <f t="shared" si="3"/>
        <v>#REF!</v>
      </c>
      <c r="AB44" t="e">
        <f t="shared" si="4"/>
        <v>#REF!</v>
      </c>
      <c r="AC44" t="e">
        <f t="shared" si="5"/>
        <v>#REF!</v>
      </c>
    </row>
    <row r="45" spans="2:29" x14ac:dyDescent="0.25">
      <c r="B45">
        <v>38</v>
      </c>
      <c r="C45" s="21" t="e">
        <f>IF('расчет стоимости'!#REF!&lt;&gt;0,#REF!,IF('расчет стоимости'!#REF!&lt;&gt;0,#REF!,#REF!))</f>
        <v>#REF!</v>
      </c>
      <c r="D45" s="50" t="e">
        <f>'расчет стоимости'!#REF!</f>
        <v>#REF!</v>
      </c>
      <c r="E45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5" s="11" t="e">
        <f t="shared" si="7"/>
        <v>#REF!</v>
      </c>
      <c r="G45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5" s="36" t="e">
        <f>('расчет стоимости'!#REF!+'расчет стоимости'!#REF!)*0.001*2</f>
        <v>#REF!</v>
      </c>
      <c r="I45" s="34" t="e">
        <f>IF(F45=20,'расчет стоимости'!#REF!*G45*#REF!,'расчет стоимости'!#REF!*G45*#REF!)</f>
        <v>#REF!</v>
      </c>
      <c r="J45" s="11" t="e">
        <f>IF('расчет стоимости'!#REF!=0,0,'расчет стоимости'!#REF!*'расчет стоимости'!#REF!*4)</f>
        <v>#REF!</v>
      </c>
      <c r="K45" s="11" t="e">
        <f>IF(F45=20,J45*#REF!,J45*#REF!)</f>
        <v>#REF!</v>
      </c>
      <c r="L45" s="11" t="e">
        <f>IF('расчет стоимости'!#REF!=0,0,(M45+N45)*2*'расчет стоимости'!#REF!)</f>
        <v>#REF!</v>
      </c>
      <c r="M45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5" s="11" t="e">
        <f>IF('расчет стоимости'!#REF!&lt;400,0,IF('расчет стоимости'!#REF!&lt;=500,1,IF('расчет стоимости'!#REF!&lt;900,2,3)))</f>
        <v>#REF!</v>
      </c>
      <c r="O45" s="35" t="e">
        <f>IF(ПЛОЩАДИ!Y44=1,'расчет стоимости'!#REF!*0.15,'расчет стоимости'!#REF!*0.1)</f>
        <v>#REF!</v>
      </c>
      <c r="P45" s="36" t="e">
        <f>IF(('расчет стоимости'!#REF!+'расчет стоимости'!#REF!)*2&lt;=1400,0.5,0.7)</f>
        <v>#REF!</v>
      </c>
      <c r="Q45" s="11" t="e">
        <f t="shared" si="1"/>
        <v>#REF!</v>
      </c>
      <c r="R45" s="11" t="e">
        <f>#REF!*('расчет стоимости'!#REF!+O45)</f>
        <v>#REF!</v>
      </c>
      <c r="S45" s="11" t="e">
        <f>#REF!*('расчет стоимости'!#REF!+O45)</f>
        <v>#REF!</v>
      </c>
      <c r="T45" s="11" t="e">
        <f>K45+I45+(L45*#REF!)</f>
        <v>#REF!</v>
      </c>
      <c r="U45" s="11" t="e">
        <f>'расчет стоимости'!#REF!*(#REF!+#REF!)*#REF!</f>
        <v>#REF!</v>
      </c>
      <c r="V45" s="32" t="e">
        <f>'расчет стоимости'!#REF!*IF('Формулы расчета'!C45=#REF!,#REF!*#REF!,#REF!*#REF!)+'Формулы расчета'!W45</f>
        <v>#REF!</v>
      </c>
      <c r="W45" s="22" t="e">
        <f>IF('расчет стоимости'!#REF!&lt;&gt;0,'расчет стоимости'!#REF!*(#REF!*#REF!),0)</f>
        <v>#REF!</v>
      </c>
      <c r="X45" t="e">
        <f>IF(F45=20,G45*'расчет стоимости'!#REF!,0)</f>
        <v>#REF!</v>
      </c>
      <c r="Y45" t="e">
        <f>IF(F45=30,G45*'расчет стоимости'!#REF!,0)</f>
        <v>#REF!</v>
      </c>
      <c r="Z45" t="e">
        <f t="shared" si="2"/>
        <v>#REF!</v>
      </c>
      <c r="AA45" t="e">
        <f t="shared" si="3"/>
        <v>#REF!</v>
      </c>
      <c r="AB45" t="e">
        <f t="shared" si="4"/>
        <v>#REF!</v>
      </c>
      <c r="AC45" t="e">
        <f t="shared" si="5"/>
        <v>#REF!</v>
      </c>
    </row>
    <row r="46" spans="2:29" x14ac:dyDescent="0.25">
      <c r="B46">
        <v>39</v>
      </c>
      <c r="C46" s="21" t="e">
        <f>IF('расчет стоимости'!#REF!&lt;&gt;0,#REF!,IF('расчет стоимости'!#REF!&lt;&gt;0,#REF!,#REF!))</f>
        <v>#REF!</v>
      </c>
      <c r="D46" s="50" t="e">
        <f>'расчет стоимости'!#REF!</f>
        <v>#REF!</v>
      </c>
      <c r="E46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6" s="11" t="e">
        <f t="shared" si="7"/>
        <v>#REF!</v>
      </c>
      <c r="G46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6" s="36" t="e">
        <f>('расчет стоимости'!#REF!+'расчет стоимости'!#REF!)*0.001*2</f>
        <v>#REF!</v>
      </c>
      <c r="I46" s="34" t="e">
        <f>IF(F46=20,'расчет стоимости'!#REF!*G46*#REF!,'расчет стоимости'!#REF!*G46*#REF!)</f>
        <v>#REF!</v>
      </c>
      <c r="J46" s="11" t="e">
        <f>IF('расчет стоимости'!#REF!=0,0,'расчет стоимости'!#REF!*'расчет стоимости'!#REF!*4)</f>
        <v>#REF!</v>
      </c>
      <c r="K46" s="11" t="e">
        <f>IF(F46=20,J46*#REF!,J46*#REF!)</f>
        <v>#REF!</v>
      </c>
      <c r="L46" s="11" t="e">
        <f>IF('расчет стоимости'!#REF!=0,0,(M46+N46)*2*'расчет стоимости'!#REF!)</f>
        <v>#REF!</v>
      </c>
      <c r="M46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6" s="11" t="e">
        <f>IF('расчет стоимости'!#REF!&lt;400,0,IF('расчет стоимости'!#REF!&lt;=500,1,IF('расчет стоимости'!#REF!&lt;900,2,3)))</f>
        <v>#REF!</v>
      </c>
      <c r="O46" s="35" t="e">
        <f>IF(ПЛОЩАДИ!Y45=1,'расчет стоимости'!#REF!*0.15,'расчет стоимости'!#REF!*0.1)</f>
        <v>#REF!</v>
      </c>
      <c r="P46" s="36" t="e">
        <f>IF(('расчет стоимости'!#REF!+'расчет стоимости'!#REF!)*2&lt;=1400,0.5,0.7)</f>
        <v>#REF!</v>
      </c>
      <c r="Q46" s="11" t="e">
        <f t="shared" si="1"/>
        <v>#REF!</v>
      </c>
      <c r="R46" s="11" t="e">
        <f>#REF!*('расчет стоимости'!#REF!+O46)</f>
        <v>#REF!</v>
      </c>
      <c r="S46" s="11" t="e">
        <f>#REF!*('расчет стоимости'!#REF!+O46)</f>
        <v>#REF!</v>
      </c>
      <c r="T46" s="11" t="e">
        <f>K46+I46+(L46*#REF!)</f>
        <v>#REF!</v>
      </c>
      <c r="U46" s="11" t="e">
        <f>'расчет стоимости'!#REF!*(#REF!+#REF!)*#REF!</f>
        <v>#REF!</v>
      </c>
      <c r="V46" s="32" t="e">
        <f>'расчет стоимости'!#REF!*IF('Формулы расчета'!C46=#REF!,#REF!*#REF!,#REF!*#REF!)+'Формулы расчета'!W46</f>
        <v>#REF!</v>
      </c>
      <c r="W46" s="22" t="e">
        <f>IF('расчет стоимости'!#REF!&lt;&gt;0,'расчет стоимости'!#REF!*(#REF!*#REF!),0)</f>
        <v>#REF!</v>
      </c>
      <c r="X46" t="e">
        <f>IF(F46=20,G46*'расчет стоимости'!#REF!,0)</f>
        <v>#REF!</v>
      </c>
      <c r="Y46" t="e">
        <f>IF(F46=30,G46*'расчет стоимости'!#REF!,0)</f>
        <v>#REF!</v>
      </c>
      <c r="Z46" t="e">
        <f t="shared" si="2"/>
        <v>#REF!</v>
      </c>
      <c r="AA46" t="e">
        <f t="shared" si="3"/>
        <v>#REF!</v>
      </c>
      <c r="AB46" t="e">
        <f t="shared" si="4"/>
        <v>#REF!</v>
      </c>
      <c r="AC46" t="e">
        <f t="shared" si="5"/>
        <v>#REF!</v>
      </c>
    </row>
    <row r="47" spans="2:29" x14ac:dyDescent="0.25">
      <c r="B47">
        <v>40</v>
      </c>
      <c r="C47" s="21" t="e">
        <f>IF('расчет стоимости'!#REF!&lt;&gt;0,#REF!,IF('расчет стоимости'!#REF!&lt;&gt;0,#REF!,#REF!))</f>
        <v>#REF!</v>
      </c>
      <c r="D47" s="50" t="e">
        <f>'расчет стоимости'!#REF!</f>
        <v>#REF!</v>
      </c>
      <c r="E47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7" s="11" t="e">
        <f t="shared" si="7"/>
        <v>#REF!</v>
      </c>
      <c r="G47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7" s="36" t="e">
        <f>('расчет стоимости'!#REF!+'расчет стоимости'!#REF!)*0.001*2</f>
        <v>#REF!</v>
      </c>
      <c r="I47" s="34" t="e">
        <f>IF(F47=20,'расчет стоимости'!#REF!*G47*#REF!,'расчет стоимости'!#REF!*G47*#REF!)</f>
        <v>#REF!</v>
      </c>
      <c r="J47" s="11" t="e">
        <f>IF('расчет стоимости'!#REF!=0,0,'расчет стоимости'!#REF!*'расчет стоимости'!#REF!*4)</f>
        <v>#REF!</v>
      </c>
      <c r="K47" s="11" t="e">
        <f>IF(F47=20,J47*#REF!,J47*#REF!)</f>
        <v>#REF!</v>
      </c>
      <c r="L47" s="11" t="e">
        <f>IF('расчет стоимости'!#REF!=0,0,(M47+N47)*2*'расчет стоимости'!#REF!)</f>
        <v>#REF!</v>
      </c>
      <c r="M47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7" s="11" t="e">
        <f>IF('расчет стоимости'!#REF!&lt;400,0,IF('расчет стоимости'!#REF!&lt;=500,1,IF('расчет стоимости'!#REF!&lt;900,2,3)))</f>
        <v>#REF!</v>
      </c>
      <c r="O47" s="35" t="e">
        <f>IF(ПЛОЩАДИ!Y46=1,'расчет стоимости'!#REF!*0.15,'расчет стоимости'!#REF!*0.1)</f>
        <v>#REF!</v>
      </c>
      <c r="P47" s="36" t="e">
        <f>IF(('расчет стоимости'!#REF!+'расчет стоимости'!#REF!)*2&lt;=1400,0.5,0.7)</f>
        <v>#REF!</v>
      </c>
      <c r="Q47" s="11" t="e">
        <f t="shared" si="1"/>
        <v>#REF!</v>
      </c>
      <c r="R47" s="11" t="e">
        <f>#REF!*('расчет стоимости'!#REF!+O47)</f>
        <v>#REF!</v>
      </c>
      <c r="S47" s="11" t="e">
        <f>#REF!*('расчет стоимости'!#REF!+O47)</f>
        <v>#REF!</v>
      </c>
      <c r="T47" s="11" t="e">
        <f>K47+I47+(L47*#REF!)</f>
        <v>#REF!</v>
      </c>
      <c r="U47" s="11" t="e">
        <f>'расчет стоимости'!#REF!*(#REF!+#REF!)*#REF!</f>
        <v>#REF!</v>
      </c>
      <c r="V47" s="32" t="e">
        <f>'расчет стоимости'!#REF!*IF('Формулы расчета'!C47=#REF!,#REF!*#REF!,#REF!*#REF!)+'Формулы расчета'!W47</f>
        <v>#REF!</v>
      </c>
      <c r="W47" s="22" t="e">
        <f>IF('расчет стоимости'!#REF!&lt;&gt;0,'расчет стоимости'!#REF!*(#REF!*#REF!),0)</f>
        <v>#REF!</v>
      </c>
      <c r="X47" t="e">
        <f>IF(F47=20,G47*'расчет стоимости'!#REF!,0)</f>
        <v>#REF!</v>
      </c>
      <c r="Y47" t="e">
        <f>IF(F47=30,G47*'расчет стоимости'!#REF!,0)</f>
        <v>#REF!</v>
      </c>
      <c r="Z47" t="e">
        <f t="shared" si="2"/>
        <v>#REF!</v>
      </c>
      <c r="AA47" t="e">
        <f t="shared" si="3"/>
        <v>#REF!</v>
      </c>
      <c r="AB47" t="e">
        <f t="shared" si="4"/>
        <v>#REF!</v>
      </c>
      <c r="AC47" t="e">
        <f t="shared" si="5"/>
        <v>#REF!</v>
      </c>
    </row>
    <row r="48" spans="2:29" x14ac:dyDescent="0.25">
      <c r="B48">
        <v>41</v>
      </c>
      <c r="C48" s="21" t="e">
        <f>IF('расчет стоимости'!#REF!&lt;&gt;0,#REF!,IF('расчет стоимости'!#REF!&lt;&gt;0,#REF!,#REF!))</f>
        <v>#REF!</v>
      </c>
      <c r="D48" s="50" t="e">
        <f>'расчет стоимости'!#REF!</f>
        <v>#REF!</v>
      </c>
      <c r="E48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8" s="11" t="e">
        <f t="shared" si="7"/>
        <v>#REF!</v>
      </c>
      <c r="G48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8" s="36" t="e">
        <f>('расчет стоимости'!#REF!+'расчет стоимости'!#REF!)*0.001*2</f>
        <v>#REF!</v>
      </c>
      <c r="I48" s="34" t="e">
        <f>IF(F48=20,'расчет стоимости'!#REF!*G48*#REF!,'расчет стоимости'!#REF!*G48*#REF!)</f>
        <v>#REF!</v>
      </c>
      <c r="J48" s="11" t="e">
        <f>IF('расчет стоимости'!#REF!=0,0,'расчет стоимости'!#REF!*'расчет стоимости'!#REF!*4)</f>
        <v>#REF!</v>
      </c>
      <c r="K48" s="11" t="e">
        <f>IF(F48=20,J48*#REF!,J48*#REF!)</f>
        <v>#REF!</v>
      </c>
      <c r="L48" s="11" t="e">
        <f>IF('расчет стоимости'!#REF!=0,0,(M48+N48)*2*'расчет стоимости'!#REF!)</f>
        <v>#REF!</v>
      </c>
      <c r="M48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8" s="11" t="e">
        <f>IF('расчет стоимости'!#REF!&lt;400,0,IF('расчет стоимости'!#REF!&lt;=500,1,IF('расчет стоимости'!#REF!&lt;900,2,3)))</f>
        <v>#REF!</v>
      </c>
      <c r="O48" s="35" t="e">
        <f>IF(ПЛОЩАДИ!Y47=1,'расчет стоимости'!#REF!*0.15,'расчет стоимости'!#REF!*0.1)</f>
        <v>#REF!</v>
      </c>
      <c r="P48" s="36" t="e">
        <f>IF(('расчет стоимости'!#REF!+'расчет стоимости'!#REF!)*2&lt;=1400,0.5,0.7)</f>
        <v>#REF!</v>
      </c>
      <c r="Q48" s="11" t="e">
        <f t="shared" si="1"/>
        <v>#REF!</v>
      </c>
      <c r="R48" s="11" t="e">
        <f>#REF!*('расчет стоимости'!#REF!+O48)</f>
        <v>#REF!</v>
      </c>
      <c r="S48" s="11" t="e">
        <f>#REF!*('расчет стоимости'!#REF!+O48)</f>
        <v>#REF!</v>
      </c>
      <c r="T48" s="11" t="e">
        <f>K48+I48+(L48*#REF!)</f>
        <v>#REF!</v>
      </c>
      <c r="U48" s="11" t="e">
        <f>'расчет стоимости'!#REF!*(#REF!+#REF!)*#REF!</f>
        <v>#REF!</v>
      </c>
      <c r="V48" s="32" t="e">
        <f>'расчет стоимости'!#REF!*IF('Формулы расчета'!C48=#REF!,#REF!*#REF!,#REF!*#REF!)+'Формулы расчета'!W48</f>
        <v>#REF!</v>
      </c>
      <c r="W48" s="22" t="e">
        <f>IF('расчет стоимости'!#REF!&lt;&gt;0,'расчет стоимости'!#REF!*(#REF!*#REF!),0)</f>
        <v>#REF!</v>
      </c>
      <c r="X48" t="e">
        <f>IF(F48=20,G48*'расчет стоимости'!#REF!,0)</f>
        <v>#REF!</v>
      </c>
      <c r="Y48" t="e">
        <f>IF(F48=30,G48*'расчет стоимости'!#REF!,0)</f>
        <v>#REF!</v>
      </c>
      <c r="Z48" t="e">
        <f t="shared" si="2"/>
        <v>#REF!</v>
      </c>
      <c r="AA48" t="e">
        <f t="shared" si="3"/>
        <v>#REF!</v>
      </c>
      <c r="AB48" t="e">
        <f t="shared" si="4"/>
        <v>#REF!</v>
      </c>
      <c r="AC48" t="e">
        <f t="shared" si="5"/>
        <v>#REF!</v>
      </c>
    </row>
    <row r="49" spans="2:30" x14ac:dyDescent="0.25">
      <c r="B49">
        <v>42</v>
      </c>
      <c r="C49" s="21" t="e">
        <f>IF('расчет стоимости'!#REF!&lt;&gt;0,#REF!,IF('расчет стоимости'!#REF!&lt;&gt;0,#REF!,#REF!))</f>
        <v>#REF!</v>
      </c>
      <c r="D49" s="50" t="e">
        <f>'расчет стоимости'!#REF!</f>
        <v>#REF!</v>
      </c>
      <c r="E49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49" s="11" t="e">
        <f t="shared" si="7"/>
        <v>#REF!</v>
      </c>
      <c r="G49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49" s="36" t="e">
        <f>('расчет стоимости'!#REF!+'расчет стоимости'!#REF!)*0.001*2</f>
        <v>#REF!</v>
      </c>
      <c r="I49" s="34" t="e">
        <f>IF(F49=20,'расчет стоимости'!#REF!*G49*#REF!,'расчет стоимости'!#REF!*G49*#REF!)</f>
        <v>#REF!</v>
      </c>
      <c r="J49" s="11" t="e">
        <f>IF('расчет стоимости'!#REF!=0,0,'расчет стоимости'!#REF!*'расчет стоимости'!#REF!*4)</f>
        <v>#REF!</v>
      </c>
      <c r="K49" s="11" t="e">
        <f>IF(F49=20,J49*#REF!,J49*#REF!)</f>
        <v>#REF!</v>
      </c>
      <c r="L49" s="11" t="e">
        <f>IF('расчет стоимости'!#REF!=0,0,(M49+N49)*2*'расчет стоимости'!#REF!)</f>
        <v>#REF!</v>
      </c>
      <c r="M49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49" s="11" t="e">
        <f>IF('расчет стоимости'!#REF!&lt;400,0,IF('расчет стоимости'!#REF!&lt;=500,1,IF('расчет стоимости'!#REF!&lt;900,2,3)))</f>
        <v>#REF!</v>
      </c>
      <c r="O49" s="35" t="e">
        <f>IF(ПЛОЩАДИ!Y48=1,'расчет стоимости'!#REF!*0.15,'расчет стоимости'!#REF!*0.1)</f>
        <v>#REF!</v>
      </c>
      <c r="P49" s="36" t="e">
        <f>IF(('расчет стоимости'!#REF!+'расчет стоимости'!#REF!)*2&lt;=1400,0.5,0.7)</f>
        <v>#REF!</v>
      </c>
      <c r="Q49" s="11" t="e">
        <f t="shared" si="1"/>
        <v>#REF!</v>
      </c>
      <c r="R49" s="11" t="e">
        <f>#REF!*('расчет стоимости'!#REF!+O49)</f>
        <v>#REF!</v>
      </c>
      <c r="S49" s="11" t="e">
        <f>#REF!*('расчет стоимости'!#REF!+O49)</f>
        <v>#REF!</v>
      </c>
      <c r="T49" s="11" t="e">
        <f>K49+I49+(L49*#REF!)</f>
        <v>#REF!</v>
      </c>
      <c r="U49" s="11" t="e">
        <f>'расчет стоимости'!#REF!*(#REF!+#REF!)*#REF!</f>
        <v>#REF!</v>
      </c>
      <c r="V49" s="32" t="e">
        <f>'расчет стоимости'!#REF!*IF('Формулы расчета'!C49=#REF!,#REF!*#REF!,#REF!*#REF!)+'Формулы расчета'!W49</f>
        <v>#REF!</v>
      </c>
      <c r="W49" s="22" t="e">
        <f>IF('расчет стоимости'!#REF!&lt;&gt;0,'расчет стоимости'!#REF!*(#REF!*#REF!),0)</f>
        <v>#REF!</v>
      </c>
      <c r="X49" t="e">
        <f>IF(F49=20,G49*'расчет стоимости'!#REF!,0)</f>
        <v>#REF!</v>
      </c>
      <c r="Y49" t="e">
        <f>IF(F49=30,G49*'расчет стоимости'!#REF!,0)</f>
        <v>#REF!</v>
      </c>
      <c r="Z49" t="e">
        <f t="shared" si="2"/>
        <v>#REF!</v>
      </c>
      <c r="AA49" t="e">
        <f t="shared" si="3"/>
        <v>#REF!</v>
      </c>
      <c r="AB49" t="e">
        <f t="shared" si="4"/>
        <v>#REF!</v>
      </c>
      <c r="AC49" t="e">
        <f t="shared" si="5"/>
        <v>#REF!</v>
      </c>
    </row>
    <row r="50" spans="2:30" x14ac:dyDescent="0.25">
      <c r="B50">
        <v>43</v>
      </c>
      <c r="C50" s="21" t="e">
        <f>IF('расчет стоимости'!#REF!&lt;&gt;0,#REF!,IF('расчет стоимости'!#REF!&lt;&gt;0,#REF!,#REF!))</f>
        <v>#REF!</v>
      </c>
      <c r="D50" s="50" t="e">
        <f>'расчет стоимости'!#REF!</f>
        <v>#REF!</v>
      </c>
      <c r="E50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0" s="11" t="e">
        <f t="shared" si="7"/>
        <v>#REF!</v>
      </c>
      <c r="G50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0" s="36" t="e">
        <f>('расчет стоимости'!#REF!+'расчет стоимости'!#REF!)*0.001*2</f>
        <v>#REF!</v>
      </c>
      <c r="I50" s="34" t="e">
        <f>IF(F50=20,'расчет стоимости'!#REF!*G50*#REF!,'расчет стоимости'!#REF!*G50*#REF!)</f>
        <v>#REF!</v>
      </c>
      <c r="J50" s="11" t="e">
        <f>IF('расчет стоимости'!#REF!=0,0,'расчет стоимости'!#REF!*'расчет стоимости'!#REF!*4)</f>
        <v>#REF!</v>
      </c>
      <c r="K50" s="11" t="e">
        <f>IF(F50=20,J50*#REF!,J50*#REF!)</f>
        <v>#REF!</v>
      </c>
      <c r="L50" s="11" t="e">
        <f>IF('расчет стоимости'!#REF!=0,0,(M50+N50)*2*'расчет стоимости'!#REF!)</f>
        <v>#REF!</v>
      </c>
      <c r="M50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0" s="11" t="e">
        <f>IF('расчет стоимости'!#REF!&lt;400,0,IF('расчет стоимости'!#REF!&lt;=500,1,IF('расчет стоимости'!#REF!&lt;900,2,3)))</f>
        <v>#REF!</v>
      </c>
      <c r="O50" s="35" t="e">
        <f>IF(ПЛОЩАДИ!Y49=1,'расчет стоимости'!#REF!*0.15,'расчет стоимости'!#REF!*0.1)</f>
        <v>#REF!</v>
      </c>
      <c r="P50" s="36" t="e">
        <f>IF(('расчет стоимости'!#REF!+'расчет стоимости'!#REF!)*2&lt;=1400,0.5,0.7)</f>
        <v>#REF!</v>
      </c>
      <c r="Q50" s="11" t="e">
        <f t="shared" si="1"/>
        <v>#REF!</v>
      </c>
      <c r="R50" s="11" t="e">
        <f>#REF!*('расчет стоимости'!#REF!+O50)</f>
        <v>#REF!</v>
      </c>
      <c r="S50" s="11" t="e">
        <f>#REF!*('расчет стоимости'!#REF!+O50)</f>
        <v>#REF!</v>
      </c>
      <c r="T50" s="11" t="e">
        <f>K50+I50+(L50*#REF!)</f>
        <v>#REF!</v>
      </c>
      <c r="U50" s="11" t="e">
        <f>'расчет стоимости'!#REF!*(#REF!+#REF!)*#REF!</f>
        <v>#REF!</v>
      </c>
      <c r="V50" s="32" t="e">
        <f>'расчет стоимости'!#REF!*IF('Формулы расчета'!C50=#REF!,#REF!*#REF!,#REF!*#REF!)+'Формулы расчета'!W50</f>
        <v>#REF!</v>
      </c>
      <c r="W50" s="22" t="e">
        <f>IF('расчет стоимости'!#REF!&lt;&gt;0,'расчет стоимости'!#REF!*(#REF!*#REF!),0)</f>
        <v>#REF!</v>
      </c>
      <c r="X50" t="e">
        <f>IF(F50=20,G50*'расчет стоимости'!#REF!,0)</f>
        <v>#REF!</v>
      </c>
      <c r="Y50" t="e">
        <f>IF(F50=30,G50*'расчет стоимости'!#REF!,0)</f>
        <v>#REF!</v>
      </c>
      <c r="Z50" t="e">
        <f t="shared" si="2"/>
        <v>#REF!</v>
      </c>
      <c r="AA50" t="e">
        <f t="shared" si="3"/>
        <v>#REF!</v>
      </c>
      <c r="AB50" t="e">
        <f t="shared" si="4"/>
        <v>#REF!</v>
      </c>
      <c r="AC50" t="e">
        <f t="shared" si="5"/>
        <v>#REF!</v>
      </c>
    </row>
    <row r="51" spans="2:30" x14ac:dyDescent="0.25">
      <c r="B51">
        <v>44</v>
      </c>
      <c r="C51" s="21" t="e">
        <f>IF('расчет стоимости'!#REF!&lt;&gt;0,#REF!,IF('расчет стоимости'!#REF!&lt;&gt;0,#REF!,#REF!))</f>
        <v>#REF!</v>
      </c>
      <c r="D51" s="50" t="e">
        <f>'расчет стоимости'!#REF!</f>
        <v>#REF!</v>
      </c>
      <c r="E51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1" s="11" t="e">
        <f t="shared" si="7"/>
        <v>#REF!</v>
      </c>
      <c r="G51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1" s="36" t="e">
        <f>('расчет стоимости'!#REF!+'расчет стоимости'!#REF!)*0.001*2</f>
        <v>#REF!</v>
      </c>
      <c r="I51" s="34" t="e">
        <f>IF(F51=20,'расчет стоимости'!#REF!*G51*#REF!,'расчет стоимости'!#REF!*G51*#REF!)</f>
        <v>#REF!</v>
      </c>
      <c r="J51" s="11" t="e">
        <f>IF('расчет стоимости'!#REF!=0,0,'расчет стоимости'!#REF!*'расчет стоимости'!#REF!*4)</f>
        <v>#REF!</v>
      </c>
      <c r="K51" s="11" t="e">
        <f>IF(F51=20,J51*#REF!,J51*#REF!)</f>
        <v>#REF!</v>
      </c>
      <c r="L51" s="11" t="e">
        <f>IF('расчет стоимости'!#REF!=0,0,(M51+N51)*2*'расчет стоимости'!#REF!)</f>
        <v>#REF!</v>
      </c>
      <c r="M51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1" s="11" t="e">
        <f>IF('расчет стоимости'!#REF!&lt;400,0,IF('расчет стоимости'!#REF!&lt;=500,1,IF('расчет стоимости'!#REF!&lt;900,2,3)))</f>
        <v>#REF!</v>
      </c>
      <c r="O51" s="35" t="e">
        <f>IF(ПЛОЩАДИ!Y50=1,'расчет стоимости'!#REF!*0.15,'расчет стоимости'!#REF!*0.1)</f>
        <v>#REF!</v>
      </c>
      <c r="P51" s="36" t="e">
        <f>IF(('расчет стоимости'!#REF!+'расчет стоимости'!#REF!)*2&lt;=1400,0.5,0.7)</f>
        <v>#REF!</v>
      </c>
      <c r="Q51" s="11" t="e">
        <f t="shared" si="1"/>
        <v>#REF!</v>
      </c>
      <c r="R51" s="11" t="e">
        <f>#REF!*('расчет стоимости'!#REF!+O51)</f>
        <v>#REF!</v>
      </c>
      <c r="S51" s="11" t="e">
        <f>#REF!*('расчет стоимости'!#REF!+O51)</f>
        <v>#REF!</v>
      </c>
      <c r="T51" s="11" t="e">
        <f>K51+I51+(L51*#REF!)</f>
        <v>#REF!</v>
      </c>
      <c r="U51" s="11" t="e">
        <f>'расчет стоимости'!#REF!*(#REF!+#REF!)*#REF!</f>
        <v>#REF!</v>
      </c>
      <c r="V51" s="32" t="e">
        <f>'расчет стоимости'!#REF!*IF('Формулы расчета'!C51=#REF!,#REF!*#REF!,#REF!*#REF!)+'Формулы расчета'!W51</f>
        <v>#REF!</v>
      </c>
      <c r="W51" s="22" t="e">
        <f>IF('расчет стоимости'!#REF!&lt;&gt;0,'расчет стоимости'!#REF!*(#REF!*#REF!),0)</f>
        <v>#REF!</v>
      </c>
      <c r="X51" t="e">
        <f>IF(F51=20,G51*'расчет стоимости'!#REF!,0)</f>
        <v>#REF!</v>
      </c>
      <c r="Y51" t="e">
        <f>IF(F51=30,G51*'расчет стоимости'!#REF!,0)</f>
        <v>#REF!</v>
      </c>
      <c r="Z51" t="e">
        <f t="shared" si="2"/>
        <v>#REF!</v>
      </c>
      <c r="AA51" t="e">
        <f t="shared" si="3"/>
        <v>#REF!</v>
      </c>
      <c r="AB51" t="e">
        <f t="shared" si="4"/>
        <v>#REF!</v>
      </c>
      <c r="AC51" t="e">
        <f t="shared" si="5"/>
        <v>#REF!</v>
      </c>
    </row>
    <row r="52" spans="2:30" x14ac:dyDescent="0.25">
      <c r="B52">
        <v>45</v>
      </c>
      <c r="C52" s="21" t="e">
        <f>IF('расчет стоимости'!#REF!&lt;&gt;0,#REF!,IF('расчет стоимости'!#REF!&lt;&gt;0,#REF!,#REF!))</f>
        <v>#REF!</v>
      </c>
      <c r="D52" s="50" t="e">
        <f>'расчет стоимости'!#REF!</f>
        <v>#REF!</v>
      </c>
      <c r="E52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2" s="11" t="e">
        <f t="shared" si="7"/>
        <v>#REF!</v>
      </c>
      <c r="G52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2" s="36" t="e">
        <f>('расчет стоимости'!#REF!+'расчет стоимости'!#REF!)*0.001*2</f>
        <v>#REF!</v>
      </c>
      <c r="I52" s="34" t="e">
        <f>IF(F52=20,'расчет стоимости'!#REF!*G52*#REF!,'расчет стоимости'!#REF!*G52*#REF!)</f>
        <v>#REF!</v>
      </c>
      <c r="J52" s="11" t="e">
        <f>IF('расчет стоимости'!#REF!=0,0,'расчет стоимости'!#REF!*'расчет стоимости'!#REF!*4)</f>
        <v>#REF!</v>
      </c>
      <c r="K52" s="11" t="e">
        <f>IF(F52=20,J52*#REF!,J52*#REF!)</f>
        <v>#REF!</v>
      </c>
      <c r="L52" s="11" t="e">
        <f>IF('расчет стоимости'!#REF!=0,0,(M52+N52)*2*'расчет стоимости'!#REF!)</f>
        <v>#REF!</v>
      </c>
      <c r="M52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2" s="11" t="e">
        <f>IF('расчет стоимости'!#REF!&lt;400,0,IF('расчет стоимости'!#REF!&lt;=500,1,IF('расчет стоимости'!#REF!&lt;900,2,3)))</f>
        <v>#REF!</v>
      </c>
      <c r="O52" s="35" t="e">
        <f>IF(ПЛОЩАДИ!Y51=1,'расчет стоимости'!#REF!*0.15,'расчет стоимости'!#REF!*0.1)</f>
        <v>#REF!</v>
      </c>
      <c r="P52" s="36" t="e">
        <f>IF(('расчет стоимости'!#REF!+'расчет стоимости'!#REF!)*2&lt;=1400,0.5,0.7)</f>
        <v>#REF!</v>
      </c>
      <c r="Q52" s="11" t="e">
        <f t="shared" si="1"/>
        <v>#REF!</v>
      </c>
      <c r="R52" s="11" t="e">
        <f>#REF!*('расчет стоимости'!#REF!+O52)</f>
        <v>#REF!</v>
      </c>
      <c r="S52" s="11" t="e">
        <f>#REF!*('расчет стоимости'!#REF!+O52)</f>
        <v>#REF!</v>
      </c>
      <c r="T52" s="11" t="e">
        <f>K52+I52+(L52*#REF!)</f>
        <v>#REF!</v>
      </c>
      <c r="U52" s="11" t="e">
        <f>'расчет стоимости'!#REF!*(#REF!+#REF!)*#REF!</f>
        <v>#REF!</v>
      </c>
      <c r="V52" s="32" t="e">
        <f>'расчет стоимости'!#REF!*IF('Формулы расчета'!C52=#REF!,#REF!*#REF!,#REF!*#REF!)+'Формулы расчета'!W52</f>
        <v>#REF!</v>
      </c>
      <c r="W52" s="22" t="e">
        <f>IF('расчет стоимости'!#REF!&lt;&gt;0,'расчет стоимости'!#REF!*(#REF!*#REF!),0)</f>
        <v>#REF!</v>
      </c>
      <c r="X52" t="e">
        <f>IF(F52=20,G52*'расчет стоимости'!#REF!,0)</f>
        <v>#REF!</v>
      </c>
      <c r="Y52" t="e">
        <f>IF(F52=30,G52*'расчет стоимости'!#REF!,0)</f>
        <v>#REF!</v>
      </c>
      <c r="Z52" t="e">
        <f t="shared" si="2"/>
        <v>#REF!</v>
      </c>
      <c r="AA52" t="e">
        <f t="shared" si="3"/>
        <v>#REF!</v>
      </c>
      <c r="AB52" t="e">
        <f t="shared" si="4"/>
        <v>#REF!</v>
      </c>
      <c r="AC52" t="e">
        <f t="shared" si="5"/>
        <v>#REF!</v>
      </c>
    </row>
    <row r="53" spans="2:30" x14ac:dyDescent="0.25">
      <c r="B53">
        <v>46</v>
      </c>
      <c r="C53" s="21" t="e">
        <f>IF('расчет стоимости'!#REF!&lt;&gt;0,#REF!,IF('расчет стоимости'!#REF!&lt;&gt;0,#REF!,#REF!))</f>
        <v>#REF!</v>
      </c>
      <c r="D53" s="50" t="e">
        <f>'расчет стоимости'!#REF!</f>
        <v>#REF!</v>
      </c>
      <c r="E53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3" s="11" t="e">
        <f t="shared" si="7"/>
        <v>#REF!</v>
      </c>
      <c r="G53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3" s="36" t="e">
        <f>('расчет стоимости'!#REF!+'расчет стоимости'!#REF!)*0.001*2</f>
        <v>#REF!</v>
      </c>
      <c r="I53" s="34" t="e">
        <f>IF(F53=20,'расчет стоимости'!#REF!*G53*#REF!,'расчет стоимости'!#REF!*G53*#REF!)</f>
        <v>#REF!</v>
      </c>
      <c r="J53" s="11" t="e">
        <f>IF('расчет стоимости'!#REF!=0,0,'расчет стоимости'!#REF!*'расчет стоимости'!#REF!*4)</f>
        <v>#REF!</v>
      </c>
      <c r="K53" s="11" t="e">
        <f>IF(F53=20,J53*#REF!,J53*#REF!)</f>
        <v>#REF!</v>
      </c>
      <c r="L53" s="11" t="e">
        <f>IF('расчет стоимости'!#REF!=0,0,(M53+N53)*2*'расчет стоимости'!#REF!)</f>
        <v>#REF!</v>
      </c>
      <c r="M53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3" s="11" t="e">
        <f>IF('расчет стоимости'!#REF!&lt;400,0,IF('расчет стоимости'!#REF!&lt;=500,1,IF('расчет стоимости'!#REF!&lt;900,2,3)))</f>
        <v>#REF!</v>
      </c>
      <c r="O53" s="35" t="e">
        <f>IF(ПЛОЩАДИ!Y52=1,'расчет стоимости'!#REF!*0.15,'расчет стоимости'!#REF!*0.1)</f>
        <v>#REF!</v>
      </c>
      <c r="P53" s="36" t="e">
        <f>IF(('расчет стоимости'!#REF!+'расчет стоимости'!#REF!)*2&lt;=1400,0.5,0.7)</f>
        <v>#REF!</v>
      </c>
      <c r="Q53" s="11" t="e">
        <f t="shared" si="1"/>
        <v>#REF!</v>
      </c>
      <c r="R53" s="11" t="e">
        <f>#REF!*('расчет стоимости'!#REF!+O53)</f>
        <v>#REF!</v>
      </c>
      <c r="S53" s="11" t="e">
        <f>#REF!*('расчет стоимости'!#REF!+O53)</f>
        <v>#REF!</v>
      </c>
      <c r="T53" s="11" t="e">
        <f>K53+I53+(L53*#REF!)</f>
        <v>#REF!</v>
      </c>
      <c r="U53" s="11" t="e">
        <f>'расчет стоимости'!#REF!*(#REF!+#REF!)*#REF!</f>
        <v>#REF!</v>
      </c>
      <c r="V53" s="32" t="e">
        <f>'расчет стоимости'!#REF!*IF('Формулы расчета'!C53=#REF!,#REF!*#REF!,#REF!*#REF!)+'Формулы расчета'!W53</f>
        <v>#REF!</v>
      </c>
      <c r="W53" s="22" t="e">
        <f>IF('расчет стоимости'!#REF!&lt;&gt;0,'расчет стоимости'!#REF!*(#REF!*#REF!),0)</f>
        <v>#REF!</v>
      </c>
      <c r="X53" t="e">
        <f>IF(F53=20,G53*'расчет стоимости'!#REF!,0)</f>
        <v>#REF!</v>
      </c>
      <c r="Y53" t="e">
        <f>IF(F53=30,G53*'расчет стоимости'!#REF!,0)</f>
        <v>#REF!</v>
      </c>
      <c r="Z53" t="e">
        <f t="shared" si="2"/>
        <v>#REF!</v>
      </c>
      <c r="AA53" t="e">
        <f t="shared" si="3"/>
        <v>#REF!</v>
      </c>
      <c r="AB53" t="e">
        <f t="shared" si="4"/>
        <v>#REF!</v>
      </c>
      <c r="AC53" t="e">
        <f t="shared" si="5"/>
        <v>#REF!</v>
      </c>
    </row>
    <row r="54" spans="2:30" x14ac:dyDescent="0.25">
      <c r="B54">
        <v>47</v>
      </c>
      <c r="C54" s="21" t="e">
        <f>IF('расчет стоимости'!#REF!&lt;&gt;0,#REF!,IF('расчет стоимости'!#REF!&lt;&gt;0,#REF!,#REF!))</f>
        <v>#REF!</v>
      </c>
      <c r="D54" s="50" t="e">
        <f>'расчет стоимости'!#REF!</f>
        <v>#REF!</v>
      </c>
      <c r="E54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4" s="11" t="e">
        <f t="shared" si="7"/>
        <v>#REF!</v>
      </c>
      <c r="G54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4" s="36" t="e">
        <f>('расчет стоимости'!#REF!+'расчет стоимости'!#REF!)*0.001*2</f>
        <v>#REF!</v>
      </c>
      <c r="I54" s="34" t="e">
        <f>IF(F54=20,'расчет стоимости'!#REF!*G54*#REF!,'расчет стоимости'!#REF!*G54*#REF!)</f>
        <v>#REF!</v>
      </c>
      <c r="J54" s="11" t="e">
        <f>IF('расчет стоимости'!#REF!=0,0,'расчет стоимости'!#REF!*'расчет стоимости'!#REF!*4)</f>
        <v>#REF!</v>
      </c>
      <c r="K54" s="11" t="e">
        <f>IF(F54=20,J54*#REF!,J54*#REF!)</f>
        <v>#REF!</v>
      </c>
      <c r="L54" s="11" t="e">
        <f>IF('расчет стоимости'!#REF!=0,0,(M54+N54)*2*'расчет стоимости'!#REF!)</f>
        <v>#REF!</v>
      </c>
      <c r="M54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4" s="11" t="e">
        <f>IF('расчет стоимости'!#REF!&lt;400,0,IF('расчет стоимости'!#REF!&lt;=500,1,IF('расчет стоимости'!#REF!&lt;900,2,3)))</f>
        <v>#REF!</v>
      </c>
      <c r="O54" s="35" t="e">
        <f>IF(ПЛОЩАДИ!Y53=1,'расчет стоимости'!#REF!*0.15,'расчет стоимости'!#REF!*0.1)</f>
        <v>#REF!</v>
      </c>
      <c r="P54" s="36" t="e">
        <f>IF(('расчет стоимости'!#REF!+'расчет стоимости'!#REF!)*2&lt;=1400,0.5,0.7)</f>
        <v>#REF!</v>
      </c>
      <c r="Q54" s="11" t="e">
        <f t="shared" si="1"/>
        <v>#REF!</v>
      </c>
      <c r="R54" s="11" t="e">
        <f>#REF!*('расчет стоимости'!#REF!+O54)</f>
        <v>#REF!</v>
      </c>
      <c r="S54" s="11" t="e">
        <f>#REF!*('расчет стоимости'!#REF!+O54)</f>
        <v>#REF!</v>
      </c>
      <c r="T54" s="11" t="e">
        <f>K54+I54+(L54*#REF!)</f>
        <v>#REF!</v>
      </c>
      <c r="U54" s="11" t="e">
        <f>'расчет стоимости'!#REF!*(#REF!+#REF!)*#REF!</f>
        <v>#REF!</v>
      </c>
      <c r="V54" s="32" t="e">
        <f>'расчет стоимости'!#REF!*IF('Формулы расчета'!C54=#REF!,#REF!*#REF!,#REF!*#REF!)+'Формулы расчета'!W54</f>
        <v>#REF!</v>
      </c>
      <c r="W54" s="22" t="e">
        <f>IF('расчет стоимости'!#REF!&lt;&gt;0,'расчет стоимости'!#REF!*(#REF!*#REF!),0)</f>
        <v>#REF!</v>
      </c>
      <c r="X54" t="e">
        <f>IF(F54=20,G54*'расчет стоимости'!#REF!,0)</f>
        <v>#REF!</v>
      </c>
      <c r="Y54" t="e">
        <f>IF(F54=30,G54*'расчет стоимости'!#REF!,0)</f>
        <v>#REF!</v>
      </c>
      <c r="Z54" t="e">
        <f t="shared" si="2"/>
        <v>#REF!</v>
      </c>
      <c r="AA54" t="e">
        <f t="shared" si="3"/>
        <v>#REF!</v>
      </c>
      <c r="AB54" t="e">
        <f t="shared" si="4"/>
        <v>#REF!</v>
      </c>
      <c r="AC54" t="e">
        <f t="shared" si="5"/>
        <v>#REF!</v>
      </c>
    </row>
    <row r="55" spans="2:30" x14ac:dyDescent="0.25">
      <c r="B55">
        <v>48</v>
      </c>
      <c r="C55" s="21" t="e">
        <f>IF('расчет стоимости'!#REF!&lt;&gt;0,#REF!,IF('расчет стоимости'!#REF!&lt;&gt;0,#REF!,#REF!))</f>
        <v>#REF!</v>
      </c>
      <c r="D55" s="50" t="e">
        <f>'расчет стоимости'!#REF!</f>
        <v>#REF!</v>
      </c>
      <c r="E55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5" s="11" t="e">
        <f t="shared" si="7"/>
        <v>#REF!</v>
      </c>
      <c r="G55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5" s="36" t="e">
        <f>('расчет стоимости'!#REF!+'расчет стоимости'!#REF!)*0.001*2</f>
        <v>#REF!</v>
      </c>
      <c r="I55" s="34" t="e">
        <f>IF(F55=20,'расчет стоимости'!#REF!*G55*#REF!,'расчет стоимости'!#REF!*G55*#REF!)</f>
        <v>#REF!</v>
      </c>
      <c r="J55" s="11" t="e">
        <f>IF('расчет стоимости'!#REF!=0,0,'расчет стоимости'!#REF!*'расчет стоимости'!#REF!*4)</f>
        <v>#REF!</v>
      </c>
      <c r="K55" s="11" t="e">
        <f>IF(F55=20,J55*#REF!,J55*#REF!)</f>
        <v>#REF!</v>
      </c>
      <c r="L55" s="11" t="e">
        <f>IF('расчет стоимости'!#REF!=0,0,(M55+N55)*2*'расчет стоимости'!#REF!)</f>
        <v>#REF!</v>
      </c>
      <c r="M55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5" s="11" t="e">
        <f>IF('расчет стоимости'!#REF!&lt;400,0,IF('расчет стоимости'!#REF!&lt;=500,1,IF('расчет стоимости'!#REF!&lt;900,2,3)))</f>
        <v>#REF!</v>
      </c>
      <c r="O55" s="35" t="e">
        <f>IF(ПЛОЩАДИ!Y54=1,'расчет стоимости'!#REF!*0.15,'расчет стоимости'!#REF!*0.1)</f>
        <v>#REF!</v>
      </c>
      <c r="P55" s="36" t="e">
        <f>IF(('расчет стоимости'!#REF!+'расчет стоимости'!#REF!)*2&lt;=1400,0.5,0.7)</f>
        <v>#REF!</v>
      </c>
      <c r="Q55" s="11" t="e">
        <f t="shared" si="1"/>
        <v>#REF!</v>
      </c>
      <c r="R55" s="11" t="e">
        <f>#REF!*('расчет стоимости'!#REF!+O55)</f>
        <v>#REF!</v>
      </c>
      <c r="S55" s="11" t="e">
        <f>#REF!*('расчет стоимости'!#REF!+O55)</f>
        <v>#REF!</v>
      </c>
      <c r="T55" s="11" t="e">
        <f>K55+I55+(L55*#REF!)</f>
        <v>#REF!</v>
      </c>
      <c r="U55" s="11" t="e">
        <f>'расчет стоимости'!#REF!*(#REF!+#REF!)*#REF!</f>
        <v>#REF!</v>
      </c>
      <c r="V55" s="32" t="e">
        <f>'расчет стоимости'!#REF!*IF('Формулы расчета'!C55=#REF!,#REF!*#REF!,#REF!*#REF!)+'Формулы расчета'!W55</f>
        <v>#REF!</v>
      </c>
      <c r="W55" s="22" t="e">
        <f>IF('расчет стоимости'!#REF!&lt;&gt;0,'расчет стоимости'!#REF!*(#REF!*#REF!),0)</f>
        <v>#REF!</v>
      </c>
      <c r="X55" t="e">
        <f>IF(F55=20,G55*'расчет стоимости'!#REF!,0)</f>
        <v>#REF!</v>
      </c>
      <c r="Y55" t="e">
        <f>IF(F55=30,G55*'расчет стоимости'!#REF!,0)</f>
        <v>#REF!</v>
      </c>
      <c r="Z55" t="e">
        <f t="shared" si="2"/>
        <v>#REF!</v>
      </c>
      <c r="AA55" t="e">
        <f t="shared" si="3"/>
        <v>#REF!</v>
      </c>
      <c r="AB55" t="e">
        <f t="shared" si="4"/>
        <v>#REF!</v>
      </c>
      <c r="AC55" t="e">
        <f t="shared" si="5"/>
        <v>#REF!</v>
      </c>
    </row>
    <row r="56" spans="2:30" x14ac:dyDescent="0.25">
      <c r="B56">
        <v>49</v>
      </c>
      <c r="C56" s="21" t="e">
        <f>IF('расчет стоимости'!#REF!&lt;&gt;0,#REF!,IF('расчет стоимости'!#REF!&lt;&gt;0,#REF!,#REF!))</f>
        <v>#REF!</v>
      </c>
      <c r="D56" s="50" t="e">
        <f>'расчет стоимости'!#REF!</f>
        <v>#REF!</v>
      </c>
      <c r="E56" s="1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6" s="11" t="e">
        <f t="shared" si="7"/>
        <v>#REF!</v>
      </c>
      <c r="G56" s="14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6" s="36" t="e">
        <f>('расчет стоимости'!#REF!+'расчет стоимости'!#REF!)*0.001*2</f>
        <v>#REF!</v>
      </c>
      <c r="I56" s="34" t="e">
        <f>IF(F56=20,'расчет стоимости'!#REF!*G56*#REF!,'расчет стоимости'!#REF!*G56*#REF!)</f>
        <v>#REF!</v>
      </c>
      <c r="J56" s="11" t="e">
        <f>IF('расчет стоимости'!#REF!=0,0,'расчет стоимости'!#REF!*'расчет стоимости'!#REF!*4)</f>
        <v>#REF!</v>
      </c>
      <c r="K56" s="11" t="e">
        <f>IF(F56=20,J56*#REF!,J56*#REF!)</f>
        <v>#REF!</v>
      </c>
      <c r="L56" s="11" t="e">
        <f>IF('расчет стоимости'!#REF!=0,0,(M56+N56)*2*'расчет стоимости'!#REF!)</f>
        <v>#REF!</v>
      </c>
      <c r="M56" s="11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6" s="11" t="e">
        <f>IF('расчет стоимости'!#REF!&lt;400,0,IF('расчет стоимости'!#REF!&lt;=500,1,IF('расчет стоимости'!#REF!&lt;900,2,3)))</f>
        <v>#REF!</v>
      </c>
      <c r="O56" s="35" t="e">
        <f>IF(ПЛОЩАДИ!Y55=1,'расчет стоимости'!#REF!*0.15,'расчет стоимости'!#REF!*0.1)</f>
        <v>#REF!</v>
      </c>
      <c r="P56" s="36" t="e">
        <f>IF(('расчет стоимости'!#REF!+'расчет стоимости'!#REF!)*2&lt;=1400,0.5,0.7)</f>
        <v>#REF!</v>
      </c>
      <c r="Q56" s="11" t="e">
        <f t="shared" si="1"/>
        <v>#REF!</v>
      </c>
      <c r="R56" s="11" t="e">
        <f>#REF!*('расчет стоимости'!#REF!+O56)</f>
        <v>#REF!</v>
      </c>
      <c r="S56" s="11" t="e">
        <f>#REF!*('расчет стоимости'!#REF!+O56)</f>
        <v>#REF!</v>
      </c>
      <c r="T56" s="11" t="e">
        <f>K56+I56+(L56*#REF!)</f>
        <v>#REF!</v>
      </c>
      <c r="U56" s="11" t="e">
        <f>'расчет стоимости'!#REF!*(#REF!+#REF!)*#REF!</f>
        <v>#REF!</v>
      </c>
      <c r="V56" s="32" t="e">
        <f>'расчет стоимости'!#REF!*IF('Формулы расчета'!C56=#REF!,#REF!*#REF!,#REF!*#REF!)+'Формулы расчета'!W56</f>
        <v>#REF!</v>
      </c>
      <c r="W56" s="22" t="e">
        <f>IF('расчет стоимости'!#REF!&lt;&gt;0,'расчет стоимости'!#REF!*(#REF!*#REF!),0)</f>
        <v>#REF!</v>
      </c>
      <c r="X56" t="e">
        <f>IF(F56=20,G56*'расчет стоимости'!#REF!,0)</f>
        <v>#REF!</v>
      </c>
      <c r="Y56" t="e">
        <f>IF(F56=30,G56*'расчет стоимости'!#REF!,0)</f>
        <v>#REF!</v>
      </c>
      <c r="Z56" t="e">
        <f t="shared" si="2"/>
        <v>#REF!</v>
      </c>
      <c r="AA56" t="e">
        <f t="shared" si="3"/>
        <v>#REF!</v>
      </c>
      <c r="AB56" t="e">
        <f t="shared" si="4"/>
        <v>#REF!</v>
      </c>
      <c r="AC56" t="e">
        <f t="shared" si="5"/>
        <v>#REF!</v>
      </c>
    </row>
    <row r="57" spans="2:30" ht="15.75" thickBot="1" x14ac:dyDescent="0.3">
      <c r="B57">
        <v>50</v>
      </c>
      <c r="C57" s="23" t="e">
        <f>IF('расчет стоимости'!#REF!&lt;&gt;0,#REF!,IF('расчет стоимости'!#REF!&lt;&gt;0,#REF!,#REF!))</f>
        <v>#REF!</v>
      </c>
      <c r="D57" s="50" t="e">
        <f>'расчет стоимости'!#REF!</f>
        <v>#REF!</v>
      </c>
      <c r="E57" s="37" t="e">
        <f>IF('расчет стоимости'!#REF!&lt;&gt;0,('расчет стоимости'!#REF!*3.14*0.001)*('расчет стоимости'!#REF!*0.001)*'расчет стоимости'!#REF!,'расчет стоимости'!#REF!*'расчет стоимости'!#REF!*'расчет стоимости'!#REF!/1000000000*'расчет стоимости'!#REF!)</f>
        <v>#REF!</v>
      </c>
      <c r="F57" s="32" t="e">
        <f t="shared" si="7"/>
        <v>#REF!</v>
      </c>
      <c r="G57" s="38" t="e">
        <f>IF('расчет стоимости'!#REF!=0,(('расчет стоимости'!#REF!*0.001)+('расчет стоимости'!#REF!*0.001))*2*'расчет стоимости'!#REF!,((('расчет стоимости'!#REF!+'расчет стоимости'!#REF!)*0.001)*2)+(('расчет стоимости'!#REF!+'расчет стоимости'!#REF!)*0.001*2*('расчет стоимости'!#REF!-1)))</f>
        <v>#REF!</v>
      </c>
      <c r="H57" s="39" t="e">
        <f>('расчет стоимости'!#REF!+'расчет стоимости'!#REF!)*0.001*2</f>
        <v>#REF!</v>
      </c>
      <c r="I57" s="34" t="e">
        <f>IF(F57=20,'расчет стоимости'!#REF!*G57*#REF!,'расчет стоимости'!#REF!*G57*#REF!)</f>
        <v>#REF!</v>
      </c>
      <c r="J57" s="40" t="e">
        <f>IF('расчет стоимости'!#REF!=0,0,'расчет стоимости'!#REF!*'расчет стоимости'!#REF!*4)</f>
        <v>#REF!</v>
      </c>
      <c r="K57" s="40" t="e">
        <f>IF(F57=20,J57*#REF!,J57*#REF!)</f>
        <v>#REF!</v>
      </c>
      <c r="L57" s="40" t="e">
        <f>IF('расчет стоимости'!#REF!=0,0,(M57+N57)*2*'расчет стоимости'!#REF!)</f>
        <v>#REF!</v>
      </c>
      <c r="M57" s="40" t="e">
        <f>IF('расчет стоимости'!#REF!&lt;400,0,IF('расчет стоимости'!#REF!&lt;=500,1,IF('расчет стоимости'!#REF!&lt;900,2,IF('расчет стоимости'!#REF!&lt;=1200,3,4))))</f>
        <v>#REF!</v>
      </c>
      <c r="N57" s="40" t="e">
        <f>IF('расчет стоимости'!#REF!&lt;400,0,IF('расчет стоимости'!#REF!&lt;=500,1,IF('расчет стоимости'!#REF!&lt;900,2,3)))</f>
        <v>#REF!</v>
      </c>
      <c r="O57" s="35" t="e">
        <f>IF(ПЛОЩАДИ!Y56=1,'расчет стоимости'!#REF!*0.15,'расчет стоимости'!#REF!*0.1)</f>
        <v>#REF!</v>
      </c>
      <c r="P57" s="39" t="e">
        <f>IF(('расчет стоимости'!#REF!+'расчет стоимости'!#REF!)*2&lt;=1400,0.5,0.7)</f>
        <v>#REF!</v>
      </c>
      <c r="Q57" s="40" t="e">
        <f t="shared" si="1"/>
        <v>#REF!</v>
      </c>
      <c r="R57" s="40" t="e">
        <f>#REF!*('расчет стоимости'!#REF!+O57)</f>
        <v>#REF!</v>
      </c>
      <c r="S57" s="40" t="e">
        <f>#REF!*('расчет стоимости'!#REF!+O57)</f>
        <v>#REF!</v>
      </c>
      <c r="T57" s="40" t="e">
        <f>K57+I57+(L57*#REF!)</f>
        <v>#REF!</v>
      </c>
      <c r="U57" s="40" t="e">
        <f>'расчет стоимости'!#REF!*(#REF!+#REF!)*#REF!</f>
        <v>#REF!</v>
      </c>
      <c r="V57" s="32" t="e">
        <f>'расчет стоимости'!#REF!*IF('Формулы расчета'!C57=#REF!,#REF!*#REF!,#REF!*#REF!)+'Формулы расчета'!W57</f>
        <v>#REF!</v>
      </c>
      <c r="W57" s="24" t="e">
        <f>IF('расчет стоимости'!#REF!&lt;&gt;0,'расчет стоимости'!#REF!*(#REF!*#REF!),0)</f>
        <v>#REF!</v>
      </c>
      <c r="X57" t="e">
        <f>IF(F57=20,G57*'расчет стоимости'!#REF!,0)</f>
        <v>#REF!</v>
      </c>
      <c r="Y57" t="e">
        <f>IF(F57=30,G57*'расчет стоимости'!#REF!,0)</f>
        <v>#REF!</v>
      </c>
      <c r="Z57" t="e">
        <f t="shared" si="2"/>
        <v>#REF!</v>
      </c>
      <c r="AA57" t="e">
        <f t="shared" si="3"/>
        <v>#REF!</v>
      </c>
      <c r="AB57" t="e">
        <f t="shared" si="4"/>
        <v>#REF!</v>
      </c>
      <c r="AC57" t="e">
        <f t="shared" si="5"/>
        <v>#REF!</v>
      </c>
    </row>
    <row r="58" spans="2:30" x14ac:dyDescent="0.25">
      <c r="B58" t="s">
        <v>31</v>
      </c>
      <c r="G58" s="27" t="e">
        <f t="shared" ref="G58:Z58" si="8">SUM(G8:G57)</f>
        <v>#REF!</v>
      </c>
      <c r="H58" s="27" t="e">
        <f t="shared" si="8"/>
        <v>#REF!</v>
      </c>
      <c r="I58" s="27" t="e">
        <f t="shared" si="8"/>
        <v>#REF!</v>
      </c>
      <c r="J58" s="27" t="e">
        <f t="shared" si="8"/>
        <v>#REF!</v>
      </c>
      <c r="K58" s="27" t="e">
        <f t="shared" si="8"/>
        <v>#REF!</v>
      </c>
      <c r="L58" s="27" t="e">
        <f t="shared" si="8"/>
        <v>#REF!</v>
      </c>
      <c r="M58" s="27" t="e">
        <f t="shared" si="8"/>
        <v>#REF!</v>
      </c>
      <c r="N58" s="27" t="e">
        <f t="shared" si="8"/>
        <v>#REF!</v>
      </c>
      <c r="O58" s="27" t="e">
        <f t="shared" si="8"/>
        <v>#N/A</v>
      </c>
      <c r="P58" s="27"/>
      <c r="Q58" s="27" t="e">
        <f t="shared" si="8"/>
        <v>#REF!</v>
      </c>
      <c r="R58" s="27" t="e">
        <f t="shared" si="8"/>
        <v>#REF!</v>
      </c>
      <c r="S58" s="27" t="e">
        <f t="shared" si="8"/>
        <v>#REF!</v>
      </c>
      <c r="T58" s="27" t="e">
        <f t="shared" si="8"/>
        <v>#REF!</v>
      </c>
      <c r="U58" s="27" t="e">
        <f t="shared" si="8"/>
        <v>#REF!</v>
      </c>
      <c r="V58" s="27" t="e">
        <f t="shared" si="8"/>
        <v>#REF!</v>
      </c>
      <c r="W58" s="27"/>
      <c r="X58" s="27" t="e">
        <f t="shared" si="8"/>
        <v>#REF!</v>
      </c>
      <c r="Y58" s="27" t="e">
        <f t="shared" si="8"/>
        <v>#REF!</v>
      </c>
      <c r="Z58" s="27" t="e">
        <f t="shared" si="8"/>
        <v>#REF!</v>
      </c>
      <c r="AA58" s="27" t="e">
        <f>SUM(AA8:AA57)</f>
        <v>#REF!</v>
      </c>
      <c r="AB58" s="27" t="e">
        <f>SUM(AB8:AB57)</f>
        <v>#REF!</v>
      </c>
      <c r="AC58" s="27" t="e">
        <f>SUM(AC8:AC57)</f>
        <v>#REF!</v>
      </c>
      <c r="AD58" s="27" t="e">
        <f>SUM(AB58:AC58)</f>
        <v>#REF!</v>
      </c>
    </row>
    <row r="60" spans="2:30" x14ac:dyDescent="0.25">
      <c r="B60" s="28" t="e">
        <f>Q58+T58</f>
        <v>#REF!</v>
      </c>
      <c r="U60" s="2" t="e">
        <f>U58+W60</f>
        <v>#REF!</v>
      </c>
      <c r="W60" s="2" t="e">
        <f>W58+V58</f>
        <v>#REF!</v>
      </c>
    </row>
    <row r="61" spans="2:30" x14ac:dyDescent="0.25">
      <c r="W61" s="2" t="e">
        <f>W60/#REF!</f>
        <v>#REF!</v>
      </c>
    </row>
    <row r="62" spans="2:30" x14ac:dyDescent="0.25">
      <c r="W62" s="7" t="e">
        <f>W61/'расчет стоимости'!#REF!</f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0000"/>
  </sheetPr>
  <dimension ref="A1:Y52"/>
  <sheetViews>
    <sheetView workbookViewId="0">
      <selection activeCell="C18" sqref="C18"/>
    </sheetView>
  </sheetViews>
  <sheetFormatPr defaultRowHeight="15" x14ac:dyDescent="0.25"/>
  <cols>
    <col min="1" max="1" width="12" customWidth="1"/>
    <col min="2" max="2" width="10.28515625" customWidth="1"/>
    <col min="3" max="3" width="16.7109375" customWidth="1"/>
    <col min="4" max="4" width="15.85546875" customWidth="1"/>
    <col min="5" max="5" width="14.5703125" customWidth="1"/>
    <col min="6" max="13" width="7.42578125" customWidth="1"/>
    <col min="14" max="16" width="6.28515625" customWidth="1"/>
    <col min="17" max="17" width="8.85546875" customWidth="1"/>
    <col min="18" max="18" width="6.7109375" customWidth="1"/>
    <col min="19" max="19" width="8.85546875" customWidth="1"/>
  </cols>
  <sheetData>
    <row r="1" spans="1:25" x14ac:dyDescent="0.25">
      <c r="C1" t="s">
        <v>88</v>
      </c>
      <c r="D1" t="s">
        <v>89</v>
      </c>
      <c r="E1" t="s">
        <v>90</v>
      </c>
    </row>
    <row r="2" spans="1:25" x14ac:dyDescent="0.25">
      <c r="C2" t="s">
        <v>33</v>
      </c>
      <c r="D2" s="78">
        <f>(расчетная[[#This Row],[ширина  /Ду]]*2+расчетная[[#This Row],[высота]]*2)*0.001*(расчетная[[#This Row],[длинна]]*0.001)</f>
        <v>1.1000000000000001</v>
      </c>
    </row>
    <row r="3" spans="1:25" x14ac:dyDescent="0.25">
      <c r="B3" s="15"/>
      <c r="C3" s="15" t="s">
        <v>36</v>
      </c>
      <c r="D3" s="15">
        <f>(расчетная[[#This Row],[ширина  /Ду]]*2+расчетная[[#This Row],[высота]]*2)*0.001*(расчетная[[#This Row],[длинна]]*0.001)+IF(расчетная[[#This Row],[H врезки1/ перехода]]&lt;&gt;0,(расчетная[[#This Row],[H врезки1/ перехода]]*2+расчетная[[#This Row],[L врезки1/ перехода]]*2)*0.001*(расчетная[[#This Row],[шейка]]*0.001),(расчетная[[#This Row],[Ду врез1/ перехода]]*0.001*3.14)*(расчетная[[#This Row],[шейка]]*0.001))</f>
        <v>0.95887500000000003</v>
      </c>
    </row>
    <row r="4" spans="1:25" x14ac:dyDescent="0.25">
      <c r="B4" s="15"/>
      <c r="C4" s="15" t="s">
        <v>37</v>
      </c>
      <c r="D4" s="15">
        <f>((расчетная[[#This Row],[ширина  /Ду]]*2+расчетная[[#This Row],[высота]]*2)*0.001)*(расчетная[[#This Row],[длинна]]*0.001)+(расчетная[[#This Row],[ширина  /Ду]]*расчетная[[#This Row],[высота]])*0.000001</f>
        <v>0.56000000000000005</v>
      </c>
    </row>
    <row r="5" spans="1:25" x14ac:dyDescent="0.25">
      <c r="B5" s="15"/>
      <c r="C5" s="15" t="s">
        <v>38</v>
      </c>
      <c r="D5" s="15">
        <f>((расчетная[[#This Row],[ширина  /Ду]]*2+расчетная[[#This Row],[высота]]*2)*0.001)*(расчетная[[#This Row],[длинна]]*0.001)+(расчетная[[#This Row],[ширина  /Ду]]*расчетная[[#This Row],[высота]])*0.000001</f>
        <v>5.43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x14ac:dyDescent="0.25">
      <c r="B6" s="15"/>
      <c r="C6" s="15" t="s">
        <v>39</v>
      </c>
      <c r="D6" s="15"/>
    </row>
    <row r="7" spans="1:25" x14ac:dyDescent="0.25">
      <c r="B7" s="15"/>
      <c r="C7" s="15" t="s">
        <v>40</v>
      </c>
      <c r="D7" s="15"/>
      <c r="M7" s="49"/>
      <c r="N7" s="49"/>
      <c r="O7" s="49"/>
      <c r="P7" s="49"/>
      <c r="Q7" s="49"/>
      <c r="R7" s="27"/>
      <c r="S7" s="27"/>
    </row>
    <row r="8" spans="1:25" x14ac:dyDescent="0.25">
      <c r="B8" s="15"/>
      <c r="C8" s="15"/>
      <c r="D8" s="15"/>
      <c r="M8" s="49"/>
      <c r="N8" s="49"/>
      <c r="O8" s="49"/>
      <c r="P8" s="49"/>
      <c r="Q8" s="49"/>
      <c r="R8" s="27"/>
      <c r="S8" s="27"/>
    </row>
    <row r="9" spans="1:25" x14ac:dyDescent="0.25">
      <c r="A9" s="49"/>
      <c r="B9" s="15"/>
      <c r="C9" s="15"/>
      <c r="D9" s="15"/>
      <c r="M9" s="49"/>
      <c r="N9" s="49"/>
      <c r="O9" s="49"/>
      <c r="P9" s="49"/>
      <c r="Q9" s="49"/>
      <c r="R9" s="27"/>
      <c r="S9" s="27"/>
    </row>
    <row r="10" spans="1:25" x14ac:dyDescent="0.25">
      <c r="B10" s="15"/>
      <c r="C10" s="15"/>
      <c r="D10" s="15"/>
      <c r="M10" s="49"/>
      <c r="N10" s="49"/>
      <c r="O10" s="49"/>
      <c r="P10" s="49"/>
      <c r="Q10" s="49"/>
      <c r="R10" s="27"/>
      <c r="S10" s="27"/>
    </row>
    <row r="11" spans="1:25" x14ac:dyDescent="0.25">
      <c r="B11" s="15"/>
      <c r="C11" s="15"/>
      <c r="D11" s="15"/>
      <c r="M11" s="49"/>
      <c r="N11" s="49"/>
      <c r="O11" s="49"/>
      <c r="P11" s="49"/>
      <c r="Q11" s="49"/>
      <c r="R11" s="27"/>
      <c r="S11" s="27"/>
    </row>
    <row r="12" spans="1:25" x14ac:dyDescent="0.25">
      <c r="B12" s="15"/>
      <c r="C12" s="15"/>
      <c r="D12" s="15"/>
      <c r="M12" s="49"/>
      <c r="N12" s="49"/>
      <c r="O12" s="49"/>
      <c r="P12" s="49"/>
      <c r="Q12" s="49"/>
      <c r="R12" s="27"/>
      <c r="S12" s="27"/>
    </row>
    <row r="13" spans="1:25" x14ac:dyDescent="0.25">
      <c r="B13" s="15"/>
      <c r="C13" s="15"/>
      <c r="D13" s="15"/>
      <c r="M13" s="49"/>
      <c r="N13" s="49"/>
      <c r="O13" s="49"/>
      <c r="P13" s="49"/>
      <c r="Q13" s="49"/>
      <c r="R13" s="27"/>
      <c r="S13" s="27"/>
    </row>
    <row r="14" spans="1:25" x14ac:dyDescent="0.25">
      <c r="B14" s="15"/>
      <c r="C14" s="15"/>
      <c r="D14" s="15"/>
      <c r="M14" s="49"/>
      <c r="N14" s="49"/>
      <c r="O14" s="49"/>
      <c r="P14" s="49"/>
      <c r="Q14" s="49"/>
      <c r="R14" s="27"/>
      <c r="S14" s="27"/>
    </row>
    <row r="15" spans="1:25" x14ac:dyDescent="0.25">
      <c r="B15" s="15"/>
      <c r="C15" s="15"/>
      <c r="D15" s="15"/>
      <c r="M15" s="49"/>
      <c r="N15" s="49"/>
      <c r="O15" s="49"/>
      <c r="P15" s="49"/>
      <c r="Q15" s="49"/>
      <c r="R15" s="27"/>
      <c r="S15" s="27"/>
    </row>
    <row r="16" spans="1:25" x14ac:dyDescent="0.25">
      <c r="B16" s="15"/>
      <c r="C16" s="15"/>
      <c r="D16" s="15"/>
      <c r="M16" s="49"/>
      <c r="N16" s="49"/>
      <c r="O16" s="49"/>
      <c r="P16" s="49"/>
      <c r="Q16" s="49"/>
      <c r="R16" s="27"/>
      <c r="S16" s="27"/>
    </row>
    <row r="17" spans="2:19" x14ac:dyDescent="0.25">
      <c r="B17" s="15"/>
      <c r="C17" s="15"/>
      <c r="D17" s="15"/>
      <c r="M17" s="49"/>
      <c r="N17" s="49"/>
      <c r="O17" s="49"/>
      <c r="P17" s="49"/>
      <c r="Q17" s="49"/>
      <c r="R17" s="27"/>
      <c r="S17" s="27"/>
    </row>
    <row r="18" spans="2:19" x14ac:dyDescent="0.25">
      <c r="B18" s="15"/>
      <c r="C18" s="15"/>
      <c r="D18" s="15"/>
      <c r="M18" s="49"/>
      <c r="N18" s="49"/>
      <c r="O18" s="49"/>
      <c r="P18" s="49"/>
      <c r="Q18" s="49"/>
      <c r="R18" s="27"/>
      <c r="S18" s="27"/>
    </row>
    <row r="19" spans="2:19" x14ac:dyDescent="0.25">
      <c r="B19" s="15"/>
      <c r="C19" s="15"/>
      <c r="D19" s="15"/>
      <c r="M19" s="49"/>
      <c r="N19" s="49"/>
      <c r="O19" s="49"/>
      <c r="P19" s="49"/>
      <c r="Q19" s="49"/>
      <c r="R19" s="27"/>
      <c r="S19" s="27"/>
    </row>
    <row r="20" spans="2:19" x14ac:dyDescent="0.25">
      <c r="B20" s="15"/>
      <c r="C20" s="15"/>
      <c r="D20" s="15"/>
      <c r="M20" s="49"/>
      <c r="N20" s="49"/>
      <c r="O20" s="49"/>
      <c r="P20" s="49"/>
      <c r="Q20" s="49"/>
      <c r="R20" s="27"/>
      <c r="S20" s="27"/>
    </row>
    <row r="21" spans="2:19" x14ac:dyDescent="0.25">
      <c r="B21" s="15"/>
      <c r="C21" s="15"/>
      <c r="D21" s="15"/>
      <c r="M21" s="49"/>
      <c r="N21" s="49"/>
      <c r="O21" s="49"/>
      <c r="P21" s="49"/>
      <c r="Q21" s="49"/>
      <c r="R21" s="27"/>
      <c r="S21" s="27"/>
    </row>
    <row r="22" spans="2:19" x14ac:dyDescent="0.25">
      <c r="B22" s="15"/>
      <c r="C22" s="15"/>
      <c r="D22" s="15"/>
      <c r="M22" s="49"/>
      <c r="N22" s="49"/>
      <c r="O22" s="49"/>
      <c r="P22" s="49"/>
      <c r="Q22" s="49"/>
      <c r="R22" s="27"/>
      <c r="S22" s="27"/>
    </row>
    <row r="23" spans="2:19" x14ac:dyDescent="0.25">
      <c r="B23" s="15"/>
      <c r="C23" s="15"/>
      <c r="D23" s="15"/>
      <c r="M23" s="49"/>
      <c r="N23" s="49"/>
      <c r="O23" s="49"/>
      <c r="P23" s="49"/>
      <c r="Q23" s="49"/>
      <c r="R23" s="27"/>
      <c r="S23" s="27"/>
    </row>
    <row r="24" spans="2:19" x14ac:dyDescent="0.25">
      <c r="B24" s="15"/>
      <c r="C24" s="15"/>
      <c r="D24" s="15"/>
      <c r="M24" s="49"/>
      <c r="N24" s="49"/>
      <c r="O24" s="49"/>
      <c r="P24" s="49"/>
      <c r="Q24" s="49"/>
      <c r="R24" s="27"/>
      <c r="S24" s="27"/>
    </row>
    <row r="25" spans="2:19" x14ac:dyDescent="0.25">
      <c r="B25" s="15"/>
      <c r="C25" s="15"/>
      <c r="D25" s="15"/>
      <c r="M25" s="49"/>
      <c r="N25" s="49"/>
      <c r="O25" s="49"/>
      <c r="P25" s="49"/>
      <c r="Q25" s="49"/>
      <c r="R25" s="27"/>
      <c r="S25" s="27"/>
    </row>
    <row r="26" spans="2:19" x14ac:dyDescent="0.25">
      <c r="B26" s="15"/>
      <c r="C26" s="15"/>
      <c r="D26" s="15"/>
      <c r="M26" s="49"/>
      <c r="N26" s="49"/>
      <c r="O26" s="49"/>
      <c r="P26" s="49"/>
      <c r="Q26" s="49"/>
      <c r="R26" s="27"/>
      <c r="S26" s="27"/>
    </row>
    <row r="27" spans="2:19" x14ac:dyDescent="0.25">
      <c r="B27" s="15"/>
      <c r="C27" s="15"/>
      <c r="D27" s="15"/>
      <c r="M27" s="49"/>
      <c r="N27" s="49"/>
      <c r="O27" s="49"/>
      <c r="P27" s="49"/>
      <c r="Q27" s="49"/>
      <c r="R27" s="27"/>
      <c r="S27" s="27"/>
    </row>
    <row r="28" spans="2:19" x14ac:dyDescent="0.25">
      <c r="B28" s="15"/>
      <c r="C28" s="15"/>
      <c r="D28" s="15"/>
      <c r="M28" s="49"/>
      <c r="N28" s="49"/>
      <c r="O28" s="49"/>
      <c r="P28" s="49"/>
      <c r="Q28" s="49"/>
      <c r="R28" s="27"/>
      <c r="S28" s="27"/>
    </row>
    <row r="29" spans="2:19" x14ac:dyDescent="0.25">
      <c r="B29" s="15"/>
      <c r="C29" s="15"/>
      <c r="D29" s="15"/>
      <c r="M29" s="49"/>
      <c r="N29" s="49"/>
      <c r="O29" s="49"/>
      <c r="P29" s="49"/>
      <c r="Q29" s="49"/>
      <c r="R29" s="27"/>
      <c r="S29" s="27"/>
    </row>
    <row r="30" spans="2:19" x14ac:dyDescent="0.25">
      <c r="B30" s="15"/>
      <c r="C30" s="15"/>
      <c r="D30" s="15"/>
      <c r="M30" s="49"/>
      <c r="N30" s="49"/>
      <c r="O30" s="49"/>
      <c r="P30" s="49"/>
      <c r="Q30" s="49"/>
      <c r="R30" s="27"/>
      <c r="S30" s="27"/>
    </row>
    <row r="31" spans="2:19" x14ac:dyDescent="0.25">
      <c r="B31" s="15"/>
      <c r="C31" s="15"/>
      <c r="D31" s="15"/>
      <c r="M31" s="49"/>
      <c r="N31" s="49"/>
      <c r="O31" s="49"/>
      <c r="P31" s="49"/>
      <c r="Q31" s="49"/>
      <c r="R31" s="27"/>
      <c r="S31" s="27"/>
    </row>
    <row r="32" spans="2:19" x14ac:dyDescent="0.25">
      <c r="B32" s="15"/>
      <c r="C32" s="15"/>
      <c r="D32" s="15"/>
      <c r="M32" s="49"/>
      <c r="N32" s="49"/>
      <c r="O32" s="49"/>
      <c r="P32" s="49"/>
      <c r="Q32" s="49"/>
      <c r="R32" s="27"/>
      <c r="S32" s="27"/>
    </row>
    <row r="33" spans="2:19" x14ac:dyDescent="0.25">
      <c r="B33" s="15"/>
      <c r="C33" s="15"/>
      <c r="D33" s="15"/>
      <c r="M33" s="49"/>
      <c r="N33" s="49"/>
      <c r="O33" s="49"/>
      <c r="P33" s="49"/>
      <c r="Q33" s="49"/>
      <c r="R33" s="27"/>
      <c r="S33" s="27"/>
    </row>
    <row r="34" spans="2:19" x14ac:dyDescent="0.25">
      <c r="B34" s="15"/>
      <c r="C34" s="15"/>
      <c r="D34" s="15"/>
      <c r="M34" s="49"/>
      <c r="N34" s="49"/>
      <c r="O34" s="49"/>
      <c r="P34" s="49"/>
      <c r="Q34" s="49"/>
      <c r="R34" s="27"/>
      <c r="S34" s="27"/>
    </row>
    <row r="35" spans="2:19" x14ac:dyDescent="0.25">
      <c r="B35" s="15"/>
      <c r="C35" s="15"/>
      <c r="D35" s="15"/>
      <c r="M35" s="49"/>
      <c r="N35" s="49"/>
      <c r="O35" s="49"/>
      <c r="P35" s="49"/>
      <c r="Q35" s="49"/>
      <c r="R35" s="27"/>
      <c r="S35" s="27"/>
    </row>
    <row r="36" spans="2:19" x14ac:dyDescent="0.25">
      <c r="B36" s="15"/>
      <c r="C36" s="15"/>
      <c r="D36" s="15"/>
      <c r="M36" s="49"/>
      <c r="N36" s="49"/>
      <c r="O36" s="49"/>
      <c r="P36" s="49"/>
      <c r="Q36" s="49"/>
      <c r="R36" s="27"/>
      <c r="S36" s="27"/>
    </row>
    <row r="37" spans="2:19" x14ac:dyDescent="0.25">
      <c r="B37" s="15"/>
      <c r="C37" s="15"/>
      <c r="D37" s="15"/>
      <c r="M37" s="49"/>
      <c r="N37" s="49"/>
      <c r="O37" s="49"/>
      <c r="P37" s="49"/>
      <c r="Q37" s="49"/>
      <c r="R37" s="27"/>
      <c r="S37" s="27"/>
    </row>
    <row r="38" spans="2:19" x14ac:dyDescent="0.25">
      <c r="B38" s="15"/>
      <c r="C38" s="15"/>
      <c r="D38" s="15"/>
      <c r="M38" s="49"/>
      <c r="N38" s="49"/>
      <c r="O38" s="49"/>
      <c r="P38" s="49"/>
      <c r="Q38" s="49"/>
      <c r="R38" s="27"/>
      <c r="S38" s="27"/>
    </row>
    <row r="39" spans="2:19" x14ac:dyDescent="0.25">
      <c r="B39" s="15"/>
      <c r="C39" s="15"/>
      <c r="D39" s="15"/>
      <c r="M39" s="49"/>
      <c r="N39" s="49"/>
      <c r="O39" s="49"/>
      <c r="P39" s="49"/>
      <c r="Q39" s="49"/>
      <c r="R39" s="27"/>
      <c r="S39" s="27"/>
    </row>
    <row r="40" spans="2:19" x14ac:dyDescent="0.25">
      <c r="B40" s="15"/>
      <c r="C40" s="15"/>
      <c r="D40" s="15"/>
      <c r="M40" s="49"/>
      <c r="N40" s="49"/>
      <c r="O40" s="49"/>
      <c r="P40" s="49"/>
      <c r="Q40" s="49"/>
      <c r="R40" s="27"/>
      <c r="S40" s="27"/>
    </row>
    <row r="41" spans="2:19" x14ac:dyDescent="0.25">
      <c r="B41" s="15"/>
      <c r="C41" s="15"/>
      <c r="D41" s="15"/>
      <c r="M41" s="49"/>
      <c r="N41" s="49"/>
      <c r="O41" s="49"/>
      <c r="P41" s="49"/>
      <c r="Q41" s="49"/>
      <c r="R41" s="27"/>
      <c r="S41" s="27"/>
    </row>
    <row r="42" spans="2:19" x14ac:dyDescent="0.25">
      <c r="B42" s="15"/>
      <c r="C42" s="15"/>
      <c r="D42" s="15"/>
      <c r="M42" s="49"/>
      <c r="N42" s="49"/>
      <c r="O42" s="49"/>
      <c r="P42" s="49"/>
      <c r="Q42" s="49"/>
      <c r="R42" s="27"/>
      <c r="S42" s="27"/>
    </row>
    <row r="43" spans="2:19" x14ac:dyDescent="0.25">
      <c r="B43" s="15"/>
      <c r="C43" s="15"/>
      <c r="D43" s="15"/>
      <c r="M43" s="49"/>
      <c r="N43" s="49"/>
      <c r="O43" s="49"/>
      <c r="P43" s="49"/>
      <c r="Q43" s="49"/>
      <c r="R43" s="27"/>
      <c r="S43" s="27"/>
    </row>
    <row r="44" spans="2:19" x14ac:dyDescent="0.25">
      <c r="B44" s="15"/>
      <c r="C44" s="15"/>
      <c r="D44" s="15"/>
      <c r="M44" s="49"/>
      <c r="N44" s="49"/>
      <c r="O44" s="49"/>
      <c r="P44" s="49"/>
      <c r="Q44" s="49"/>
      <c r="R44" s="27"/>
      <c r="S44" s="27"/>
    </row>
    <row r="45" spans="2:19" x14ac:dyDescent="0.25">
      <c r="B45" s="15"/>
      <c r="C45" s="15"/>
      <c r="D45" s="15"/>
      <c r="M45" s="49"/>
      <c r="N45" s="49"/>
      <c r="O45" s="49"/>
      <c r="P45" s="49"/>
      <c r="Q45" s="49"/>
      <c r="R45" s="27"/>
      <c r="S45" s="27"/>
    </row>
    <row r="46" spans="2:19" x14ac:dyDescent="0.25">
      <c r="B46" s="15"/>
      <c r="C46" s="15"/>
      <c r="D46" s="15"/>
      <c r="M46" s="49"/>
      <c r="N46" s="49"/>
      <c r="O46" s="49"/>
      <c r="P46" s="49"/>
      <c r="Q46" s="49"/>
      <c r="R46" s="27"/>
      <c r="S46" s="27"/>
    </row>
    <row r="47" spans="2:19" x14ac:dyDescent="0.25">
      <c r="B47" s="15"/>
      <c r="C47" s="15"/>
      <c r="D47" s="15"/>
      <c r="M47" s="49"/>
      <c r="N47" s="49"/>
      <c r="O47" s="49"/>
      <c r="P47" s="49"/>
      <c r="Q47" s="49"/>
      <c r="R47" s="27"/>
      <c r="S47" s="27"/>
    </row>
    <row r="48" spans="2:19" x14ac:dyDescent="0.25">
      <c r="B48" s="15"/>
      <c r="C48" s="15"/>
      <c r="D48" s="15"/>
      <c r="M48" s="49"/>
      <c r="N48" s="49"/>
      <c r="O48" s="49"/>
      <c r="P48" s="49"/>
      <c r="Q48" s="49"/>
      <c r="R48" s="27"/>
      <c r="S48" s="27"/>
    </row>
    <row r="49" spans="2:19" x14ac:dyDescent="0.25">
      <c r="B49" s="15"/>
      <c r="C49" s="15"/>
      <c r="D49" s="15"/>
      <c r="M49" s="49"/>
      <c r="N49" s="49"/>
      <c r="O49" s="49"/>
      <c r="P49" s="49"/>
      <c r="Q49" s="49"/>
      <c r="R49" s="27"/>
      <c r="S49" s="27"/>
    </row>
    <row r="50" spans="2:19" x14ac:dyDescent="0.25">
      <c r="B50" s="15"/>
      <c r="C50" s="15"/>
      <c r="D50" s="15"/>
      <c r="M50" s="49"/>
      <c r="N50" s="49"/>
      <c r="O50" s="49"/>
      <c r="P50" s="49"/>
      <c r="Q50" s="49"/>
      <c r="R50" s="27"/>
      <c r="S50" s="27"/>
    </row>
    <row r="51" spans="2:19" x14ac:dyDescent="0.25">
      <c r="B51" s="15"/>
      <c r="C51" s="15"/>
      <c r="D51" s="15"/>
      <c r="M51" s="49"/>
      <c r="N51" s="49"/>
      <c r="O51" s="49"/>
      <c r="P51" s="49"/>
      <c r="Q51" s="49"/>
      <c r="R51" s="27"/>
      <c r="S51" s="27"/>
    </row>
    <row r="52" spans="2:19" x14ac:dyDescent="0.25">
      <c r="B52" s="15"/>
      <c r="C52" s="15"/>
      <c r="D5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расчет стоимости</vt:lpstr>
      <vt:lpstr>Площадь прям</vt:lpstr>
      <vt:lpstr>площадь круг</vt:lpstr>
      <vt:lpstr>Площади отводов</vt:lpstr>
      <vt:lpstr>Формулы расчета</vt:lpstr>
      <vt:lpstr>ПЛОЩАДИ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Tocco</cp:lastModifiedBy>
  <cp:lastPrinted>2013-12-10T08:59:03Z</cp:lastPrinted>
  <dcterms:created xsi:type="dcterms:W3CDTF">2013-06-05T13:34:22Z</dcterms:created>
  <dcterms:modified xsi:type="dcterms:W3CDTF">2014-10-20T19:21:36Z</dcterms:modified>
</cp:coreProperties>
</file>