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360" yWindow="180" windowWidth="13395" windowHeight="8895"/>
  </bookViews>
  <sheets>
    <sheet name="июль" sheetId="9" r:id="rId1"/>
    <sheet name="авг" sheetId="10" r:id="rId2"/>
    <sheet name="Лист1" sheetId="13" r:id="rId3"/>
    <sheet name="сент" sheetId="11" r:id="rId4"/>
    <sheet name="окт" sheetId="12" r:id="rId5"/>
  </sheets>
  <definedNames>
    <definedName name="_xlnm._FilterDatabase" localSheetId="1" hidden="1">авг!$A$5:$J$184</definedName>
    <definedName name="_xlnm._FilterDatabase" localSheetId="0" hidden="1">июль!$A$5:$J$223</definedName>
    <definedName name="_xlnm._FilterDatabase" localSheetId="4" hidden="1">окт!$A$5:$J$175</definedName>
    <definedName name="_xlnm._FilterDatabase" localSheetId="3" hidden="1">сент!$A$6:$J$184</definedName>
  </definedNames>
  <calcPr calcId="145621"/>
  <pivotCaches>
    <pivotCache cacheId="0" r:id="rId6"/>
  </pivotCaches>
</workbook>
</file>

<file path=xl/calcChain.xml><?xml version="1.0" encoding="utf-8"?>
<calcChain xmlns="http://schemas.openxmlformats.org/spreadsheetml/2006/main">
  <c r="J177" i="11" l="1"/>
  <c r="J176" i="11" l="1"/>
  <c r="J175" i="11"/>
  <c r="J174" i="11"/>
  <c r="J173" i="11"/>
  <c r="J172" i="11"/>
  <c r="J171" i="11"/>
  <c r="J170" i="11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18" i="11"/>
  <c r="J117" i="11"/>
  <c r="J116" i="11"/>
  <c r="J115" i="11"/>
  <c r="J114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00" i="12" l="1"/>
  <c r="G126" i="12"/>
  <c r="G125" i="12"/>
  <c r="G124" i="12"/>
  <c r="G123" i="12"/>
  <c r="G122" i="12"/>
  <c r="G121" i="12"/>
  <c r="G120" i="12"/>
  <c r="G119" i="12"/>
  <c r="G118" i="12"/>
  <c r="J117" i="12"/>
  <c r="J31" i="12"/>
  <c r="J30" i="12"/>
  <c r="J29" i="12"/>
  <c r="J28" i="12"/>
  <c r="J27" i="12"/>
  <c r="J91" i="12"/>
  <c r="J90" i="12"/>
  <c r="J89" i="12"/>
  <c r="J88" i="12"/>
  <c r="J17" i="12"/>
  <c r="J16" i="12"/>
  <c r="J15" i="12"/>
  <c r="J14" i="12"/>
  <c r="J13" i="12"/>
  <c r="J57" i="12"/>
  <c r="J56" i="12"/>
  <c r="J55" i="12"/>
  <c r="J54" i="12"/>
  <c r="J53" i="12"/>
  <c r="J52" i="12"/>
  <c r="J51" i="12"/>
  <c r="J50" i="12"/>
  <c r="J49" i="12"/>
  <c r="J48" i="12"/>
  <c r="J143" i="12" l="1"/>
  <c r="J142" i="12"/>
  <c r="J141" i="12"/>
  <c r="J140" i="12"/>
  <c r="J139" i="12"/>
  <c r="J135" i="12"/>
  <c r="J134" i="12"/>
  <c r="J133" i="12"/>
  <c r="J132" i="12"/>
  <c r="J131" i="12"/>
  <c r="J130" i="12"/>
  <c r="J129" i="12"/>
  <c r="J128" i="12"/>
  <c r="J127" i="12"/>
  <c r="G136" i="12"/>
  <c r="J136" i="12" l="1"/>
  <c r="G174" i="12"/>
  <c r="G116" i="12"/>
  <c r="G115" i="12"/>
  <c r="J101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J97" i="12" l="1"/>
  <c r="G99" i="12"/>
  <c r="G98" i="12"/>
  <c r="J92" i="12"/>
  <c r="J87" i="12"/>
  <c r="J86" i="12"/>
  <c r="J85" i="12"/>
  <c r="J84" i="12"/>
  <c r="J83" i="12"/>
  <c r="J73" i="12"/>
  <c r="J72" i="12"/>
  <c r="J11" i="12" l="1"/>
  <c r="J12" i="12"/>
  <c r="G65" i="12" l="1"/>
  <c r="G71" i="12"/>
  <c r="G70" i="12"/>
  <c r="G69" i="12"/>
  <c r="G68" i="12"/>
  <c r="G67" i="12"/>
  <c r="G66" i="12"/>
  <c r="G64" i="12"/>
  <c r="G63" i="12"/>
  <c r="G62" i="12"/>
  <c r="G61" i="12"/>
  <c r="G60" i="12"/>
  <c r="G59" i="12"/>
  <c r="I174" i="12"/>
  <c r="J58" i="12"/>
  <c r="J47" i="12"/>
  <c r="J46" i="12"/>
  <c r="J45" i="12"/>
  <c r="J44" i="12"/>
  <c r="J43" i="12"/>
  <c r="J42" i="12"/>
  <c r="J41" i="12"/>
  <c r="J40" i="12"/>
  <c r="J37" i="12"/>
  <c r="J36" i="12"/>
  <c r="J35" i="12"/>
  <c r="J34" i="12"/>
  <c r="J33" i="12"/>
  <c r="J32" i="12"/>
  <c r="J26" i="12"/>
  <c r="J25" i="12"/>
  <c r="J24" i="12"/>
  <c r="J23" i="12"/>
  <c r="J22" i="12"/>
  <c r="J21" i="12"/>
  <c r="J20" i="12"/>
  <c r="J19" i="12"/>
  <c r="J18" i="12"/>
  <c r="J10" i="12"/>
  <c r="J9" i="12"/>
  <c r="J8" i="12"/>
  <c r="J7" i="12"/>
  <c r="J174" i="12" s="1"/>
  <c r="J175" i="12" l="1"/>
  <c r="G183" i="11"/>
  <c r="J178" i="11"/>
  <c r="J83" i="11"/>
  <c r="J82" i="11"/>
  <c r="J81" i="11"/>
  <c r="J80" i="11"/>
  <c r="I165" i="10"/>
  <c r="I183" i="11"/>
  <c r="J184" i="11" l="1"/>
  <c r="J136" i="11"/>
  <c r="J135" i="11"/>
  <c r="J134" i="11"/>
  <c r="J133" i="11"/>
  <c r="J132" i="11"/>
  <c r="J131" i="11"/>
  <c r="J130" i="11"/>
  <c r="J22" i="11"/>
  <c r="J21" i="11"/>
  <c r="J20" i="11"/>
  <c r="J19" i="11"/>
  <c r="J18" i="11"/>
  <c r="J17" i="11"/>
  <c r="J16" i="11"/>
  <c r="J15" i="11"/>
  <c r="J14" i="11"/>
  <c r="J13" i="11"/>
  <c r="J90" i="11" l="1"/>
  <c r="J89" i="11"/>
  <c r="J88" i="11"/>
  <c r="I166" i="10" l="1"/>
  <c r="I86" i="10"/>
  <c r="I169" i="10"/>
  <c r="J35" i="11" l="1"/>
  <c r="J34" i="11"/>
  <c r="J33" i="11"/>
  <c r="J32" i="11"/>
  <c r="J31" i="11"/>
  <c r="J30" i="11"/>
  <c r="J29" i="11"/>
  <c r="J28" i="11"/>
  <c r="J2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18" i="11"/>
  <c r="G117" i="11"/>
  <c r="G116" i="11"/>
  <c r="G115" i="11"/>
  <c r="G114" i="11"/>
  <c r="J110" i="11"/>
  <c r="J109" i="11"/>
  <c r="G153" i="11"/>
  <c r="G152" i="11"/>
  <c r="G151" i="11"/>
  <c r="G150" i="11"/>
  <c r="G149" i="11"/>
  <c r="G148" i="11"/>
  <c r="G147" i="11"/>
  <c r="J87" i="11"/>
  <c r="J75" i="11"/>
  <c r="J74" i="11"/>
  <c r="J73" i="11"/>
  <c r="J72" i="11"/>
  <c r="J71" i="11"/>
  <c r="J70" i="11"/>
  <c r="J69" i="11"/>
  <c r="G43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2" i="11"/>
  <c r="G41" i="11"/>
  <c r="G40" i="11"/>
  <c r="G183" i="10" l="1"/>
  <c r="J11" i="11" l="1"/>
  <c r="J10" i="11"/>
  <c r="J9" i="11"/>
  <c r="J79" i="11"/>
  <c r="J78" i="11"/>
  <c r="J96" i="11"/>
  <c r="G142" i="11"/>
  <c r="G139" i="11"/>
  <c r="G145" i="11"/>
  <c r="G146" i="11"/>
  <c r="G144" i="11"/>
  <c r="G143" i="11"/>
  <c r="G141" i="11"/>
  <c r="G140" i="11"/>
  <c r="G138" i="11"/>
  <c r="G137" i="11"/>
  <c r="J26" i="11"/>
  <c r="J25" i="11"/>
  <c r="J129" i="11"/>
  <c r="J128" i="11"/>
  <c r="J127" i="11"/>
  <c r="J126" i="11"/>
  <c r="J125" i="11"/>
  <c r="J124" i="11"/>
  <c r="J123" i="11"/>
  <c r="J122" i="11"/>
  <c r="J121" i="11"/>
  <c r="J120" i="11"/>
  <c r="J119" i="11"/>
  <c r="J113" i="11"/>
  <c r="J108" i="11"/>
  <c r="J179" i="10"/>
  <c r="G39" i="11"/>
  <c r="G38" i="11"/>
  <c r="G37" i="11"/>
  <c r="G36" i="11"/>
  <c r="J60" i="11"/>
  <c r="J63" i="11"/>
  <c r="J64" i="11"/>
  <c r="J65" i="11"/>
  <c r="J66" i="11"/>
  <c r="J67" i="11"/>
  <c r="J68" i="11"/>
  <c r="J76" i="11"/>
  <c r="J77" i="11"/>
  <c r="J84" i="11"/>
  <c r="J91" i="11"/>
  <c r="J92" i="11"/>
  <c r="J93" i="11"/>
  <c r="J94" i="11"/>
  <c r="J95" i="11"/>
  <c r="I103" i="10" l="1"/>
  <c r="J103" i="10" s="1"/>
  <c r="I48" i="10"/>
  <c r="I37" i="10"/>
  <c r="I183" i="10" s="1"/>
  <c r="I110" i="9"/>
  <c r="I21" i="9"/>
  <c r="J24" i="11" l="1"/>
  <c r="J23" i="11"/>
  <c r="J12" i="11"/>
  <c r="J8" i="11"/>
  <c r="J7" i="11"/>
  <c r="J6" i="11"/>
  <c r="J172" i="10"/>
  <c r="J171" i="10"/>
  <c r="J170" i="10"/>
  <c r="J169" i="10"/>
  <c r="J168" i="10"/>
  <c r="J173" i="10"/>
  <c r="J174" i="10"/>
  <c r="J175" i="10"/>
  <c r="J176" i="10"/>
  <c r="J177" i="10"/>
  <c r="J178" i="10"/>
  <c r="J182" i="10"/>
  <c r="J167" i="10"/>
  <c r="J166" i="10"/>
  <c r="J165" i="10"/>
  <c r="J108" i="10"/>
  <c r="J62" i="10"/>
  <c r="J70" i="10"/>
  <c r="J140" i="10"/>
  <c r="J116" i="10"/>
  <c r="J113" i="10"/>
  <c r="J12" i="10"/>
  <c r="J183" i="11" l="1"/>
  <c r="J14" i="10"/>
  <c r="I68" i="9"/>
  <c r="I196" i="9"/>
  <c r="I167" i="9"/>
  <c r="I192" i="9"/>
  <c r="J141" i="10" l="1"/>
  <c r="G221" i="9" l="1"/>
  <c r="G220" i="9"/>
  <c r="J220" i="9" s="1"/>
  <c r="J221" i="9"/>
  <c r="J150" i="10" l="1"/>
  <c r="J149" i="10"/>
  <c r="J148" i="10"/>
  <c r="J147" i="10"/>
  <c r="J146" i="10"/>
  <c r="J145" i="10"/>
  <c r="J144" i="10"/>
  <c r="J143" i="10"/>
  <c r="J142" i="10"/>
  <c r="J136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5" i="10"/>
  <c r="J114" i="10"/>
  <c r="J112" i="10"/>
  <c r="J111" i="10"/>
  <c r="J110" i="10"/>
  <c r="J109" i="10"/>
  <c r="J107" i="10"/>
  <c r="J97" i="10"/>
  <c r="J98" i="10"/>
  <c r="J99" i="10"/>
  <c r="J100" i="10"/>
  <c r="J101" i="10"/>
  <c r="J102" i="10"/>
  <c r="J85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6" i="10"/>
  <c r="J71" i="10"/>
  <c r="G96" i="10"/>
  <c r="G95" i="10"/>
  <c r="G94" i="10"/>
  <c r="G93" i="10"/>
  <c r="G92" i="10"/>
  <c r="G91" i="10"/>
  <c r="G90" i="10"/>
  <c r="G89" i="10"/>
  <c r="G88" i="10"/>
  <c r="G87" i="10"/>
  <c r="J219" i="9"/>
  <c r="G59" i="10"/>
  <c r="G53" i="10"/>
  <c r="G50" i="10"/>
  <c r="G61" i="10"/>
  <c r="G60" i="10"/>
  <c r="G58" i="10"/>
  <c r="G57" i="10"/>
  <c r="G56" i="10"/>
  <c r="G55" i="10"/>
  <c r="G54" i="10"/>
  <c r="G52" i="10"/>
  <c r="G51" i="10"/>
  <c r="G49" i="10"/>
  <c r="J48" i="10"/>
  <c r="J13" i="10"/>
  <c r="J11" i="10"/>
  <c r="J10" i="10"/>
  <c r="J184" i="10" l="1"/>
  <c r="J44" i="10"/>
  <c r="J45" i="10"/>
  <c r="J46" i="10"/>
  <c r="J47" i="10"/>
  <c r="G40" i="10"/>
  <c r="G43" i="10"/>
  <c r="G42" i="10"/>
  <c r="G41" i="10"/>
  <c r="G39" i="10"/>
  <c r="G38" i="10"/>
  <c r="J37" i="10"/>
  <c r="J36" i="10"/>
  <c r="J35" i="10"/>
  <c r="J34" i="10"/>
  <c r="J33" i="10"/>
  <c r="J32" i="10"/>
  <c r="J31" i="10"/>
  <c r="J30" i="10"/>
  <c r="J29" i="10"/>
  <c r="J27" i="10"/>
  <c r="J26" i="10"/>
  <c r="J25" i="10"/>
  <c r="J24" i="10"/>
  <c r="J23" i="10"/>
  <c r="J22" i="10"/>
  <c r="J21" i="10"/>
  <c r="J20" i="10"/>
  <c r="J7" i="10"/>
  <c r="J8" i="10"/>
  <c r="J9" i="10"/>
  <c r="J15" i="10"/>
  <c r="J16" i="10"/>
  <c r="J17" i="10"/>
  <c r="J18" i="10"/>
  <c r="J19" i="10"/>
  <c r="J28" i="10"/>
  <c r="J183" i="10" l="1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" i="9"/>
  <c r="J20" i="9"/>
  <c r="J19" i="9"/>
  <c r="J18" i="9"/>
  <c r="J17" i="9"/>
  <c r="J16" i="9"/>
  <c r="J15" i="9"/>
  <c r="J110" i="9"/>
  <c r="J131" i="9"/>
  <c r="G143" i="9"/>
  <c r="G141" i="9"/>
  <c r="G140" i="9"/>
  <c r="G139" i="9"/>
  <c r="G147" i="9"/>
  <c r="G146" i="9"/>
  <c r="G145" i="9"/>
  <c r="G144" i="9"/>
  <c r="G142" i="9"/>
  <c r="G138" i="9"/>
  <c r="G137" i="9"/>
  <c r="G136" i="9"/>
  <c r="G135" i="9"/>
  <c r="G134" i="9"/>
  <c r="G133" i="9"/>
  <c r="G132" i="9"/>
  <c r="G193" i="9"/>
  <c r="J151" i="9"/>
  <c r="J181" i="9"/>
  <c r="J182" i="9"/>
  <c r="J183" i="9"/>
  <c r="J184" i="9"/>
  <c r="J185" i="9"/>
  <c r="J186" i="9"/>
  <c r="J187" i="9"/>
  <c r="J188" i="9"/>
  <c r="J189" i="9"/>
  <c r="J190" i="9"/>
  <c r="J196" i="9" l="1"/>
  <c r="J197" i="9"/>
  <c r="J198" i="9"/>
  <c r="J199" i="9"/>
  <c r="J200" i="9"/>
  <c r="J201" i="9"/>
  <c r="J202" i="9"/>
  <c r="J203" i="9"/>
  <c r="J204" i="9"/>
  <c r="J174" i="9"/>
  <c r="J175" i="9"/>
  <c r="J176" i="9"/>
  <c r="J177" i="9"/>
  <c r="J178" i="9"/>
  <c r="J179" i="9"/>
  <c r="J180" i="9"/>
  <c r="I148" i="9"/>
  <c r="I223" i="9" s="1"/>
  <c r="J77" i="9" l="1"/>
  <c r="J76" i="9"/>
  <c r="J75" i="9"/>
  <c r="J162" i="9"/>
  <c r="J163" i="9"/>
  <c r="G166" i="9"/>
  <c r="G165" i="9"/>
  <c r="J167" i="9"/>
  <c r="G173" i="9"/>
  <c r="G172" i="9"/>
  <c r="G171" i="9"/>
  <c r="G170" i="9"/>
  <c r="G169" i="9"/>
  <c r="G168" i="9"/>
  <c r="J90" i="9"/>
  <c r="J149" i="9"/>
  <c r="J150" i="9"/>
  <c r="J152" i="9"/>
  <c r="J155" i="9"/>
  <c r="J156" i="9"/>
  <c r="J161" i="9"/>
  <c r="G160" i="9"/>
  <c r="G159" i="9"/>
  <c r="G158" i="9"/>
  <c r="G157" i="9"/>
  <c r="J45" i="9"/>
  <c r="J44" i="9"/>
  <c r="J43" i="9"/>
  <c r="J42" i="9"/>
  <c r="J41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J148" i="9"/>
  <c r="G164" i="9" l="1"/>
  <c r="G223" i="9" s="1"/>
  <c r="J224" i="9" s="1"/>
  <c r="J71" i="9"/>
  <c r="J70" i="9"/>
  <c r="J69" i="9"/>
  <c r="J68" i="9"/>
  <c r="J164" i="9" l="1"/>
  <c r="J50" i="9"/>
  <c r="J40" i="9"/>
  <c r="J39" i="9"/>
  <c r="J38" i="9"/>
  <c r="J37" i="9"/>
  <c r="J36" i="9"/>
  <c r="J35" i="9"/>
  <c r="J34" i="9"/>
  <c r="J33" i="9"/>
  <c r="J32" i="9"/>
  <c r="J31" i="9"/>
  <c r="J60" i="9"/>
  <c r="J59" i="9"/>
  <c r="J58" i="9"/>
  <c r="J111" i="9"/>
  <c r="J112" i="9"/>
  <c r="J113" i="9"/>
  <c r="J114" i="9"/>
  <c r="J192" i="9"/>
  <c r="J222" i="9"/>
  <c r="J53" i="9" l="1"/>
  <c r="J54" i="9"/>
  <c r="J55" i="9"/>
  <c r="J56" i="9"/>
  <c r="J57" i="9"/>
  <c r="J61" i="9"/>
  <c r="J62" i="9"/>
  <c r="J63" i="9"/>
  <c r="J64" i="9"/>
  <c r="J65" i="9"/>
  <c r="J66" i="9"/>
  <c r="J67" i="9"/>
  <c r="J72" i="9"/>
  <c r="J73" i="9"/>
  <c r="J74" i="9"/>
  <c r="J78" i="9"/>
  <c r="J109" i="9"/>
  <c r="J30" i="9"/>
  <c r="G80" i="9"/>
  <c r="G79" i="9"/>
  <c r="G89" i="9"/>
  <c r="G88" i="9"/>
  <c r="G87" i="9"/>
  <c r="G86" i="9"/>
  <c r="G85" i="9"/>
  <c r="G84" i="9"/>
  <c r="G83" i="9"/>
  <c r="G82" i="9"/>
  <c r="G81" i="9"/>
  <c r="J46" i="9"/>
  <c r="J29" i="9"/>
  <c r="J28" i="9"/>
  <c r="J27" i="9"/>
  <c r="J26" i="9"/>
  <c r="J25" i="9"/>
  <c r="J24" i="9"/>
  <c r="J23" i="9" l="1"/>
  <c r="J22" i="9"/>
  <c r="J14" i="9"/>
  <c r="J13" i="9"/>
  <c r="J12" i="9"/>
  <c r="J11" i="9"/>
  <c r="J10" i="9"/>
  <c r="J9" i="9"/>
  <c r="J8" i="9"/>
  <c r="J7" i="9"/>
  <c r="J223" i="9" l="1"/>
</calcChain>
</file>

<file path=xl/comments1.xml><?xml version="1.0" encoding="utf-8"?>
<comments xmlns="http://schemas.openxmlformats.org/spreadsheetml/2006/main">
  <authors>
    <author>Лена</author>
  </authors>
  <commentList>
    <comment ref="I48" authorId="0">
      <text>
        <r>
          <rPr>
            <b/>
            <sz val="9"/>
            <color indexed="81"/>
            <rFont val="Tahoma"/>
            <family val="2"/>
            <charset val="204"/>
          </rPr>
          <t>Лена:</t>
        </r>
        <r>
          <rPr>
            <sz val="9"/>
            <color indexed="81"/>
            <rFont val="Tahoma"/>
            <family val="2"/>
            <charset val="204"/>
          </rPr>
          <t xml:space="preserve">
оплачен весь ДСК</t>
        </r>
      </text>
    </comment>
  </commentList>
</comments>
</file>

<file path=xl/sharedStrings.xml><?xml version="1.0" encoding="utf-8"?>
<sst xmlns="http://schemas.openxmlformats.org/spreadsheetml/2006/main" count="2179" uniqueCount="152">
  <si>
    <t>№п/п</t>
  </si>
  <si>
    <t>№счета</t>
  </si>
  <si>
    <t>Дата счета</t>
  </si>
  <si>
    <t>Наименование поставщика</t>
  </si>
  <si>
    <t>Вид услуг</t>
  </si>
  <si>
    <t>Сумма по счету</t>
  </si>
  <si>
    <t>ООО "Автоколонна № 1139"</t>
  </si>
  <si>
    <t>ООО "ДорРемСтройАвтоМеханизация"</t>
  </si>
  <si>
    <t>транспортные услуги</t>
  </si>
  <si>
    <t>ДСК</t>
  </si>
  <si>
    <t>Оплата</t>
  </si>
  <si>
    <t>Дата</t>
  </si>
  <si>
    <t>Сумма</t>
  </si>
  <si>
    <t>Остаток по счету</t>
  </si>
  <si>
    <t>ООО "Промстройлогистика"</t>
  </si>
  <si>
    <t>ООО "Спецсервис"</t>
  </si>
  <si>
    <t>ООО "Новострой"</t>
  </si>
  <si>
    <t>ИТОГО</t>
  </si>
  <si>
    <t>Объект строительства</t>
  </si>
  <si>
    <t>Свободная, 4/7/2</t>
  </si>
  <si>
    <t>Свободная, 4/7/1</t>
  </si>
  <si>
    <t>Свободная, 4/2</t>
  </si>
  <si>
    <t>Агапкина, 21</t>
  </si>
  <si>
    <t>Агапкина, 25а</t>
  </si>
  <si>
    <t>автокран</t>
  </si>
  <si>
    <t>Агапкина, 25</t>
  </si>
  <si>
    <t>автовышка</t>
  </si>
  <si>
    <t>ООО "КемиСтрой"</t>
  </si>
  <si>
    <t>погрузчик</t>
  </si>
  <si>
    <t>ООО  СТК НИКА</t>
  </si>
  <si>
    <t>автоуслуги</t>
  </si>
  <si>
    <t>ООО "Гарант-Строй"</t>
  </si>
  <si>
    <t>ООО "СТИНЭК"</t>
  </si>
  <si>
    <t>услуги трала</t>
  </si>
  <si>
    <t>ООО "Регион-С"</t>
  </si>
  <si>
    <t>ООО "Сосновская ПМК-2"</t>
  </si>
  <si>
    <t>ООО "Строй Град"</t>
  </si>
  <si>
    <t>ОДБ</t>
  </si>
  <si>
    <t>Экскаватор</t>
  </si>
  <si>
    <t>бульдозер</t>
  </si>
  <si>
    <t>камаз</t>
  </si>
  <si>
    <t>автокран, экскаватор</t>
  </si>
  <si>
    <t>автобус</t>
  </si>
  <si>
    <t>ООО "ТБС-Транс"</t>
  </si>
  <si>
    <t>Автобус ПАЗ</t>
  </si>
  <si>
    <t>Автобус ПАЗ, ГАЗ</t>
  </si>
  <si>
    <t>Автобус ГАЗ</t>
  </si>
  <si>
    <t>ООО "Агриус"</t>
  </si>
  <si>
    <t>Агапкина, 21а</t>
  </si>
  <si>
    <t>автокран, автовышка</t>
  </si>
  <si>
    <t>Агапкина, 19а</t>
  </si>
  <si>
    <t>ОАО "Стрела"</t>
  </si>
  <si>
    <t>ООО "ГарантСтрой Т"</t>
  </si>
  <si>
    <t>каток</t>
  </si>
  <si>
    <t>услуги бульдозера,  катка</t>
  </si>
  <si>
    <t>Автобус  ПАЗ</t>
  </si>
  <si>
    <t>ООО "Экспресс"</t>
  </si>
  <si>
    <t>аренда крана</t>
  </si>
  <si>
    <t>кран-манипулятор, экскаватор</t>
  </si>
  <si>
    <t>кран-манипулятор</t>
  </si>
  <si>
    <t>экскаватор</t>
  </si>
  <si>
    <t>манипулятор</t>
  </si>
  <si>
    <t>авт.ТАТРА</t>
  </si>
  <si>
    <t>кран-манипулятор, экскаватор, кран</t>
  </si>
  <si>
    <t>кран-манипулятор, экскаватор, прочее</t>
  </si>
  <si>
    <t>урал</t>
  </si>
  <si>
    <t>62/1</t>
  </si>
  <si>
    <t>Автомобиль ГАЗ</t>
  </si>
  <si>
    <t>ООО "СпецСтройМонтаж"</t>
  </si>
  <si>
    <t>ДСК?</t>
  </si>
  <si>
    <t>трал</t>
  </si>
  <si>
    <t>ООО "ЕвроСтройКоттедж"</t>
  </si>
  <si>
    <t>автоидрополъемник</t>
  </si>
  <si>
    <t>экскаватор-погрузчик</t>
  </si>
  <si>
    <t>гидромолот</t>
  </si>
  <si>
    <t>длинномер</t>
  </si>
  <si>
    <t>ООО "ГарантСтрой"</t>
  </si>
  <si>
    <t>13.08.2014, 21.08.2014</t>
  </si>
  <si>
    <t>ООО "Партнер"</t>
  </si>
  <si>
    <t>погрузчик фронтальный</t>
  </si>
  <si>
    <t>ООО Строительная база "Лидер-Строй"</t>
  </si>
  <si>
    <t>автокран, экскаватор, манипулятор</t>
  </si>
  <si>
    <t>Агапкина, 17</t>
  </si>
  <si>
    <t>пр. Школьный</t>
  </si>
  <si>
    <t>автобуас ЛИАЗ</t>
  </si>
  <si>
    <t>ООО СТК "НИКА"</t>
  </si>
  <si>
    <t>автокран, камаз</t>
  </si>
  <si>
    <t>пр. Запрудный, 10</t>
  </si>
  <si>
    <t>Советская, 100</t>
  </si>
  <si>
    <t>ООО "Гранит-Агро"</t>
  </si>
  <si>
    <t>автобетононасос и пусковая смесь</t>
  </si>
  <si>
    <t>экскаватор-погрузчик, автокран</t>
  </si>
  <si>
    <t>экскаватор-погрузчик, камаз</t>
  </si>
  <si>
    <t>экскаватор-погрузчик, камаз, автокран, манипулятор</t>
  </si>
  <si>
    <t>татра</t>
  </si>
  <si>
    <t>пр. Школьный, 1/9</t>
  </si>
  <si>
    <t>Перинатальный центр</t>
  </si>
  <si>
    <t>Свободная, 7</t>
  </si>
  <si>
    <t>Агапкина, 15</t>
  </si>
  <si>
    <t>ДСК-Тамбов</t>
  </si>
  <si>
    <t>автоуслуги, автокран, экскаватор</t>
  </si>
  <si>
    <t>экскаватор-погрузчик, манипулятор</t>
  </si>
  <si>
    <t>акт 655</t>
  </si>
  <si>
    <t>акт 654</t>
  </si>
  <si>
    <t>бульзодер</t>
  </si>
  <si>
    <t>транспортные учлуги</t>
  </si>
  <si>
    <t>21.08.2014, 11.09.2014</t>
  </si>
  <si>
    <t>ИП Каширин П.П.</t>
  </si>
  <si>
    <t>ООО "Партнер", ИНН 6829094883</t>
  </si>
  <si>
    <t>22.09.2014, 30.09.2014</t>
  </si>
  <si>
    <t>11.09.2014, 22.09.2014, 30.09.2014</t>
  </si>
  <si>
    <t>ООО "Партнер", ИНН 6829095397</t>
  </si>
  <si>
    <t>мини-погрузчик</t>
  </si>
  <si>
    <t>погрузчик-экскаватор</t>
  </si>
  <si>
    <t>экскаватор, кран-манипулятор</t>
  </si>
  <si>
    <t>экскаватор, трал, бульдозер</t>
  </si>
  <si>
    <t>1750 в час</t>
  </si>
  <si>
    <t>трал, бульдозер</t>
  </si>
  <si>
    <t>экскаватор, автокран, бульдозер</t>
  </si>
  <si>
    <t>экскаватор, автокран, кран-ман</t>
  </si>
  <si>
    <t>экскаватор,  кран-ман</t>
  </si>
  <si>
    <t>автогидроподъемник</t>
  </si>
  <si>
    <t>экскавтор-погрузчик</t>
  </si>
  <si>
    <t>Лиаз</t>
  </si>
  <si>
    <t xml:space="preserve">трал </t>
  </si>
  <si>
    <t>буровая установка</t>
  </si>
  <si>
    <t>30.09.2014, 08.10.2014</t>
  </si>
  <si>
    <t>акт 284</t>
  </si>
  <si>
    <t>кран-ман</t>
  </si>
  <si>
    <t>экскаватор, кран-ман</t>
  </si>
  <si>
    <t>экскаватор,  кран-ман, погрузчик, камаз</t>
  </si>
  <si>
    <t>трал МАЗ 6422 (2118,61руб./ч без НДС)</t>
  </si>
  <si>
    <t>маз</t>
  </si>
  <si>
    <t>трал камаз 65116 (2245,76руб./ч без НДС)</t>
  </si>
  <si>
    <t>самосвал</t>
  </si>
  <si>
    <t>Хирургический корпус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</si>
  <si>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</si>
  <si>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</si>
  <si>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</si>
  <si>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</si>
  <si>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</si>
  <si>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</si>
  <si>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</si>
  <si>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</si>
  <si>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</si>
  <si>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</si>
  <si>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Общий итог</t>
  </si>
  <si>
    <t>объект</t>
  </si>
  <si>
    <t>задолжность</t>
  </si>
  <si>
    <t>поставщик и объект</t>
  </si>
  <si>
    <t xml:space="preserve">Объект </t>
  </si>
  <si>
    <t>пост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</si>
</sst>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i/>
      <sz val="10"/>
      <color theme="1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sz val="11"/>
      <color theme="7"/>
      <name val="Cambria"/>
      <family val="1"/>
      <charset val="204"/>
      <scheme val="major"/>
    </font>
    <font>
      <i/>
      <sz val="11"/>
      <color rgb="FF7030A0"/>
      <name val="Cambria"/>
      <family val="1"/>
      <charset val="204"/>
      <scheme val="major"/>
    </font>
    <font>
      <sz val="11"/>
      <color rgb="FF7030A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i/>
      <sz val="11"/>
      <color rgb="FF7030A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mbria"/>
      <family val="1"/>
      <charset val="204"/>
    </font>
    <font>
      <sz val="11"/>
      <color rgb="FF000000"/>
      <name val="Cambria"/>
      <family val="1"/>
      <charset val="204"/>
    </font>
    <font>
      <i/>
      <sz val="11"/>
      <color rgb="FF7030A0"/>
      <name val="Cambria"/>
      <family val="1"/>
      <charset val="204"/>
    </font>
    <font>
      <sz val="11"/>
      <color rgb="FF7030A0"/>
      <name val="Cambria"/>
      <family val="1"/>
      <charset val="204"/>
    </font>
    <font>
      <i/>
      <sz val="11"/>
      <name val="Cambria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" xfId="0" applyFont="1" applyBorder="1"/>
    <xf numFmtId="0" fontId="1" fillId="0" borderId="0" xfId="0" applyFont="1"/>
    <xf numFmtId="1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4" fontId="0" fillId="0" borderId="1" xfId="0" applyNumberFormat="1" applyBorder="1"/>
    <xf numFmtId="4" fontId="1" fillId="0" borderId="0" xfId="0" applyNumberFormat="1" applyFont="1"/>
    <xf numFmtId="0" fontId="5" fillId="0" borderId="1" xfId="0" applyFont="1" applyBorder="1" applyAlignment="1">
      <alignment wrapText="1"/>
    </xf>
    <xf numFmtId="0" fontId="6" fillId="0" borderId="1" xfId="0" applyFont="1" applyBorder="1"/>
    <xf numFmtId="4" fontId="6" fillId="0" borderId="1" xfId="0" applyNumberFormat="1" applyFont="1" applyBorder="1"/>
    <xf numFmtId="4" fontId="7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4" fontId="9" fillId="0" borderId="1" xfId="0" applyNumberFormat="1" applyFont="1" applyBorder="1"/>
    <xf numFmtId="14" fontId="8" fillId="0" borderId="1" xfId="0" applyNumberFormat="1" applyFont="1" applyBorder="1"/>
    <xf numFmtId="4" fontId="8" fillId="0" borderId="1" xfId="0" applyNumberFormat="1" applyFont="1" applyBorder="1"/>
    <xf numFmtId="4" fontId="10" fillId="0" borderId="1" xfId="0" applyNumberFormat="1" applyFont="1" applyBorder="1"/>
    <xf numFmtId="14" fontId="6" fillId="0" borderId="1" xfId="0" applyNumberFormat="1" applyFont="1" applyBorder="1"/>
    <xf numFmtId="0" fontId="1" fillId="0" borderId="1" xfId="0" applyFont="1" applyFill="1" applyBorder="1"/>
    <xf numFmtId="4" fontId="0" fillId="0" borderId="1" xfId="0" applyNumberFormat="1" applyFill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1" fillId="0" borderId="7" xfId="0" applyFont="1" applyFill="1" applyBorder="1"/>
    <xf numFmtId="0" fontId="8" fillId="0" borderId="1" xfId="0" applyFont="1" applyFill="1" applyBorder="1"/>
    <xf numFmtId="14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4" fontId="8" fillId="0" borderId="1" xfId="0" applyNumberFormat="1" applyFont="1" applyFill="1" applyBorder="1"/>
    <xf numFmtId="14" fontId="1" fillId="0" borderId="1" xfId="0" applyNumberFormat="1" applyFont="1" applyFill="1" applyBorder="1"/>
    <xf numFmtId="0" fontId="6" fillId="0" borderId="7" xfId="0" applyFont="1" applyFill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/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2" fillId="0" borderId="1" xfId="0" applyFont="1" applyBorder="1"/>
    <xf numFmtId="0" fontId="13" fillId="0" borderId="1" xfId="0" applyFont="1" applyBorder="1" applyAlignment="1">
      <alignment horizontal="left" wrapText="1"/>
    </xf>
    <xf numFmtId="14" fontId="12" fillId="0" borderId="1" xfId="0" applyNumberFormat="1" applyFont="1" applyBorder="1"/>
    <xf numFmtId="0" fontId="13" fillId="0" borderId="6" xfId="0" applyFont="1" applyBorder="1" applyAlignment="1">
      <alignment wrapText="1"/>
    </xf>
    <xf numFmtId="0" fontId="7" fillId="0" borderId="1" xfId="0" applyFont="1" applyBorder="1"/>
    <xf numFmtId="0" fontId="11" fillId="0" borderId="6" xfId="0" applyFont="1" applyBorder="1" applyAlignment="1">
      <alignment wrapText="1"/>
    </xf>
    <xf numFmtId="2" fontId="6" fillId="0" borderId="1" xfId="0" applyNumberFormat="1" applyFont="1" applyBorder="1"/>
    <xf numFmtId="0" fontId="14" fillId="0" borderId="1" xfId="0" applyFont="1" applyBorder="1" applyAlignment="1">
      <alignment wrapText="1"/>
    </xf>
    <xf numFmtId="4" fontId="9" fillId="0" borderId="0" xfId="0" applyNumberFormat="1" applyFont="1"/>
    <xf numFmtId="4" fontId="0" fillId="0" borderId="0" xfId="0" applyNumberFormat="1"/>
    <xf numFmtId="0" fontId="1" fillId="4" borderId="1" xfId="0" applyFont="1" applyFill="1" applyBorder="1"/>
    <xf numFmtId="0" fontId="8" fillId="0" borderId="0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1" fillId="0" borderId="3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15" fillId="0" borderId="1" xfId="0" applyFont="1" applyBorder="1" applyAlignment="1">
      <alignment wrapText="1"/>
    </xf>
    <xf numFmtId="0" fontId="0" fillId="2" borderId="0" xfId="0" applyFill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0" fillId="0" borderId="0" xfId="0" applyFill="1"/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/>
    <xf numFmtId="0" fontId="6" fillId="0" borderId="1" xfId="0" applyFont="1" applyFill="1" applyBorder="1"/>
    <xf numFmtId="0" fontId="13" fillId="0" borderId="1" xfId="0" applyFont="1" applyFill="1" applyBorder="1"/>
    <xf numFmtId="4" fontId="6" fillId="0" borderId="1" xfId="0" applyNumberFormat="1" applyFont="1" applyFill="1" applyBorder="1"/>
    <xf numFmtId="0" fontId="12" fillId="0" borderId="1" xfId="0" applyFont="1" applyFill="1" applyBorder="1"/>
    <xf numFmtId="4" fontId="8" fillId="0" borderId="6" xfId="0" applyNumberFormat="1" applyFont="1" applyFill="1" applyBorder="1"/>
    <xf numFmtId="0" fontId="12" fillId="0" borderId="6" xfId="0" applyFont="1" applyFill="1" applyBorder="1"/>
    <xf numFmtId="2" fontId="6" fillId="0" borderId="1" xfId="0" applyNumberFormat="1" applyFont="1" applyFill="1" applyBorder="1"/>
    <xf numFmtId="0" fontId="13" fillId="3" borderId="1" xfId="0" applyFont="1" applyFill="1" applyBorder="1" applyAlignment="1">
      <alignment horizontal="left" wrapText="1"/>
    </xf>
    <xf numFmtId="2" fontId="6" fillId="3" borderId="1" xfId="0" applyNumberFormat="1" applyFont="1" applyFill="1" applyBorder="1"/>
    <xf numFmtId="4" fontId="6" fillId="3" borderId="1" xfId="0" applyNumberFormat="1" applyFont="1" applyFill="1" applyBorder="1"/>
    <xf numFmtId="4" fontId="18" fillId="0" borderId="1" xfId="0" applyNumberFormat="1" applyFont="1" applyBorder="1"/>
    <xf numFmtId="0" fontId="11" fillId="0" borderId="6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4" fontId="9" fillId="0" borderId="1" xfId="0" applyNumberFormat="1" applyFont="1" applyFill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11">
    <dxf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030A0"/>
        <name val="Cambria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030A0"/>
        <name val="Cambria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Игорь Никитушкин" refreshedDate="41960.719048379629" createdVersion="4" refreshedVersion="4" minRefreshableVersion="3" recordCount="179">
  <cacheSource type="worksheet">
    <worksheetSource name="Таблица1"/>
  </cacheSource>
  <cacheFields count="10">
    <cacheField name="Столбец1" numFmtId="0">
      <sharedItems containsString="0" containsBlank="1" containsNumber="1" containsInteger="1" minValue="1" maxValue="6"/>
    </cacheField>
    <cacheField name="Столбец2" numFmtId="0">
      <sharedItems containsBlank="1" containsMixedTypes="1" containsNumber="1" containsInteger="1" minValue="6" maxValue="1614"/>
    </cacheField>
    <cacheField name="Столбец3" numFmtId="0">
      <sharedItems containsNonDate="0" containsDate="1" containsString="0" containsBlank="1" minDate="2014-09-01T00:00:00" maxDate="2014-10-01T00:00:00"/>
    </cacheField>
    <cacheField name="Столбец4" numFmtId="0">
      <sharedItems containsBlank="1" count="20">
        <s v="ООО &quot;Партнер&quot;, ИНН 6829094883"/>
        <s v="ООО &quot;Сосновская ПМК-2&quot;"/>
        <s v="ООО СТК &quot;НИКА&quot;"/>
        <s v="ИП Каширин П.П."/>
        <s v="ООО &quot;Автоколонна № 1139&quot;"/>
        <s v="ООО &quot;Агриус&quot;"/>
        <s v="ООО &quot;Гарант-Строй&quot;"/>
        <s v="ООО &quot;ГарантСтрой Т&quot;"/>
        <s v="ООО &quot;Партнер&quot;, ИНН 6829095397"/>
        <s v="ООО &quot;КемиСтрой&quot;"/>
        <s v="ООО &quot;Регион-С&quot;"/>
        <s v="ООО &quot;СпецСтройМонтаж&quot;"/>
        <s v="ООО &quot;СТИНЭК&quot;"/>
        <s v="ООО &quot;Строй Град&quot;"/>
        <s v="ООО &quot;ЕвроСтройКоттедж&quot;"/>
        <s v="ООО &quot;Спецсервис&quot;"/>
        <s v="ООО &quot;ДорРемСтройАвтоМеханизация&quot;"/>
        <m/>
        <s v="ИТОГО"/>
        <s v="Наименование поставщика" u="1"/>
      </sharedItems>
    </cacheField>
    <cacheField name="Столбец5" numFmtId="0">
      <sharedItems containsBlank="1"/>
    </cacheField>
    <cacheField name="Столбец6" numFmtId="0">
      <sharedItems containsBlank="1" count="17">
        <s v="Агапкина, 25а"/>
        <s v="Свободная, 4/2"/>
        <s v="Перинатальный центр"/>
        <s v="Агапкина, 21а"/>
        <s v="Агапкина, 15"/>
        <s v="ДСК"/>
        <s v="Свободная, 4/7/2"/>
        <s v="Агапкина, 25"/>
        <s v="Свободная, 4/7/1"/>
        <s v="пр. Школьный, 1/9"/>
        <s v="ОДБ"/>
        <s v="пр. Запрудный, 10"/>
        <s v="Советская, 100"/>
        <s v="Агапкина, 19а"/>
        <s v="Агапкина, 21"/>
        <m/>
        <s v="Объект строительства" u="1"/>
      </sharedItems>
    </cacheField>
    <cacheField name="Столбец7" numFmtId="0">
      <sharedItems containsBlank="1" containsMixedTypes="1" containsNumber="1" minValue="1940.0025999999998" maxValue="539800"/>
    </cacheField>
    <cacheField name="Столбец8" numFmtId="0">
      <sharedItems containsNonDate="0" containsDate="1" containsString="0" containsBlank="1" minDate="2014-09-30T00:00:00" maxDate="2014-10-09T00:00:00"/>
    </cacheField>
    <cacheField name="Столбец9" numFmtId="0">
      <sharedItems containsString="0" containsBlank="1" containsNumber="1" containsInteger="1" minValue="26100" maxValue="196700"/>
    </cacheField>
    <cacheField name="Столбец10" numFmtId="4">
      <sharedItems containsBlank="1" containsMixedTypes="1" containsNumber="1" minValue="0" maxValue="7247796.95879999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9">
  <r>
    <n v="1"/>
    <n v="47"/>
    <d v="2014-09-05T00:00:00"/>
    <x v="0"/>
    <s v="транспортные услуги"/>
    <x v="0"/>
    <n v="38000"/>
    <m/>
    <m/>
    <n v="38000"/>
  </r>
  <r>
    <n v="2"/>
    <n v="46"/>
    <d v="2014-09-05T00:00:00"/>
    <x v="0"/>
    <s v="транспортные услуги"/>
    <x v="1"/>
    <n v="7000"/>
    <m/>
    <m/>
    <n v="7000"/>
  </r>
  <r>
    <n v="3"/>
    <n v="45"/>
    <d v="2014-09-05T00:00:00"/>
    <x v="0"/>
    <s v="транспортные услуги"/>
    <x v="2"/>
    <n v="16000"/>
    <m/>
    <m/>
    <n v="16000"/>
  </r>
  <r>
    <m/>
    <n v="59"/>
    <d v="2014-09-15T00:00:00"/>
    <x v="0"/>
    <s v="транспортные услуги"/>
    <x v="3"/>
    <n v="14000"/>
    <m/>
    <m/>
    <n v="14000"/>
  </r>
  <r>
    <m/>
    <n v="57"/>
    <d v="2014-09-15T00:00:00"/>
    <x v="0"/>
    <s v="транспортные услуги"/>
    <x v="4"/>
    <n v="7000"/>
    <m/>
    <m/>
    <n v="7000"/>
  </r>
  <r>
    <m/>
    <n v="58"/>
    <d v="2014-09-15T00:00:00"/>
    <x v="0"/>
    <s v="транспортные услуги"/>
    <x v="5"/>
    <n v="26250"/>
    <m/>
    <m/>
    <n v="26250"/>
  </r>
  <r>
    <n v="4"/>
    <n v="44"/>
    <d v="2014-09-05T00:00:00"/>
    <x v="0"/>
    <s v="транспортные услуги"/>
    <x v="0"/>
    <n v="76000"/>
    <m/>
    <m/>
    <n v="76000"/>
  </r>
  <r>
    <m/>
    <n v="71"/>
    <d v="2014-09-30T00:00:00"/>
    <x v="0"/>
    <s v="транспортные услуги"/>
    <x v="6"/>
    <n v="15000"/>
    <m/>
    <m/>
    <n v="15000"/>
  </r>
  <r>
    <m/>
    <n v="74"/>
    <d v="2014-09-24T00:00:00"/>
    <x v="0"/>
    <s v="транспортные услуги"/>
    <x v="4"/>
    <n v="13050"/>
    <m/>
    <m/>
    <n v="13050"/>
  </r>
  <r>
    <m/>
    <n v="63"/>
    <d v="2014-09-16T00:00:00"/>
    <x v="0"/>
    <s v="транспортные услуги"/>
    <x v="3"/>
    <n v="11600"/>
    <m/>
    <m/>
    <n v="11600"/>
  </r>
  <r>
    <m/>
    <n v="69"/>
    <d v="2014-09-30T00:00:00"/>
    <x v="0"/>
    <s v="транспортные услуги"/>
    <x v="7"/>
    <n v="4000"/>
    <m/>
    <m/>
    <n v="4000"/>
  </r>
  <r>
    <m/>
    <n v="70"/>
    <d v="2014-09-30T00:00:00"/>
    <x v="0"/>
    <s v="транспортные услуги"/>
    <x v="8"/>
    <n v="16000"/>
    <m/>
    <m/>
    <n v="16000"/>
  </r>
  <r>
    <m/>
    <n v="72"/>
    <d v="2014-09-30T00:00:00"/>
    <x v="0"/>
    <s v="транспортные услуги"/>
    <x v="5"/>
    <n v="7000"/>
    <m/>
    <m/>
    <n v="7000"/>
  </r>
  <r>
    <m/>
    <n v="62"/>
    <d v="2014-09-15T00:00:00"/>
    <x v="0"/>
    <s v="транспортные услуги"/>
    <x v="7"/>
    <n v="53650"/>
    <m/>
    <m/>
    <n v="53650"/>
  </r>
  <r>
    <m/>
    <n v="61"/>
    <d v="2014-09-15T00:00:00"/>
    <x v="0"/>
    <s v="транспортные услуги"/>
    <x v="3"/>
    <n v="24650"/>
    <m/>
    <m/>
    <n v="24650"/>
  </r>
  <r>
    <m/>
    <n v="64"/>
    <d v="2014-09-18T00:00:00"/>
    <x v="0"/>
    <s v="транспортные услуги"/>
    <x v="4"/>
    <n v="24650"/>
    <m/>
    <m/>
    <n v="24650"/>
  </r>
  <r>
    <m/>
    <n v="60"/>
    <d v="2014-09-15T00:00:00"/>
    <x v="0"/>
    <s v="транспортные услуги"/>
    <x v="4"/>
    <n v="8700"/>
    <m/>
    <m/>
    <n v="8700"/>
  </r>
  <r>
    <n v="5"/>
    <n v="140"/>
    <d v="2014-09-10T00:00:00"/>
    <x v="1"/>
    <s v="Автобус ПАЗ, ГАЗ"/>
    <x v="2"/>
    <n v="26100"/>
    <d v="2014-09-30T00:00:00"/>
    <n v="26100"/>
    <n v="0"/>
  </r>
  <r>
    <n v="6"/>
    <n v="138"/>
    <d v="2014-09-12T00:00:00"/>
    <x v="1"/>
    <s v="транспортные услуги"/>
    <x v="7"/>
    <n v="64000"/>
    <d v="2014-09-30T00:00:00"/>
    <n v="64000"/>
    <n v="0"/>
  </r>
  <r>
    <m/>
    <n v="139"/>
    <d v="2014-09-12T00:00:00"/>
    <x v="1"/>
    <s v="транспортные услуги"/>
    <x v="7"/>
    <n v="80500"/>
    <d v="2014-10-08T00:00:00"/>
    <n v="80500"/>
    <n v="0"/>
  </r>
  <r>
    <m/>
    <n v="141"/>
    <d v="2014-09-13T00:00:00"/>
    <x v="1"/>
    <s v="Автобус ПАЗ, ГАЗ"/>
    <x v="1"/>
    <n v="26100"/>
    <d v="2014-10-08T00:00:00"/>
    <n v="26100"/>
    <n v="0"/>
  </r>
  <r>
    <m/>
    <n v="150"/>
    <d v="2014-09-16T00:00:00"/>
    <x v="1"/>
    <s v="Автобус ПАЗ"/>
    <x v="2"/>
    <n v="4000"/>
    <m/>
    <m/>
    <n v="4000"/>
  </r>
  <r>
    <m/>
    <n v="152"/>
    <d v="2014-09-15T00:00:00"/>
    <x v="1"/>
    <s v="Автобус ПАЗ, ГАЗ"/>
    <x v="7"/>
    <n v="8050"/>
    <m/>
    <m/>
    <n v="8050"/>
  </r>
  <r>
    <m/>
    <n v="155"/>
    <d v="2014-09-20T00:00:00"/>
    <x v="1"/>
    <s v="Автобус ПАЗ"/>
    <x v="6"/>
    <n v="4000"/>
    <m/>
    <m/>
    <n v="4000"/>
  </r>
  <r>
    <m/>
    <n v="148"/>
    <d v="2014-09-22T00:00:00"/>
    <x v="1"/>
    <s v="Автобус ПАЗ"/>
    <x v="1"/>
    <n v="27000"/>
    <m/>
    <m/>
    <n v="27000"/>
  </r>
  <r>
    <m/>
    <n v="149"/>
    <d v="2014-09-26T00:00:00"/>
    <x v="1"/>
    <s v="Автобус ПАЗ"/>
    <x v="9"/>
    <n v="18000"/>
    <m/>
    <m/>
    <n v="18000"/>
  </r>
  <r>
    <m/>
    <n v="153"/>
    <d v="2014-09-30T00:00:00"/>
    <x v="1"/>
    <s v="автокран"/>
    <x v="7"/>
    <n v="70400"/>
    <m/>
    <m/>
    <n v="70400"/>
  </r>
  <r>
    <m/>
    <n v="154"/>
    <d v="2014-09-30T00:00:00"/>
    <x v="1"/>
    <s v="Автобус ПАЗ, ГАЗ"/>
    <x v="0"/>
    <n v="60650"/>
    <m/>
    <m/>
    <n v="60650"/>
  </r>
  <r>
    <m/>
    <n v="156"/>
    <d v="2014-09-30T00:00:00"/>
    <x v="1"/>
    <s v="Автобус ПАЗ"/>
    <x v="10"/>
    <n v="40000"/>
    <m/>
    <m/>
    <n v="40000"/>
  </r>
  <r>
    <m/>
    <n v="157"/>
    <d v="2014-09-27T00:00:00"/>
    <x v="1"/>
    <s v="Автобус ГАЗ"/>
    <x v="8"/>
    <n v="3600"/>
    <m/>
    <m/>
    <n v="3600"/>
  </r>
  <r>
    <m/>
    <m/>
    <m/>
    <x v="2"/>
    <s v="автоуслуги"/>
    <x v="3"/>
    <n v="11328"/>
    <m/>
    <m/>
    <n v="11328"/>
  </r>
  <r>
    <m/>
    <m/>
    <m/>
    <x v="2"/>
    <s v="автоуслуги"/>
    <x v="7"/>
    <n v="9000.0015999999996"/>
    <m/>
    <m/>
    <n v="9000.0015999999996"/>
  </r>
  <r>
    <m/>
    <m/>
    <m/>
    <x v="2"/>
    <s v="автоуслуги"/>
    <x v="7"/>
    <n v="18799.995999999999"/>
    <m/>
    <m/>
    <n v="18799.995999999999"/>
  </r>
  <r>
    <m/>
    <m/>
    <m/>
    <x v="2"/>
    <s v="автоуслуги"/>
    <x v="5"/>
    <n v="8800.0033999999996"/>
    <m/>
    <m/>
    <n v="8800.0033999999996"/>
  </r>
  <r>
    <m/>
    <m/>
    <m/>
    <x v="2"/>
    <s v="автоуслуги"/>
    <x v="4"/>
    <n v="14449.996799999999"/>
    <m/>
    <m/>
    <n v="14449.996799999999"/>
  </r>
  <r>
    <m/>
    <m/>
    <m/>
    <x v="2"/>
    <s v="автоуслуги"/>
    <x v="1"/>
    <n v="18000.003199999999"/>
    <m/>
    <m/>
    <n v="18000.003199999999"/>
  </r>
  <r>
    <m/>
    <m/>
    <m/>
    <x v="2"/>
    <s v="автоуслуги"/>
    <x v="7"/>
    <n v="9599.9961999999996"/>
    <m/>
    <m/>
    <n v="9599.9961999999996"/>
  </r>
  <r>
    <m/>
    <m/>
    <m/>
    <x v="2"/>
    <s v="автоуслуги"/>
    <x v="5"/>
    <n v="61600.000199999995"/>
    <m/>
    <m/>
    <n v="61600.000199999995"/>
  </r>
  <r>
    <m/>
    <m/>
    <m/>
    <x v="2"/>
    <s v="автоуслуги"/>
    <x v="7"/>
    <n v="11999.9982"/>
    <m/>
    <m/>
    <n v="11999.9982"/>
  </r>
  <r>
    <m/>
    <m/>
    <m/>
    <x v="2"/>
    <s v="автоуслуги"/>
    <x v="5"/>
    <n v="9599.9961999999996"/>
    <m/>
    <m/>
    <n v="9599.9961999999996"/>
  </r>
  <r>
    <m/>
    <m/>
    <m/>
    <x v="2"/>
    <s v="автоуслуги"/>
    <x v="5"/>
    <n v="10799.9972"/>
    <m/>
    <m/>
    <n v="10799.9972"/>
  </r>
  <r>
    <m/>
    <m/>
    <m/>
    <x v="2"/>
    <s v="автоуслуги"/>
    <x v="4"/>
    <n v="33984"/>
    <m/>
    <m/>
    <n v="33984"/>
  </r>
  <r>
    <m/>
    <m/>
    <m/>
    <x v="2"/>
    <s v="автоуслуги"/>
    <x v="5"/>
    <n v="12080.002200000001"/>
    <m/>
    <m/>
    <n v="12080.002200000001"/>
  </r>
  <r>
    <m/>
    <m/>
    <m/>
    <x v="2"/>
    <s v="автоуслуги"/>
    <x v="9"/>
    <n v="2199.9920000000002"/>
    <m/>
    <m/>
    <n v="2199.9920000000002"/>
  </r>
  <r>
    <m/>
    <m/>
    <m/>
    <x v="2"/>
    <s v="автоуслуги"/>
    <x v="5"/>
    <n v="8800.0033999999996"/>
    <m/>
    <m/>
    <n v="8800.0033999999996"/>
  </r>
  <r>
    <m/>
    <m/>
    <m/>
    <x v="2"/>
    <s v="автоуслуги"/>
    <x v="5"/>
    <n v="10400.000799999998"/>
    <m/>
    <m/>
    <n v="10400.000799999998"/>
  </r>
  <r>
    <m/>
    <m/>
    <m/>
    <x v="2"/>
    <s v="автоуслуги"/>
    <x v="11"/>
    <n v="22000.0026"/>
    <m/>
    <m/>
    <n v="22000.0026"/>
  </r>
  <r>
    <m/>
    <m/>
    <m/>
    <x v="2"/>
    <s v="автоуслуги"/>
    <x v="11"/>
    <n v="28999.998599999999"/>
    <m/>
    <m/>
    <n v="28999.998599999999"/>
  </r>
  <r>
    <m/>
    <m/>
    <m/>
    <x v="2"/>
    <s v="автоуслуги"/>
    <x v="11"/>
    <n v="4000.0111999999999"/>
    <m/>
    <m/>
    <n v="4000.0111999999999"/>
  </r>
  <r>
    <m/>
    <m/>
    <m/>
    <x v="2"/>
    <s v="автоуслуги"/>
    <x v="7"/>
    <n v="6400.0013999999992"/>
    <m/>
    <m/>
    <n v="6400.0013999999992"/>
  </r>
  <r>
    <m/>
    <m/>
    <m/>
    <x v="2"/>
    <s v="автоуслуги"/>
    <x v="7"/>
    <n v="6400.0013999999992"/>
    <m/>
    <m/>
    <n v="6400.0013999999992"/>
  </r>
  <r>
    <m/>
    <m/>
    <m/>
    <x v="2"/>
    <s v="автоуслуги"/>
    <x v="7"/>
    <n v="6400.0013999999992"/>
    <m/>
    <m/>
    <n v="6400.0013999999992"/>
  </r>
  <r>
    <m/>
    <m/>
    <m/>
    <x v="2"/>
    <s v="автоуслуги"/>
    <x v="6"/>
    <n v="4800.0039999999999"/>
    <m/>
    <m/>
    <n v="4800.0039999999999"/>
  </r>
  <r>
    <m/>
    <m/>
    <m/>
    <x v="2"/>
    <s v="автоуслуги"/>
    <x v="6"/>
    <n v="3199.9947999999999"/>
    <m/>
    <m/>
    <n v="3199.9947999999999"/>
  </r>
  <r>
    <m/>
    <n v="6"/>
    <d v="2014-09-12T00:00:00"/>
    <x v="3"/>
    <s v="автокран"/>
    <x v="8"/>
    <n v="156400"/>
    <m/>
    <m/>
    <n v="156400"/>
  </r>
  <r>
    <m/>
    <m/>
    <m/>
    <x v="3"/>
    <s v="автокран"/>
    <x v="8"/>
    <n v="81600"/>
    <m/>
    <m/>
    <n v="81600"/>
  </r>
  <r>
    <m/>
    <m/>
    <m/>
    <x v="3"/>
    <s v="автокран"/>
    <x v="6"/>
    <n v="98600"/>
    <m/>
    <m/>
    <n v="98600"/>
  </r>
  <r>
    <m/>
    <n v="179"/>
    <d v="2014-09-15T00:00:00"/>
    <x v="4"/>
    <s v="автоуслуги"/>
    <x v="8"/>
    <n v="16000"/>
    <m/>
    <m/>
    <n v="16000"/>
  </r>
  <r>
    <m/>
    <n v="180"/>
    <d v="2014-09-15T00:00:00"/>
    <x v="4"/>
    <s v="автоуслуги"/>
    <x v="7"/>
    <n v="42400"/>
    <m/>
    <m/>
    <n v="42400"/>
  </r>
  <r>
    <m/>
    <n v="181"/>
    <d v="2014-09-15T00:00:00"/>
    <x v="4"/>
    <s v="автоуслуги"/>
    <x v="3"/>
    <n v="12800"/>
    <m/>
    <m/>
    <n v="12800"/>
  </r>
  <r>
    <m/>
    <n v="182"/>
    <d v="2014-09-15T00:00:00"/>
    <x v="4"/>
    <s v="автоуслуги"/>
    <x v="1"/>
    <n v="24800"/>
    <m/>
    <m/>
    <n v="24800"/>
  </r>
  <r>
    <m/>
    <n v="183"/>
    <d v="2014-09-15T00:00:00"/>
    <x v="4"/>
    <s v="автоуслуги"/>
    <x v="5"/>
    <n v="88800"/>
    <m/>
    <m/>
    <n v="88800"/>
  </r>
  <r>
    <m/>
    <n v="184"/>
    <d v="2014-09-15T00:00:00"/>
    <x v="4"/>
    <s v="автоуслуги"/>
    <x v="6"/>
    <n v="137600"/>
    <m/>
    <m/>
    <n v="137600"/>
  </r>
  <r>
    <m/>
    <n v="185"/>
    <d v="2014-09-30T00:00:00"/>
    <x v="4"/>
    <s v="автоуслуги"/>
    <x v="9"/>
    <n v="44800"/>
    <m/>
    <m/>
    <n v="44800"/>
  </r>
  <r>
    <m/>
    <n v="186"/>
    <d v="2014-09-30T00:00:00"/>
    <x v="4"/>
    <s v="автоуслуги"/>
    <x v="3"/>
    <n v="9600"/>
    <m/>
    <m/>
    <n v="9600"/>
  </r>
  <r>
    <m/>
    <n v="187"/>
    <d v="2014-09-30T00:00:00"/>
    <x v="4"/>
    <s v="автоуслуги"/>
    <x v="4"/>
    <n v="3200"/>
    <m/>
    <m/>
    <n v="3200"/>
  </r>
  <r>
    <m/>
    <n v="188"/>
    <d v="2014-09-30T00:00:00"/>
    <x v="4"/>
    <s v="автоуслуги"/>
    <x v="5"/>
    <n v="12800"/>
    <m/>
    <m/>
    <n v="12800"/>
  </r>
  <r>
    <m/>
    <n v="189"/>
    <d v="2014-09-30T00:00:00"/>
    <x v="4"/>
    <s v="автоуслуги"/>
    <x v="12"/>
    <n v="5600"/>
    <m/>
    <m/>
    <n v="5600"/>
  </r>
  <r>
    <m/>
    <n v="190"/>
    <d v="2014-09-30T00:00:00"/>
    <x v="4"/>
    <s v="автоуслуги"/>
    <x v="8"/>
    <n v="5600"/>
    <m/>
    <m/>
    <n v="5600"/>
  </r>
  <r>
    <m/>
    <n v="191"/>
    <d v="2014-09-30T00:00:00"/>
    <x v="4"/>
    <s v="автоуслуги"/>
    <x v="6"/>
    <n v="116000"/>
    <m/>
    <m/>
    <n v="116000"/>
  </r>
  <r>
    <m/>
    <n v="167"/>
    <d v="2014-09-15T00:00:00"/>
    <x v="5"/>
    <s v="экскаватор"/>
    <x v="7"/>
    <n v="25740"/>
    <m/>
    <m/>
    <n v="25740"/>
  </r>
  <r>
    <m/>
    <n v="168"/>
    <d v="2014-09-15T00:00:00"/>
    <x v="5"/>
    <m/>
    <x v="13"/>
    <n v="11440"/>
    <m/>
    <m/>
    <n v="11440"/>
  </r>
  <r>
    <m/>
    <n v="166"/>
    <d v="2014-09-15T00:00:00"/>
    <x v="5"/>
    <m/>
    <x v="5"/>
    <n v="253240"/>
    <m/>
    <m/>
    <n v="253240"/>
  </r>
  <r>
    <m/>
    <n v="169"/>
    <d v="2014-09-15T00:00:00"/>
    <x v="5"/>
    <m/>
    <x v="6"/>
    <n v="6080"/>
    <m/>
    <m/>
    <n v="6080"/>
  </r>
  <r>
    <m/>
    <n v="171"/>
    <d v="2014-09-30T00:00:00"/>
    <x v="5"/>
    <s v="автокран"/>
    <x v="5"/>
    <n v="147290"/>
    <m/>
    <m/>
    <n v="147290"/>
  </r>
  <r>
    <m/>
    <n v="172"/>
    <d v="2014-09-30T00:00:00"/>
    <x v="5"/>
    <s v="экскаватор"/>
    <x v="6"/>
    <n v="22880"/>
    <m/>
    <m/>
    <n v="22880"/>
  </r>
  <r>
    <m/>
    <n v="173"/>
    <d v="2014-09-30T00:00:00"/>
    <x v="5"/>
    <s v="автокран"/>
    <x v="9"/>
    <n v="11440"/>
    <m/>
    <m/>
    <n v="11440"/>
  </r>
  <r>
    <m/>
    <n v="174"/>
    <d v="2014-09-30T00:00:00"/>
    <x v="5"/>
    <s v="экскаватор"/>
    <x v="7"/>
    <n v="11440"/>
    <m/>
    <m/>
    <n v="11440"/>
  </r>
  <r>
    <m/>
    <n v="8"/>
    <d v="2014-09-18T00:00:00"/>
    <x v="6"/>
    <s v="экскаватор"/>
    <x v="5"/>
    <n v="210600"/>
    <m/>
    <m/>
    <n v="210600"/>
  </r>
  <r>
    <m/>
    <m/>
    <m/>
    <x v="6"/>
    <s v="автокран"/>
    <x v="7"/>
    <n v="13600"/>
    <m/>
    <m/>
    <n v="13600"/>
  </r>
  <r>
    <m/>
    <m/>
    <m/>
    <x v="6"/>
    <s v="автокран"/>
    <x v="11"/>
    <n v="13600"/>
    <m/>
    <m/>
    <n v="13600"/>
  </r>
  <r>
    <m/>
    <n v="75"/>
    <d v="2014-09-01T00:00:00"/>
    <x v="7"/>
    <s v="автокран"/>
    <x v="7"/>
    <n v="11600"/>
    <m/>
    <m/>
    <n v="11600"/>
  </r>
  <r>
    <m/>
    <n v="76"/>
    <d v="2014-09-08T00:00:00"/>
    <x v="7"/>
    <s v="автокран"/>
    <x v="11"/>
    <n v="66700"/>
    <m/>
    <m/>
    <n v="66700"/>
  </r>
  <r>
    <m/>
    <n v="77"/>
    <d v="2014-09-16T00:00:00"/>
    <x v="7"/>
    <s v="автокран"/>
    <x v="14"/>
    <n v="58000"/>
    <m/>
    <m/>
    <n v="58000"/>
  </r>
  <r>
    <m/>
    <n v="78"/>
    <d v="2014-09-30T00:00:00"/>
    <x v="7"/>
    <s v="автокран"/>
    <x v="4"/>
    <n v="118900"/>
    <m/>
    <m/>
    <n v="118900"/>
  </r>
  <r>
    <m/>
    <n v="12"/>
    <d v="2014-09-10T00:00:00"/>
    <x v="8"/>
    <s v="мини-погрузчик"/>
    <x v="13"/>
    <n v="28200"/>
    <m/>
    <m/>
    <n v="28200"/>
  </r>
  <r>
    <m/>
    <n v="1499"/>
    <d v="2014-09-02T00:00:00"/>
    <x v="9"/>
    <s v="погрузчик-экскаватор"/>
    <x v="7"/>
    <n v="12000"/>
    <m/>
    <m/>
    <n v="12000"/>
  </r>
  <r>
    <m/>
    <n v="1500"/>
    <d v="2014-09-02T00:00:00"/>
    <x v="9"/>
    <s v="погрузчик-экскаватор"/>
    <x v="11"/>
    <n v="12000"/>
    <m/>
    <m/>
    <n v="12000"/>
  </r>
  <r>
    <m/>
    <n v="1501"/>
    <d v="2014-09-08T00:00:00"/>
    <x v="9"/>
    <s v="погрузчик-экскаватор"/>
    <x v="7"/>
    <n v="33000"/>
    <m/>
    <m/>
    <n v="33000"/>
  </r>
  <r>
    <m/>
    <n v="1551"/>
    <d v="2014-09-15T00:00:00"/>
    <x v="9"/>
    <s v="погрузчик-экскаватор"/>
    <x v="7"/>
    <n v="69000"/>
    <m/>
    <m/>
    <n v="69000"/>
  </r>
  <r>
    <m/>
    <n v="1614"/>
    <d v="2014-09-15T00:00:00"/>
    <x v="9"/>
    <s v="погрузчик-экскаватор"/>
    <x v="7"/>
    <n v="12000"/>
    <m/>
    <m/>
    <n v="12000"/>
  </r>
  <r>
    <m/>
    <m/>
    <m/>
    <x v="10"/>
    <s v="автоуслуги"/>
    <x v="5"/>
    <n v="55800"/>
    <m/>
    <m/>
    <n v="55800"/>
  </r>
  <r>
    <m/>
    <m/>
    <m/>
    <x v="10"/>
    <s v="автоуслуги"/>
    <x v="8"/>
    <n v="24000"/>
    <m/>
    <m/>
    <n v="24000"/>
  </r>
  <r>
    <m/>
    <m/>
    <m/>
    <x v="10"/>
    <s v="автоуслуги"/>
    <x v="6"/>
    <n v="56000"/>
    <m/>
    <m/>
    <n v="56000"/>
  </r>
  <r>
    <m/>
    <m/>
    <m/>
    <x v="10"/>
    <s v="автоуслуги"/>
    <x v="11"/>
    <n v="4000"/>
    <m/>
    <m/>
    <n v="4000"/>
  </r>
  <r>
    <m/>
    <m/>
    <m/>
    <x v="10"/>
    <s v="автоуслуги"/>
    <x v="5"/>
    <n v="37800"/>
    <m/>
    <m/>
    <n v="37800"/>
  </r>
  <r>
    <m/>
    <m/>
    <m/>
    <x v="10"/>
    <s v="автоуслуги"/>
    <x v="3"/>
    <n v="8000"/>
    <m/>
    <m/>
    <n v="8000"/>
  </r>
  <r>
    <m/>
    <m/>
    <m/>
    <x v="10"/>
    <s v="автоуслуги"/>
    <x v="6"/>
    <n v="38000"/>
    <m/>
    <m/>
    <n v="38000"/>
  </r>
  <r>
    <m/>
    <m/>
    <m/>
    <x v="10"/>
    <s v="автоуслуги"/>
    <x v="9"/>
    <n v="43000"/>
    <m/>
    <m/>
    <n v="43000"/>
  </r>
  <r>
    <m/>
    <m/>
    <m/>
    <x v="11"/>
    <s v="автоуслуги"/>
    <x v="6"/>
    <n v="44620"/>
    <m/>
    <m/>
    <n v="44620"/>
  </r>
  <r>
    <m/>
    <m/>
    <m/>
    <x v="11"/>
    <s v="автоуслуги"/>
    <x v="0"/>
    <n v="3880"/>
    <m/>
    <m/>
    <n v="3880"/>
  </r>
  <r>
    <m/>
    <m/>
    <m/>
    <x v="11"/>
    <s v="автоуслуги"/>
    <x v="6"/>
    <n v="7760"/>
    <m/>
    <m/>
    <n v="7760"/>
  </r>
  <r>
    <m/>
    <n v="8"/>
    <d v="2014-09-17T00:00:00"/>
    <x v="11"/>
    <s v="автоуслуги"/>
    <x v="5"/>
    <n v="78750"/>
    <m/>
    <m/>
    <n v="78750"/>
  </r>
  <r>
    <m/>
    <n v="9"/>
    <d v="2014-09-30T00:00:00"/>
    <x v="11"/>
    <s v="Лиаз"/>
    <x v="5"/>
    <n v="67500"/>
    <m/>
    <m/>
    <n v="67500"/>
  </r>
  <r>
    <m/>
    <n v="136"/>
    <d v="2014-09-30T00:00:00"/>
    <x v="11"/>
    <s v="автоуслуги"/>
    <x v="5"/>
    <n v="7760"/>
    <m/>
    <m/>
    <n v="7760"/>
  </r>
  <r>
    <m/>
    <m/>
    <m/>
    <x v="11"/>
    <s v="автоуслуги"/>
    <x v="13"/>
    <n v="7760"/>
    <m/>
    <m/>
    <n v="7760"/>
  </r>
  <r>
    <m/>
    <m/>
    <m/>
    <x v="11"/>
    <s v="автоуслуги"/>
    <x v="5"/>
    <n v="36860"/>
    <m/>
    <m/>
    <n v="36860"/>
  </r>
  <r>
    <m/>
    <n v="113"/>
    <d v="2014-09-10T00:00:00"/>
    <x v="12"/>
    <s v="экскаватор"/>
    <x v="5"/>
    <n v="136400"/>
    <m/>
    <m/>
    <n v="136400"/>
  </r>
  <r>
    <m/>
    <m/>
    <m/>
    <x v="12"/>
    <s v="трал "/>
    <x v="5"/>
    <n v="14999.9948"/>
    <m/>
    <m/>
    <n v="14999.9948"/>
  </r>
  <r>
    <m/>
    <m/>
    <m/>
    <x v="12"/>
    <s v="трал "/>
    <x v="3"/>
    <n v="19999.996999999999"/>
    <m/>
    <m/>
    <n v="19999.996999999999"/>
  </r>
  <r>
    <m/>
    <m/>
    <m/>
    <x v="12"/>
    <s v="буровая установка"/>
    <x v="5"/>
    <n v="19999.996999999999"/>
    <m/>
    <m/>
    <n v="19999.996999999999"/>
  </r>
  <r>
    <m/>
    <m/>
    <m/>
    <x v="12"/>
    <s v="трал "/>
    <x v="11"/>
    <n v="9999.9925999999996"/>
    <m/>
    <m/>
    <n v="9999.9925999999996"/>
  </r>
  <r>
    <m/>
    <m/>
    <m/>
    <x v="12"/>
    <s v="трал "/>
    <x v="7"/>
    <n v="19999.996999999999"/>
    <m/>
    <m/>
    <n v="19999.996999999999"/>
  </r>
  <r>
    <m/>
    <n v="363"/>
    <d v="2014-09-04T00:00:00"/>
    <x v="13"/>
    <s v="экскаватор, кран-манипулятор"/>
    <x v="13"/>
    <n v="29200"/>
    <m/>
    <m/>
    <n v="29200"/>
  </r>
  <r>
    <m/>
    <n v="364"/>
    <d v="2014-09-05T00:00:00"/>
    <x v="13"/>
    <s v="кран-манипулятор"/>
    <x v="3"/>
    <n v="33600"/>
    <m/>
    <m/>
    <n v="33600"/>
  </r>
  <r>
    <m/>
    <n v="365"/>
    <d v="2014-09-09T00:00:00"/>
    <x v="13"/>
    <s v="экскаватор, трал, бульдозер"/>
    <x v="1"/>
    <n v="94600"/>
    <m/>
    <m/>
    <n v="94600"/>
  </r>
  <r>
    <m/>
    <n v="366"/>
    <d v="2014-09-10T00:00:00"/>
    <x v="13"/>
    <s v="экскаватор"/>
    <x v="11"/>
    <n v="24000"/>
    <m/>
    <m/>
    <n v="24000"/>
  </r>
  <r>
    <m/>
    <n v="367"/>
    <d v="2014-09-10T00:00:00"/>
    <x v="13"/>
    <s v="трал, бульдозер"/>
    <x v="4"/>
    <n v="48800"/>
    <m/>
    <m/>
    <n v="48800"/>
  </r>
  <r>
    <m/>
    <n v="368"/>
    <d v="2014-09-10T00:00:00"/>
    <x v="13"/>
    <s v="экскаватор, автокран, бульдозер"/>
    <x v="7"/>
    <n v="82400"/>
    <m/>
    <m/>
    <n v="82400"/>
  </r>
  <r>
    <m/>
    <n v="369"/>
    <d v="2014-09-11T00:00:00"/>
    <x v="13"/>
    <s v="экскаватор"/>
    <x v="9"/>
    <n v="20400"/>
    <m/>
    <m/>
    <n v="20400"/>
  </r>
  <r>
    <m/>
    <n v="370"/>
    <d v="2014-09-12T00:00:00"/>
    <x v="13"/>
    <s v="экскаватор, автокран, кран-ман"/>
    <x v="2"/>
    <n v="218000"/>
    <m/>
    <m/>
    <n v="218000"/>
  </r>
  <r>
    <m/>
    <n v="371"/>
    <d v="2014-09-12T00:00:00"/>
    <x v="13"/>
    <s v="экскаватор,  кран-ман"/>
    <x v="3"/>
    <n v="38000"/>
    <m/>
    <m/>
    <n v="38000"/>
  </r>
  <r>
    <m/>
    <n v="372"/>
    <d v="2014-09-12T00:00:00"/>
    <x v="13"/>
    <s v="автоуслуги"/>
    <x v="5"/>
    <n v="539800"/>
    <m/>
    <m/>
    <n v="539800"/>
  </r>
  <r>
    <m/>
    <n v="373"/>
    <d v="2014-09-13T00:00:00"/>
    <x v="13"/>
    <s v="экскаватор"/>
    <x v="6"/>
    <n v="106500"/>
    <m/>
    <m/>
    <n v="106500"/>
  </r>
  <r>
    <m/>
    <n v="402"/>
    <d v="2014-09-17T00:00:00"/>
    <x v="13"/>
    <s v="экскаватор"/>
    <x v="0"/>
    <n v="12000"/>
    <m/>
    <m/>
    <n v="12000"/>
  </r>
  <r>
    <m/>
    <n v="405"/>
    <d v="2014-09-30T00:00:00"/>
    <x v="13"/>
    <s v="экскаватор,  кран-ман"/>
    <x v="7"/>
    <n v="125600"/>
    <m/>
    <m/>
    <n v="125600"/>
  </r>
  <r>
    <m/>
    <n v="409"/>
    <d v="2014-09-30T00:00:00"/>
    <x v="13"/>
    <s v="экскаватор"/>
    <x v="2"/>
    <n v="78400"/>
    <m/>
    <m/>
    <n v="78400"/>
  </r>
  <r>
    <m/>
    <n v="407"/>
    <d v="2014-09-29T00:00:00"/>
    <x v="13"/>
    <s v="кран-манипулятор"/>
    <x v="13"/>
    <n v="11200"/>
    <m/>
    <m/>
    <n v="11200"/>
  </r>
  <r>
    <m/>
    <n v="404"/>
    <d v="2014-09-24T00:00:00"/>
    <x v="13"/>
    <s v="экскаватор"/>
    <x v="12"/>
    <n v="12000"/>
    <m/>
    <m/>
    <n v="12000"/>
  </r>
  <r>
    <m/>
    <n v="406"/>
    <d v="2014-09-29T00:00:00"/>
    <x v="13"/>
    <s v="экскаватор"/>
    <x v="6"/>
    <n v="93000"/>
    <m/>
    <m/>
    <n v="93000"/>
  </r>
  <r>
    <m/>
    <n v="410"/>
    <d v="2014-09-30T00:00:00"/>
    <x v="13"/>
    <s v="экскаватор"/>
    <x v="5"/>
    <n v="433750"/>
    <m/>
    <m/>
    <n v="433750"/>
  </r>
  <r>
    <m/>
    <m/>
    <m/>
    <x v="14"/>
    <s v="автокран"/>
    <x v="13"/>
    <n v="15299.998"/>
    <m/>
    <m/>
    <n v="15299.998"/>
  </r>
  <r>
    <m/>
    <m/>
    <m/>
    <x v="14"/>
    <s v="автокран"/>
    <x v="13"/>
    <n v="13500.002399999999"/>
    <m/>
    <m/>
    <n v="13500.002399999999"/>
  </r>
  <r>
    <m/>
    <m/>
    <m/>
    <x v="14"/>
    <s v="автокран"/>
    <x v="1"/>
    <n v="36000.0046"/>
    <m/>
    <m/>
    <n v="36000.0046"/>
  </r>
  <r>
    <m/>
    <m/>
    <m/>
    <x v="14"/>
    <s v="автокран"/>
    <x v="0"/>
    <n v="81599.997199999983"/>
    <m/>
    <m/>
    <n v="81599.997199999983"/>
  </r>
  <r>
    <m/>
    <m/>
    <m/>
    <x v="14"/>
    <s v="автокран"/>
    <x v="13"/>
    <n v="13599.9956"/>
    <m/>
    <m/>
    <n v="13599.9956"/>
  </r>
  <r>
    <m/>
    <m/>
    <m/>
    <x v="14"/>
    <s v="автокран"/>
    <x v="4"/>
    <n v="54400.004200000003"/>
    <m/>
    <m/>
    <n v="54400.004200000003"/>
  </r>
  <r>
    <m/>
    <m/>
    <m/>
    <x v="14"/>
    <s v="автогидроподъемник"/>
    <x v="1"/>
    <n v="19200.004199999999"/>
    <m/>
    <m/>
    <n v="19200.004199999999"/>
  </r>
  <r>
    <m/>
    <m/>
    <m/>
    <x v="14"/>
    <s v="автогидроподъемник"/>
    <x v="5"/>
    <n v="27599.999400000001"/>
    <m/>
    <m/>
    <n v="27599.999400000001"/>
  </r>
  <r>
    <m/>
    <m/>
    <m/>
    <x v="14"/>
    <s v="экскаватор-погрузчик"/>
    <x v="4"/>
    <n v="5999.9949999999999"/>
    <m/>
    <m/>
    <n v="5999.9949999999999"/>
  </r>
  <r>
    <m/>
    <m/>
    <m/>
    <x v="14"/>
    <s v="экскаватор-погрузчик"/>
    <x v="13"/>
    <n v="104999.999"/>
    <m/>
    <m/>
    <n v="104999.999"/>
  </r>
  <r>
    <m/>
    <m/>
    <m/>
    <x v="14"/>
    <s v="автогидроподъемник"/>
    <x v="5"/>
    <n v="68399.997999999992"/>
    <m/>
    <m/>
    <n v="68399.997999999992"/>
  </r>
  <r>
    <m/>
    <m/>
    <m/>
    <x v="14"/>
    <s v="экскавтор-погрузчик"/>
    <x v="7"/>
    <n v="14999.9948"/>
    <m/>
    <m/>
    <n v="14999.9948"/>
  </r>
  <r>
    <m/>
    <m/>
    <m/>
    <x v="14"/>
    <s v="экскавтор-погрузчик"/>
    <x v="7"/>
    <n v="2999.9965999999995"/>
    <m/>
    <m/>
    <n v="2999.9965999999995"/>
  </r>
  <r>
    <m/>
    <m/>
    <m/>
    <x v="14"/>
    <s v="автокран"/>
    <x v="5"/>
    <n v="5799.9949999999999"/>
    <m/>
    <m/>
    <n v="5799.9949999999999"/>
  </r>
  <r>
    <m/>
    <m/>
    <m/>
    <x v="14"/>
    <s v="автокран"/>
    <x v="12"/>
    <n v="42049.996199999994"/>
    <m/>
    <m/>
    <n v="42049.996199999994"/>
  </r>
  <r>
    <m/>
    <m/>
    <m/>
    <x v="14"/>
    <s v="автокран"/>
    <x v="5"/>
    <n v="27200.002999999997"/>
    <m/>
    <m/>
    <n v="27200.002999999997"/>
  </r>
  <r>
    <m/>
    <m/>
    <m/>
    <x v="14"/>
    <s v="автокран"/>
    <x v="7"/>
    <n v="13599.9956"/>
    <m/>
    <m/>
    <n v="13599.9956"/>
  </r>
  <r>
    <m/>
    <m/>
    <m/>
    <x v="15"/>
    <s v="автоуслуги"/>
    <x v="8"/>
    <n v="15519.9972"/>
    <m/>
    <m/>
    <n v="15519.9972"/>
  </r>
  <r>
    <m/>
    <m/>
    <m/>
    <x v="15"/>
    <s v="автоуслуги"/>
    <x v="13"/>
    <n v="33950.004199999996"/>
    <m/>
    <m/>
    <n v="33950.004199999996"/>
  </r>
  <r>
    <m/>
    <m/>
    <m/>
    <x v="15"/>
    <s v="автоуслуги"/>
    <x v="11"/>
    <n v="23279.995800000001"/>
    <m/>
    <m/>
    <n v="23279.995800000001"/>
  </r>
  <r>
    <m/>
    <m/>
    <m/>
    <x v="15"/>
    <s v="автоуслуги"/>
    <x v="7"/>
    <n v="15519.9972"/>
    <m/>
    <m/>
    <n v="15519.9972"/>
  </r>
  <r>
    <m/>
    <m/>
    <m/>
    <x v="15"/>
    <s v="автоуслуги"/>
    <x v="0"/>
    <n v="7759.9985999999999"/>
    <m/>
    <m/>
    <n v="7759.9985999999999"/>
  </r>
  <r>
    <m/>
    <m/>
    <m/>
    <x v="15"/>
    <s v="автоуслуги"/>
    <x v="7"/>
    <n v="7759.9985999999999"/>
    <m/>
    <m/>
    <n v="7759.9985999999999"/>
  </r>
  <r>
    <m/>
    <m/>
    <m/>
    <x v="15"/>
    <s v="автоуслуги"/>
    <x v="1"/>
    <n v="7759.9985999999999"/>
    <m/>
    <m/>
    <n v="7759.9985999999999"/>
  </r>
  <r>
    <m/>
    <m/>
    <m/>
    <x v="15"/>
    <s v="автоуслуги"/>
    <x v="4"/>
    <n v="1940.0025999999998"/>
    <m/>
    <m/>
    <n v="1940.0025999999998"/>
  </r>
  <r>
    <m/>
    <m/>
    <m/>
    <x v="15"/>
    <s v="автоуслуги"/>
    <x v="5"/>
    <n v="232800.00520000001"/>
    <m/>
    <m/>
    <n v="232800.00520000001"/>
  </r>
  <r>
    <m/>
    <m/>
    <m/>
    <x v="15"/>
    <s v="автоуслуги"/>
    <x v="5"/>
    <n v="9383.9971999999998"/>
    <m/>
    <m/>
    <n v="9383.9971999999998"/>
  </r>
  <r>
    <m/>
    <m/>
    <m/>
    <x v="15"/>
    <s v="автоуслуги"/>
    <x v="5"/>
    <n v="9383.9971999999998"/>
    <m/>
    <m/>
    <n v="9383.9971999999998"/>
  </r>
  <r>
    <m/>
    <m/>
    <m/>
    <x v="15"/>
    <s v="автоуслуги"/>
    <x v="13"/>
    <n v="3128.0029999999997"/>
    <m/>
    <m/>
    <n v="3128.0029999999997"/>
  </r>
  <r>
    <m/>
    <m/>
    <m/>
    <x v="15"/>
    <s v="автоуслуги"/>
    <x v="1"/>
    <n v="10948.004599999998"/>
    <m/>
    <m/>
    <n v="10948.004599999998"/>
  </r>
  <r>
    <m/>
    <m/>
    <m/>
    <x v="15"/>
    <s v="автоуслуги"/>
    <x v="0"/>
    <n v="9383.9971999999998"/>
    <m/>
    <m/>
    <n v="9383.9971999999998"/>
  </r>
  <r>
    <m/>
    <m/>
    <m/>
    <x v="15"/>
    <s v="автоуслуги"/>
    <x v="14"/>
    <n v="19550.003999999997"/>
    <m/>
    <m/>
    <n v="19550.003999999997"/>
  </r>
  <r>
    <m/>
    <m/>
    <m/>
    <x v="15"/>
    <s v="автоуслуги"/>
    <x v="3"/>
    <n v="32062.004199999996"/>
    <m/>
    <m/>
    <n v="32062.004199999996"/>
  </r>
  <r>
    <m/>
    <m/>
    <m/>
    <x v="15"/>
    <s v="автоуслуги"/>
    <x v="6"/>
    <n v="43009.997000000003"/>
    <m/>
    <m/>
    <n v="43009.997000000003"/>
  </r>
  <r>
    <m/>
    <m/>
    <m/>
    <x v="15"/>
    <s v="автоуслуги"/>
    <x v="5"/>
    <n v="128799.99719999998"/>
    <m/>
    <m/>
    <n v="128799.99719999998"/>
  </r>
  <r>
    <m/>
    <m/>
    <m/>
    <x v="15"/>
    <s v="автоуслуги"/>
    <x v="7"/>
    <n v="9625.000399999999"/>
    <m/>
    <m/>
    <n v="9625.000399999999"/>
  </r>
  <r>
    <m/>
    <m/>
    <m/>
    <x v="15"/>
    <s v="автоуслуги"/>
    <x v="9"/>
    <n v="6999.9959999999992"/>
    <m/>
    <m/>
    <n v="6999.9959999999992"/>
  </r>
  <r>
    <m/>
    <m/>
    <m/>
    <x v="15"/>
    <s v="автоуслуги"/>
    <x v="1"/>
    <n v="14000.003799999999"/>
    <m/>
    <m/>
    <n v="14000.003799999999"/>
  </r>
  <r>
    <m/>
    <m/>
    <m/>
    <x v="15"/>
    <s v="автоуслуги"/>
    <x v="3"/>
    <n v="14000.003799999999"/>
    <m/>
    <m/>
    <n v="14000.003799999999"/>
  </r>
  <r>
    <m/>
    <m/>
    <m/>
    <x v="15"/>
    <s v="автоуслуги"/>
    <x v="5"/>
    <n v="90999.99519999999"/>
    <m/>
    <m/>
    <n v="90999.99519999999"/>
  </r>
  <r>
    <m/>
    <n v="304"/>
    <d v="2014-09-20T00:00:00"/>
    <x v="16"/>
    <m/>
    <x v="5"/>
    <n v="184800"/>
    <m/>
    <m/>
    <n v="184800"/>
  </r>
  <r>
    <m/>
    <s v="акт 284"/>
    <d v="2014-09-30T00:00:00"/>
    <x v="16"/>
    <s v="бульдозер"/>
    <x v="5"/>
    <n v="86800"/>
    <m/>
    <m/>
    <n v="86800"/>
  </r>
  <r>
    <m/>
    <m/>
    <m/>
    <x v="17"/>
    <m/>
    <x v="15"/>
    <m/>
    <m/>
    <m/>
    <m/>
  </r>
  <r>
    <m/>
    <m/>
    <m/>
    <x v="17"/>
    <m/>
    <x v="15"/>
    <m/>
    <m/>
    <m/>
    <m/>
  </r>
  <r>
    <m/>
    <m/>
    <m/>
    <x v="17"/>
    <m/>
    <x v="15"/>
    <m/>
    <m/>
    <m/>
    <m/>
  </r>
  <r>
    <m/>
    <m/>
    <m/>
    <x v="17"/>
    <m/>
    <x v="15"/>
    <m/>
    <m/>
    <m/>
    <m/>
  </r>
  <r>
    <m/>
    <m/>
    <m/>
    <x v="18"/>
    <m/>
    <x v="15"/>
    <e v="#REF!"/>
    <m/>
    <n v="196700"/>
    <n v="7247796.9587999992"/>
  </r>
  <r>
    <m/>
    <m/>
    <m/>
    <x v="17"/>
    <m/>
    <x v="15"/>
    <m/>
    <m/>
    <m/>
    <e v="#REF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объект">
  <location ref="E4:F20" firstHeaderRow="1" firstDataRow="1" firstDataCol="1"/>
  <pivotFields count="10">
    <pivotField showAll="0"/>
    <pivotField showAll="0"/>
    <pivotField showAll="0"/>
    <pivotField showAll="0"/>
    <pivotField showAll="0"/>
    <pivotField axis="axisRow" showAll="0">
      <items count="18">
        <item x="4"/>
        <item x="13"/>
        <item x="14"/>
        <item x="3"/>
        <item x="7"/>
        <item x="0"/>
        <item x="5"/>
        <item h="1" m="1" x="16"/>
        <item x="10"/>
        <item x="2"/>
        <item x="11"/>
        <item x="9"/>
        <item x="1"/>
        <item x="8"/>
        <item x="6"/>
        <item x="12"/>
        <item h="1" x="15"/>
        <item t="default"/>
      </items>
    </pivotField>
    <pivotField showAll="0"/>
    <pivotField showAll="0"/>
    <pivotField showAll="0"/>
    <pivotField dataField="1" showAl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задолжность" fld="9" baseField="5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поставщик и объект">
  <location ref="A4:B64" firstHeaderRow="1" firstDataRow="1" firstDataCol="1"/>
  <pivotFields count="10">
    <pivotField showAll="0"/>
    <pivotField showAll="0"/>
    <pivotField showAll="0"/>
    <pivotField axis="axisRow" showAll="0">
      <items count="21">
        <item x="3"/>
        <item h="1" x="18"/>
        <item m="1" x="19"/>
        <item x="4"/>
        <item x="5"/>
        <item x="7"/>
        <item sd="0" x="6"/>
        <item sd="0" x="16"/>
        <item sd="0" x="14"/>
        <item x="9"/>
        <item x="0"/>
        <item x="8"/>
        <item x="10"/>
        <item sd="0" x="1"/>
        <item sd="0" x="15"/>
        <item x="11"/>
        <item sd="0" x="12"/>
        <item sd="0" x="13"/>
        <item sd="0" x="2"/>
        <item h="1" sd="0" x="17"/>
        <item t="default"/>
      </items>
    </pivotField>
    <pivotField showAll="0"/>
    <pivotField axis="axisRow" showAll="0">
      <items count="18">
        <item x="4"/>
        <item x="13"/>
        <item x="14"/>
        <item x="3"/>
        <item x="7"/>
        <item x="0"/>
        <item x="5"/>
        <item h="1" m="1" x="16"/>
        <item x="10"/>
        <item x="2"/>
        <item x="11"/>
        <item x="9"/>
        <item x="1"/>
        <item x="8"/>
        <item x="6"/>
        <item x="12"/>
        <item h="1" x="15"/>
        <item t="default"/>
      </items>
    </pivotField>
    <pivotField showAll="0"/>
    <pivotField showAll="0"/>
    <pivotField showAll="0"/>
    <pivotField dataField="1" showAll="0"/>
  </pivotFields>
  <rowFields count="2">
    <field x="3"/>
    <field x="5"/>
  </rowFields>
  <rowItems count="60">
    <i>
      <x/>
    </i>
    <i r="1">
      <x v="13"/>
    </i>
    <i r="1">
      <x v="14"/>
    </i>
    <i>
      <x v="3"/>
    </i>
    <i r="1">
      <x/>
    </i>
    <i r="1">
      <x v="3"/>
    </i>
    <i r="1">
      <x v="4"/>
    </i>
    <i r="1">
      <x v="6"/>
    </i>
    <i r="1">
      <x v="11"/>
    </i>
    <i r="1">
      <x v="12"/>
    </i>
    <i r="1">
      <x v="13"/>
    </i>
    <i r="1">
      <x v="14"/>
    </i>
    <i r="1">
      <x v="15"/>
    </i>
    <i>
      <x v="4"/>
    </i>
    <i r="1">
      <x v="1"/>
    </i>
    <i r="1">
      <x v="4"/>
    </i>
    <i r="1">
      <x v="6"/>
    </i>
    <i r="1">
      <x v="11"/>
    </i>
    <i r="1">
      <x v="14"/>
    </i>
    <i>
      <x v="5"/>
    </i>
    <i r="1">
      <x/>
    </i>
    <i r="1">
      <x v="2"/>
    </i>
    <i r="1">
      <x v="4"/>
    </i>
    <i r="1">
      <x v="10"/>
    </i>
    <i>
      <x v="6"/>
    </i>
    <i>
      <x v="7"/>
    </i>
    <i>
      <x v="8"/>
    </i>
    <i>
      <x v="9"/>
    </i>
    <i r="1">
      <x v="4"/>
    </i>
    <i r="1">
      <x v="10"/>
    </i>
    <i>
      <x v="10"/>
    </i>
    <i r="1">
      <x/>
    </i>
    <i r="1">
      <x v="3"/>
    </i>
    <i r="1">
      <x v="4"/>
    </i>
    <i r="1">
      <x v="5"/>
    </i>
    <i r="1">
      <x v="6"/>
    </i>
    <i r="1">
      <x v="9"/>
    </i>
    <i r="1">
      <x v="12"/>
    </i>
    <i r="1">
      <x v="13"/>
    </i>
    <i r="1">
      <x v="14"/>
    </i>
    <i>
      <x v="11"/>
    </i>
    <i r="1">
      <x v="1"/>
    </i>
    <i>
      <x v="12"/>
    </i>
    <i r="1">
      <x v="3"/>
    </i>
    <i r="1">
      <x v="6"/>
    </i>
    <i r="1">
      <x v="10"/>
    </i>
    <i r="1">
      <x v="11"/>
    </i>
    <i r="1">
      <x v="13"/>
    </i>
    <i r="1">
      <x v="14"/>
    </i>
    <i>
      <x v="13"/>
    </i>
    <i>
      <x v="14"/>
    </i>
    <i>
      <x v="15"/>
    </i>
    <i r="1">
      <x v="1"/>
    </i>
    <i r="1">
      <x v="5"/>
    </i>
    <i r="1">
      <x v="6"/>
    </i>
    <i r="1">
      <x v="14"/>
    </i>
    <i>
      <x v="16"/>
    </i>
    <i>
      <x v="17"/>
    </i>
    <i>
      <x v="18"/>
    </i>
    <i t="grand">
      <x/>
    </i>
  </rowItems>
  <colItems count="1">
    <i/>
  </colItems>
  <dataFields count="1">
    <dataField name="задолжность" fld="9" baseField="5" baseItem="11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5:J184" totalsRowShown="0" tableBorderDxfId="10">
  <autoFilter ref="A5:J184"/>
  <tableColumns count="10">
    <tableColumn id="1" name="Столбец1" dataDxfId="9"/>
    <tableColumn id="2" name="Столбец2" dataDxfId="8"/>
    <tableColumn id="3" name="Столбец3" dataDxfId="7"/>
    <tableColumn id="4" name="Столбец4" dataDxfId="6"/>
    <tableColumn id="5" name="Столбец5" dataDxfId="5"/>
    <tableColumn id="6" name="Столбец6" dataDxfId="4"/>
    <tableColumn id="7" name="Столбец7" dataDxfId="3"/>
    <tableColumn id="8" name="Столбец8" dataDxfId="2"/>
    <tableColumn id="9" name="Столбец9" dataDxfId="1"/>
    <tableColumn id="10" name="Столбец10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5:J249"/>
  <sheetViews>
    <sheetView tabSelected="1" workbookViewId="0">
      <pane xSplit="4" ySplit="6" topLeftCell="E169" activePane="bottomRight" state="frozen"/>
      <selection pane="topRight" activeCell="E1" sqref="E1"/>
      <selection pane="bottomLeft" activeCell="A7" sqref="A7"/>
      <selection pane="bottomRight" activeCell="H233" sqref="H233"/>
    </sheetView>
  </sheetViews>
  <sheetFormatPr defaultRowHeight="15" x14ac:dyDescent="0.25"/>
  <cols>
    <col min="1" max="1" width="5.140625" customWidth="1"/>
    <col min="2" max="2" width="8.5703125" customWidth="1"/>
    <col min="3" max="3" width="12.42578125" customWidth="1"/>
    <col min="4" max="4" width="31" customWidth="1"/>
    <col min="5" max="5" width="36.42578125" customWidth="1"/>
    <col min="6" max="6" width="18.140625" customWidth="1"/>
    <col min="7" max="7" width="17.7109375" customWidth="1"/>
    <col min="8" max="8" width="11.85546875" customWidth="1"/>
    <col min="9" max="9" width="14.140625" customWidth="1"/>
    <col min="10" max="10" width="14.42578125" customWidth="1"/>
  </cols>
  <sheetData>
    <row r="5" spans="1:10" x14ac:dyDescent="0.25">
      <c r="A5" s="102" t="s">
        <v>0</v>
      </c>
      <c r="B5" s="101" t="s">
        <v>1</v>
      </c>
      <c r="C5" s="101" t="s">
        <v>2</v>
      </c>
      <c r="D5" s="101" t="s">
        <v>3</v>
      </c>
      <c r="E5" s="101" t="s">
        <v>4</v>
      </c>
      <c r="F5" s="103" t="s">
        <v>18</v>
      </c>
      <c r="G5" s="101" t="s">
        <v>5</v>
      </c>
      <c r="H5" s="27" t="s">
        <v>10</v>
      </c>
      <c r="I5" s="28"/>
      <c r="J5" s="29"/>
    </row>
    <row r="6" spans="1:10" ht="29.25" customHeight="1" x14ac:dyDescent="0.25">
      <c r="A6" s="102"/>
      <c r="B6" s="101"/>
      <c r="C6" s="101"/>
      <c r="D6" s="101"/>
      <c r="E6" s="101"/>
      <c r="F6" s="104"/>
      <c r="G6" s="101"/>
      <c r="H6" s="9" t="s">
        <v>11</v>
      </c>
      <c r="I6" s="9" t="s">
        <v>12</v>
      </c>
      <c r="J6" s="10" t="s">
        <v>13</v>
      </c>
    </row>
    <row r="7" spans="1:10" x14ac:dyDescent="0.25">
      <c r="A7" s="1">
        <v>1</v>
      </c>
      <c r="B7" s="25">
        <v>223</v>
      </c>
      <c r="C7" s="3">
        <v>41831</v>
      </c>
      <c r="D7" s="19" t="s">
        <v>36</v>
      </c>
      <c r="E7" s="19" t="s">
        <v>60</v>
      </c>
      <c r="F7" s="40" t="s">
        <v>20</v>
      </c>
      <c r="G7" s="22">
        <v>23250</v>
      </c>
      <c r="H7" s="45">
        <v>41872</v>
      </c>
      <c r="I7" s="19">
        <v>23250</v>
      </c>
      <c r="J7" s="12">
        <f t="shared" ref="J7:J222" si="0">G7-I7</f>
        <v>0</v>
      </c>
    </row>
    <row r="8" spans="1:10" x14ac:dyDescent="0.25">
      <c r="A8" s="1">
        <v>2</v>
      </c>
      <c r="B8" s="25">
        <v>220</v>
      </c>
      <c r="C8" s="3">
        <v>41827</v>
      </c>
      <c r="D8" s="19" t="s">
        <v>36</v>
      </c>
      <c r="E8" s="19" t="s">
        <v>60</v>
      </c>
      <c r="F8" s="41" t="s">
        <v>21</v>
      </c>
      <c r="G8" s="22">
        <v>35650</v>
      </c>
      <c r="H8" s="45">
        <v>41872</v>
      </c>
      <c r="I8" s="19">
        <v>35650</v>
      </c>
      <c r="J8" s="12">
        <f t="shared" si="0"/>
        <v>0</v>
      </c>
    </row>
    <row r="9" spans="1:10" x14ac:dyDescent="0.25">
      <c r="A9" s="1">
        <v>3</v>
      </c>
      <c r="B9" s="25">
        <v>222</v>
      </c>
      <c r="C9" s="3">
        <v>41830</v>
      </c>
      <c r="D9" s="19" t="s">
        <v>36</v>
      </c>
      <c r="E9" s="38" t="s">
        <v>58</v>
      </c>
      <c r="F9" s="41" t="s">
        <v>48</v>
      </c>
      <c r="G9" s="22">
        <v>27800</v>
      </c>
      <c r="H9" s="45">
        <v>41872</v>
      </c>
      <c r="I9" s="19">
        <v>27800</v>
      </c>
      <c r="J9" s="12">
        <f t="shared" si="0"/>
        <v>0</v>
      </c>
    </row>
    <row r="10" spans="1:10" x14ac:dyDescent="0.25">
      <c r="A10" s="1">
        <v>4</v>
      </c>
      <c r="B10" s="25">
        <v>221</v>
      </c>
      <c r="C10" s="3">
        <v>41827</v>
      </c>
      <c r="D10" s="19" t="s">
        <v>36</v>
      </c>
      <c r="E10" s="19" t="s">
        <v>38</v>
      </c>
      <c r="F10" s="37" t="s">
        <v>19</v>
      </c>
      <c r="G10" s="22">
        <v>12400</v>
      </c>
      <c r="H10" s="45">
        <v>41872</v>
      </c>
      <c r="I10" s="19">
        <v>12400</v>
      </c>
      <c r="J10" s="12">
        <f t="shared" si="0"/>
        <v>0</v>
      </c>
    </row>
    <row r="11" spans="1:10" x14ac:dyDescent="0.25">
      <c r="A11" s="1">
        <v>5</v>
      </c>
      <c r="B11" s="25">
        <v>226</v>
      </c>
      <c r="C11" s="3">
        <v>41832</v>
      </c>
      <c r="D11" s="19" t="s">
        <v>36</v>
      </c>
      <c r="E11" s="38" t="s">
        <v>63</v>
      </c>
      <c r="F11" s="41" t="s">
        <v>23</v>
      </c>
      <c r="G11" s="22">
        <v>50850</v>
      </c>
      <c r="H11" s="45">
        <v>41893</v>
      </c>
      <c r="I11" s="19">
        <v>50850</v>
      </c>
      <c r="J11" s="12">
        <f t="shared" si="0"/>
        <v>0</v>
      </c>
    </row>
    <row r="12" spans="1:10" x14ac:dyDescent="0.25">
      <c r="A12" s="1">
        <v>6</v>
      </c>
      <c r="B12" s="25">
        <v>224</v>
      </c>
      <c r="C12" s="3">
        <v>41831</v>
      </c>
      <c r="D12" s="19" t="s">
        <v>36</v>
      </c>
      <c r="E12" s="19" t="s">
        <v>60</v>
      </c>
      <c r="F12" s="41" t="s">
        <v>25</v>
      </c>
      <c r="G12" s="22">
        <v>12400</v>
      </c>
      <c r="H12" s="45">
        <v>41893</v>
      </c>
      <c r="I12" s="19">
        <v>12400</v>
      </c>
      <c r="J12" s="12">
        <f t="shared" si="0"/>
        <v>0</v>
      </c>
    </row>
    <row r="13" spans="1:10" x14ac:dyDescent="0.25">
      <c r="A13" s="1">
        <v>7</v>
      </c>
      <c r="B13" s="25">
        <v>225</v>
      </c>
      <c r="C13" s="3">
        <v>41832</v>
      </c>
      <c r="D13" s="19" t="s">
        <v>36</v>
      </c>
      <c r="E13" s="19" t="s">
        <v>60</v>
      </c>
      <c r="F13" s="41" t="s">
        <v>50</v>
      </c>
      <c r="G13" s="22">
        <v>37200</v>
      </c>
      <c r="H13" s="45">
        <v>41893</v>
      </c>
      <c r="I13" s="19">
        <v>37200</v>
      </c>
      <c r="J13" s="12">
        <f t="shared" si="0"/>
        <v>0</v>
      </c>
    </row>
    <row r="14" spans="1:10" x14ac:dyDescent="0.25">
      <c r="A14" s="1">
        <v>8</v>
      </c>
      <c r="B14" s="25">
        <v>227</v>
      </c>
      <c r="C14" s="3">
        <v>41832</v>
      </c>
      <c r="D14" s="19" t="s">
        <v>36</v>
      </c>
      <c r="E14" s="38" t="s">
        <v>64</v>
      </c>
      <c r="F14" s="41" t="s">
        <v>9</v>
      </c>
      <c r="G14" s="22">
        <v>422300</v>
      </c>
      <c r="H14" s="45">
        <v>41893</v>
      </c>
      <c r="I14" s="19">
        <v>422300</v>
      </c>
      <c r="J14" s="12">
        <f t="shared" si="0"/>
        <v>0</v>
      </c>
    </row>
    <row r="15" spans="1:10" x14ac:dyDescent="0.25">
      <c r="A15" s="1"/>
      <c r="B15" s="25">
        <v>262</v>
      </c>
      <c r="C15" s="3">
        <v>41837</v>
      </c>
      <c r="D15" s="19" t="s">
        <v>36</v>
      </c>
      <c r="E15" s="38" t="s">
        <v>60</v>
      </c>
      <c r="F15" s="41" t="s">
        <v>25</v>
      </c>
      <c r="G15" s="22">
        <v>24000</v>
      </c>
      <c r="H15" s="45">
        <v>41893</v>
      </c>
      <c r="I15" s="19">
        <v>24000</v>
      </c>
      <c r="J15" s="12">
        <f t="shared" si="0"/>
        <v>0</v>
      </c>
    </row>
    <row r="16" spans="1:10" x14ac:dyDescent="0.25">
      <c r="A16" s="1"/>
      <c r="B16" s="25">
        <v>263</v>
      </c>
      <c r="C16" s="3">
        <v>41837</v>
      </c>
      <c r="D16" s="19" t="s">
        <v>36</v>
      </c>
      <c r="E16" s="38" t="s">
        <v>24</v>
      </c>
      <c r="F16" s="41" t="s">
        <v>48</v>
      </c>
      <c r="G16" s="22">
        <v>11200</v>
      </c>
      <c r="H16" s="45">
        <v>41893</v>
      </c>
      <c r="I16" s="19">
        <v>11200</v>
      </c>
      <c r="J16" s="12">
        <f t="shared" si="0"/>
        <v>0</v>
      </c>
    </row>
    <row r="17" spans="1:10" x14ac:dyDescent="0.25">
      <c r="A17" s="1"/>
      <c r="B17" s="25">
        <v>264</v>
      </c>
      <c r="C17" s="3">
        <v>41839</v>
      </c>
      <c r="D17" s="19" t="s">
        <v>36</v>
      </c>
      <c r="E17" s="38" t="s">
        <v>81</v>
      </c>
      <c r="F17" s="41" t="s">
        <v>23</v>
      </c>
      <c r="G17" s="22">
        <v>26600</v>
      </c>
      <c r="H17" s="45">
        <v>41893</v>
      </c>
      <c r="I17" s="19">
        <v>26600</v>
      </c>
      <c r="J17" s="12">
        <f t="shared" si="0"/>
        <v>0</v>
      </c>
    </row>
    <row r="18" spans="1:10" x14ac:dyDescent="0.25">
      <c r="A18" s="1"/>
      <c r="B18" s="25">
        <v>265</v>
      </c>
      <c r="C18" s="3">
        <v>41849</v>
      </c>
      <c r="D18" s="19" t="s">
        <v>36</v>
      </c>
      <c r="E18" s="38" t="s">
        <v>60</v>
      </c>
      <c r="F18" s="37" t="s">
        <v>20</v>
      </c>
      <c r="G18" s="22">
        <v>46500</v>
      </c>
      <c r="H18" s="45">
        <v>41893</v>
      </c>
      <c r="I18" s="19">
        <v>46500</v>
      </c>
      <c r="J18" s="12">
        <f t="shared" si="0"/>
        <v>0</v>
      </c>
    </row>
    <row r="19" spans="1:10" x14ac:dyDescent="0.25">
      <c r="A19" s="1"/>
      <c r="B19" s="25">
        <v>267</v>
      </c>
      <c r="C19" s="3">
        <v>41851</v>
      </c>
      <c r="D19" s="19" t="s">
        <v>36</v>
      </c>
      <c r="E19" s="38" t="s">
        <v>60</v>
      </c>
      <c r="F19" s="41" t="s">
        <v>21</v>
      </c>
      <c r="G19" s="22">
        <v>72000</v>
      </c>
      <c r="H19" s="45">
        <v>41893</v>
      </c>
      <c r="I19" s="19">
        <v>72000</v>
      </c>
      <c r="J19" s="12">
        <f t="shared" si="0"/>
        <v>0</v>
      </c>
    </row>
    <row r="20" spans="1:10" x14ac:dyDescent="0.25">
      <c r="A20" s="1"/>
      <c r="B20" s="25">
        <v>268</v>
      </c>
      <c r="C20" s="3">
        <v>41851</v>
      </c>
      <c r="D20" s="19" t="s">
        <v>36</v>
      </c>
      <c r="E20" s="38" t="s">
        <v>60</v>
      </c>
      <c r="F20" s="37" t="s">
        <v>19</v>
      </c>
      <c r="G20" s="22">
        <v>133600</v>
      </c>
      <c r="H20" s="45">
        <v>41912</v>
      </c>
      <c r="I20" s="19">
        <v>133600</v>
      </c>
      <c r="J20" s="12">
        <f t="shared" si="0"/>
        <v>0</v>
      </c>
    </row>
    <row r="21" spans="1:10" x14ac:dyDescent="0.25">
      <c r="A21" s="1"/>
      <c r="B21" s="25">
        <v>266</v>
      </c>
      <c r="C21" s="3">
        <v>41851</v>
      </c>
      <c r="D21" s="19" t="s">
        <v>36</v>
      </c>
      <c r="E21" s="1" t="s">
        <v>30</v>
      </c>
      <c r="F21" s="41" t="s">
        <v>9</v>
      </c>
      <c r="G21" s="22">
        <v>548600</v>
      </c>
      <c r="H21" s="45" t="s">
        <v>109</v>
      </c>
      <c r="I21" s="19">
        <f>448600+100000</f>
        <v>548600</v>
      </c>
      <c r="J21" s="12">
        <f t="shared" si="0"/>
        <v>0</v>
      </c>
    </row>
    <row r="22" spans="1:10" x14ac:dyDescent="0.25">
      <c r="A22" s="1"/>
      <c r="B22" s="53">
        <v>132</v>
      </c>
      <c r="C22" s="3">
        <v>41841</v>
      </c>
      <c r="D22" s="1" t="s">
        <v>6</v>
      </c>
      <c r="E22" s="1" t="s">
        <v>30</v>
      </c>
      <c r="F22" s="41" t="s">
        <v>25</v>
      </c>
      <c r="G22" s="22">
        <v>11200</v>
      </c>
      <c r="H22" s="45">
        <v>41879</v>
      </c>
      <c r="I22" s="19">
        <v>11200</v>
      </c>
      <c r="J22" s="12">
        <f t="shared" si="0"/>
        <v>0</v>
      </c>
    </row>
    <row r="23" spans="1:10" x14ac:dyDescent="0.25">
      <c r="A23" s="1"/>
      <c r="B23" s="53">
        <v>131</v>
      </c>
      <c r="C23" s="3">
        <v>41841</v>
      </c>
      <c r="D23" s="1" t="s">
        <v>6</v>
      </c>
      <c r="E23" s="1" t="s">
        <v>30</v>
      </c>
      <c r="F23" s="41" t="s">
        <v>9</v>
      </c>
      <c r="G23" s="22">
        <v>57600</v>
      </c>
      <c r="H23" s="45">
        <v>41879</v>
      </c>
      <c r="I23" s="19">
        <v>57600</v>
      </c>
      <c r="J23" s="12">
        <f t="shared" si="0"/>
        <v>0</v>
      </c>
    </row>
    <row r="24" spans="1:10" x14ac:dyDescent="0.25">
      <c r="A24" s="1"/>
      <c r="B24" s="53">
        <v>133</v>
      </c>
      <c r="C24" s="3">
        <v>41841</v>
      </c>
      <c r="D24" s="1" t="s">
        <v>6</v>
      </c>
      <c r="E24" s="1" t="s">
        <v>30</v>
      </c>
      <c r="F24" s="37" t="s">
        <v>19</v>
      </c>
      <c r="G24" s="22">
        <v>44000</v>
      </c>
      <c r="H24" s="45">
        <v>41893</v>
      </c>
      <c r="I24" s="19">
        <v>44000</v>
      </c>
      <c r="J24" s="12">
        <f t="shared" si="0"/>
        <v>0</v>
      </c>
    </row>
    <row r="25" spans="1:10" x14ac:dyDescent="0.25">
      <c r="A25" s="1"/>
      <c r="B25" s="53">
        <v>134</v>
      </c>
      <c r="C25" s="3">
        <v>41841</v>
      </c>
      <c r="D25" s="1" t="s">
        <v>6</v>
      </c>
      <c r="E25" s="1" t="s">
        <v>30</v>
      </c>
      <c r="F25" s="41" t="s">
        <v>21</v>
      </c>
      <c r="G25" s="22">
        <v>20000</v>
      </c>
      <c r="H25" s="45">
        <v>41893</v>
      </c>
      <c r="I25" s="19">
        <v>20000</v>
      </c>
      <c r="J25" s="12">
        <f t="shared" si="0"/>
        <v>0</v>
      </c>
    </row>
    <row r="26" spans="1:10" x14ac:dyDescent="0.25">
      <c r="A26" s="1"/>
      <c r="B26" s="53">
        <v>135</v>
      </c>
      <c r="C26" s="3">
        <v>41841</v>
      </c>
      <c r="D26" s="1" t="s">
        <v>6</v>
      </c>
      <c r="E26" s="1" t="s">
        <v>30</v>
      </c>
      <c r="F26" s="40" t="s">
        <v>20</v>
      </c>
      <c r="G26" s="22">
        <v>32000</v>
      </c>
      <c r="H26" s="45">
        <v>41879</v>
      </c>
      <c r="I26" s="19">
        <v>32000</v>
      </c>
      <c r="J26" s="12">
        <f t="shared" si="0"/>
        <v>0</v>
      </c>
    </row>
    <row r="27" spans="1:10" x14ac:dyDescent="0.25">
      <c r="A27" s="1"/>
      <c r="B27" s="53">
        <v>137</v>
      </c>
      <c r="C27" s="3">
        <v>41841</v>
      </c>
      <c r="D27" s="1" t="s">
        <v>6</v>
      </c>
      <c r="E27" s="1" t="s">
        <v>30</v>
      </c>
      <c r="F27" s="41" t="s">
        <v>25</v>
      </c>
      <c r="G27" s="22">
        <v>16000</v>
      </c>
      <c r="H27" s="45">
        <v>41893</v>
      </c>
      <c r="I27" s="19">
        <v>16000</v>
      </c>
      <c r="J27" s="12">
        <f t="shared" si="0"/>
        <v>0</v>
      </c>
    </row>
    <row r="28" spans="1:10" x14ac:dyDescent="0.25">
      <c r="A28" s="1"/>
      <c r="B28" s="53">
        <v>136</v>
      </c>
      <c r="C28" s="3">
        <v>41841</v>
      </c>
      <c r="D28" s="1" t="s">
        <v>6</v>
      </c>
      <c r="E28" s="1" t="s">
        <v>30</v>
      </c>
      <c r="F28" s="41" t="s">
        <v>9</v>
      </c>
      <c r="G28" s="22">
        <v>8000</v>
      </c>
      <c r="H28" s="45">
        <v>41893</v>
      </c>
      <c r="I28" s="19">
        <v>8000</v>
      </c>
      <c r="J28" s="12">
        <f t="shared" si="0"/>
        <v>0</v>
      </c>
    </row>
    <row r="29" spans="1:10" x14ac:dyDescent="0.25">
      <c r="A29" s="1"/>
      <c r="B29" s="53">
        <v>130</v>
      </c>
      <c r="C29" s="3">
        <v>41841</v>
      </c>
      <c r="D29" s="1" t="s">
        <v>6</v>
      </c>
      <c r="E29" s="1" t="s">
        <v>30</v>
      </c>
      <c r="F29" s="37" t="s">
        <v>19</v>
      </c>
      <c r="G29" s="22">
        <v>50400</v>
      </c>
      <c r="H29" s="45">
        <v>41893</v>
      </c>
      <c r="I29" s="19">
        <v>50400</v>
      </c>
      <c r="J29" s="12">
        <f t="shared" si="0"/>
        <v>0</v>
      </c>
    </row>
    <row r="30" spans="1:10" x14ac:dyDescent="0.25">
      <c r="A30" s="1"/>
      <c r="B30" s="53">
        <v>129</v>
      </c>
      <c r="C30" s="3">
        <v>41841</v>
      </c>
      <c r="D30" s="1" t="s">
        <v>6</v>
      </c>
      <c r="E30" s="1" t="s">
        <v>30</v>
      </c>
      <c r="F30" s="41" t="s">
        <v>9</v>
      </c>
      <c r="G30" s="22">
        <v>132800</v>
      </c>
      <c r="H30" s="45">
        <v>41893</v>
      </c>
      <c r="I30" s="19">
        <v>132800</v>
      </c>
      <c r="J30" s="12">
        <f t="shared" si="0"/>
        <v>0</v>
      </c>
    </row>
    <row r="31" spans="1:10" x14ac:dyDescent="0.25">
      <c r="A31" s="1"/>
      <c r="B31" s="53">
        <v>147</v>
      </c>
      <c r="C31" s="3">
        <v>41851</v>
      </c>
      <c r="D31" s="1" t="s">
        <v>6</v>
      </c>
      <c r="E31" s="1" t="s">
        <v>30</v>
      </c>
      <c r="F31" s="41" t="s">
        <v>9</v>
      </c>
      <c r="G31" s="22">
        <v>96000</v>
      </c>
      <c r="H31" s="45">
        <v>41893</v>
      </c>
      <c r="I31" s="19">
        <v>96000</v>
      </c>
      <c r="J31" s="12">
        <f t="shared" si="0"/>
        <v>0</v>
      </c>
    </row>
    <row r="32" spans="1:10" x14ac:dyDescent="0.25">
      <c r="A32" s="1"/>
      <c r="B32" s="53">
        <v>148</v>
      </c>
      <c r="C32" s="3">
        <v>41851</v>
      </c>
      <c r="D32" s="1" t="s">
        <v>6</v>
      </c>
      <c r="E32" s="1" t="s">
        <v>30</v>
      </c>
      <c r="F32" s="41" t="s">
        <v>9</v>
      </c>
      <c r="G32" s="22">
        <v>54400</v>
      </c>
      <c r="H32" s="45">
        <v>41893</v>
      </c>
      <c r="I32" s="19">
        <v>54400</v>
      </c>
      <c r="J32" s="12">
        <f t="shared" si="0"/>
        <v>0</v>
      </c>
    </row>
    <row r="33" spans="1:10" x14ac:dyDescent="0.25">
      <c r="A33" s="1"/>
      <c r="B33" s="53">
        <v>140</v>
      </c>
      <c r="C33" s="3">
        <v>41851</v>
      </c>
      <c r="D33" s="1" t="s">
        <v>6</v>
      </c>
      <c r="E33" s="1" t="s">
        <v>30</v>
      </c>
      <c r="F33" s="41" t="s">
        <v>9</v>
      </c>
      <c r="G33" s="22">
        <v>3200</v>
      </c>
      <c r="H33" s="45">
        <v>41893</v>
      </c>
      <c r="I33" s="19">
        <v>3200</v>
      </c>
      <c r="J33" s="12">
        <f t="shared" si="0"/>
        <v>0</v>
      </c>
    </row>
    <row r="34" spans="1:10" x14ac:dyDescent="0.25">
      <c r="A34" s="1"/>
      <c r="B34" s="53">
        <v>139</v>
      </c>
      <c r="C34" s="3">
        <v>41851</v>
      </c>
      <c r="D34" s="1" t="s">
        <v>6</v>
      </c>
      <c r="E34" s="1" t="s">
        <v>30</v>
      </c>
      <c r="F34" s="41" t="s">
        <v>9</v>
      </c>
      <c r="G34" s="22">
        <v>14000</v>
      </c>
      <c r="H34" s="45">
        <v>41893</v>
      </c>
      <c r="I34" s="19">
        <v>14000</v>
      </c>
      <c r="J34" s="12">
        <f t="shared" si="0"/>
        <v>0</v>
      </c>
    </row>
    <row r="35" spans="1:10" x14ac:dyDescent="0.25">
      <c r="A35" s="1"/>
      <c r="B35" s="53">
        <v>138</v>
      </c>
      <c r="C35" s="3">
        <v>41851</v>
      </c>
      <c r="D35" s="1" t="s">
        <v>6</v>
      </c>
      <c r="E35" s="1" t="s">
        <v>30</v>
      </c>
      <c r="F35" s="41" t="s">
        <v>9</v>
      </c>
      <c r="G35" s="22">
        <v>12800</v>
      </c>
      <c r="H35" s="45">
        <v>41893</v>
      </c>
      <c r="I35" s="19">
        <v>12800</v>
      </c>
      <c r="J35" s="12">
        <f t="shared" si="0"/>
        <v>0</v>
      </c>
    </row>
    <row r="36" spans="1:10" x14ac:dyDescent="0.25">
      <c r="A36" s="1"/>
      <c r="B36" s="53">
        <v>141</v>
      </c>
      <c r="C36" s="3">
        <v>41851</v>
      </c>
      <c r="D36" s="1" t="s">
        <v>6</v>
      </c>
      <c r="E36" s="1" t="s">
        <v>30</v>
      </c>
      <c r="F36" s="41" t="s">
        <v>22</v>
      </c>
      <c r="G36" s="22">
        <v>3200</v>
      </c>
      <c r="H36" s="45">
        <v>41893</v>
      </c>
      <c r="I36" s="19">
        <v>3200</v>
      </c>
      <c r="J36" s="12">
        <f t="shared" si="0"/>
        <v>0</v>
      </c>
    </row>
    <row r="37" spans="1:10" x14ac:dyDescent="0.25">
      <c r="A37" s="1"/>
      <c r="B37" s="53">
        <v>142</v>
      </c>
      <c r="C37" s="3">
        <v>41851</v>
      </c>
      <c r="D37" s="1" t="s">
        <v>6</v>
      </c>
      <c r="E37" s="1" t="s">
        <v>30</v>
      </c>
      <c r="F37" s="40" t="s">
        <v>20</v>
      </c>
      <c r="G37" s="22">
        <v>48000</v>
      </c>
      <c r="H37" s="45">
        <v>41893</v>
      </c>
      <c r="I37" s="19">
        <v>48000</v>
      </c>
      <c r="J37" s="12">
        <f t="shared" si="0"/>
        <v>0</v>
      </c>
    </row>
    <row r="38" spans="1:10" x14ac:dyDescent="0.25">
      <c r="A38" s="1"/>
      <c r="B38" s="53">
        <v>143</v>
      </c>
      <c r="C38" s="3">
        <v>41851</v>
      </c>
      <c r="D38" s="1" t="s">
        <v>6</v>
      </c>
      <c r="E38" s="1" t="s">
        <v>30</v>
      </c>
      <c r="F38" s="40" t="s">
        <v>19</v>
      </c>
      <c r="G38" s="22">
        <v>47200</v>
      </c>
      <c r="H38" s="45">
        <v>41893</v>
      </c>
      <c r="I38" s="19">
        <v>47200</v>
      </c>
      <c r="J38" s="12">
        <f t="shared" si="0"/>
        <v>0</v>
      </c>
    </row>
    <row r="39" spans="1:10" x14ac:dyDescent="0.25">
      <c r="A39" s="1"/>
      <c r="B39" s="53">
        <v>145</v>
      </c>
      <c r="C39" s="3">
        <v>41851</v>
      </c>
      <c r="D39" s="1" t="s">
        <v>6</v>
      </c>
      <c r="E39" s="1" t="s">
        <v>30</v>
      </c>
      <c r="F39" s="40" t="s">
        <v>19</v>
      </c>
      <c r="G39" s="22">
        <v>6400</v>
      </c>
      <c r="H39" s="45">
        <v>41893</v>
      </c>
      <c r="I39" s="19">
        <v>6400</v>
      </c>
      <c r="J39" s="12">
        <f t="shared" si="0"/>
        <v>0</v>
      </c>
    </row>
    <row r="40" spans="1:10" x14ac:dyDescent="0.25">
      <c r="A40" s="1"/>
      <c r="B40" s="53">
        <v>144</v>
      </c>
      <c r="C40" s="3">
        <v>41851</v>
      </c>
      <c r="D40" s="1" t="s">
        <v>6</v>
      </c>
      <c r="E40" s="1" t="s">
        <v>30</v>
      </c>
      <c r="F40" s="41" t="s">
        <v>25</v>
      </c>
      <c r="G40" s="22">
        <v>12000</v>
      </c>
      <c r="H40" s="45">
        <v>41893</v>
      </c>
      <c r="I40" s="19">
        <v>12000</v>
      </c>
      <c r="J40" s="12">
        <f t="shared" si="0"/>
        <v>0</v>
      </c>
    </row>
    <row r="41" spans="1:10" x14ac:dyDescent="0.25">
      <c r="A41" s="1"/>
      <c r="B41" s="53">
        <v>125</v>
      </c>
      <c r="C41" s="3">
        <v>41824</v>
      </c>
      <c r="D41" s="1" t="s">
        <v>6</v>
      </c>
      <c r="E41" s="1" t="s">
        <v>30</v>
      </c>
      <c r="F41" s="37" t="s">
        <v>19</v>
      </c>
      <c r="G41" s="22">
        <v>25600</v>
      </c>
      <c r="H41" s="45">
        <v>41872</v>
      </c>
      <c r="I41" s="19">
        <v>25600</v>
      </c>
      <c r="J41" s="12">
        <f t="shared" si="0"/>
        <v>0</v>
      </c>
    </row>
    <row r="42" spans="1:10" x14ac:dyDescent="0.25">
      <c r="A42" s="1"/>
      <c r="B42" s="53">
        <v>128</v>
      </c>
      <c r="C42" s="3">
        <v>41824</v>
      </c>
      <c r="D42" s="1" t="s">
        <v>6</v>
      </c>
      <c r="E42" s="1" t="s">
        <v>30</v>
      </c>
      <c r="F42" s="37" t="s">
        <v>20</v>
      </c>
      <c r="G42" s="22">
        <v>32000</v>
      </c>
      <c r="H42" s="45">
        <v>41872</v>
      </c>
      <c r="I42" s="19">
        <v>32000</v>
      </c>
      <c r="J42" s="12">
        <f t="shared" si="0"/>
        <v>0</v>
      </c>
    </row>
    <row r="43" spans="1:10" x14ac:dyDescent="0.25">
      <c r="A43" s="1"/>
      <c r="B43" s="53">
        <v>127</v>
      </c>
      <c r="C43" s="3">
        <v>41825</v>
      </c>
      <c r="D43" s="1" t="s">
        <v>6</v>
      </c>
      <c r="E43" s="1" t="s">
        <v>30</v>
      </c>
      <c r="F43" s="41" t="s">
        <v>9</v>
      </c>
      <c r="G43" s="22">
        <v>100800</v>
      </c>
      <c r="H43" s="45">
        <v>41872</v>
      </c>
      <c r="I43" s="19">
        <v>100800</v>
      </c>
      <c r="J43" s="12">
        <f t="shared" si="0"/>
        <v>0</v>
      </c>
    </row>
    <row r="44" spans="1:10" x14ac:dyDescent="0.25">
      <c r="A44" s="1"/>
      <c r="B44" s="53">
        <v>126</v>
      </c>
      <c r="C44" s="3">
        <v>41825</v>
      </c>
      <c r="D44" s="1" t="s">
        <v>6</v>
      </c>
      <c r="E44" s="1" t="s">
        <v>30</v>
      </c>
      <c r="F44" s="41" t="s">
        <v>9</v>
      </c>
      <c r="G44" s="22">
        <v>24000</v>
      </c>
      <c r="H44" s="45">
        <v>41872</v>
      </c>
      <c r="I44" s="19">
        <v>24000</v>
      </c>
      <c r="J44" s="12">
        <f t="shared" si="0"/>
        <v>0</v>
      </c>
    </row>
    <row r="45" spans="1:10" x14ac:dyDescent="0.25">
      <c r="A45" s="1"/>
      <c r="B45" s="53">
        <v>146</v>
      </c>
      <c r="C45" s="3">
        <v>41851</v>
      </c>
      <c r="D45" s="1" t="s">
        <v>6</v>
      </c>
      <c r="E45" s="1" t="s">
        <v>30</v>
      </c>
      <c r="F45" s="37" t="s">
        <v>19</v>
      </c>
      <c r="G45" s="22">
        <v>88000</v>
      </c>
      <c r="H45" s="45">
        <v>41893</v>
      </c>
      <c r="I45" s="19">
        <v>88000</v>
      </c>
      <c r="J45" s="12">
        <f t="shared" si="0"/>
        <v>0</v>
      </c>
    </row>
    <row r="46" spans="1:10" x14ac:dyDescent="0.25">
      <c r="A46" s="1"/>
      <c r="B46" s="25">
        <v>23</v>
      </c>
      <c r="C46" s="3">
        <v>41836</v>
      </c>
      <c r="D46" s="1" t="s">
        <v>34</v>
      </c>
      <c r="E46" s="1" t="s">
        <v>30</v>
      </c>
      <c r="F46" s="41"/>
      <c r="G46" s="22">
        <v>161800</v>
      </c>
      <c r="H46" s="45">
        <v>41872</v>
      </c>
      <c r="I46" s="19">
        <v>161800</v>
      </c>
      <c r="J46" s="12">
        <f t="shared" si="0"/>
        <v>0</v>
      </c>
    </row>
    <row r="47" spans="1:10" x14ac:dyDescent="0.25">
      <c r="A47" s="1"/>
      <c r="B47" s="25"/>
      <c r="C47" s="3"/>
      <c r="D47" s="15" t="s">
        <v>34</v>
      </c>
      <c r="E47" s="15" t="s">
        <v>30</v>
      </c>
      <c r="F47" s="44" t="s">
        <v>20</v>
      </c>
      <c r="G47" s="49">
        <v>72000</v>
      </c>
      <c r="H47" s="45"/>
      <c r="I47" s="19"/>
      <c r="J47" s="12"/>
    </row>
    <row r="48" spans="1:10" x14ac:dyDescent="0.25">
      <c r="A48" s="1"/>
      <c r="B48" s="25"/>
      <c r="C48" s="3"/>
      <c r="D48" s="15" t="s">
        <v>34</v>
      </c>
      <c r="E48" s="15" t="s">
        <v>30</v>
      </c>
      <c r="F48" s="42" t="s">
        <v>9</v>
      </c>
      <c r="G48" s="49">
        <v>73800</v>
      </c>
      <c r="H48" s="45"/>
      <c r="I48" s="19"/>
      <c r="J48" s="12"/>
    </row>
    <row r="49" spans="1:10" x14ac:dyDescent="0.25">
      <c r="A49" s="1"/>
      <c r="B49" s="25"/>
      <c r="C49" s="3"/>
      <c r="D49" s="15" t="s">
        <v>34</v>
      </c>
      <c r="E49" s="15" t="s">
        <v>30</v>
      </c>
      <c r="F49" s="44" t="s">
        <v>19</v>
      </c>
      <c r="G49" s="49">
        <v>16000</v>
      </c>
      <c r="H49" s="45"/>
      <c r="I49" s="19"/>
      <c r="J49" s="12"/>
    </row>
    <row r="50" spans="1:10" x14ac:dyDescent="0.25">
      <c r="A50" s="1"/>
      <c r="B50" s="25">
        <v>24</v>
      </c>
      <c r="C50" s="3">
        <v>41844</v>
      </c>
      <c r="D50" s="1" t="s">
        <v>34</v>
      </c>
      <c r="E50" s="1" t="s">
        <v>30</v>
      </c>
      <c r="F50" s="41"/>
      <c r="G50" s="22">
        <v>110200</v>
      </c>
      <c r="H50" s="45">
        <v>41893</v>
      </c>
      <c r="I50" s="19">
        <v>110200</v>
      </c>
      <c r="J50" s="12">
        <f t="shared" ref="J50" si="1">G50-I50</f>
        <v>0</v>
      </c>
    </row>
    <row r="51" spans="1:10" x14ac:dyDescent="0.25">
      <c r="A51" s="1"/>
      <c r="B51" s="25"/>
      <c r="C51" s="3"/>
      <c r="D51" s="15" t="s">
        <v>34</v>
      </c>
      <c r="E51" s="15" t="s">
        <v>30</v>
      </c>
      <c r="F51" s="44" t="s">
        <v>20</v>
      </c>
      <c r="G51" s="49">
        <v>40000</v>
      </c>
      <c r="H51" s="45"/>
      <c r="I51" s="19"/>
      <c r="J51" s="12"/>
    </row>
    <row r="52" spans="1:10" x14ac:dyDescent="0.25">
      <c r="A52" s="1"/>
      <c r="B52" s="25"/>
      <c r="C52" s="3"/>
      <c r="D52" s="15" t="s">
        <v>34</v>
      </c>
      <c r="E52" s="15" t="s">
        <v>30</v>
      </c>
      <c r="F52" s="42" t="s">
        <v>9</v>
      </c>
      <c r="G52" s="49">
        <v>70200</v>
      </c>
      <c r="H52" s="45"/>
      <c r="I52" s="19"/>
      <c r="J52" s="12"/>
    </row>
    <row r="53" spans="1:10" x14ac:dyDescent="0.25">
      <c r="A53" s="1"/>
      <c r="B53" s="25">
        <v>53</v>
      </c>
      <c r="C53" s="3">
        <v>41838</v>
      </c>
      <c r="D53" s="1" t="s">
        <v>52</v>
      </c>
      <c r="E53" s="43" t="s">
        <v>24</v>
      </c>
      <c r="F53" s="41" t="s">
        <v>23</v>
      </c>
      <c r="G53" s="22">
        <v>80000</v>
      </c>
      <c r="H53" s="45">
        <v>41893</v>
      </c>
      <c r="I53" s="19">
        <v>80000</v>
      </c>
      <c r="J53" s="12">
        <f t="shared" si="0"/>
        <v>0</v>
      </c>
    </row>
    <row r="54" spans="1:10" x14ac:dyDescent="0.25">
      <c r="A54" s="1"/>
      <c r="B54" s="25">
        <v>55</v>
      </c>
      <c r="C54" s="3">
        <v>41834</v>
      </c>
      <c r="D54" s="1" t="s">
        <v>52</v>
      </c>
      <c r="E54" s="43" t="s">
        <v>24</v>
      </c>
      <c r="F54" s="41" t="s">
        <v>48</v>
      </c>
      <c r="G54" s="22">
        <v>11600</v>
      </c>
      <c r="H54" s="45">
        <v>41872</v>
      </c>
      <c r="I54" s="19">
        <v>11600</v>
      </c>
      <c r="J54" s="12">
        <f t="shared" si="0"/>
        <v>0</v>
      </c>
    </row>
    <row r="55" spans="1:10" x14ac:dyDescent="0.25">
      <c r="A55" s="1"/>
      <c r="B55" s="25">
        <v>54</v>
      </c>
      <c r="C55" s="3">
        <v>41830</v>
      </c>
      <c r="D55" s="1" t="s">
        <v>52</v>
      </c>
      <c r="E55" s="43" t="s">
        <v>24</v>
      </c>
      <c r="F55" s="41" t="s">
        <v>9</v>
      </c>
      <c r="G55" s="22">
        <v>73500</v>
      </c>
      <c r="H55" s="45">
        <v>41872</v>
      </c>
      <c r="I55" s="19">
        <v>73500</v>
      </c>
      <c r="J55" s="12">
        <f t="shared" si="0"/>
        <v>0</v>
      </c>
    </row>
    <row r="56" spans="1:10" x14ac:dyDescent="0.25">
      <c r="A56" s="1"/>
      <c r="B56" s="25">
        <v>56</v>
      </c>
      <c r="C56" s="3">
        <v>41841</v>
      </c>
      <c r="D56" s="1" t="s">
        <v>52</v>
      </c>
      <c r="E56" s="43" t="s">
        <v>24</v>
      </c>
      <c r="F56" s="41" t="s">
        <v>21</v>
      </c>
      <c r="G56" s="22">
        <v>58000</v>
      </c>
      <c r="H56" s="45">
        <v>41893</v>
      </c>
      <c r="I56" s="19">
        <v>58000</v>
      </c>
      <c r="J56" s="12">
        <f t="shared" si="0"/>
        <v>0</v>
      </c>
    </row>
    <row r="57" spans="1:10" x14ac:dyDescent="0.25">
      <c r="A57" s="1"/>
      <c r="B57" s="25">
        <v>52</v>
      </c>
      <c r="C57" s="3">
        <v>41836</v>
      </c>
      <c r="D57" s="1" t="s">
        <v>52</v>
      </c>
      <c r="E57" s="43" t="s">
        <v>24</v>
      </c>
      <c r="F57" s="41" t="s">
        <v>25</v>
      </c>
      <c r="G57" s="22">
        <v>11600</v>
      </c>
      <c r="H57" s="45">
        <v>41893</v>
      </c>
      <c r="I57" s="19">
        <v>11600</v>
      </c>
      <c r="J57" s="12">
        <f t="shared" si="0"/>
        <v>0</v>
      </c>
    </row>
    <row r="58" spans="1:10" x14ac:dyDescent="0.25">
      <c r="A58" s="1"/>
      <c r="B58" s="25">
        <v>57</v>
      </c>
      <c r="C58" s="3">
        <v>41851</v>
      </c>
      <c r="D58" s="1" t="s">
        <v>52</v>
      </c>
      <c r="E58" s="43" t="s">
        <v>24</v>
      </c>
      <c r="F58" s="41" t="s">
        <v>21</v>
      </c>
      <c r="G58" s="22">
        <v>23200</v>
      </c>
      <c r="H58" s="45">
        <v>41893</v>
      </c>
      <c r="I58" s="19">
        <v>23200</v>
      </c>
      <c r="J58" s="12">
        <f t="shared" si="0"/>
        <v>0</v>
      </c>
    </row>
    <row r="59" spans="1:10" x14ac:dyDescent="0.25">
      <c r="A59" s="1"/>
      <c r="B59" s="25">
        <v>58</v>
      </c>
      <c r="C59" s="3">
        <v>41843</v>
      </c>
      <c r="D59" s="1" t="s">
        <v>52</v>
      </c>
      <c r="E59" s="43" t="s">
        <v>24</v>
      </c>
      <c r="F59" s="41" t="s">
        <v>23</v>
      </c>
      <c r="G59" s="22">
        <v>29000</v>
      </c>
      <c r="H59" s="45">
        <v>41893</v>
      </c>
      <c r="I59" s="19">
        <v>29000</v>
      </c>
      <c r="J59" s="12">
        <f t="shared" si="0"/>
        <v>0</v>
      </c>
    </row>
    <row r="60" spans="1:10" x14ac:dyDescent="0.25">
      <c r="A60" s="1"/>
      <c r="B60" s="25">
        <v>59</v>
      </c>
      <c r="C60" s="3">
        <v>41851</v>
      </c>
      <c r="D60" s="1" t="s">
        <v>52</v>
      </c>
      <c r="E60" s="43" t="s">
        <v>24</v>
      </c>
      <c r="F60" s="41" t="s">
        <v>50</v>
      </c>
      <c r="G60" s="22">
        <v>13500</v>
      </c>
      <c r="H60" s="45">
        <v>41893</v>
      </c>
      <c r="I60" s="19">
        <v>13500</v>
      </c>
      <c r="J60" s="12">
        <f t="shared" si="0"/>
        <v>0</v>
      </c>
    </row>
    <row r="61" spans="1:10" x14ac:dyDescent="0.25">
      <c r="A61" s="1"/>
      <c r="B61" s="25">
        <v>101</v>
      </c>
      <c r="C61" s="3">
        <v>41822</v>
      </c>
      <c r="D61" s="18" t="s">
        <v>35</v>
      </c>
      <c r="E61" s="18" t="s">
        <v>24</v>
      </c>
      <c r="F61" s="41" t="s">
        <v>50</v>
      </c>
      <c r="G61" s="22">
        <v>12800</v>
      </c>
      <c r="H61" s="45">
        <v>41872</v>
      </c>
      <c r="I61" s="19">
        <v>12800</v>
      </c>
      <c r="J61" s="12">
        <f t="shared" si="0"/>
        <v>0</v>
      </c>
    </row>
    <row r="62" spans="1:10" x14ac:dyDescent="0.25">
      <c r="A62" s="1"/>
      <c r="B62" s="25">
        <v>105</v>
      </c>
      <c r="C62" s="3">
        <v>41832</v>
      </c>
      <c r="D62" s="18" t="s">
        <v>35</v>
      </c>
      <c r="E62" s="18" t="s">
        <v>55</v>
      </c>
      <c r="F62" s="41" t="s">
        <v>21</v>
      </c>
      <c r="G62" s="22">
        <v>7500</v>
      </c>
      <c r="H62" s="45">
        <v>41872</v>
      </c>
      <c r="I62" s="19">
        <v>7500</v>
      </c>
      <c r="J62" s="12">
        <f t="shared" si="0"/>
        <v>0</v>
      </c>
    </row>
    <row r="63" spans="1:10" x14ac:dyDescent="0.25">
      <c r="A63" s="1"/>
      <c r="B63" s="25">
        <v>102</v>
      </c>
      <c r="C63" s="3">
        <v>41831</v>
      </c>
      <c r="D63" s="18" t="s">
        <v>35</v>
      </c>
      <c r="E63" s="18" t="s">
        <v>24</v>
      </c>
      <c r="F63" s="41" t="s">
        <v>25</v>
      </c>
      <c r="G63" s="22">
        <v>35200</v>
      </c>
      <c r="H63" s="45">
        <v>41872</v>
      </c>
      <c r="I63" s="19">
        <v>35200</v>
      </c>
      <c r="J63" s="12">
        <f t="shared" si="0"/>
        <v>0</v>
      </c>
    </row>
    <row r="64" spans="1:10" x14ac:dyDescent="0.25">
      <c r="A64" s="1"/>
      <c r="B64" s="25">
        <v>104</v>
      </c>
      <c r="C64" s="3">
        <v>41831</v>
      </c>
      <c r="D64" s="18" t="s">
        <v>35</v>
      </c>
      <c r="E64" s="18" t="s">
        <v>24</v>
      </c>
      <c r="F64" s="41" t="s">
        <v>37</v>
      </c>
      <c r="G64" s="22">
        <v>3200</v>
      </c>
      <c r="H64" s="45">
        <v>41872</v>
      </c>
      <c r="I64" s="19">
        <v>3200</v>
      </c>
      <c r="J64" s="12">
        <f t="shared" si="0"/>
        <v>0</v>
      </c>
    </row>
    <row r="65" spans="1:10" x14ac:dyDescent="0.25">
      <c r="A65" s="1"/>
      <c r="B65" s="25">
        <v>103</v>
      </c>
      <c r="C65" s="3">
        <v>41828</v>
      </c>
      <c r="D65" s="18" t="s">
        <v>35</v>
      </c>
      <c r="E65" s="18" t="s">
        <v>24</v>
      </c>
      <c r="F65" s="41" t="s">
        <v>21</v>
      </c>
      <c r="G65" s="22">
        <v>6400</v>
      </c>
      <c r="H65" s="45">
        <v>41872</v>
      </c>
      <c r="I65" s="19">
        <v>6400</v>
      </c>
      <c r="J65" s="12">
        <f t="shared" si="0"/>
        <v>0</v>
      </c>
    </row>
    <row r="66" spans="1:10" x14ac:dyDescent="0.25">
      <c r="A66" s="1"/>
      <c r="B66" s="25">
        <v>107</v>
      </c>
      <c r="C66" s="3">
        <v>41831</v>
      </c>
      <c r="D66" s="18" t="s">
        <v>35</v>
      </c>
      <c r="E66" s="41" t="s">
        <v>55</v>
      </c>
      <c r="F66" s="41" t="s">
        <v>37</v>
      </c>
      <c r="G66" s="22">
        <v>40500</v>
      </c>
      <c r="H66" s="45">
        <v>41872</v>
      </c>
      <c r="I66" s="19">
        <v>40500</v>
      </c>
      <c r="J66" s="12">
        <f t="shared" si="0"/>
        <v>0</v>
      </c>
    </row>
    <row r="67" spans="1:10" x14ac:dyDescent="0.25">
      <c r="A67" s="1"/>
      <c r="B67" s="25">
        <v>106</v>
      </c>
      <c r="C67" s="3">
        <v>41831</v>
      </c>
      <c r="D67" s="18" t="s">
        <v>35</v>
      </c>
      <c r="E67" s="18" t="s">
        <v>45</v>
      </c>
      <c r="F67" s="41" t="s">
        <v>25</v>
      </c>
      <c r="G67" s="22">
        <v>76500</v>
      </c>
      <c r="H67" s="45">
        <v>41872</v>
      </c>
      <c r="I67" s="19">
        <v>76500</v>
      </c>
      <c r="J67" s="12">
        <f t="shared" si="0"/>
        <v>0</v>
      </c>
    </row>
    <row r="68" spans="1:10" x14ac:dyDescent="0.25">
      <c r="A68" s="1"/>
      <c r="B68" s="25">
        <v>112</v>
      </c>
      <c r="C68" s="3">
        <v>41851</v>
      </c>
      <c r="D68" s="18" t="s">
        <v>35</v>
      </c>
      <c r="E68" s="18" t="s">
        <v>45</v>
      </c>
      <c r="F68" s="41" t="s">
        <v>25</v>
      </c>
      <c r="G68" s="22">
        <v>109150</v>
      </c>
      <c r="H68" s="45">
        <v>41884</v>
      </c>
      <c r="I68" s="19">
        <f>50000+59150</f>
        <v>109150</v>
      </c>
      <c r="J68" s="12">
        <f t="shared" si="0"/>
        <v>0</v>
      </c>
    </row>
    <row r="69" spans="1:10" x14ac:dyDescent="0.25">
      <c r="A69" s="1"/>
      <c r="B69" s="25">
        <v>113</v>
      </c>
      <c r="C69" s="3">
        <v>41851</v>
      </c>
      <c r="D69" s="18" t="s">
        <v>35</v>
      </c>
      <c r="E69" s="18" t="s">
        <v>45</v>
      </c>
      <c r="F69" s="41" t="s">
        <v>21</v>
      </c>
      <c r="G69" s="22">
        <v>70600</v>
      </c>
      <c r="H69" s="45">
        <v>41893</v>
      </c>
      <c r="I69" s="19">
        <v>70600</v>
      </c>
      <c r="J69" s="12">
        <f t="shared" si="0"/>
        <v>0</v>
      </c>
    </row>
    <row r="70" spans="1:10" x14ac:dyDescent="0.25">
      <c r="A70" s="1"/>
      <c r="B70" s="25">
        <v>114</v>
      </c>
      <c r="C70" s="3">
        <v>41839</v>
      </c>
      <c r="D70" s="18" t="s">
        <v>35</v>
      </c>
      <c r="E70" s="18" t="s">
        <v>67</v>
      </c>
      <c r="F70" s="37" t="s">
        <v>20</v>
      </c>
      <c r="G70" s="22">
        <v>3150</v>
      </c>
      <c r="H70" s="45">
        <v>41872</v>
      </c>
      <c r="I70" s="19">
        <v>3150</v>
      </c>
      <c r="J70" s="12">
        <f t="shared" si="0"/>
        <v>0</v>
      </c>
    </row>
    <row r="71" spans="1:10" x14ac:dyDescent="0.25">
      <c r="A71" s="1"/>
      <c r="B71" s="25">
        <v>111</v>
      </c>
      <c r="C71" s="3">
        <v>41851</v>
      </c>
      <c r="D71" s="18" t="s">
        <v>35</v>
      </c>
      <c r="E71" s="18" t="s">
        <v>24</v>
      </c>
      <c r="F71" s="41" t="s">
        <v>25</v>
      </c>
      <c r="G71" s="22">
        <v>89600</v>
      </c>
      <c r="H71" s="45">
        <v>41872</v>
      </c>
      <c r="I71" s="19">
        <v>89600</v>
      </c>
      <c r="J71" s="12">
        <f t="shared" si="0"/>
        <v>0</v>
      </c>
    </row>
    <row r="72" spans="1:10" x14ac:dyDescent="0.25">
      <c r="A72" s="1"/>
      <c r="B72" s="25">
        <v>1125</v>
      </c>
      <c r="C72" s="3">
        <v>41838</v>
      </c>
      <c r="D72" s="1" t="s">
        <v>27</v>
      </c>
      <c r="E72" s="1" t="s">
        <v>60</v>
      </c>
      <c r="F72" s="41" t="s">
        <v>23</v>
      </c>
      <c r="G72" s="22">
        <v>9000</v>
      </c>
      <c r="H72" s="45">
        <v>41893</v>
      </c>
      <c r="I72" s="19">
        <v>9000</v>
      </c>
      <c r="J72" s="12">
        <f t="shared" si="0"/>
        <v>0</v>
      </c>
    </row>
    <row r="73" spans="1:10" x14ac:dyDescent="0.25">
      <c r="A73" s="1"/>
      <c r="B73" s="25">
        <v>1113</v>
      </c>
      <c r="C73" s="3">
        <v>41838</v>
      </c>
      <c r="D73" s="1" t="s">
        <v>27</v>
      </c>
      <c r="E73" s="1" t="s">
        <v>60</v>
      </c>
      <c r="F73" s="41" t="s">
        <v>48</v>
      </c>
      <c r="G73" s="22">
        <v>12000</v>
      </c>
      <c r="H73" s="45">
        <v>41872</v>
      </c>
      <c r="I73" s="19">
        <v>12000</v>
      </c>
      <c r="J73" s="12">
        <f t="shared" si="0"/>
        <v>0</v>
      </c>
    </row>
    <row r="74" spans="1:10" x14ac:dyDescent="0.25">
      <c r="A74" s="1"/>
      <c r="B74" s="25">
        <v>1112</v>
      </c>
      <c r="C74" s="3">
        <v>41838</v>
      </c>
      <c r="D74" s="1" t="s">
        <v>27</v>
      </c>
      <c r="E74" s="1" t="s">
        <v>60</v>
      </c>
      <c r="F74" s="41" t="s">
        <v>48</v>
      </c>
      <c r="G74" s="22">
        <v>24000</v>
      </c>
      <c r="H74" s="45">
        <v>41872</v>
      </c>
      <c r="I74" s="19">
        <v>24000</v>
      </c>
      <c r="J74" s="12">
        <f t="shared" si="0"/>
        <v>0</v>
      </c>
    </row>
    <row r="75" spans="1:10" x14ac:dyDescent="0.25">
      <c r="A75" s="1"/>
      <c r="B75" s="25">
        <v>1134</v>
      </c>
      <c r="C75" s="3">
        <v>41841</v>
      </c>
      <c r="D75" s="1" t="s">
        <v>27</v>
      </c>
      <c r="E75" s="1" t="s">
        <v>60</v>
      </c>
      <c r="F75" s="41" t="s">
        <v>21</v>
      </c>
      <c r="G75" s="22">
        <v>9000</v>
      </c>
      <c r="H75" s="45">
        <v>41893</v>
      </c>
      <c r="I75" s="19">
        <v>9000</v>
      </c>
      <c r="J75" s="12">
        <f t="shared" si="0"/>
        <v>0</v>
      </c>
    </row>
    <row r="76" spans="1:10" x14ac:dyDescent="0.25">
      <c r="A76" s="1"/>
      <c r="B76" s="25">
        <v>1181</v>
      </c>
      <c r="C76" s="3">
        <v>41848</v>
      </c>
      <c r="D76" s="1" t="s">
        <v>27</v>
      </c>
      <c r="E76" s="1" t="s">
        <v>60</v>
      </c>
      <c r="F76" s="41" t="s">
        <v>21</v>
      </c>
      <c r="G76" s="22">
        <v>12000</v>
      </c>
      <c r="H76" s="45">
        <v>41893</v>
      </c>
      <c r="I76" s="19">
        <v>12000</v>
      </c>
      <c r="J76" s="12">
        <f t="shared" si="0"/>
        <v>0</v>
      </c>
    </row>
    <row r="77" spans="1:10" x14ac:dyDescent="0.25">
      <c r="A77" s="1"/>
      <c r="B77" s="25">
        <v>1182</v>
      </c>
      <c r="C77" s="3">
        <v>41848</v>
      </c>
      <c r="D77" s="1" t="s">
        <v>27</v>
      </c>
      <c r="E77" s="1" t="s">
        <v>60</v>
      </c>
      <c r="F77" s="41" t="s">
        <v>23</v>
      </c>
      <c r="G77" s="22">
        <v>24000</v>
      </c>
      <c r="H77" s="45">
        <v>41893</v>
      </c>
      <c r="I77" s="19">
        <v>24000</v>
      </c>
      <c r="J77" s="12">
        <f t="shared" si="0"/>
        <v>0</v>
      </c>
    </row>
    <row r="78" spans="1:10" x14ac:dyDescent="0.25">
      <c r="A78" s="1"/>
      <c r="B78" s="25">
        <v>61</v>
      </c>
      <c r="C78" s="3">
        <v>41835</v>
      </c>
      <c r="D78" s="4" t="s">
        <v>29</v>
      </c>
      <c r="E78" s="43" t="s">
        <v>30</v>
      </c>
      <c r="F78" s="5"/>
      <c r="G78" s="22">
        <v>147470</v>
      </c>
      <c r="H78" s="45">
        <v>41872</v>
      </c>
      <c r="I78" s="19">
        <v>147470</v>
      </c>
      <c r="J78" s="12">
        <f t="shared" si="0"/>
        <v>0</v>
      </c>
    </row>
    <row r="79" spans="1:10" x14ac:dyDescent="0.25">
      <c r="A79" s="1"/>
      <c r="B79" s="25"/>
      <c r="C79" s="3"/>
      <c r="D79" s="14" t="s">
        <v>29</v>
      </c>
      <c r="E79" s="47" t="s">
        <v>62</v>
      </c>
      <c r="F79" s="44" t="s">
        <v>9</v>
      </c>
      <c r="G79" s="16">
        <f>16101.69*1.18+0.01</f>
        <v>19000.004199999999</v>
      </c>
      <c r="H79" s="45"/>
      <c r="I79" s="19"/>
      <c r="J79" s="12"/>
    </row>
    <row r="80" spans="1:10" x14ac:dyDescent="0.25">
      <c r="A80" s="1"/>
      <c r="B80" s="25"/>
      <c r="C80" s="3"/>
      <c r="D80" s="14" t="s">
        <v>29</v>
      </c>
      <c r="E80" s="47" t="s">
        <v>40</v>
      </c>
      <c r="F80" s="42" t="s">
        <v>21</v>
      </c>
      <c r="G80" s="16">
        <f>10847.45*1.18+0.01</f>
        <v>12800.001</v>
      </c>
      <c r="H80" s="45"/>
      <c r="I80" s="19"/>
      <c r="J80" s="12"/>
    </row>
    <row r="81" spans="1:10" x14ac:dyDescent="0.25">
      <c r="A81" s="1"/>
      <c r="B81" s="25"/>
      <c r="C81" s="3"/>
      <c r="D81" s="14" t="s">
        <v>29</v>
      </c>
      <c r="E81" s="47" t="s">
        <v>40</v>
      </c>
      <c r="F81" s="42" t="s">
        <v>23</v>
      </c>
      <c r="G81" s="16">
        <f>5932.2*1.18</f>
        <v>6999.9959999999992</v>
      </c>
      <c r="H81" s="45"/>
      <c r="I81" s="19"/>
      <c r="J81" s="12"/>
    </row>
    <row r="82" spans="1:10" x14ac:dyDescent="0.25">
      <c r="A82" s="1"/>
      <c r="B82" s="25"/>
      <c r="C82" s="3"/>
      <c r="D82" s="14" t="s">
        <v>29</v>
      </c>
      <c r="E82" s="47" t="s">
        <v>65</v>
      </c>
      <c r="F82" s="42" t="s">
        <v>9</v>
      </c>
      <c r="G82" s="16">
        <f>16949.16*1.18</f>
        <v>20000.0088</v>
      </c>
      <c r="H82" s="45"/>
      <c r="I82" s="19"/>
      <c r="J82" s="12"/>
    </row>
    <row r="83" spans="1:10" x14ac:dyDescent="0.25">
      <c r="A83" s="1"/>
      <c r="B83" s="25"/>
      <c r="C83" s="3"/>
      <c r="D83" s="14" t="s">
        <v>29</v>
      </c>
      <c r="E83" s="47" t="s">
        <v>40</v>
      </c>
      <c r="F83" s="44" t="s">
        <v>19</v>
      </c>
      <c r="G83" s="16">
        <f>2711.86*1.18</f>
        <v>3199.9947999999999</v>
      </c>
      <c r="H83" s="45"/>
      <c r="I83" s="19"/>
      <c r="J83" s="12"/>
    </row>
    <row r="84" spans="1:10" x14ac:dyDescent="0.25">
      <c r="A84" s="1"/>
      <c r="B84" s="25"/>
      <c r="C84" s="3"/>
      <c r="D84" s="14" t="s">
        <v>29</v>
      </c>
      <c r="E84" s="47" t="s">
        <v>40</v>
      </c>
      <c r="F84" s="42" t="s">
        <v>48</v>
      </c>
      <c r="G84" s="16">
        <f>2711.86*1.18</f>
        <v>3199.9947999999999</v>
      </c>
      <c r="H84" s="45"/>
      <c r="I84" s="19"/>
      <c r="J84" s="12"/>
    </row>
    <row r="85" spans="1:10" x14ac:dyDescent="0.25">
      <c r="A85" s="1"/>
      <c r="B85" s="25"/>
      <c r="C85" s="3"/>
      <c r="D85" s="14" t="s">
        <v>29</v>
      </c>
      <c r="E85" s="47" t="s">
        <v>40</v>
      </c>
      <c r="F85" s="42" t="s">
        <v>23</v>
      </c>
      <c r="G85" s="16">
        <f>6779.66*1.18</f>
        <v>7999.9987999999994</v>
      </c>
      <c r="H85" s="45"/>
      <c r="I85" s="19"/>
      <c r="J85" s="12"/>
    </row>
    <row r="86" spans="1:10" x14ac:dyDescent="0.25">
      <c r="A86" s="1"/>
      <c r="B86" s="25"/>
      <c r="C86" s="3"/>
      <c r="D86" s="14" t="s">
        <v>29</v>
      </c>
      <c r="E86" s="39" t="s">
        <v>24</v>
      </c>
      <c r="F86" s="42" t="s">
        <v>25</v>
      </c>
      <c r="G86" s="16">
        <f>6144.07*1.18</f>
        <v>7250.0025999999989</v>
      </c>
      <c r="H86" s="45"/>
      <c r="I86" s="19"/>
      <c r="J86" s="12"/>
    </row>
    <row r="87" spans="1:10" x14ac:dyDescent="0.25">
      <c r="A87" s="1"/>
      <c r="B87" s="25"/>
      <c r="C87" s="3"/>
      <c r="D87" s="14" t="s">
        <v>29</v>
      </c>
      <c r="E87" s="39" t="s">
        <v>28</v>
      </c>
      <c r="F87" s="42" t="s">
        <v>9</v>
      </c>
      <c r="G87" s="16">
        <f>10237.29*1.18</f>
        <v>12080.002200000001</v>
      </c>
      <c r="H87" s="45"/>
      <c r="I87" s="19"/>
      <c r="J87" s="12"/>
    </row>
    <row r="88" spans="1:10" x14ac:dyDescent="0.25">
      <c r="A88" s="1"/>
      <c r="B88" s="25"/>
      <c r="C88" s="3"/>
      <c r="D88" s="14" t="s">
        <v>29</v>
      </c>
      <c r="E88" s="39" t="s">
        <v>28</v>
      </c>
      <c r="F88" s="42" t="s">
        <v>50</v>
      </c>
      <c r="G88" s="16">
        <f>30711.86*1.18</f>
        <v>36239.9948</v>
      </c>
      <c r="H88" s="45"/>
      <c r="I88" s="19"/>
      <c r="J88" s="12"/>
    </row>
    <row r="89" spans="1:10" x14ac:dyDescent="0.25">
      <c r="A89" s="1"/>
      <c r="B89" s="25"/>
      <c r="C89" s="3"/>
      <c r="D89" s="14" t="s">
        <v>29</v>
      </c>
      <c r="E89" s="50" t="s">
        <v>24</v>
      </c>
      <c r="F89" s="42" t="s">
        <v>50</v>
      </c>
      <c r="G89" s="16">
        <f>15847.46*1.18</f>
        <v>18700.002799999998</v>
      </c>
      <c r="H89" s="45"/>
      <c r="I89" s="19"/>
      <c r="J89" s="12"/>
    </row>
    <row r="90" spans="1:10" x14ac:dyDescent="0.25">
      <c r="A90" s="1"/>
      <c r="B90" s="25">
        <v>67</v>
      </c>
      <c r="C90" s="3">
        <v>41851</v>
      </c>
      <c r="D90" s="4" t="s">
        <v>29</v>
      </c>
      <c r="E90" s="43" t="s">
        <v>30</v>
      </c>
      <c r="F90" s="46"/>
      <c r="G90" s="22">
        <v>177080</v>
      </c>
      <c r="H90" s="45">
        <v>41893</v>
      </c>
      <c r="I90" s="19">
        <v>177080</v>
      </c>
      <c r="J90" s="12">
        <f t="shared" si="0"/>
        <v>0</v>
      </c>
    </row>
    <row r="91" spans="1:10" x14ac:dyDescent="0.25">
      <c r="A91" s="1"/>
      <c r="B91" s="25"/>
      <c r="C91" s="3"/>
      <c r="D91" s="14" t="s">
        <v>29</v>
      </c>
      <c r="E91" s="50"/>
      <c r="F91" s="42" t="s">
        <v>50</v>
      </c>
      <c r="G91" s="16">
        <f>5423.73*1.18</f>
        <v>6400.0013999999992</v>
      </c>
      <c r="H91" s="45"/>
      <c r="I91" s="19"/>
      <c r="J91" s="12"/>
    </row>
    <row r="92" spans="1:10" x14ac:dyDescent="0.25">
      <c r="A92" s="1"/>
      <c r="B92" s="25"/>
      <c r="C92" s="3"/>
      <c r="D92" s="14" t="s">
        <v>29</v>
      </c>
      <c r="E92" s="50"/>
      <c r="F92" s="42" t="s">
        <v>48</v>
      </c>
      <c r="G92" s="16">
        <f>2711.87*1.18</f>
        <v>3200.0065999999997</v>
      </c>
      <c r="H92" s="45"/>
      <c r="I92" s="19"/>
      <c r="J92" s="12"/>
    </row>
    <row r="93" spans="1:10" x14ac:dyDescent="0.25">
      <c r="A93" s="1"/>
      <c r="B93" s="25"/>
      <c r="C93" s="3"/>
      <c r="D93" s="14" t="s">
        <v>29</v>
      </c>
      <c r="E93" s="50"/>
      <c r="F93" s="44" t="s">
        <v>19</v>
      </c>
      <c r="G93" s="16">
        <f>2711.87*1.18</f>
        <v>3200.0065999999997</v>
      </c>
      <c r="H93" s="45"/>
      <c r="I93" s="19"/>
      <c r="J93" s="12"/>
    </row>
    <row r="94" spans="1:10" x14ac:dyDescent="0.25">
      <c r="A94" s="1"/>
      <c r="B94" s="25"/>
      <c r="C94" s="3"/>
      <c r="D94" s="14" t="s">
        <v>29</v>
      </c>
      <c r="E94" s="50"/>
      <c r="F94" s="44" t="s">
        <v>20</v>
      </c>
      <c r="G94" s="16">
        <f>4067.8*1.18</f>
        <v>4800.0039999999999</v>
      </c>
      <c r="H94" s="45"/>
      <c r="I94" s="19"/>
      <c r="J94" s="12"/>
    </row>
    <row r="95" spans="1:10" x14ac:dyDescent="0.25">
      <c r="A95" s="1"/>
      <c r="B95" s="25"/>
      <c r="C95" s="3"/>
      <c r="D95" s="14" t="s">
        <v>29</v>
      </c>
      <c r="E95" s="50"/>
      <c r="F95" s="44" t="s">
        <v>20</v>
      </c>
      <c r="G95" s="16">
        <f>2711.87*1.18</f>
        <v>3200.0065999999997</v>
      </c>
      <c r="H95" s="45"/>
      <c r="I95" s="19"/>
      <c r="J95" s="12"/>
    </row>
    <row r="96" spans="1:10" x14ac:dyDescent="0.25">
      <c r="A96" s="1"/>
      <c r="B96" s="25"/>
      <c r="C96" s="3"/>
      <c r="D96" s="14" t="s">
        <v>29</v>
      </c>
      <c r="E96" s="50"/>
      <c r="F96" s="42" t="s">
        <v>48</v>
      </c>
      <c r="G96" s="16">
        <f>2711.87*1.18</f>
        <v>3200.0065999999997</v>
      </c>
      <c r="H96" s="45"/>
      <c r="I96" s="19"/>
      <c r="J96" s="12"/>
    </row>
    <row r="97" spans="1:10" x14ac:dyDescent="0.25">
      <c r="A97" s="1"/>
      <c r="B97" s="25"/>
      <c r="C97" s="3"/>
      <c r="D97" s="14" t="s">
        <v>29</v>
      </c>
      <c r="E97" s="50"/>
      <c r="F97" s="42" t="s">
        <v>9</v>
      </c>
      <c r="G97" s="16">
        <f>31355.93*1.18</f>
        <v>36999.9974</v>
      </c>
      <c r="H97" s="45"/>
      <c r="I97" s="19"/>
      <c r="J97" s="12"/>
    </row>
    <row r="98" spans="1:10" x14ac:dyDescent="0.25">
      <c r="A98" s="1"/>
      <c r="B98" s="25"/>
      <c r="C98" s="3"/>
      <c r="D98" s="14" t="s">
        <v>29</v>
      </c>
      <c r="E98" s="50"/>
      <c r="F98" s="42" t="s">
        <v>23</v>
      </c>
      <c r="G98" s="16">
        <f>5423.73*1.18</f>
        <v>6400.0013999999992</v>
      </c>
      <c r="H98" s="45"/>
      <c r="I98" s="19"/>
      <c r="J98" s="12"/>
    </row>
    <row r="99" spans="1:10" x14ac:dyDescent="0.25">
      <c r="A99" s="1"/>
      <c r="B99" s="25"/>
      <c r="C99" s="3"/>
      <c r="D99" s="14" t="s">
        <v>29</v>
      </c>
      <c r="E99" s="50"/>
      <c r="F99" s="42" t="s">
        <v>23</v>
      </c>
      <c r="G99" s="16">
        <f>5423.73*1.18</f>
        <v>6400.0013999999992</v>
      </c>
      <c r="H99" s="45"/>
      <c r="I99" s="19"/>
      <c r="J99" s="12"/>
    </row>
    <row r="100" spans="1:10" x14ac:dyDescent="0.25">
      <c r="A100" s="1"/>
      <c r="B100" s="25"/>
      <c r="C100" s="3"/>
      <c r="D100" s="14" t="s">
        <v>29</v>
      </c>
      <c r="E100" s="50"/>
      <c r="F100" s="42" t="s">
        <v>25</v>
      </c>
      <c r="G100" s="16">
        <f>5423.73*1.18</f>
        <v>6400.0013999999992</v>
      </c>
      <c r="H100" s="45"/>
      <c r="I100" s="19"/>
      <c r="J100" s="12"/>
    </row>
    <row r="101" spans="1:10" x14ac:dyDescent="0.25">
      <c r="A101" s="1"/>
      <c r="B101" s="25"/>
      <c r="C101" s="3"/>
      <c r="D101" s="14" t="s">
        <v>29</v>
      </c>
      <c r="E101" s="50"/>
      <c r="F101" s="42" t="s">
        <v>9</v>
      </c>
      <c r="G101" s="16">
        <f>27118.64*1.18</f>
        <v>31999.995199999998</v>
      </c>
      <c r="H101" s="45"/>
      <c r="I101" s="19"/>
      <c r="J101" s="12"/>
    </row>
    <row r="102" spans="1:10" x14ac:dyDescent="0.25">
      <c r="A102" s="1"/>
      <c r="B102" s="25"/>
      <c r="C102" s="3"/>
      <c r="D102" s="14" t="s">
        <v>29</v>
      </c>
      <c r="E102" s="50"/>
      <c r="F102" s="42" t="s">
        <v>9</v>
      </c>
      <c r="G102" s="16">
        <f>7457.63*1.18</f>
        <v>8800.0033999999996</v>
      </c>
      <c r="H102" s="45"/>
      <c r="I102" s="19"/>
      <c r="J102" s="12"/>
    </row>
    <row r="103" spans="1:10" x14ac:dyDescent="0.25">
      <c r="A103" s="1"/>
      <c r="B103" s="25"/>
      <c r="C103" s="3"/>
      <c r="D103" s="14" t="s">
        <v>29</v>
      </c>
      <c r="E103" s="50"/>
      <c r="F103" s="42" t="s">
        <v>50</v>
      </c>
      <c r="G103" s="16">
        <f>11525.42*1.18</f>
        <v>13599.9956</v>
      </c>
      <c r="H103" s="45"/>
      <c r="I103" s="19"/>
      <c r="J103" s="12"/>
    </row>
    <row r="104" spans="1:10" x14ac:dyDescent="0.25">
      <c r="A104" s="1"/>
      <c r="B104" s="25"/>
      <c r="C104" s="3"/>
      <c r="D104" s="14" t="s">
        <v>29</v>
      </c>
      <c r="E104" s="50"/>
      <c r="F104" s="42" t="s">
        <v>9</v>
      </c>
      <c r="G104" s="16">
        <f>9600*1.18</f>
        <v>11328</v>
      </c>
      <c r="H104" s="45"/>
      <c r="I104" s="19"/>
      <c r="J104" s="12"/>
    </row>
    <row r="105" spans="1:10" x14ac:dyDescent="0.25">
      <c r="A105" s="1"/>
      <c r="B105" s="25"/>
      <c r="C105" s="3"/>
      <c r="D105" s="14" t="s">
        <v>29</v>
      </c>
      <c r="E105" s="50"/>
      <c r="F105" s="42" t="s">
        <v>23</v>
      </c>
      <c r="G105" s="16">
        <f>7200*1.18</f>
        <v>8496</v>
      </c>
      <c r="H105" s="45"/>
      <c r="I105" s="19"/>
      <c r="J105" s="12"/>
    </row>
    <row r="106" spans="1:10" x14ac:dyDescent="0.25">
      <c r="A106" s="1"/>
      <c r="B106" s="25"/>
      <c r="C106" s="3"/>
      <c r="D106" s="14" t="s">
        <v>29</v>
      </c>
      <c r="E106" s="50"/>
      <c r="F106" s="42" t="s">
        <v>9</v>
      </c>
      <c r="G106" s="16">
        <f>9600*1.18</f>
        <v>11328</v>
      </c>
      <c r="H106" s="45"/>
      <c r="I106" s="19"/>
      <c r="J106" s="12"/>
    </row>
    <row r="107" spans="1:10" x14ac:dyDescent="0.25">
      <c r="A107" s="1"/>
      <c r="B107" s="25"/>
      <c r="C107" s="3"/>
      <c r="D107" s="14" t="s">
        <v>29</v>
      </c>
      <c r="E107" s="50"/>
      <c r="F107" s="44" t="s">
        <v>19</v>
      </c>
      <c r="G107" s="16">
        <f>2400*1.18</f>
        <v>2832</v>
      </c>
      <c r="H107" s="45"/>
      <c r="I107" s="19"/>
      <c r="J107" s="12"/>
    </row>
    <row r="108" spans="1:10" x14ac:dyDescent="0.25">
      <c r="A108" s="1"/>
      <c r="B108" s="25"/>
      <c r="C108" s="3"/>
      <c r="D108" s="14" t="s">
        <v>29</v>
      </c>
      <c r="E108" s="50"/>
      <c r="F108" s="42" t="s">
        <v>9</v>
      </c>
      <c r="G108" s="16">
        <f>7200*1.18</f>
        <v>8496</v>
      </c>
      <c r="H108" s="45"/>
      <c r="I108" s="19"/>
      <c r="J108" s="12"/>
    </row>
    <row r="109" spans="1:10" x14ac:dyDescent="0.25">
      <c r="A109" s="1"/>
      <c r="B109" s="25">
        <v>218</v>
      </c>
      <c r="C109" s="3">
        <v>41832</v>
      </c>
      <c r="D109" s="1" t="s">
        <v>7</v>
      </c>
      <c r="E109" s="1" t="s">
        <v>54</v>
      </c>
      <c r="F109" s="48" t="s">
        <v>9</v>
      </c>
      <c r="G109" s="22">
        <v>339500</v>
      </c>
      <c r="H109" s="45">
        <v>41893</v>
      </c>
      <c r="I109" s="19">
        <v>339500</v>
      </c>
      <c r="J109" s="12">
        <f t="shared" si="0"/>
        <v>0</v>
      </c>
    </row>
    <row r="110" spans="1:10" x14ac:dyDescent="0.25">
      <c r="A110" s="1"/>
      <c r="B110" s="25">
        <v>248</v>
      </c>
      <c r="C110" s="3">
        <v>41851</v>
      </c>
      <c r="D110" s="1" t="s">
        <v>7</v>
      </c>
      <c r="E110" s="1" t="s">
        <v>54</v>
      </c>
      <c r="F110" s="48" t="s">
        <v>9</v>
      </c>
      <c r="G110" s="22">
        <v>711600</v>
      </c>
      <c r="H110" s="45" t="s">
        <v>110</v>
      </c>
      <c r="I110" s="19">
        <f>300000+311600+100000</f>
        <v>711600</v>
      </c>
      <c r="J110" s="12">
        <f t="shared" si="0"/>
        <v>0</v>
      </c>
    </row>
    <row r="111" spans="1:10" x14ac:dyDescent="0.25">
      <c r="A111" s="1"/>
      <c r="B111" s="25">
        <v>64</v>
      </c>
      <c r="C111" s="3">
        <v>41850</v>
      </c>
      <c r="D111" s="1" t="s">
        <v>32</v>
      </c>
      <c r="E111" s="1" t="s">
        <v>33</v>
      </c>
      <c r="F111" s="41" t="s">
        <v>9</v>
      </c>
      <c r="G111" s="22">
        <v>24000</v>
      </c>
      <c r="H111" s="45">
        <v>41872</v>
      </c>
      <c r="I111" s="19">
        <v>24000</v>
      </c>
      <c r="J111" s="12">
        <f t="shared" si="0"/>
        <v>0</v>
      </c>
    </row>
    <row r="112" spans="1:10" x14ac:dyDescent="0.25">
      <c r="A112" s="1"/>
      <c r="B112" s="25">
        <v>72</v>
      </c>
      <c r="C112" s="3">
        <v>41851</v>
      </c>
      <c r="D112" s="1" t="s">
        <v>32</v>
      </c>
      <c r="E112" s="1" t="s">
        <v>33</v>
      </c>
      <c r="F112" s="41" t="s">
        <v>9</v>
      </c>
      <c r="G112" s="22">
        <v>24000</v>
      </c>
      <c r="H112" s="45">
        <v>41893</v>
      </c>
      <c r="I112" s="19">
        <v>24000</v>
      </c>
      <c r="J112" s="12">
        <f t="shared" si="0"/>
        <v>0</v>
      </c>
    </row>
    <row r="113" spans="1:10" x14ac:dyDescent="0.25">
      <c r="A113" s="1"/>
      <c r="B113" s="25" t="s">
        <v>66</v>
      </c>
      <c r="C113" s="3">
        <v>41849</v>
      </c>
      <c r="D113" s="1" t="s">
        <v>32</v>
      </c>
      <c r="E113" s="1" t="s">
        <v>33</v>
      </c>
      <c r="F113" s="41" t="s">
        <v>48</v>
      </c>
      <c r="G113" s="22">
        <v>20000</v>
      </c>
      <c r="H113" s="45">
        <v>41872</v>
      </c>
      <c r="I113" s="19">
        <v>20000</v>
      </c>
      <c r="J113" s="12">
        <f t="shared" si="0"/>
        <v>0</v>
      </c>
    </row>
    <row r="114" spans="1:10" x14ac:dyDescent="0.25">
      <c r="A114" s="1"/>
      <c r="B114" s="1">
        <v>66</v>
      </c>
      <c r="C114" s="3">
        <v>41835</v>
      </c>
      <c r="D114" s="1" t="s">
        <v>15</v>
      </c>
      <c r="E114" s="1" t="s">
        <v>30</v>
      </c>
      <c r="F114" s="41"/>
      <c r="G114" s="22">
        <v>363872</v>
      </c>
      <c r="H114" s="3">
        <v>41872</v>
      </c>
      <c r="I114" s="19">
        <v>363872</v>
      </c>
      <c r="J114" s="12">
        <f t="shared" si="0"/>
        <v>0</v>
      </c>
    </row>
    <row r="115" spans="1:10" x14ac:dyDescent="0.25">
      <c r="A115" s="1"/>
      <c r="B115" s="1"/>
      <c r="C115" s="3"/>
      <c r="D115" s="15" t="s">
        <v>15</v>
      </c>
      <c r="E115" s="15" t="s">
        <v>30</v>
      </c>
      <c r="F115" s="42" t="s">
        <v>9</v>
      </c>
      <c r="G115" s="16">
        <f>29593.22*1.18</f>
        <v>34919.999600000003</v>
      </c>
      <c r="H115" s="3"/>
      <c r="I115" s="19"/>
      <c r="J115" s="12"/>
    </row>
    <row r="116" spans="1:10" x14ac:dyDescent="0.25">
      <c r="A116" s="1"/>
      <c r="B116" s="1"/>
      <c r="C116" s="3"/>
      <c r="D116" s="15" t="s">
        <v>15</v>
      </c>
      <c r="E116" s="15" t="s">
        <v>30</v>
      </c>
      <c r="F116" s="42" t="s">
        <v>23</v>
      </c>
      <c r="G116" s="16">
        <f>9864.41*1.18</f>
        <v>11640.003799999999</v>
      </c>
      <c r="H116" s="3"/>
      <c r="I116" s="19"/>
      <c r="J116" s="12"/>
    </row>
    <row r="117" spans="1:10" x14ac:dyDescent="0.25">
      <c r="A117" s="1"/>
      <c r="B117" s="1"/>
      <c r="C117" s="3"/>
      <c r="D117" s="15" t="s">
        <v>15</v>
      </c>
      <c r="E117" s="15" t="s">
        <v>30</v>
      </c>
      <c r="F117" s="42" t="s">
        <v>21</v>
      </c>
      <c r="G117" s="16">
        <f>6576.27*1.18</f>
        <v>7759.9985999999999</v>
      </c>
      <c r="H117" s="3"/>
      <c r="I117" s="19"/>
      <c r="J117" s="12"/>
    </row>
    <row r="118" spans="1:10" x14ac:dyDescent="0.25">
      <c r="A118" s="1"/>
      <c r="B118" s="1"/>
      <c r="C118" s="3"/>
      <c r="D118" s="15" t="s">
        <v>15</v>
      </c>
      <c r="E118" s="15" t="s">
        <v>30</v>
      </c>
      <c r="F118" s="42" t="s">
        <v>50</v>
      </c>
      <c r="G118" s="16">
        <f>32881.36*1.18</f>
        <v>38800.004799999995</v>
      </c>
      <c r="H118" s="3"/>
      <c r="I118" s="19"/>
      <c r="J118" s="12"/>
    </row>
    <row r="119" spans="1:10" x14ac:dyDescent="0.25">
      <c r="A119" s="1"/>
      <c r="B119" s="1"/>
      <c r="C119" s="3"/>
      <c r="D119" s="15" t="s">
        <v>15</v>
      </c>
      <c r="E119" s="15" t="s">
        <v>30</v>
      </c>
      <c r="F119" s="42" t="s">
        <v>48</v>
      </c>
      <c r="G119" s="16">
        <f>3288.14*1.18</f>
        <v>3880.0051999999996</v>
      </c>
      <c r="H119" s="3"/>
      <c r="I119" s="19"/>
      <c r="J119" s="12"/>
    </row>
    <row r="120" spans="1:10" x14ac:dyDescent="0.25">
      <c r="A120" s="1"/>
      <c r="B120" s="1"/>
      <c r="C120" s="3"/>
      <c r="D120" s="15" t="s">
        <v>15</v>
      </c>
      <c r="E120" s="15" t="s">
        <v>30</v>
      </c>
      <c r="F120" s="42" t="s">
        <v>9</v>
      </c>
      <c r="G120" s="16">
        <f>141389.83*1.18</f>
        <v>166839.99939999997</v>
      </c>
      <c r="H120" s="3"/>
      <c r="I120" s="19"/>
      <c r="J120" s="12"/>
    </row>
    <row r="121" spans="1:10" x14ac:dyDescent="0.25">
      <c r="A121" s="1"/>
      <c r="B121" s="1"/>
      <c r="C121" s="3"/>
      <c r="D121" s="15" t="s">
        <v>15</v>
      </c>
      <c r="E121" s="15" t="s">
        <v>30</v>
      </c>
      <c r="F121" s="42" t="s">
        <v>22</v>
      </c>
      <c r="G121" s="16">
        <f>6576.27*1.18</f>
        <v>7759.9985999999999</v>
      </c>
      <c r="H121" s="3"/>
      <c r="I121" s="19"/>
      <c r="J121" s="12"/>
    </row>
    <row r="122" spans="1:10" x14ac:dyDescent="0.25">
      <c r="A122" s="1"/>
      <c r="B122" s="1"/>
      <c r="C122" s="3"/>
      <c r="D122" s="15" t="s">
        <v>15</v>
      </c>
      <c r="E122" s="15" t="s">
        <v>30</v>
      </c>
      <c r="F122" s="42" t="s">
        <v>9</v>
      </c>
      <c r="G122" s="16">
        <f>6627.12*1.18</f>
        <v>7820.0015999999996</v>
      </c>
      <c r="H122" s="3"/>
      <c r="I122" s="19"/>
      <c r="J122" s="12"/>
    </row>
    <row r="123" spans="1:10" x14ac:dyDescent="0.25">
      <c r="A123" s="1"/>
      <c r="B123" s="1"/>
      <c r="C123" s="3"/>
      <c r="D123" s="15" t="s">
        <v>15</v>
      </c>
      <c r="E123" s="15" t="s">
        <v>30</v>
      </c>
      <c r="F123" s="42" t="s">
        <v>9</v>
      </c>
      <c r="G123" s="16">
        <f>22532.2*1.18</f>
        <v>26587.995999999999</v>
      </c>
      <c r="H123" s="3"/>
      <c r="I123" s="19"/>
      <c r="J123" s="12"/>
    </row>
    <row r="124" spans="1:10" x14ac:dyDescent="0.25">
      <c r="A124" s="1"/>
      <c r="B124" s="1"/>
      <c r="C124" s="3"/>
      <c r="D124" s="15" t="s">
        <v>15</v>
      </c>
      <c r="E124" s="15" t="s">
        <v>30</v>
      </c>
      <c r="F124" s="42" t="s">
        <v>25</v>
      </c>
      <c r="G124" s="16">
        <f>4638.98*1.18</f>
        <v>5473.9963999999991</v>
      </c>
      <c r="H124" s="3"/>
      <c r="I124" s="19"/>
      <c r="J124" s="12"/>
    </row>
    <row r="125" spans="1:10" x14ac:dyDescent="0.25">
      <c r="A125" s="1"/>
      <c r="B125" s="1"/>
      <c r="C125" s="3"/>
      <c r="D125" s="15" t="s">
        <v>15</v>
      </c>
      <c r="E125" s="15" t="s">
        <v>30</v>
      </c>
      <c r="F125" s="42" t="s">
        <v>48</v>
      </c>
      <c r="G125" s="16">
        <f>5301.69*1.18</f>
        <v>6255.9941999999992</v>
      </c>
      <c r="H125" s="3"/>
      <c r="I125" s="19"/>
      <c r="J125" s="12"/>
    </row>
    <row r="126" spans="1:10" x14ac:dyDescent="0.25">
      <c r="A126" s="1"/>
      <c r="B126" s="1"/>
      <c r="C126" s="3"/>
      <c r="D126" s="15" t="s">
        <v>15</v>
      </c>
      <c r="E126" s="15" t="s">
        <v>30</v>
      </c>
      <c r="F126" s="42" t="s">
        <v>50</v>
      </c>
      <c r="G126" s="16">
        <f>2650.85*1.18</f>
        <v>3128.0029999999997</v>
      </c>
      <c r="H126" s="3"/>
      <c r="I126" s="19"/>
      <c r="J126" s="12"/>
    </row>
    <row r="127" spans="1:10" x14ac:dyDescent="0.25">
      <c r="A127" s="1"/>
      <c r="B127" s="1"/>
      <c r="C127" s="3"/>
      <c r="D127" s="15" t="s">
        <v>15</v>
      </c>
      <c r="E127" s="15" t="s">
        <v>30</v>
      </c>
      <c r="F127" s="42" t="s">
        <v>21</v>
      </c>
      <c r="G127" s="16">
        <f>5301.69*1.18</f>
        <v>6255.9941999999992</v>
      </c>
      <c r="H127" s="3"/>
      <c r="I127" s="19"/>
      <c r="J127" s="12"/>
    </row>
    <row r="128" spans="1:10" x14ac:dyDescent="0.25">
      <c r="A128" s="1"/>
      <c r="B128" s="1"/>
      <c r="C128" s="3"/>
      <c r="D128" s="15" t="s">
        <v>15</v>
      </c>
      <c r="E128" s="15" t="s">
        <v>30</v>
      </c>
      <c r="F128" s="42" t="s">
        <v>9</v>
      </c>
      <c r="G128" s="51">
        <f>19279.66*1.18</f>
        <v>22749.998799999998</v>
      </c>
      <c r="H128" s="3"/>
      <c r="I128" s="19"/>
      <c r="J128" s="12"/>
    </row>
    <row r="129" spans="1:10" x14ac:dyDescent="0.25">
      <c r="A129" s="1"/>
      <c r="B129" s="1"/>
      <c r="C129" s="3"/>
      <c r="D129" s="15" t="s">
        <v>15</v>
      </c>
      <c r="E129" s="15" t="s">
        <v>30</v>
      </c>
      <c r="F129" s="42" t="s">
        <v>48</v>
      </c>
      <c r="G129" s="16">
        <f>5932.2*1.18</f>
        <v>6999.9959999999992</v>
      </c>
      <c r="H129" s="3"/>
      <c r="I129" s="19"/>
      <c r="J129" s="12"/>
    </row>
    <row r="130" spans="1:10" x14ac:dyDescent="0.25">
      <c r="A130" s="1"/>
      <c r="B130" s="1"/>
      <c r="C130" s="3"/>
      <c r="D130" s="15" t="s">
        <v>15</v>
      </c>
      <c r="E130" s="15" t="s">
        <v>30</v>
      </c>
      <c r="F130" s="42" t="s">
        <v>50</v>
      </c>
      <c r="G130" s="16">
        <f>5932.2*1.18</f>
        <v>6999.9959999999992</v>
      </c>
      <c r="H130" s="3"/>
      <c r="I130" s="19"/>
      <c r="J130" s="12"/>
    </row>
    <row r="131" spans="1:10" x14ac:dyDescent="0.25">
      <c r="A131" s="1"/>
      <c r="B131" s="1">
        <v>76</v>
      </c>
      <c r="C131" s="3">
        <v>41851</v>
      </c>
      <c r="D131" s="1" t="s">
        <v>15</v>
      </c>
      <c r="E131" s="1" t="s">
        <v>30</v>
      </c>
      <c r="F131" s="42"/>
      <c r="G131" s="22">
        <v>506271</v>
      </c>
      <c r="H131" s="45">
        <v>41893</v>
      </c>
      <c r="I131" s="19">
        <v>506271</v>
      </c>
      <c r="J131" s="12">
        <f>G131-I131</f>
        <v>0</v>
      </c>
    </row>
    <row r="132" spans="1:10" x14ac:dyDescent="0.25">
      <c r="A132" s="1"/>
      <c r="B132" s="1"/>
      <c r="C132" s="3"/>
      <c r="D132" s="15" t="s">
        <v>15</v>
      </c>
      <c r="E132" s="15" t="s">
        <v>30</v>
      </c>
      <c r="F132" s="42" t="s">
        <v>9</v>
      </c>
      <c r="G132" s="16">
        <f>142211.86*1.18</f>
        <v>167809.99479999999</v>
      </c>
      <c r="H132" s="24"/>
      <c r="I132" s="15"/>
      <c r="J132" s="12"/>
    </row>
    <row r="133" spans="1:10" x14ac:dyDescent="0.25">
      <c r="A133" s="1"/>
      <c r="B133" s="1"/>
      <c r="C133" s="3"/>
      <c r="D133" s="15" t="s">
        <v>15</v>
      </c>
      <c r="E133" s="15" t="s">
        <v>30</v>
      </c>
      <c r="F133" s="42" t="s">
        <v>23</v>
      </c>
      <c r="G133" s="16">
        <f>55898.31*1.18</f>
        <v>65960.005799999999</v>
      </c>
      <c r="H133" s="24"/>
      <c r="I133" s="15"/>
      <c r="J133" s="12"/>
    </row>
    <row r="134" spans="1:10" x14ac:dyDescent="0.25">
      <c r="A134" s="1"/>
      <c r="B134" s="1"/>
      <c r="C134" s="3"/>
      <c r="D134" s="15" t="s">
        <v>15</v>
      </c>
      <c r="E134" s="15" t="s">
        <v>30</v>
      </c>
      <c r="F134" s="42" t="s">
        <v>21</v>
      </c>
      <c r="G134" s="16">
        <f>13152.54*1.18</f>
        <v>15519.9972</v>
      </c>
      <c r="H134" s="24"/>
      <c r="I134" s="15"/>
      <c r="J134" s="12"/>
    </row>
    <row r="135" spans="1:10" x14ac:dyDescent="0.25">
      <c r="A135" s="1"/>
      <c r="B135" s="1"/>
      <c r="C135" s="3"/>
      <c r="D135" s="15" t="s">
        <v>15</v>
      </c>
      <c r="E135" s="15" t="s">
        <v>30</v>
      </c>
      <c r="F135" s="42" t="s">
        <v>50</v>
      </c>
      <c r="G135" s="16">
        <f>6576.27*1.18</f>
        <v>7759.9985999999999</v>
      </c>
      <c r="H135" s="24"/>
      <c r="I135" s="15"/>
      <c r="J135" s="12"/>
    </row>
    <row r="136" spans="1:10" x14ac:dyDescent="0.25">
      <c r="A136" s="1"/>
      <c r="B136" s="1"/>
      <c r="C136" s="3"/>
      <c r="D136" s="15" t="s">
        <v>15</v>
      </c>
      <c r="E136" s="15" t="s">
        <v>30</v>
      </c>
      <c r="F136" s="42" t="s">
        <v>9</v>
      </c>
      <c r="G136" s="16">
        <f>6576.27*1.18</f>
        <v>7759.9985999999999</v>
      </c>
      <c r="H136" s="24"/>
      <c r="I136" s="15"/>
      <c r="J136" s="12"/>
    </row>
    <row r="137" spans="1:10" x14ac:dyDescent="0.25">
      <c r="A137" s="1"/>
      <c r="B137" s="1"/>
      <c r="C137" s="3"/>
      <c r="D137" s="15" t="s">
        <v>15</v>
      </c>
      <c r="E137" s="15" t="s">
        <v>30</v>
      </c>
      <c r="F137" s="44" t="s">
        <v>20</v>
      </c>
      <c r="G137" s="16">
        <f>4932.2*1.18</f>
        <v>5819.9959999999992</v>
      </c>
      <c r="H137" s="24"/>
      <c r="I137" s="15"/>
      <c r="J137" s="12"/>
    </row>
    <row r="138" spans="1:10" x14ac:dyDescent="0.25">
      <c r="A138" s="1"/>
      <c r="B138" s="1"/>
      <c r="C138" s="3"/>
      <c r="D138" s="15" t="s">
        <v>15</v>
      </c>
      <c r="E138" s="15" t="s">
        <v>30</v>
      </c>
      <c r="F138" s="44" t="s">
        <v>19</v>
      </c>
      <c r="G138" s="16">
        <f>4932.2*1.18</f>
        <v>5819.9959999999992</v>
      </c>
      <c r="H138" s="24"/>
      <c r="I138" s="15"/>
      <c r="J138" s="12"/>
    </row>
    <row r="139" spans="1:10" x14ac:dyDescent="0.25">
      <c r="A139" s="1"/>
      <c r="B139" s="1"/>
      <c r="C139" s="3"/>
      <c r="D139" s="15" t="s">
        <v>15</v>
      </c>
      <c r="E139" s="15" t="s">
        <v>30</v>
      </c>
      <c r="F139" s="42" t="s">
        <v>9</v>
      </c>
      <c r="G139" s="16">
        <f>26508.47*1.18+0.01</f>
        <v>31280.004599999997</v>
      </c>
      <c r="H139" s="24"/>
      <c r="I139" s="15"/>
      <c r="J139" s="12"/>
    </row>
    <row r="140" spans="1:10" x14ac:dyDescent="0.25">
      <c r="A140" s="1"/>
      <c r="B140" s="1"/>
      <c r="C140" s="3"/>
      <c r="D140" s="15" t="s">
        <v>15</v>
      </c>
      <c r="E140" s="15" t="s">
        <v>30</v>
      </c>
      <c r="F140" s="42" t="s">
        <v>21</v>
      </c>
      <c r="G140" s="16">
        <f>26508.47*1.18+0.01</f>
        <v>31280.004599999997</v>
      </c>
      <c r="H140" s="24"/>
      <c r="I140" s="15"/>
      <c r="J140" s="12"/>
    </row>
    <row r="141" spans="1:10" x14ac:dyDescent="0.25">
      <c r="A141" s="1"/>
      <c r="B141" s="1"/>
      <c r="C141" s="3"/>
      <c r="D141" s="15" t="s">
        <v>15</v>
      </c>
      <c r="E141" s="15" t="s">
        <v>30</v>
      </c>
      <c r="F141" s="44" t="s">
        <v>20</v>
      </c>
      <c r="G141" s="16">
        <f>5301.69*1.18+0.01</f>
        <v>6256.0041999999994</v>
      </c>
      <c r="H141" s="24"/>
      <c r="I141" s="15"/>
      <c r="J141" s="12"/>
    </row>
    <row r="142" spans="1:10" x14ac:dyDescent="0.25">
      <c r="A142" s="1"/>
      <c r="B142" s="1"/>
      <c r="C142" s="3"/>
      <c r="D142" s="15" t="s">
        <v>15</v>
      </c>
      <c r="E142" s="15" t="s">
        <v>30</v>
      </c>
      <c r="F142" s="42" t="s">
        <v>25</v>
      </c>
      <c r="G142" s="16">
        <f>4638.98*1.18</f>
        <v>5473.9963999999991</v>
      </c>
      <c r="H142" s="24"/>
      <c r="I142" s="15"/>
      <c r="J142" s="12"/>
    </row>
    <row r="143" spans="1:10" x14ac:dyDescent="0.25">
      <c r="A143" s="1"/>
      <c r="B143" s="1"/>
      <c r="C143" s="3"/>
      <c r="D143" s="15" t="s">
        <v>15</v>
      </c>
      <c r="E143" s="15" t="s">
        <v>30</v>
      </c>
      <c r="F143" s="42" t="s">
        <v>50</v>
      </c>
      <c r="G143" s="16">
        <f>5301.69*1.18+0.01</f>
        <v>6256.0041999999994</v>
      </c>
      <c r="H143" s="24"/>
      <c r="I143" s="15"/>
      <c r="J143" s="12"/>
    </row>
    <row r="144" spans="1:10" x14ac:dyDescent="0.25">
      <c r="A144" s="1"/>
      <c r="B144" s="1"/>
      <c r="C144" s="3"/>
      <c r="D144" s="15" t="s">
        <v>15</v>
      </c>
      <c r="E144" s="15" t="s">
        <v>30</v>
      </c>
      <c r="F144" s="42" t="s">
        <v>9</v>
      </c>
      <c r="G144" s="16">
        <f>54576.27*1.18</f>
        <v>64399.998599999992</v>
      </c>
      <c r="H144" s="24"/>
      <c r="I144" s="15"/>
      <c r="J144" s="12"/>
    </row>
    <row r="145" spans="1:10" x14ac:dyDescent="0.25">
      <c r="A145" s="1"/>
      <c r="B145" s="1"/>
      <c r="C145" s="3"/>
      <c r="D145" s="15" t="s">
        <v>15</v>
      </c>
      <c r="E145" s="15" t="s">
        <v>30</v>
      </c>
      <c r="F145" s="42" t="s">
        <v>9</v>
      </c>
      <c r="G145" s="16">
        <f>20762.71*1.18</f>
        <v>24499.997799999997</v>
      </c>
      <c r="H145" s="24"/>
      <c r="I145" s="15"/>
      <c r="J145" s="12"/>
    </row>
    <row r="146" spans="1:10" x14ac:dyDescent="0.25">
      <c r="A146" s="1"/>
      <c r="B146" s="1"/>
      <c r="C146" s="3"/>
      <c r="D146" s="15" t="s">
        <v>15</v>
      </c>
      <c r="E146" s="15" t="s">
        <v>30</v>
      </c>
      <c r="F146" s="42" t="s">
        <v>21</v>
      </c>
      <c r="G146" s="16">
        <f>39300.85*1.18</f>
        <v>46375.002999999997</v>
      </c>
      <c r="H146" s="24"/>
      <c r="I146" s="15"/>
      <c r="J146" s="12"/>
    </row>
    <row r="147" spans="1:10" x14ac:dyDescent="0.25">
      <c r="A147" s="1"/>
      <c r="B147" s="1"/>
      <c r="C147" s="3"/>
      <c r="D147" s="15" t="s">
        <v>15</v>
      </c>
      <c r="E147" s="15" t="s">
        <v>30</v>
      </c>
      <c r="F147" s="42" t="s">
        <v>25</v>
      </c>
      <c r="G147" s="16">
        <f>11864.41*1.18</f>
        <v>14000.003799999999</v>
      </c>
      <c r="H147" s="24"/>
      <c r="I147" s="15"/>
      <c r="J147" s="12"/>
    </row>
    <row r="148" spans="1:10" x14ac:dyDescent="0.25">
      <c r="A148" s="1"/>
      <c r="B148" s="1">
        <v>7</v>
      </c>
      <c r="C148" s="3">
        <v>41851</v>
      </c>
      <c r="D148" s="1" t="s">
        <v>43</v>
      </c>
      <c r="E148" s="1" t="s">
        <v>57</v>
      </c>
      <c r="F148" s="41"/>
      <c r="G148" s="22">
        <v>161885.47</v>
      </c>
      <c r="H148" s="45" t="s">
        <v>77</v>
      </c>
      <c r="I148" s="19">
        <f>100000+61885.47</f>
        <v>161885.47</v>
      </c>
      <c r="J148" s="12">
        <f t="shared" si="0"/>
        <v>0</v>
      </c>
    </row>
    <row r="149" spans="1:10" x14ac:dyDescent="0.25">
      <c r="A149" s="1"/>
      <c r="B149" s="1">
        <v>1</v>
      </c>
      <c r="C149" s="3">
        <v>41836</v>
      </c>
      <c r="D149" s="1" t="s">
        <v>68</v>
      </c>
      <c r="E149" s="1" t="s">
        <v>30</v>
      </c>
      <c r="F149" s="41" t="s">
        <v>9</v>
      </c>
      <c r="G149" s="22">
        <v>68870</v>
      </c>
      <c r="H149" s="3">
        <v>41872</v>
      </c>
      <c r="I149" s="19">
        <v>68870</v>
      </c>
      <c r="J149" s="12">
        <f t="shared" si="0"/>
        <v>0</v>
      </c>
    </row>
    <row r="150" spans="1:10" x14ac:dyDescent="0.25">
      <c r="A150" s="1"/>
      <c r="B150" s="1">
        <v>2</v>
      </c>
      <c r="C150" s="3">
        <v>41841</v>
      </c>
      <c r="D150" s="1" t="s">
        <v>68</v>
      </c>
      <c r="E150" s="1" t="s">
        <v>30</v>
      </c>
      <c r="F150" s="41" t="s">
        <v>9</v>
      </c>
      <c r="G150" s="22">
        <v>61875</v>
      </c>
      <c r="H150" s="3">
        <v>41872</v>
      </c>
      <c r="I150" s="19">
        <v>61875</v>
      </c>
      <c r="J150" s="12">
        <f t="shared" si="0"/>
        <v>0</v>
      </c>
    </row>
    <row r="151" spans="1:10" x14ac:dyDescent="0.25">
      <c r="A151" s="1"/>
      <c r="B151" s="1">
        <v>4</v>
      </c>
      <c r="C151" s="3">
        <v>41851</v>
      </c>
      <c r="D151" s="1" t="s">
        <v>68</v>
      </c>
      <c r="E151" s="1" t="s">
        <v>30</v>
      </c>
      <c r="F151" s="41" t="s">
        <v>9</v>
      </c>
      <c r="G151" s="22">
        <v>90000</v>
      </c>
      <c r="H151" s="45">
        <v>41893</v>
      </c>
      <c r="I151" s="19">
        <v>90000</v>
      </c>
      <c r="J151" s="12">
        <f t="shared" si="0"/>
        <v>0</v>
      </c>
    </row>
    <row r="152" spans="1:10" x14ac:dyDescent="0.25">
      <c r="A152" s="1"/>
      <c r="B152" s="1">
        <v>3</v>
      </c>
      <c r="C152" s="3">
        <v>41851</v>
      </c>
      <c r="D152" s="1" t="s">
        <v>68</v>
      </c>
      <c r="E152" s="1" t="s">
        <v>30</v>
      </c>
      <c r="F152" s="41"/>
      <c r="G152" s="22">
        <v>91180</v>
      </c>
      <c r="H152" s="45">
        <v>41893</v>
      </c>
      <c r="I152" s="19">
        <v>91180</v>
      </c>
      <c r="J152" s="12">
        <f t="shared" si="0"/>
        <v>0</v>
      </c>
    </row>
    <row r="153" spans="1:10" x14ac:dyDescent="0.25">
      <c r="A153" s="1"/>
      <c r="B153" s="1"/>
      <c r="C153" s="3"/>
      <c r="D153" s="15" t="s">
        <v>68</v>
      </c>
      <c r="E153" s="15" t="s">
        <v>30</v>
      </c>
      <c r="F153" s="42" t="s">
        <v>9</v>
      </c>
      <c r="G153" s="16">
        <v>83420</v>
      </c>
      <c r="H153" s="3"/>
      <c r="I153" s="19"/>
      <c r="J153" s="12"/>
    </row>
    <row r="154" spans="1:10" x14ac:dyDescent="0.25">
      <c r="A154" s="1"/>
      <c r="B154" s="1"/>
      <c r="C154" s="3"/>
      <c r="D154" s="15" t="s">
        <v>68</v>
      </c>
      <c r="E154" s="15" t="s">
        <v>30</v>
      </c>
      <c r="F154" s="42" t="s">
        <v>23</v>
      </c>
      <c r="G154" s="16">
        <v>7760</v>
      </c>
      <c r="H154" s="3"/>
      <c r="I154" s="19"/>
      <c r="J154" s="12"/>
    </row>
    <row r="155" spans="1:10" x14ac:dyDescent="0.25">
      <c r="A155" s="1"/>
      <c r="B155" s="1">
        <v>141</v>
      </c>
      <c r="C155" s="3">
        <v>41821</v>
      </c>
      <c r="D155" s="1" t="s">
        <v>16</v>
      </c>
      <c r="E155" s="1" t="s">
        <v>39</v>
      </c>
      <c r="F155" s="41" t="s">
        <v>69</v>
      </c>
      <c r="G155" s="22">
        <v>12000.03</v>
      </c>
      <c r="H155" s="3">
        <v>41893</v>
      </c>
      <c r="I155" s="19">
        <v>12000.03</v>
      </c>
      <c r="J155" s="12">
        <f t="shared" si="0"/>
        <v>0</v>
      </c>
    </row>
    <row r="156" spans="1:10" x14ac:dyDescent="0.25">
      <c r="A156" s="1"/>
      <c r="B156" s="1">
        <v>143</v>
      </c>
      <c r="C156" s="3">
        <v>41832</v>
      </c>
      <c r="D156" s="1" t="s">
        <v>16</v>
      </c>
      <c r="E156" s="1" t="s">
        <v>30</v>
      </c>
      <c r="F156" s="41"/>
      <c r="G156" s="22">
        <v>82550.14</v>
      </c>
      <c r="H156" s="3">
        <v>41893</v>
      </c>
      <c r="I156" s="19">
        <v>82550.14</v>
      </c>
      <c r="J156" s="12">
        <f t="shared" si="0"/>
        <v>0</v>
      </c>
    </row>
    <row r="157" spans="1:10" x14ac:dyDescent="0.25">
      <c r="A157" s="1"/>
      <c r="B157" s="1"/>
      <c r="C157" s="3"/>
      <c r="D157" s="15" t="s">
        <v>16</v>
      </c>
      <c r="E157" s="15" t="s">
        <v>39</v>
      </c>
      <c r="F157" s="50" t="s">
        <v>9</v>
      </c>
      <c r="G157" s="16">
        <f>48305.22*1.18</f>
        <v>57000.159599999999</v>
      </c>
      <c r="H157" s="3"/>
      <c r="I157" s="19"/>
      <c r="J157" s="12"/>
    </row>
    <row r="158" spans="1:10" x14ac:dyDescent="0.25">
      <c r="A158" s="1"/>
      <c r="B158" s="1"/>
      <c r="C158" s="3"/>
      <c r="D158" s="15" t="s">
        <v>16</v>
      </c>
      <c r="E158" s="15" t="s">
        <v>70</v>
      </c>
      <c r="F158" s="42" t="s">
        <v>25</v>
      </c>
      <c r="G158" s="16">
        <f>5932.2*1.18</f>
        <v>6999.9959999999992</v>
      </c>
      <c r="H158" s="3"/>
      <c r="I158" s="19"/>
      <c r="J158" s="12"/>
    </row>
    <row r="159" spans="1:10" x14ac:dyDescent="0.25">
      <c r="A159" s="1"/>
      <c r="B159" s="1"/>
      <c r="C159" s="3"/>
      <c r="D159" s="15" t="s">
        <v>16</v>
      </c>
      <c r="E159" s="15" t="s">
        <v>70</v>
      </c>
      <c r="F159" s="42" t="s">
        <v>25</v>
      </c>
      <c r="G159" s="16">
        <f>6737.28*1.18</f>
        <v>7949.9903999999997</v>
      </c>
      <c r="H159" s="3"/>
      <c r="I159" s="19"/>
      <c r="J159" s="12"/>
    </row>
    <row r="160" spans="1:10" x14ac:dyDescent="0.25">
      <c r="A160" s="1"/>
      <c r="B160" s="1"/>
      <c r="C160" s="3"/>
      <c r="D160" s="15" t="s">
        <v>16</v>
      </c>
      <c r="E160" s="15" t="s">
        <v>70</v>
      </c>
      <c r="F160" s="42" t="s">
        <v>23</v>
      </c>
      <c r="G160" s="16">
        <f>8983.04*1.18</f>
        <v>10599.9872</v>
      </c>
      <c r="H160" s="3"/>
      <c r="I160" s="19"/>
      <c r="J160" s="12"/>
    </row>
    <row r="161" spans="1:10" x14ac:dyDescent="0.25">
      <c r="A161" s="1"/>
      <c r="B161" s="1">
        <v>157</v>
      </c>
      <c r="C161" s="3">
        <v>41845</v>
      </c>
      <c r="D161" s="1" t="s">
        <v>16</v>
      </c>
      <c r="E161" s="1" t="s">
        <v>39</v>
      </c>
      <c r="F161" s="41" t="s">
        <v>69</v>
      </c>
      <c r="G161" s="22">
        <v>132000.37</v>
      </c>
      <c r="H161" s="3">
        <v>41893</v>
      </c>
      <c r="I161" s="19">
        <v>132000.37</v>
      </c>
      <c r="J161" s="12">
        <f t="shared" si="0"/>
        <v>0</v>
      </c>
    </row>
    <row r="162" spans="1:10" x14ac:dyDescent="0.25">
      <c r="A162" s="1"/>
      <c r="B162" s="1">
        <v>87</v>
      </c>
      <c r="C162" s="3">
        <v>41848</v>
      </c>
      <c r="D162" s="1" t="s">
        <v>71</v>
      </c>
      <c r="E162" s="1" t="s">
        <v>24</v>
      </c>
      <c r="F162" s="41" t="s">
        <v>50</v>
      </c>
      <c r="G162" s="22">
        <v>20400</v>
      </c>
      <c r="H162" s="3">
        <v>41893</v>
      </c>
      <c r="I162" s="19">
        <v>20400</v>
      </c>
      <c r="J162" s="12">
        <f t="shared" si="0"/>
        <v>0</v>
      </c>
    </row>
    <row r="163" spans="1:10" x14ac:dyDescent="0.25">
      <c r="A163" s="1"/>
      <c r="B163" s="1">
        <v>88</v>
      </c>
      <c r="C163" s="3">
        <v>41849</v>
      </c>
      <c r="D163" s="1" t="s">
        <v>71</v>
      </c>
      <c r="E163" s="1" t="s">
        <v>24</v>
      </c>
      <c r="F163" s="37" t="s">
        <v>20</v>
      </c>
      <c r="G163" s="22">
        <v>81600</v>
      </c>
      <c r="H163" s="3">
        <v>41893</v>
      </c>
      <c r="I163" s="19">
        <v>81600</v>
      </c>
      <c r="J163" s="12">
        <f t="shared" si="0"/>
        <v>0</v>
      </c>
    </row>
    <row r="164" spans="1:10" x14ac:dyDescent="0.25">
      <c r="A164" s="1"/>
      <c r="B164" s="1">
        <v>96</v>
      </c>
      <c r="C164" s="3">
        <v>41851</v>
      </c>
      <c r="D164" s="1" t="s">
        <v>71</v>
      </c>
      <c r="E164" s="1"/>
      <c r="F164" s="41"/>
      <c r="G164" s="22">
        <f>G165+G166</f>
        <v>39200.001199999999</v>
      </c>
      <c r="H164" s="3">
        <v>41893</v>
      </c>
      <c r="I164" s="19">
        <v>39200</v>
      </c>
      <c r="J164" s="12">
        <f t="shared" si="0"/>
        <v>1.1999999987892807E-3</v>
      </c>
    </row>
    <row r="165" spans="1:10" x14ac:dyDescent="0.25">
      <c r="A165" s="1"/>
      <c r="B165" s="1"/>
      <c r="C165" s="3"/>
      <c r="D165" s="15" t="s">
        <v>71</v>
      </c>
      <c r="E165" s="15" t="s">
        <v>24</v>
      </c>
      <c r="F165" s="42" t="s">
        <v>25</v>
      </c>
      <c r="G165" s="17">
        <f>23050.85*1.18</f>
        <v>27200.002999999997</v>
      </c>
      <c r="H165" s="3"/>
      <c r="I165" s="19"/>
      <c r="J165" s="12"/>
    </row>
    <row r="166" spans="1:10" x14ac:dyDescent="0.25">
      <c r="A166" s="1"/>
      <c r="B166" s="1"/>
      <c r="C166" s="3"/>
      <c r="D166" s="15" t="s">
        <v>71</v>
      </c>
      <c r="E166" s="15" t="s">
        <v>73</v>
      </c>
      <c r="F166" s="44" t="s">
        <v>20</v>
      </c>
      <c r="G166" s="17">
        <f>10169.49*1.18</f>
        <v>11999.9982</v>
      </c>
      <c r="H166" s="3"/>
      <c r="I166" s="19"/>
      <c r="J166" s="12"/>
    </row>
    <row r="167" spans="1:10" x14ac:dyDescent="0.25">
      <c r="A167" s="1"/>
      <c r="B167" s="1">
        <v>84</v>
      </c>
      <c r="C167" s="3">
        <v>41846</v>
      </c>
      <c r="D167" s="1" t="s">
        <v>71</v>
      </c>
      <c r="E167" s="1"/>
      <c r="F167" s="42"/>
      <c r="G167" s="22">
        <v>104700</v>
      </c>
      <c r="H167" s="3" t="s">
        <v>106</v>
      </c>
      <c r="I167" s="19">
        <f>23800+80900</f>
        <v>104700</v>
      </c>
      <c r="J167" s="12">
        <f t="shared" si="0"/>
        <v>0</v>
      </c>
    </row>
    <row r="168" spans="1:10" x14ac:dyDescent="0.25">
      <c r="A168" s="1"/>
      <c r="B168" s="1"/>
      <c r="C168" s="3"/>
      <c r="D168" s="15" t="s">
        <v>71</v>
      </c>
      <c r="E168" s="15" t="s">
        <v>72</v>
      </c>
      <c r="F168" s="42" t="s">
        <v>9</v>
      </c>
      <c r="G168" s="17">
        <f>10169.49*1.18</f>
        <v>11999.9982</v>
      </c>
      <c r="H168" s="3"/>
      <c r="I168" s="19"/>
      <c r="J168" s="12"/>
    </row>
    <row r="169" spans="1:10" x14ac:dyDescent="0.25">
      <c r="A169" s="1"/>
      <c r="B169" s="1"/>
      <c r="C169" s="3"/>
      <c r="D169" s="15" t="s">
        <v>71</v>
      </c>
      <c r="E169" s="15" t="s">
        <v>73</v>
      </c>
      <c r="F169" s="42" t="s">
        <v>23</v>
      </c>
      <c r="G169" s="17">
        <f>15254.24*1.18</f>
        <v>18000.003199999999</v>
      </c>
      <c r="H169" s="3"/>
      <c r="I169" s="19"/>
      <c r="J169" s="12"/>
    </row>
    <row r="170" spans="1:10" x14ac:dyDescent="0.25">
      <c r="A170" s="1"/>
      <c r="B170" s="1"/>
      <c r="C170" s="3"/>
      <c r="D170" s="15" t="s">
        <v>71</v>
      </c>
      <c r="E170" s="15" t="s">
        <v>28</v>
      </c>
      <c r="F170" s="42" t="s">
        <v>9</v>
      </c>
      <c r="G170" s="17">
        <f>10169.49*1.18</f>
        <v>11999.9982</v>
      </c>
      <c r="H170" s="3"/>
      <c r="I170" s="19"/>
      <c r="J170" s="12"/>
    </row>
    <row r="171" spans="1:10" x14ac:dyDescent="0.25">
      <c r="A171" s="1"/>
      <c r="B171" s="1"/>
      <c r="C171" s="3"/>
      <c r="D171" s="15" t="s">
        <v>71</v>
      </c>
      <c r="E171" s="15" t="s">
        <v>74</v>
      </c>
      <c r="F171" s="42" t="s">
        <v>23</v>
      </c>
      <c r="G171" s="17">
        <f>8474.58*1.18</f>
        <v>10000.0044</v>
      </c>
      <c r="H171" s="3"/>
      <c r="I171" s="19"/>
      <c r="J171" s="12"/>
    </row>
    <row r="172" spans="1:10" x14ac:dyDescent="0.25">
      <c r="A172" s="1"/>
      <c r="B172" s="1"/>
      <c r="C172" s="3"/>
      <c r="D172" s="15" t="s">
        <v>71</v>
      </c>
      <c r="E172" s="15" t="s">
        <v>24</v>
      </c>
      <c r="F172" s="44" t="s">
        <v>19</v>
      </c>
      <c r="G172" s="17">
        <f>20169.49*1.18</f>
        <v>23799.998200000002</v>
      </c>
      <c r="H172" s="3"/>
      <c r="I172" s="19"/>
      <c r="J172" s="12"/>
    </row>
    <row r="173" spans="1:10" x14ac:dyDescent="0.25">
      <c r="A173" s="1"/>
      <c r="B173" s="1"/>
      <c r="C173" s="3"/>
      <c r="D173" s="15" t="s">
        <v>71</v>
      </c>
      <c r="E173" s="15" t="s">
        <v>24</v>
      </c>
      <c r="F173" s="42" t="s">
        <v>23</v>
      </c>
      <c r="G173" s="17">
        <f>24491.52*1.18</f>
        <v>28899.993599999998</v>
      </c>
      <c r="H173" s="3"/>
      <c r="I173" s="19"/>
      <c r="J173" s="12"/>
    </row>
    <row r="174" spans="1:10" x14ac:dyDescent="0.25">
      <c r="A174" s="1"/>
      <c r="B174" s="1">
        <v>9</v>
      </c>
      <c r="C174" s="3">
        <v>41821</v>
      </c>
      <c r="D174" s="1" t="s">
        <v>56</v>
      </c>
      <c r="E174" s="1" t="s">
        <v>75</v>
      </c>
      <c r="F174" s="41" t="s">
        <v>25</v>
      </c>
      <c r="G174" s="22">
        <v>38000</v>
      </c>
      <c r="H174" s="3">
        <v>41872</v>
      </c>
      <c r="I174" s="19">
        <v>38000</v>
      </c>
      <c r="J174" s="23">
        <f t="shared" si="0"/>
        <v>0</v>
      </c>
    </row>
    <row r="175" spans="1:10" x14ac:dyDescent="0.25">
      <c r="A175" s="1"/>
      <c r="B175" s="1">
        <v>10</v>
      </c>
      <c r="C175" s="3">
        <v>41827</v>
      </c>
      <c r="D175" s="1" t="s">
        <v>56</v>
      </c>
      <c r="E175" s="1" t="s">
        <v>75</v>
      </c>
      <c r="F175" s="41" t="s">
        <v>23</v>
      </c>
      <c r="G175" s="22">
        <v>38000</v>
      </c>
      <c r="H175" s="45">
        <v>41893</v>
      </c>
      <c r="I175" s="19">
        <v>38000</v>
      </c>
      <c r="J175" s="23">
        <f t="shared" si="0"/>
        <v>0</v>
      </c>
    </row>
    <row r="176" spans="1:10" x14ac:dyDescent="0.25">
      <c r="A176" s="1"/>
      <c r="B176" s="1">
        <v>119</v>
      </c>
      <c r="C176" s="3">
        <v>41824</v>
      </c>
      <c r="D176" s="1" t="s">
        <v>47</v>
      </c>
      <c r="E176" s="1" t="s">
        <v>30</v>
      </c>
      <c r="F176" s="41" t="s">
        <v>9</v>
      </c>
      <c r="G176" s="22">
        <v>65760</v>
      </c>
      <c r="H176" s="3">
        <v>41872</v>
      </c>
      <c r="I176" s="22">
        <v>65760</v>
      </c>
      <c r="J176" s="23">
        <f t="shared" si="0"/>
        <v>0</v>
      </c>
    </row>
    <row r="177" spans="1:10" x14ac:dyDescent="0.25">
      <c r="A177" s="1"/>
      <c r="B177" s="1">
        <v>121</v>
      </c>
      <c r="C177" s="3">
        <v>41831</v>
      </c>
      <c r="D177" s="1" t="s">
        <v>47</v>
      </c>
      <c r="E177" s="1" t="s">
        <v>30</v>
      </c>
      <c r="F177" s="41" t="s">
        <v>9</v>
      </c>
      <c r="G177" s="22">
        <v>60060</v>
      </c>
      <c r="H177" s="3">
        <v>41872</v>
      </c>
      <c r="I177" s="22">
        <v>60060</v>
      </c>
      <c r="J177" s="23">
        <f t="shared" si="0"/>
        <v>0</v>
      </c>
    </row>
    <row r="178" spans="1:10" x14ac:dyDescent="0.25">
      <c r="A178" s="1"/>
      <c r="B178" s="1">
        <v>127</v>
      </c>
      <c r="C178" s="3">
        <v>41832</v>
      </c>
      <c r="D178" s="1" t="s">
        <v>47</v>
      </c>
      <c r="E178" s="1" t="s">
        <v>30</v>
      </c>
      <c r="F178" s="41" t="s">
        <v>9</v>
      </c>
      <c r="G178" s="22">
        <v>8580</v>
      </c>
      <c r="H178" s="3">
        <v>41872</v>
      </c>
      <c r="I178" s="22">
        <v>8580</v>
      </c>
      <c r="J178" s="23">
        <f t="shared" si="0"/>
        <v>0</v>
      </c>
    </row>
    <row r="179" spans="1:10" x14ac:dyDescent="0.25">
      <c r="A179" s="1"/>
      <c r="B179" s="1">
        <v>124</v>
      </c>
      <c r="C179" s="3">
        <v>41832</v>
      </c>
      <c r="D179" s="1" t="s">
        <v>47</v>
      </c>
      <c r="E179" s="1" t="s">
        <v>30</v>
      </c>
      <c r="F179" s="41" t="s">
        <v>48</v>
      </c>
      <c r="G179" s="22">
        <v>10010</v>
      </c>
      <c r="H179" s="3">
        <v>41872</v>
      </c>
      <c r="I179" s="22">
        <v>10010</v>
      </c>
      <c r="J179" s="23">
        <f t="shared" si="0"/>
        <v>0</v>
      </c>
    </row>
    <row r="180" spans="1:10" x14ac:dyDescent="0.25">
      <c r="A180" s="1"/>
      <c r="B180" s="1">
        <v>128</v>
      </c>
      <c r="C180" s="3">
        <v>41838</v>
      </c>
      <c r="D180" s="1" t="s">
        <v>47</v>
      </c>
      <c r="E180" s="1" t="s">
        <v>30</v>
      </c>
      <c r="F180" s="41" t="s">
        <v>9</v>
      </c>
      <c r="G180" s="22">
        <v>71860</v>
      </c>
      <c r="H180" s="3">
        <v>41872</v>
      </c>
      <c r="I180" s="22">
        <v>71860</v>
      </c>
      <c r="J180" s="23">
        <f t="shared" si="0"/>
        <v>0</v>
      </c>
    </row>
    <row r="181" spans="1:10" x14ac:dyDescent="0.25">
      <c r="A181" s="1"/>
      <c r="B181" s="1">
        <v>122</v>
      </c>
      <c r="C181" s="3">
        <v>41831</v>
      </c>
      <c r="D181" s="1" t="s">
        <v>47</v>
      </c>
      <c r="E181" s="1" t="s">
        <v>60</v>
      </c>
      <c r="F181" s="41" t="s">
        <v>25</v>
      </c>
      <c r="G181" s="22">
        <v>11440</v>
      </c>
      <c r="H181" s="3">
        <v>41893</v>
      </c>
      <c r="I181" s="22">
        <v>11440</v>
      </c>
      <c r="J181" s="23">
        <f t="shared" si="0"/>
        <v>0</v>
      </c>
    </row>
    <row r="182" spans="1:10" x14ac:dyDescent="0.25">
      <c r="A182" s="1"/>
      <c r="B182" s="1">
        <v>141</v>
      </c>
      <c r="C182" s="3">
        <v>41835</v>
      </c>
      <c r="D182" s="1" t="s">
        <v>47</v>
      </c>
      <c r="E182" s="1" t="s">
        <v>60</v>
      </c>
      <c r="F182" s="41" t="s">
        <v>25</v>
      </c>
      <c r="G182" s="22">
        <v>11440</v>
      </c>
      <c r="H182" s="3">
        <v>41893</v>
      </c>
      <c r="I182" s="22">
        <v>11440</v>
      </c>
      <c r="J182" s="23">
        <f t="shared" si="0"/>
        <v>0</v>
      </c>
    </row>
    <row r="183" spans="1:10" x14ac:dyDescent="0.25">
      <c r="A183" s="1"/>
      <c r="B183" s="1">
        <v>130</v>
      </c>
      <c r="C183" s="3">
        <v>41838</v>
      </c>
      <c r="D183" s="1" t="s">
        <v>47</v>
      </c>
      <c r="E183" s="1" t="s">
        <v>30</v>
      </c>
      <c r="F183" s="41" t="s">
        <v>23</v>
      </c>
      <c r="G183" s="22">
        <v>40000</v>
      </c>
      <c r="H183" s="3">
        <v>41893</v>
      </c>
      <c r="I183" s="22">
        <v>40000</v>
      </c>
      <c r="J183" s="23">
        <f t="shared" si="0"/>
        <v>0</v>
      </c>
    </row>
    <row r="184" spans="1:10" x14ac:dyDescent="0.25">
      <c r="A184" s="1"/>
      <c r="B184" s="1">
        <v>129</v>
      </c>
      <c r="C184" s="3">
        <v>41838</v>
      </c>
      <c r="D184" s="1" t="s">
        <v>47</v>
      </c>
      <c r="E184" s="1" t="s">
        <v>60</v>
      </c>
      <c r="F184" s="41" t="s">
        <v>25</v>
      </c>
      <c r="G184" s="22">
        <v>34320</v>
      </c>
      <c r="H184" s="3">
        <v>41893</v>
      </c>
      <c r="I184" s="22">
        <v>34320</v>
      </c>
      <c r="J184" s="23">
        <f t="shared" si="0"/>
        <v>0</v>
      </c>
    </row>
    <row r="185" spans="1:10" x14ac:dyDescent="0.25">
      <c r="A185" s="1"/>
      <c r="B185" s="1">
        <v>132</v>
      </c>
      <c r="C185" s="3">
        <v>41839</v>
      </c>
      <c r="D185" s="1" t="s">
        <v>47</v>
      </c>
      <c r="E185" s="1" t="s">
        <v>24</v>
      </c>
      <c r="F185" s="41" t="s">
        <v>9</v>
      </c>
      <c r="G185" s="22">
        <v>8580</v>
      </c>
      <c r="H185" s="3">
        <v>41893</v>
      </c>
      <c r="I185" s="22">
        <v>8580</v>
      </c>
      <c r="J185" s="23">
        <f t="shared" si="0"/>
        <v>0</v>
      </c>
    </row>
    <row r="186" spans="1:10" x14ac:dyDescent="0.25">
      <c r="A186" s="1"/>
      <c r="B186" s="1">
        <v>133</v>
      </c>
      <c r="C186" s="3">
        <v>41845</v>
      </c>
      <c r="D186" s="1" t="s">
        <v>47</v>
      </c>
      <c r="E186" s="1" t="s">
        <v>49</v>
      </c>
      <c r="F186" s="41" t="s">
        <v>9</v>
      </c>
      <c r="G186" s="22">
        <v>69300</v>
      </c>
      <c r="H186" s="3">
        <v>41893</v>
      </c>
      <c r="I186" s="22">
        <v>69300</v>
      </c>
      <c r="J186" s="23">
        <f t="shared" si="0"/>
        <v>0</v>
      </c>
    </row>
    <row r="187" spans="1:10" x14ac:dyDescent="0.25">
      <c r="A187" s="1"/>
      <c r="B187" s="1">
        <v>134</v>
      </c>
      <c r="C187" s="3">
        <v>41845</v>
      </c>
      <c r="D187" s="1" t="s">
        <v>47</v>
      </c>
      <c r="E187" s="1" t="s">
        <v>60</v>
      </c>
      <c r="F187" s="41" t="s">
        <v>25</v>
      </c>
      <c r="G187" s="22">
        <v>22880</v>
      </c>
      <c r="H187" s="3">
        <v>41893</v>
      </c>
      <c r="I187" s="22">
        <v>22880</v>
      </c>
      <c r="J187" s="23">
        <f t="shared" si="0"/>
        <v>0</v>
      </c>
    </row>
    <row r="188" spans="1:10" x14ac:dyDescent="0.25">
      <c r="A188" s="1"/>
      <c r="B188" s="1">
        <v>135</v>
      </c>
      <c r="C188" s="3">
        <v>41846</v>
      </c>
      <c r="D188" s="1" t="s">
        <v>47</v>
      </c>
      <c r="E188" s="1" t="s">
        <v>24</v>
      </c>
      <c r="F188" s="41" t="s">
        <v>9</v>
      </c>
      <c r="G188" s="22">
        <v>8580</v>
      </c>
      <c r="H188" s="3">
        <v>41893</v>
      </c>
      <c r="I188" s="22">
        <v>8580</v>
      </c>
      <c r="J188" s="23">
        <f t="shared" si="0"/>
        <v>0</v>
      </c>
    </row>
    <row r="189" spans="1:10" x14ac:dyDescent="0.25">
      <c r="A189" s="1"/>
      <c r="B189" s="1">
        <v>137</v>
      </c>
      <c r="C189" s="3">
        <v>41851</v>
      </c>
      <c r="D189" s="1" t="s">
        <v>47</v>
      </c>
      <c r="E189" s="1" t="s">
        <v>60</v>
      </c>
      <c r="F189" s="41" t="s">
        <v>25</v>
      </c>
      <c r="G189" s="22">
        <v>22880</v>
      </c>
      <c r="H189" s="3">
        <v>41893</v>
      </c>
      <c r="I189" s="22">
        <v>22880</v>
      </c>
      <c r="J189" s="23">
        <f t="shared" si="0"/>
        <v>0</v>
      </c>
    </row>
    <row r="190" spans="1:10" x14ac:dyDescent="0.25">
      <c r="A190" s="1"/>
      <c r="B190" s="1">
        <v>136</v>
      </c>
      <c r="C190" s="3">
        <v>41851</v>
      </c>
      <c r="D190" s="1" t="s">
        <v>47</v>
      </c>
      <c r="E190" s="1" t="s">
        <v>24</v>
      </c>
      <c r="F190" s="41" t="s">
        <v>9</v>
      </c>
      <c r="G190" s="22">
        <v>56620</v>
      </c>
      <c r="H190" s="3">
        <v>41893</v>
      </c>
      <c r="I190" s="22">
        <v>56620</v>
      </c>
      <c r="J190" s="23">
        <f t="shared" si="0"/>
        <v>0</v>
      </c>
    </row>
    <row r="191" spans="1:10" x14ac:dyDescent="0.25">
      <c r="A191" s="1"/>
      <c r="B191" s="1"/>
      <c r="C191" s="3"/>
      <c r="D191" s="1"/>
      <c r="E191" s="1"/>
      <c r="F191" s="41"/>
      <c r="G191" s="22"/>
      <c r="H191" s="3"/>
      <c r="I191" s="22"/>
      <c r="J191" s="23"/>
    </row>
    <row r="192" spans="1:10" x14ac:dyDescent="0.25">
      <c r="A192" s="1"/>
      <c r="B192" s="1">
        <v>6</v>
      </c>
      <c r="C192" s="3">
        <v>41851</v>
      </c>
      <c r="D192" s="19" t="s">
        <v>76</v>
      </c>
      <c r="E192" s="1" t="s">
        <v>30</v>
      </c>
      <c r="F192" s="41"/>
      <c r="G192" s="22">
        <v>698900</v>
      </c>
      <c r="H192" s="21" t="s">
        <v>106</v>
      </c>
      <c r="I192" s="19">
        <f>241200+457700</f>
        <v>698900</v>
      </c>
      <c r="J192" s="23">
        <f t="shared" si="0"/>
        <v>0</v>
      </c>
    </row>
    <row r="193" spans="1:10" x14ac:dyDescent="0.25">
      <c r="A193" s="1"/>
      <c r="B193" s="1"/>
      <c r="C193" s="3"/>
      <c r="D193" s="15" t="s">
        <v>76</v>
      </c>
      <c r="E193" s="15" t="s">
        <v>60</v>
      </c>
      <c r="F193" s="42" t="s">
        <v>9</v>
      </c>
      <c r="G193" s="16">
        <f>347400+241200+28600</f>
        <v>617200</v>
      </c>
      <c r="H193" s="24"/>
      <c r="I193" s="15"/>
      <c r="J193" s="23"/>
    </row>
    <row r="194" spans="1:10" x14ac:dyDescent="0.25">
      <c r="A194" s="1"/>
      <c r="B194" s="1"/>
      <c r="C194" s="3"/>
      <c r="D194" s="15" t="s">
        <v>76</v>
      </c>
      <c r="E194" s="15" t="s">
        <v>79</v>
      </c>
      <c r="F194" s="42" t="s">
        <v>48</v>
      </c>
      <c r="G194" s="16">
        <v>12000</v>
      </c>
      <c r="H194" s="24"/>
      <c r="I194" s="15"/>
      <c r="J194" s="23"/>
    </row>
    <row r="195" spans="1:10" x14ac:dyDescent="0.25">
      <c r="A195" s="1"/>
      <c r="B195" s="1"/>
      <c r="C195" s="3"/>
      <c r="D195" s="15" t="s">
        <v>76</v>
      </c>
      <c r="E195" s="15" t="s">
        <v>24</v>
      </c>
      <c r="F195" s="42" t="s">
        <v>23</v>
      </c>
      <c r="G195" s="16">
        <v>69700</v>
      </c>
      <c r="H195" s="24"/>
      <c r="I195" s="15"/>
      <c r="J195" s="23"/>
    </row>
    <row r="196" spans="1:10" x14ac:dyDescent="0.25">
      <c r="A196" s="1"/>
      <c r="B196" s="1">
        <v>285</v>
      </c>
      <c r="C196" s="3">
        <v>41851</v>
      </c>
      <c r="D196" s="19" t="s">
        <v>80</v>
      </c>
      <c r="E196" s="1" t="s">
        <v>30</v>
      </c>
      <c r="F196" s="41" t="s">
        <v>23</v>
      </c>
      <c r="G196" s="22">
        <v>153000</v>
      </c>
      <c r="H196" s="21" t="s">
        <v>106</v>
      </c>
      <c r="I196" s="19">
        <f>70000+83000</f>
        <v>153000</v>
      </c>
      <c r="J196" s="23">
        <f t="shared" si="0"/>
        <v>0</v>
      </c>
    </row>
    <row r="197" spans="1:10" x14ac:dyDescent="0.25">
      <c r="A197" s="1"/>
      <c r="B197" s="1">
        <v>189</v>
      </c>
      <c r="C197" s="3">
        <v>41834</v>
      </c>
      <c r="D197" s="19" t="s">
        <v>14</v>
      </c>
      <c r="E197" s="1" t="s">
        <v>30</v>
      </c>
      <c r="F197" s="41" t="s">
        <v>9</v>
      </c>
      <c r="G197" s="22">
        <v>76500</v>
      </c>
      <c r="H197" s="21">
        <v>41872</v>
      </c>
      <c r="I197" s="19">
        <v>76500</v>
      </c>
      <c r="J197" s="23">
        <f t="shared" si="0"/>
        <v>0</v>
      </c>
    </row>
    <row r="198" spans="1:10" x14ac:dyDescent="0.25">
      <c r="A198" s="1"/>
      <c r="B198" s="1">
        <v>11</v>
      </c>
      <c r="C198" s="3">
        <v>41834</v>
      </c>
      <c r="D198" s="19" t="s">
        <v>78</v>
      </c>
      <c r="E198" s="1" t="s">
        <v>30</v>
      </c>
      <c r="F198" s="41" t="s">
        <v>50</v>
      </c>
      <c r="G198" s="22">
        <v>7000</v>
      </c>
      <c r="H198" s="21">
        <v>41872</v>
      </c>
      <c r="I198" s="22">
        <v>7000</v>
      </c>
      <c r="J198" s="23">
        <f t="shared" si="0"/>
        <v>0</v>
      </c>
    </row>
    <row r="199" spans="1:10" x14ac:dyDescent="0.25">
      <c r="A199" s="1"/>
      <c r="B199" s="1">
        <v>12</v>
      </c>
      <c r="C199" s="3">
        <v>41835</v>
      </c>
      <c r="D199" s="19" t="s">
        <v>78</v>
      </c>
      <c r="E199" s="1" t="s">
        <v>30</v>
      </c>
      <c r="F199" s="41" t="s">
        <v>9</v>
      </c>
      <c r="G199" s="22">
        <v>7000</v>
      </c>
      <c r="H199" s="21">
        <v>41872</v>
      </c>
      <c r="I199" s="22">
        <v>7000</v>
      </c>
      <c r="J199" s="23">
        <f t="shared" si="0"/>
        <v>0</v>
      </c>
    </row>
    <row r="200" spans="1:10" x14ac:dyDescent="0.25">
      <c r="A200" s="1"/>
      <c r="B200" s="1">
        <v>13</v>
      </c>
      <c r="C200" s="3">
        <v>41836</v>
      </c>
      <c r="D200" s="19" t="s">
        <v>78</v>
      </c>
      <c r="E200" s="1" t="s">
        <v>30</v>
      </c>
      <c r="F200" s="41" t="s">
        <v>25</v>
      </c>
      <c r="G200" s="22">
        <v>7000</v>
      </c>
      <c r="H200" s="21">
        <v>41872</v>
      </c>
      <c r="I200" s="22">
        <v>7000</v>
      </c>
      <c r="J200" s="23">
        <f t="shared" si="0"/>
        <v>0</v>
      </c>
    </row>
    <row r="201" spans="1:10" x14ac:dyDescent="0.25">
      <c r="A201" s="1"/>
      <c r="B201" s="1">
        <v>14</v>
      </c>
      <c r="C201" s="3">
        <v>41837</v>
      </c>
      <c r="D201" s="19" t="s">
        <v>78</v>
      </c>
      <c r="E201" s="1" t="s">
        <v>30</v>
      </c>
      <c r="F201" s="41" t="s">
        <v>23</v>
      </c>
      <c r="G201" s="22">
        <v>9000</v>
      </c>
      <c r="H201" s="21">
        <v>41872</v>
      </c>
      <c r="I201" s="22">
        <v>9000</v>
      </c>
      <c r="J201" s="23">
        <f t="shared" si="0"/>
        <v>0</v>
      </c>
    </row>
    <row r="202" spans="1:10" x14ac:dyDescent="0.25">
      <c r="A202" s="1"/>
      <c r="B202" s="1">
        <v>15</v>
      </c>
      <c r="C202" s="3">
        <v>41837</v>
      </c>
      <c r="D202" s="19" t="s">
        <v>78</v>
      </c>
      <c r="E202" s="1" t="s">
        <v>30</v>
      </c>
      <c r="F202" s="41" t="s">
        <v>9</v>
      </c>
      <c r="G202" s="22">
        <v>7000</v>
      </c>
      <c r="H202" s="21">
        <v>41872</v>
      </c>
      <c r="I202" s="22">
        <v>7000</v>
      </c>
      <c r="J202" s="23">
        <f t="shared" si="0"/>
        <v>0</v>
      </c>
    </row>
    <row r="203" spans="1:10" x14ac:dyDescent="0.25">
      <c r="A203" s="1"/>
      <c r="B203" s="1">
        <v>16</v>
      </c>
      <c r="C203" s="3">
        <v>41838</v>
      </c>
      <c r="D203" s="19" t="s">
        <v>78</v>
      </c>
      <c r="E203" s="1" t="s">
        <v>30</v>
      </c>
      <c r="F203" s="41" t="s">
        <v>22</v>
      </c>
      <c r="G203" s="22">
        <v>4000</v>
      </c>
      <c r="H203" s="21">
        <v>41872</v>
      </c>
      <c r="I203" s="22">
        <v>4000</v>
      </c>
      <c r="J203" s="23">
        <f t="shared" si="0"/>
        <v>0</v>
      </c>
    </row>
    <row r="204" spans="1:10" x14ac:dyDescent="0.25">
      <c r="A204" s="1"/>
      <c r="B204" s="1">
        <v>17</v>
      </c>
      <c r="C204" s="3">
        <v>41838</v>
      </c>
      <c r="D204" s="19" t="s">
        <v>78</v>
      </c>
      <c r="E204" s="1" t="s">
        <v>30</v>
      </c>
      <c r="F204" s="41" t="s">
        <v>9</v>
      </c>
      <c r="G204" s="22">
        <v>4000</v>
      </c>
      <c r="H204" s="21">
        <v>41872</v>
      </c>
      <c r="I204" s="22">
        <v>4000</v>
      </c>
      <c r="J204" s="23">
        <f t="shared" si="0"/>
        <v>0</v>
      </c>
    </row>
    <row r="205" spans="1:10" x14ac:dyDescent="0.25">
      <c r="A205" s="1"/>
      <c r="B205" s="1">
        <v>22</v>
      </c>
      <c r="C205" s="3">
        <v>41848</v>
      </c>
      <c r="D205" s="19" t="s">
        <v>78</v>
      </c>
      <c r="E205" s="1" t="s">
        <v>30</v>
      </c>
      <c r="F205" s="41" t="s">
        <v>21</v>
      </c>
      <c r="G205" s="22">
        <v>7000</v>
      </c>
      <c r="H205" s="45">
        <v>41893</v>
      </c>
      <c r="I205" s="22">
        <v>7000</v>
      </c>
      <c r="J205" s="23">
        <f t="shared" si="0"/>
        <v>0</v>
      </c>
    </row>
    <row r="206" spans="1:10" x14ac:dyDescent="0.25">
      <c r="A206" s="1"/>
      <c r="B206" s="1">
        <v>23</v>
      </c>
      <c r="C206" s="3">
        <v>41848</v>
      </c>
      <c r="D206" s="19" t="s">
        <v>78</v>
      </c>
      <c r="E206" s="1" t="s">
        <v>30</v>
      </c>
      <c r="F206" s="41" t="s">
        <v>25</v>
      </c>
      <c r="G206" s="22">
        <v>8000</v>
      </c>
      <c r="H206" s="45">
        <v>41893</v>
      </c>
      <c r="I206" s="22">
        <v>8000</v>
      </c>
      <c r="J206" s="23">
        <f t="shared" si="0"/>
        <v>0</v>
      </c>
    </row>
    <row r="207" spans="1:10" x14ac:dyDescent="0.25">
      <c r="A207" s="1"/>
      <c r="B207" s="1">
        <v>24</v>
      </c>
      <c r="C207" s="3">
        <v>41849</v>
      </c>
      <c r="D207" s="19" t="s">
        <v>78</v>
      </c>
      <c r="E207" s="1" t="s">
        <v>30</v>
      </c>
      <c r="F207" s="41" t="s">
        <v>9</v>
      </c>
      <c r="G207" s="22">
        <v>8750</v>
      </c>
      <c r="H207" s="45">
        <v>41893</v>
      </c>
      <c r="I207" s="22">
        <v>8750</v>
      </c>
      <c r="J207" s="23">
        <f t="shared" si="0"/>
        <v>0</v>
      </c>
    </row>
    <row r="208" spans="1:10" x14ac:dyDescent="0.25">
      <c r="A208" s="1"/>
      <c r="B208" s="1">
        <v>25</v>
      </c>
      <c r="C208" s="3">
        <v>41849</v>
      </c>
      <c r="D208" s="19" t="s">
        <v>78</v>
      </c>
      <c r="E208" s="1" t="s">
        <v>30</v>
      </c>
      <c r="F208" s="41" t="s">
        <v>25</v>
      </c>
      <c r="G208" s="22">
        <v>8000</v>
      </c>
      <c r="H208" s="45">
        <v>41893</v>
      </c>
      <c r="I208" s="22">
        <v>8000</v>
      </c>
      <c r="J208" s="23">
        <f t="shared" si="0"/>
        <v>0</v>
      </c>
    </row>
    <row r="209" spans="1:10" x14ac:dyDescent="0.25">
      <c r="A209" s="1"/>
      <c r="B209" s="1">
        <v>26</v>
      </c>
      <c r="C209" s="3">
        <v>41850</v>
      </c>
      <c r="D209" s="19" t="s">
        <v>78</v>
      </c>
      <c r="E209" s="1" t="s">
        <v>30</v>
      </c>
      <c r="F209" s="41" t="s">
        <v>21</v>
      </c>
      <c r="G209" s="22">
        <v>4000</v>
      </c>
      <c r="H209" s="45">
        <v>41893</v>
      </c>
      <c r="I209" s="22">
        <v>4000</v>
      </c>
      <c r="J209" s="23">
        <f t="shared" si="0"/>
        <v>0</v>
      </c>
    </row>
    <row r="210" spans="1:10" x14ac:dyDescent="0.25">
      <c r="A210" s="1"/>
      <c r="B210" s="1">
        <v>27</v>
      </c>
      <c r="C210" s="3">
        <v>41850</v>
      </c>
      <c r="D210" s="19" t="s">
        <v>78</v>
      </c>
      <c r="E210" s="1" t="s">
        <v>30</v>
      </c>
      <c r="F210" s="37" t="s">
        <v>19</v>
      </c>
      <c r="G210" s="22">
        <v>4000</v>
      </c>
      <c r="H210" s="45">
        <v>41893</v>
      </c>
      <c r="I210" s="22">
        <v>4000</v>
      </c>
      <c r="J210" s="23">
        <f t="shared" si="0"/>
        <v>0</v>
      </c>
    </row>
    <row r="211" spans="1:10" x14ac:dyDescent="0.25">
      <c r="A211" s="1"/>
      <c r="B211" s="1">
        <v>28</v>
      </c>
      <c r="C211" s="3">
        <v>41850</v>
      </c>
      <c r="D211" s="19" t="s">
        <v>78</v>
      </c>
      <c r="E211" s="1" t="s">
        <v>30</v>
      </c>
      <c r="F211" s="41" t="s">
        <v>9</v>
      </c>
      <c r="G211" s="22">
        <v>8750</v>
      </c>
      <c r="H211" s="45">
        <v>41893</v>
      </c>
      <c r="I211" s="22">
        <v>8750</v>
      </c>
      <c r="J211" s="23">
        <f t="shared" si="0"/>
        <v>0</v>
      </c>
    </row>
    <row r="212" spans="1:10" x14ac:dyDescent="0.25">
      <c r="A212" s="1"/>
      <c r="B212" s="1">
        <v>29</v>
      </c>
      <c r="C212" s="3">
        <v>41851</v>
      </c>
      <c r="D212" s="19" t="s">
        <v>78</v>
      </c>
      <c r="E212" s="1" t="s">
        <v>30</v>
      </c>
      <c r="F212" s="41" t="s">
        <v>9</v>
      </c>
      <c r="G212" s="22">
        <v>8750</v>
      </c>
      <c r="H212" s="45">
        <v>41893</v>
      </c>
      <c r="I212" s="22">
        <v>8750</v>
      </c>
      <c r="J212" s="23">
        <f t="shared" si="0"/>
        <v>0</v>
      </c>
    </row>
    <row r="213" spans="1:10" x14ac:dyDescent="0.25">
      <c r="A213" s="1"/>
      <c r="B213" s="1">
        <v>30</v>
      </c>
      <c r="C213" s="3">
        <v>41851</v>
      </c>
      <c r="D213" s="19" t="s">
        <v>78</v>
      </c>
      <c r="E213" s="1" t="s">
        <v>30</v>
      </c>
      <c r="F213" s="37" t="s">
        <v>19</v>
      </c>
      <c r="G213" s="22">
        <v>4000</v>
      </c>
      <c r="H213" s="45">
        <v>41893</v>
      </c>
      <c r="I213" s="22">
        <v>4000</v>
      </c>
      <c r="J213" s="23">
        <f t="shared" si="0"/>
        <v>0</v>
      </c>
    </row>
    <row r="214" spans="1:10" x14ac:dyDescent="0.25">
      <c r="A214" s="1"/>
      <c r="B214" s="1">
        <v>31</v>
      </c>
      <c r="C214" s="3">
        <v>41851</v>
      </c>
      <c r="D214" s="19" t="s">
        <v>78</v>
      </c>
      <c r="E214" s="1" t="s">
        <v>30</v>
      </c>
      <c r="F214" s="41" t="s">
        <v>48</v>
      </c>
      <c r="G214" s="22">
        <v>4000</v>
      </c>
      <c r="H214" s="45">
        <v>41893</v>
      </c>
      <c r="I214" s="22">
        <v>4000</v>
      </c>
      <c r="J214" s="23">
        <f t="shared" si="0"/>
        <v>0</v>
      </c>
    </row>
    <row r="215" spans="1:10" x14ac:dyDescent="0.25">
      <c r="A215" s="1"/>
      <c r="B215" s="1">
        <v>18</v>
      </c>
      <c r="C215" s="3">
        <v>41838</v>
      </c>
      <c r="D215" s="19" t="s">
        <v>78</v>
      </c>
      <c r="E215" s="1" t="s">
        <v>30</v>
      </c>
      <c r="F215" s="41" t="s">
        <v>23</v>
      </c>
      <c r="G215" s="22">
        <v>7000</v>
      </c>
      <c r="H215" s="45">
        <v>41893</v>
      </c>
      <c r="I215" s="22">
        <v>7000</v>
      </c>
      <c r="J215" s="23">
        <f t="shared" si="0"/>
        <v>0</v>
      </c>
    </row>
    <row r="216" spans="1:10" x14ac:dyDescent="0.25">
      <c r="A216" s="1"/>
      <c r="B216" s="1">
        <v>19</v>
      </c>
      <c r="C216" s="3">
        <v>41839</v>
      </c>
      <c r="D216" s="19" t="s">
        <v>78</v>
      </c>
      <c r="E216" s="1" t="s">
        <v>30</v>
      </c>
      <c r="F216" s="41" t="s">
        <v>23</v>
      </c>
      <c r="G216" s="22">
        <v>5250</v>
      </c>
      <c r="H216" s="45">
        <v>41893</v>
      </c>
      <c r="I216" s="22">
        <v>5250</v>
      </c>
      <c r="J216" s="23">
        <f t="shared" si="0"/>
        <v>0</v>
      </c>
    </row>
    <row r="217" spans="1:10" x14ac:dyDescent="0.25">
      <c r="A217" s="1"/>
      <c r="B217" s="1">
        <v>20</v>
      </c>
      <c r="C217" s="3">
        <v>41842</v>
      </c>
      <c r="D217" s="19" t="s">
        <v>78</v>
      </c>
      <c r="E217" s="1" t="s">
        <v>30</v>
      </c>
      <c r="F217" s="41" t="s">
        <v>25</v>
      </c>
      <c r="G217" s="22">
        <v>7000</v>
      </c>
      <c r="H217" s="45">
        <v>41893</v>
      </c>
      <c r="I217" s="22">
        <v>7000</v>
      </c>
      <c r="J217" s="23">
        <f t="shared" si="0"/>
        <v>0</v>
      </c>
    </row>
    <row r="218" spans="1:10" x14ac:dyDescent="0.25">
      <c r="A218" s="1"/>
      <c r="B218" s="1">
        <v>21</v>
      </c>
      <c r="C218" s="3">
        <v>41846</v>
      </c>
      <c r="D218" s="19" t="s">
        <v>78</v>
      </c>
      <c r="E218" s="1" t="s">
        <v>30</v>
      </c>
      <c r="F218" s="41" t="s">
        <v>9</v>
      </c>
      <c r="G218" s="22">
        <v>5250</v>
      </c>
      <c r="H218" s="45">
        <v>41893</v>
      </c>
      <c r="I218" s="22">
        <v>5250</v>
      </c>
      <c r="J218" s="23">
        <f t="shared" si="0"/>
        <v>0</v>
      </c>
    </row>
    <row r="219" spans="1:10" x14ac:dyDescent="0.25">
      <c r="A219" s="1"/>
      <c r="B219" s="1">
        <v>96</v>
      </c>
      <c r="C219" s="3">
        <v>41851</v>
      </c>
      <c r="D219" s="19" t="s">
        <v>89</v>
      </c>
      <c r="E219" s="19" t="s">
        <v>90</v>
      </c>
      <c r="F219" s="37" t="s">
        <v>50</v>
      </c>
      <c r="G219" s="22">
        <v>39500</v>
      </c>
      <c r="H219" s="3">
        <v>41904</v>
      </c>
      <c r="I219" s="19">
        <v>39500</v>
      </c>
      <c r="J219" s="12">
        <f t="shared" si="0"/>
        <v>0</v>
      </c>
    </row>
    <row r="220" spans="1:10" x14ac:dyDescent="0.25">
      <c r="A220" s="1"/>
      <c r="B220" s="1" t="s">
        <v>102</v>
      </c>
      <c r="C220" s="3">
        <v>41844</v>
      </c>
      <c r="D220" s="64" t="s">
        <v>51</v>
      </c>
      <c r="E220" s="19" t="s">
        <v>104</v>
      </c>
      <c r="F220" s="65" t="s">
        <v>82</v>
      </c>
      <c r="G220" s="22">
        <f>18129.92+0.1+3263.39</f>
        <v>21393.409999999996</v>
      </c>
      <c r="H220" s="3">
        <v>41893</v>
      </c>
      <c r="I220" s="19">
        <v>21393.41</v>
      </c>
      <c r="J220" s="12">
        <f t="shared" si="0"/>
        <v>0</v>
      </c>
    </row>
    <row r="221" spans="1:10" x14ac:dyDescent="0.25">
      <c r="A221" s="1"/>
      <c r="B221" s="1" t="s">
        <v>103</v>
      </c>
      <c r="C221" s="3">
        <v>41844</v>
      </c>
      <c r="D221" s="64" t="s">
        <v>51</v>
      </c>
      <c r="E221" s="19" t="s">
        <v>105</v>
      </c>
      <c r="F221" s="65" t="s">
        <v>82</v>
      </c>
      <c r="G221" s="22">
        <f>5023.9+904.3</f>
        <v>5928.2</v>
      </c>
      <c r="H221" s="3">
        <v>41893</v>
      </c>
      <c r="I221" s="19">
        <v>5928.2</v>
      </c>
      <c r="J221" s="12">
        <f t="shared" si="0"/>
        <v>0</v>
      </c>
    </row>
    <row r="222" spans="1:10" x14ac:dyDescent="0.25">
      <c r="A222" s="1"/>
      <c r="B222" s="1"/>
      <c r="C222" s="3"/>
      <c r="D222" s="15"/>
      <c r="E222" s="1"/>
      <c r="F222" s="42"/>
      <c r="G222" s="22"/>
      <c r="H222" s="3"/>
      <c r="I222" s="19"/>
      <c r="J222" s="12">
        <f t="shared" si="0"/>
        <v>0</v>
      </c>
    </row>
    <row r="223" spans="1:10" x14ac:dyDescent="0.25">
      <c r="A223" s="6"/>
      <c r="B223" s="6"/>
      <c r="C223" s="6"/>
      <c r="D223" s="6" t="s">
        <v>17</v>
      </c>
      <c r="E223" s="6"/>
      <c r="F223" s="6"/>
      <c r="G223" s="7">
        <f>SUM(G7:G46,G53:G78,G90,G109:G114,G50,G131,G148:G152,G155:G156,G161:G164,G167,G196:G221,G174:G192)</f>
        <v>8509285.621199999</v>
      </c>
      <c r="H223" s="7"/>
      <c r="I223" s="7">
        <f>SUM(I7:I221)</f>
        <v>8509285.6199999992</v>
      </c>
      <c r="J223" s="7">
        <f>SUM(J7:J221)</f>
        <v>1.1999999987892807E-3</v>
      </c>
    </row>
    <row r="224" spans="1:10" x14ac:dyDescent="0.25">
      <c r="A224" s="2"/>
      <c r="B224" s="2"/>
      <c r="C224" s="2"/>
      <c r="D224" s="2"/>
      <c r="E224" s="2"/>
      <c r="F224" s="2"/>
      <c r="G224" s="2"/>
      <c r="J224" s="52">
        <f>G223-I223</f>
        <v>1.1999998241662979E-3</v>
      </c>
    </row>
    <row r="225" spans="1:10" x14ac:dyDescent="0.25">
      <c r="A225" s="8"/>
      <c r="B225" s="2"/>
      <c r="C225" s="2"/>
      <c r="D225" s="54"/>
      <c r="E225" s="55"/>
      <c r="F225" s="55"/>
      <c r="G225" s="13"/>
      <c r="H225" s="13"/>
      <c r="I225" s="13"/>
      <c r="J225" s="13"/>
    </row>
    <row r="226" spans="1:10" x14ac:dyDescent="0.25">
      <c r="A226" s="2"/>
      <c r="B226" s="2"/>
      <c r="C226" s="2"/>
      <c r="D226" s="55"/>
      <c r="E226" s="55"/>
      <c r="F226" s="55"/>
      <c r="G226" s="2"/>
    </row>
    <row r="227" spans="1:10" x14ac:dyDescent="0.25">
      <c r="A227" s="2"/>
      <c r="D227" s="56"/>
      <c r="E227" s="56"/>
      <c r="F227" s="56"/>
    </row>
    <row r="228" spans="1:10" x14ac:dyDescent="0.25">
      <c r="A228" s="2"/>
    </row>
    <row r="229" spans="1:10" x14ac:dyDescent="0.25">
      <c r="A229" s="2"/>
    </row>
    <row r="230" spans="1:10" x14ac:dyDescent="0.25">
      <c r="A230" s="2"/>
      <c r="B230" s="2"/>
      <c r="C230" s="2"/>
      <c r="D230" s="2"/>
      <c r="E230" s="2"/>
      <c r="F230" s="2"/>
      <c r="G230" s="2"/>
    </row>
    <row r="231" spans="1:10" x14ac:dyDescent="0.25">
      <c r="A231" s="2"/>
      <c r="B231" s="2"/>
      <c r="C231" s="2"/>
      <c r="D231" s="2"/>
      <c r="E231" s="2"/>
      <c r="F231" s="2"/>
      <c r="G231" s="2"/>
    </row>
    <row r="232" spans="1:10" x14ac:dyDescent="0.25">
      <c r="A232" s="2"/>
      <c r="B232" s="2"/>
      <c r="C232" s="2"/>
      <c r="D232" s="2"/>
      <c r="E232" s="2"/>
      <c r="F232" s="2"/>
      <c r="G232" s="2"/>
    </row>
    <row r="233" spans="1:10" x14ac:dyDescent="0.25">
      <c r="A233" s="2"/>
      <c r="B233" s="2"/>
      <c r="C233" s="2"/>
      <c r="D233" s="2"/>
      <c r="E233" s="2"/>
      <c r="F233" s="2"/>
      <c r="G233" s="2"/>
    </row>
    <row r="234" spans="1:10" x14ac:dyDescent="0.25">
      <c r="A234" s="2"/>
      <c r="B234" s="2"/>
      <c r="C234" s="2"/>
      <c r="D234" s="2"/>
      <c r="E234" s="2"/>
      <c r="F234" s="2"/>
      <c r="G234" s="2"/>
    </row>
    <row r="235" spans="1:10" x14ac:dyDescent="0.25">
      <c r="A235" s="2"/>
      <c r="B235" s="2"/>
      <c r="C235" s="2"/>
      <c r="D235" s="2"/>
      <c r="E235" s="2"/>
      <c r="F235" s="2"/>
      <c r="G235" s="2"/>
    </row>
    <row r="236" spans="1:10" x14ac:dyDescent="0.25">
      <c r="A236" s="2"/>
      <c r="B236" s="2"/>
      <c r="C236" s="2"/>
      <c r="D236" s="2"/>
      <c r="E236" s="2"/>
      <c r="F236" s="2"/>
      <c r="G236" s="2"/>
    </row>
    <row r="237" spans="1:10" x14ac:dyDescent="0.25">
      <c r="A237" s="2"/>
      <c r="B237" s="2"/>
      <c r="C237" s="2"/>
      <c r="D237" s="2"/>
      <c r="E237" s="2"/>
      <c r="F237" s="2"/>
      <c r="G237" s="2"/>
    </row>
    <row r="238" spans="1:10" x14ac:dyDescent="0.25">
      <c r="A238" s="2"/>
      <c r="B238" s="2"/>
      <c r="C238" s="2"/>
      <c r="D238" s="2"/>
      <c r="E238" s="2"/>
      <c r="F238" s="2"/>
      <c r="G238" s="2"/>
    </row>
    <row r="239" spans="1:10" x14ac:dyDescent="0.25">
      <c r="A239" s="2"/>
      <c r="B239" s="2"/>
      <c r="C239" s="2"/>
      <c r="D239" s="2"/>
      <c r="E239" s="2"/>
      <c r="F239" s="2"/>
      <c r="G239" s="2"/>
    </row>
    <row r="240" spans="1:10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</sheetData>
  <autoFilter ref="A5:J223"/>
  <mergeCells count="7">
    <mergeCell ref="G5:G6"/>
    <mergeCell ref="A5:A6"/>
    <mergeCell ref="B5:B6"/>
    <mergeCell ref="C5:C6"/>
    <mergeCell ref="D5:D6"/>
    <mergeCell ref="E5:E6"/>
    <mergeCell ref="F5:F6"/>
  </mergeCells>
  <pageMargins left="0.31496062992125984" right="0.11811023622047245" top="0.35433070866141736" bottom="0.15748031496062992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2:J209"/>
  <sheetViews>
    <sheetView workbookViewId="0">
      <pane xSplit="4" ySplit="6" topLeftCell="E157" activePane="bottomRight" state="frozen"/>
      <selection pane="topRight" activeCell="E1" sqref="E1"/>
      <selection pane="bottomLeft" activeCell="A7" sqref="A7"/>
      <selection pane="bottomRight" activeCell="E2" sqref="E2"/>
    </sheetView>
  </sheetViews>
  <sheetFormatPr defaultRowHeight="15" x14ac:dyDescent="0.25"/>
  <cols>
    <col min="1" max="1" width="5.140625" customWidth="1"/>
    <col min="2" max="2" width="8.5703125" customWidth="1"/>
    <col min="3" max="3" width="12.42578125" customWidth="1"/>
    <col min="4" max="4" width="31" customWidth="1"/>
    <col min="5" max="5" width="34.5703125" customWidth="1"/>
    <col min="6" max="6" width="20" customWidth="1"/>
    <col min="7" max="7" width="17.7109375" customWidth="1"/>
    <col min="8" max="8" width="11.85546875" customWidth="1"/>
    <col min="9" max="9" width="14.140625" customWidth="1"/>
    <col min="10" max="10" width="14.42578125" customWidth="1"/>
  </cols>
  <sheetData>
    <row r="2" spans="1:10" x14ac:dyDescent="0.25">
      <c r="E2" s="66"/>
    </row>
    <row r="5" spans="1:10" x14ac:dyDescent="0.25">
      <c r="A5" s="102" t="s">
        <v>0</v>
      </c>
      <c r="B5" s="101" t="s">
        <v>1</v>
      </c>
      <c r="C5" s="101" t="s">
        <v>2</v>
      </c>
      <c r="D5" s="101" t="s">
        <v>3</v>
      </c>
      <c r="E5" s="101" t="s">
        <v>4</v>
      </c>
      <c r="F5" s="103" t="s">
        <v>18</v>
      </c>
      <c r="G5" s="101" t="s">
        <v>5</v>
      </c>
      <c r="H5" s="27" t="s">
        <v>10</v>
      </c>
      <c r="I5" s="28"/>
      <c r="J5" s="29"/>
    </row>
    <row r="6" spans="1:10" ht="29.25" customHeight="1" x14ac:dyDescent="0.25">
      <c r="A6" s="102"/>
      <c r="B6" s="101"/>
      <c r="C6" s="101"/>
      <c r="D6" s="101"/>
      <c r="E6" s="101"/>
      <c r="F6" s="104"/>
      <c r="G6" s="101"/>
      <c r="H6" s="9" t="s">
        <v>11</v>
      </c>
      <c r="I6" s="9" t="s">
        <v>12</v>
      </c>
      <c r="J6" s="10" t="s">
        <v>13</v>
      </c>
    </row>
    <row r="7" spans="1:10" ht="15" customHeight="1" x14ac:dyDescent="0.25">
      <c r="A7" s="57"/>
      <c r="B7" s="58">
        <v>142</v>
      </c>
      <c r="C7" s="59">
        <v>41852</v>
      </c>
      <c r="D7" s="1" t="s">
        <v>47</v>
      </c>
      <c r="E7" s="1" t="s">
        <v>38</v>
      </c>
      <c r="F7" s="41" t="s">
        <v>25</v>
      </c>
      <c r="G7" s="22">
        <v>11440</v>
      </c>
      <c r="H7" s="3">
        <v>41904</v>
      </c>
      <c r="I7" s="19">
        <v>11440</v>
      </c>
      <c r="J7" s="12">
        <f t="shared" ref="J7:J48" si="0">G7-I7</f>
        <v>0</v>
      </c>
    </row>
    <row r="8" spans="1:10" ht="15" customHeight="1" x14ac:dyDescent="0.25">
      <c r="A8" s="57"/>
      <c r="B8" s="58">
        <v>143</v>
      </c>
      <c r="C8" s="59">
        <v>41853</v>
      </c>
      <c r="D8" s="1" t="s">
        <v>47</v>
      </c>
      <c r="E8" s="1" t="s">
        <v>24</v>
      </c>
      <c r="F8" s="41" t="s">
        <v>9</v>
      </c>
      <c r="G8" s="22">
        <v>20020</v>
      </c>
      <c r="H8" s="3">
        <v>41904</v>
      </c>
      <c r="I8" s="19">
        <v>20020</v>
      </c>
      <c r="J8" s="12">
        <f t="shared" si="0"/>
        <v>0</v>
      </c>
    </row>
    <row r="9" spans="1:10" ht="15" customHeight="1" x14ac:dyDescent="0.25">
      <c r="A9" s="57"/>
      <c r="B9" s="58">
        <v>145</v>
      </c>
      <c r="C9" s="59">
        <v>41859</v>
      </c>
      <c r="D9" s="1" t="s">
        <v>47</v>
      </c>
      <c r="E9" s="1" t="s">
        <v>24</v>
      </c>
      <c r="F9" s="41" t="s">
        <v>9</v>
      </c>
      <c r="G9" s="22">
        <v>52910</v>
      </c>
      <c r="H9" s="3">
        <v>41904</v>
      </c>
      <c r="I9" s="19">
        <v>52910</v>
      </c>
      <c r="J9" s="12">
        <f t="shared" si="0"/>
        <v>0</v>
      </c>
    </row>
    <row r="10" spans="1:10" ht="15" customHeight="1" x14ac:dyDescent="0.25">
      <c r="A10" s="62"/>
      <c r="B10" s="63">
        <v>151</v>
      </c>
      <c r="C10" s="59">
        <v>41866</v>
      </c>
      <c r="D10" s="1" t="s">
        <v>47</v>
      </c>
      <c r="E10" s="1" t="s">
        <v>86</v>
      </c>
      <c r="F10" s="41" t="s">
        <v>9</v>
      </c>
      <c r="G10" s="22">
        <v>69880</v>
      </c>
      <c r="H10" s="45">
        <v>41912</v>
      </c>
      <c r="I10" s="19">
        <v>69880</v>
      </c>
      <c r="J10" s="12">
        <f t="shared" si="0"/>
        <v>0</v>
      </c>
    </row>
    <row r="11" spans="1:10" ht="15" customHeight="1" x14ac:dyDescent="0.25">
      <c r="A11" s="62"/>
      <c r="B11" s="63">
        <v>152</v>
      </c>
      <c r="C11" s="59">
        <v>41870</v>
      </c>
      <c r="D11" s="1" t="s">
        <v>47</v>
      </c>
      <c r="E11" s="1" t="s">
        <v>86</v>
      </c>
      <c r="F11" s="41" t="s">
        <v>9</v>
      </c>
      <c r="G11" s="22">
        <v>8580</v>
      </c>
      <c r="H11" s="45">
        <v>41912</v>
      </c>
      <c r="I11" s="19">
        <v>8580</v>
      </c>
      <c r="J11" s="12">
        <f t="shared" si="0"/>
        <v>0</v>
      </c>
    </row>
    <row r="12" spans="1:10" ht="15" customHeight="1" x14ac:dyDescent="0.25">
      <c r="A12" s="67"/>
      <c r="B12" s="68">
        <v>152</v>
      </c>
      <c r="C12" s="59">
        <v>41870</v>
      </c>
      <c r="D12" s="1" t="s">
        <v>47</v>
      </c>
      <c r="E12" s="1" t="s">
        <v>86</v>
      </c>
      <c r="F12" s="41" t="s">
        <v>98</v>
      </c>
      <c r="G12" s="22">
        <v>12180</v>
      </c>
      <c r="H12" s="45">
        <v>41912</v>
      </c>
      <c r="I12" s="19">
        <v>12180</v>
      </c>
      <c r="J12" s="12">
        <f t="shared" si="0"/>
        <v>0</v>
      </c>
    </row>
    <row r="13" spans="1:10" ht="15" customHeight="1" x14ac:dyDescent="0.25">
      <c r="A13" s="62"/>
      <c r="B13" s="63">
        <v>150</v>
      </c>
      <c r="C13" s="59">
        <v>41864</v>
      </c>
      <c r="D13" s="1" t="s">
        <v>47</v>
      </c>
      <c r="E13" s="1" t="s">
        <v>38</v>
      </c>
      <c r="F13" s="41" t="s">
        <v>25</v>
      </c>
      <c r="G13" s="22">
        <v>22880</v>
      </c>
      <c r="H13" s="45">
        <v>41912</v>
      </c>
      <c r="I13" s="19">
        <v>22880</v>
      </c>
      <c r="J13" s="12">
        <f t="shared" si="0"/>
        <v>0</v>
      </c>
    </row>
    <row r="14" spans="1:10" ht="15" customHeight="1" x14ac:dyDescent="0.25">
      <c r="A14" s="67"/>
      <c r="B14" s="68">
        <v>117</v>
      </c>
      <c r="C14" s="59">
        <v>41866</v>
      </c>
      <c r="D14" s="18" t="s">
        <v>35</v>
      </c>
      <c r="E14" s="18" t="s">
        <v>45</v>
      </c>
      <c r="F14" s="41" t="s">
        <v>25</v>
      </c>
      <c r="G14" s="22">
        <v>67200</v>
      </c>
      <c r="H14" s="45">
        <v>41893</v>
      </c>
      <c r="I14" s="19">
        <v>67200</v>
      </c>
      <c r="J14" s="12">
        <f t="shared" si="0"/>
        <v>0</v>
      </c>
    </row>
    <row r="15" spans="1:10" ht="15" customHeight="1" x14ac:dyDescent="0.25">
      <c r="A15" s="57"/>
      <c r="B15" s="58">
        <v>118</v>
      </c>
      <c r="C15" s="59">
        <v>41866</v>
      </c>
      <c r="D15" s="18" t="s">
        <v>35</v>
      </c>
      <c r="E15" s="18" t="s">
        <v>45</v>
      </c>
      <c r="F15" s="41" t="s">
        <v>21</v>
      </c>
      <c r="G15" s="22">
        <v>74800</v>
      </c>
      <c r="H15" s="45">
        <v>41893</v>
      </c>
      <c r="I15" s="19">
        <v>74800</v>
      </c>
      <c r="J15" s="12">
        <f t="shared" si="0"/>
        <v>0</v>
      </c>
    </row>
    <row r="16" spans="1:10" ht="15" customHeight="1" x14ac:dyDescent="0.25">
      <c r="A16" s="57"/>
      <c r="B16" s="58">
        <v>120</v>
      </c>
      <c r="C16" s="59">
        <v>41866</v>
      </c>
      <c r="D16" s="18" t="s">
        <v>35</v>
      </c>
      <c r="E16" s="18" t="s">
        <v>44</v>
      </c>
      <c r="F16" s="37" t="s">
        <v>19</v>
      </c>
      <c r="G16" s="22">
        <v>4000</v>
      </c>
      <c r="H16" s="45">
        <v>41893</v>
      </c>
      <c r="I16" s="19">
        <v>4000</v>
      </c>
      <c r="J16" s="12">
        <f t="shared" si="0"/>
        <v>0</v>
      </c>
    </row>
    <row r="17" spans="1:10" ht="15" customHeight="1" x14ac:dyDescent="0.25">
      <c r="A17" s="57"/>
      <c r="B17" s="58">
        <v>119</v>
      </c>
      <c r="C17" s="59">
        <v>41865</v>
      </c>
      <c r="D17" s="18" t="s">
        <v>35</v>
      </c>
      <c r="E17" s="18" t="s">
        <v>45</v>
      </c>
      <c r="F17" s="37" t="s">
        <v>20</v>
      </c>
      <c r="G17" s="22">
        <v>11600</v>
      </c>
      <c r="H17" s="45">
        <v>41893</v>
      </c>
      <c r="I17" s="19">
        <v>11600</v>
      </c>
      <c r="J17" s="12">
        <f t="shared" si="0"/>
        <v>0</v>
      </c>
    </row>
    <row r="18" spans="1:10" ht="15" customHeight="1" x14ac:dyDescent="0.25">
      <c r="A18" s="57"/>
      <c r="B18" s="58">
        <v>121</v>
      </c>
      <c r="C18" s="59">
        <v>41867</v>
      </c>
      <c r="D18" s="18" t="s">
        <v>35</v>
      </c>
      <c r="E18" s="18" t="s">
        <v>45</v>
      </c>
      <c r="F18" s="41" t="s">
        <v>25</v>
      </c>
      <c r="G18" s="22">
        <v>94150</v>
      </c>
      <c r="H18" s="45">
        <v>41893</v>
      </c>
      <c r="I18" s="19">
        <v>94150</v>
      </c>
      <c r="J18" s="12">
        <f t="shared" si="0"/>
        <v>0</v>
      </c>
    </row>
    <row r="19" spans="1:10" ht="15" customHeight="1" x14ac:dyDescent="0.25">
      <c r="A19" s="57"/>
      <c r="B19" s="58">
        <v>101</v>
      </c>
      <c r="C19" s="59">
        <v>41858</v>
      </c>
      <c r="D19" s="60" t="s">
        <v>32</v>
      </c>
      <c r="E19" s="60" t="s">
        <v>70</v>
      </c>
      <c r="F19" s="41" t="s">
        <v>82</v>
      </c>
      <c r="G19" s="22">
        <v>10000</v>
      </c>
      <c r="H19" s="45">
        <v>41893</v>
      </c>
      <c r="I19" s="19">
        <v>10000</v>
      </c>
      <c r="J19" s="12">
        <f t="shared" si="0"/>
        <v>0</v>
      </c>
    </row>
    <row r="20" spans="1:10" ht="15" customHeight="1" x14ac:dyDescent="0.25">
      <c r="A20" s="57"/>
      <c r="B20" s="58">
        <v>61</v>
      </c>
      <c r="C20" s="59">
        <v>41865</v>
      </c>
      <c r="D20" s="60" t="s">
        <v>52</v>
      </c>
      <c r="E20" s="60" t="s">
        <v>24</v>
      </c>
      <c r="F20" s="41" t="s">
        <v>21</v>
      </c>
      <c r="G20" s="22">
        <v>34800</v>
      </c>
      <c r="H20" s="3">
        <v>41904</v>
      </c>
      <c r="I20" s="19">
        <v>34800</v>
      </c>
      <c r="J20" s="12">
        <f t="shared" si="0"/>
        <v>0</v>
      </c>
    </row>
    <row r="21" spans="1:10" ht="15" customHeight="1" x14ac:dyDescent="0.25">
      <c r="A21" s="57"/>
      <c r="B21" s="58">
        <v>62</v>
      </c>
      <c r="C21" s="59">
        <v>41864</v>
      </c>
      <c r="D21" s="60" t="s">
        <v>52</v>
      </c>
      <c r="E21" s="60" t="s">
        <v>24</v>
      </c>
      <c r="F21" s="61" t="s">
        <v>9</v>
      </c>
      <c r="G21" s="22">
        <v>34800</v>
      </c>
      <c r="H21" s="3">
        <v>41904</v>
      </c>
      <c r="I21" s="19">
        <v>34800</v>
      </c>
      <c r="J21" s="12">
        <f t="shared" si="0"/>
        <v>0</v>
      </c>
    </row>
    <row r="22" spans="1:10" ht="15" customHeight="1" x14ac:dyDescent="0.25">
      <c r="A22" s="57"/>
      <c r="B22" s="58">
        <v>63</v>
      </c>
      <c r="C22" s="59">
        <v>41866</v>
      </c>
      <c r="D22" s="60" t="s">
        <v>52</v>
      </c>
      <c r="E22" s="60" t="s">
        <v>24</v>
      </c>
      <c r="F22" s="40" t="s">
        <v>20</v>
      </c>
      <c r="G22" s="22">
        <v>11600</v>
      </c>
      <c r="H22" s="45">
        <v>41912</v>
      </c>
      <c r="I22" s="19">
        <v>11600</v>
      </c>
      <c r="J22" s="12">
        <f t="shared" si="0"/>
        <v>0</v>
      </c>
    </row>
    <row r="23" spans="1:10" ht="15" customHeight="1" x14ac:dyDescent="0.25">
      <c r="A23" s="57"/>
      <c r="B23" s="58">
        <v>149</v>
      </c>
      <c r="C23" s="59">
        <v>41866</v>
      </c>
      <c r="D23" s="1" t="s">
        <v>6</v>
      </c>
      <c r="E23" s="1" t="s">
        <v>30</v>
      </c>
      <c r="F23" s="61" t="s">
        <v>9</v>
      </c>
      <c r="G23" s="22">
        <v>6400</v>
      </c>
      <c r="H23" s="3">
        <v>41904</v>
      </c>
      <c r="I23" s="19">
        <v>6400</v>
      </c>
      <c r="J23" s="12">
        <f t="shared" si="0"/>
        <v>0</v>
      </c>
    </row>
    <row r="24" spans="1:10" ht="15" customHeight="1" x14ac:dyDescent="0.25">
      <c r="A24" s="57"/>
      <c r="B24" s="58">
        <v>150</v>
      </c>
      <c r="C24" s="59">
        <v>41866</v>
      </c>
      <c r="D24" s="1" t="s">
        <v>6</v>
      </c>
      <c r="E24" s="1" t="s">
        <v>30</v>
      </c>
      <c r="F24" s="61" t="s">
        <v>9</v>
      </c>
      <c r="G24" s="22">
        <v>4000</v>
      </c>
      <c r="H24" s="3">
        <v>41904</v>
      </c>
      <c r="I24" s="19">
        <v>4000</v>
      </c>
      <c r="J24" s="12">
        <f t="shared" si="0"/>
        <v>0</v>
      </c>
    </row>
    <row r="25" spans="1:10" ht="15" customHeight="1" x14ac:dyDescent="0.25">
      <c r="A25" s="57"/>
      <c r="B25" s="58">
        <v>151</v>
      </c>
      <c r="C25" s="59">
        <v>41866</v>
      </c>
      <c r="D25" s="1" t="s">
        <v>6</v>
      </c>
      <c r="E25" s="1" t="s">
        <v>30</v>
      </c>
      <c r="F25" s="61" t="s">
        <v>9</v>
      </c>
      <c r="G25" s="22">
        <v>12000</v>
      </c>
      <c r="H25" s="3">
        <v>41904</v>
      </c>
      <c r="I25" s="19">
        <v>12000</v>
      </c>
      <c r="J25" s="12">
        <f t="shared" si="0"/>
        <v>0</v>
      </c>
    </row>
    <row r="26" spans="1:10" ht="15" customHeight="1" x14ac:dyDescent="0.25">
      <c r="A26" s="57"/>
      <c r="B26" s="58">
        <v>152</v>
      </c>
      <c r="C26" s="59">
        <v>41866</v>
      </c>
      <c r="D26" s="1" t="s">
        <v>6</v>
      </c>
      <c r="E26" s="1" t="s">
        <v>30</v>
      </c>
      <c r="F26" s="61" t="s">
        <v>9</v>
      </c>
      <c r="G26" s="22">
        <v>59200</v>
      </c>
      <c r="H26" s="3">
        <v>41904</v>
      </c>
      <c r="I26" s="19">
        <v>59200</v>
      </c>
      <c r="J26" s="12">
        <f t="shared" si="0"/>
        <v>0</v>
      </c>
    </row>
    <row r="27" spans="1:10" ht="15" customHeight="1" x14ac:dyDescent="0.25">
      <c r="A27" s="57"/>
      <c r="B27" s="58">
        <v>153</v>
      </c>
      <c r="C27" s="59">
        <v>41866</v>
      </c>
      <c r="D27" s="1" t="s">
        <v>6</v>
      </c>
      <c r="E27" s="1" t="s">
        <v>30</v>
      </c>
      <c r="F27" s="40" t="s">
        <v>20</v>
      </c>
      <c r="G27" s="22">
        <v>3200</v>
      </c>
      <c r="H27" s="3">
        <v>41904</v>
      </c>
      <c r="I27" s="19">
        <v>3200</v>
      </c>
      <c r="J27" s="12">
        <f t="shared" si="0"/>
        <v>0</v>
      </c>
    </row>
    <row r="28" spans="1:10" ht="15" customHeight="1" x14ac:dyDescent="0.25">
      <c r="A28" s="57"/>
      <c r="B28" s="58">
        <v>155</v>
      </c>
      <c r="C28" s="59">
        <v>41866</v>
      </c>
      <c r="D28" s="1" t="s">
        <v>6</v>
      </c>
      <c r="E28" s="1" t="s">
        <v>30</v>
      </c>
      <c r="F28" s="41" t="s">
        <v>25</v>
      </c>
      <c r="G28" s="22">
        <v>12800</v>
      </c>
      <c r="H28" s="3">
        <v>41912</v>
      </c>
      <c r="I28" s="9">
        <v>12800</v>
      </c>
      <c r="J28" s="12">
        <f t="shared" si="0"/>
        <v>0</v>
      </c>
    </row>
    <row r="29" spans="1:10" ht="15" customHeight="1" x14ac:dyDescent="0.25">
      <c r="A29" s="57"/>
      <c r="B29" s="58">
        <v>154</v>
      </c>
      <c r="C29" s="59">
        <v>41866</v>
      </c>
      <c r="D29" s="1" t="s">
        <v>6</v>
      </c>
      <c r="E29" s="1" t="s">
        <v>30</v>
      </c>
      <c r="F29" s="41" t="s">
        <v>48</v>
      </c>
      <c r="G29" s="22">
        <v>3200</v>
      </c>
      <c r="H29" s="3">
        <v>41912</v>
      </c>
      <c r="I29" s="9">
        <v>3200</v>
      </c>
      <c r="J29" s="12">
        <f t="shared" si="0"/>
        <v>0</v>
      </c>
    </row>
    <row r="30" spans="1:10" ht="15" customHeight="1" x14ac:dyDescent="0.25">
      <c r="A30" s="57"/>
      <c r="B30" s="58">
        <v>157</v>
      </c>
      <c r="C30" s="59">
        <v>41866</v>
      </c>
      <c r="D30" s="1" t="s">
        <v>6</v>
      </c>
      <c r="E30" s="1" t="s">
        <v>30</v>
      </c>
      <c r="F30" s="41" t="s">
        <v>83</v>
      </c>
      <c r="G30" s="22">
        <v>4000</v>
      </c>
      <c r="H30" s="3">
        <v>41912</v>
      </c>
      <c r="I30" s="9">
        <v>4000</v>
      </c>
      <c r="J30" s="12">
        <f t="shared" si="0"/>
        <v>0</v>
      </c>
    </row>
    <row r="31" spans="1:10" ht="15" customHeight="1" x14ac:dyDescent="0.25">
      <c r="A31" s="57"/>
      <c r="B31" s="58">
        <v>156</v>
      </c>
      <c r="C31" s="59">
        <v>41866</v>
      </c>
      <c r="D31" s="1" t="s">
        <v>6</v>
      </c>
      <c r="E31" s="1" t="s">
        <v>30</v>
      </c>
      <c r="F31" s="41" t="s">
        <v>9</v>
      </c>
      <c r="G31" s="22">
        <v>9600</v>
      </c>
      <c r="H31" s="3">
        <v>41912</v>
      </c>
      <c r="I31" s="9">
        <v>9600</v>
      </c>
      <c r="J31" s="12">
        <f t="shared" si="0"/>
        <v>0</v>
      </c>
    </row>
    <row r="32" spans="1:10" ht="15" customHeight="1" x14ac:dyDescent="0.25">
      <c r="A32" s="57"/>
      <c r="B32" s="58">
        <v>163</v>
      </c>
      <c r="C32" s="59">
        <v>41866</v>
      </c>
      <c r="D32" s="1" t="s">
        <v>6</v>
      </c>
      <c r="E32" s="1" t="s">
        <v>30</v>
      </c>
      <c r="F32" s="41" t="s">
        <v>21</v>
      </c>
      <c r="G32" s="22">
        <v>6400</v>
      </c>
      <c r="H32" s="3">
        <v>41912</v>
      </c>
      <c r="I32" s="9">
        <v>6400</v>
      </c>
      <c r="J32" s="12">
        <f t="shared" si="0"/>
        <v>0</v>
      </c>
    </row>
    <row r="33" spans="1:10" ht="15" customHeight="1" x14ac:dyDescent="0.25">
      <c r="A33" s="57"/>
      <c r="B33" s="58">
        <v>164</v>
      </c>
      <c r="C33" s="59">
        <v>41866</v>
      </c>
      <c r="D33" s="1" t="s">
        <v>6</v>
      </c>
      <c r="E33" s="1" t="s">
        <v>30</v>
      </c>
      <c r="F33" s="40" t="s">
        <v>20</v>
      </c>
      <c r="G33" s="22">
        <v>6400</v>
      </c>
      <c r="H33" s="3">
        <v>41912</v>
      </c>
      <c r="I33" s="9">
        <v>6400</v>
      </c>
      <c r="J33" s="12">
        <f t="shared" si="0"/>
        <v>0</v>
      </c>
    </row>
    <row r="34" spans="1:10" ht="15" customHeight="1" x14ac:dyDescent="0.25">
      <c r="A34" s="57"/>
      <c r="B34" s="58">
        <v>165</v>
      </c>
      <c r="C34" s="59">
        <v>41866</v>
      </c>
      <c r="D34" s="1" t="s">
        <v>6</v>
      </c>
      <c r="E34" s="1" t="s">
        <v>30</v>
      </c>
      <c r="F34" s="40" t="s">
        <v>19</v>
      </c>
      <c r="G34" s="22">
        <v>22400</v>
      </c>
      <c r="H34" s="3">
        <v>41912</v>
      </c>
      <c r="I34" s="9">
        <v>22400</v>
      </c>
      <c r="J34" s="12">
        <f t="shared" si="0"/>
        <v>0</v>
      </c>
    </row>
    <row r="35" spans="1:10" ht="15" customHeight="1" x14ac:dyDescent="0.25">
      <c r="A35" s="57"/>
      <c r="B35" s="58">
        <v>158</v>
      </c>
      <c r="C35" s="59">
        <v>41866</v>
      </c>
      <c r="D35" s="1" t="s">
        <v>6</v>
      </c>
      <c r="E35" s="1" t="s">
        <v>30</v>
      </c>
      <c r="F35" s="41" t="s">
        <v>25</v>
      </c>
      <c r="G35" s="22">
        <v>8000</v>
      </c>
      <c r="H35" s="3">
        <v>41912</v>
      </c>
      <c r="I35" s="9">
        <v>8000</v>
      </c>
      <c r="J35" s="12">
        <f t="shared" si="0"/>
        <v>0</v>
      </c>
    </row>
    <row r="36" spans="1:10" ht="15" customHeight="1" x14ac:dyDescent="0.25">
      <c r="A36" s="57"/>
      <c r="B36" s="58">
        <v>5</v>
      </c>
      <c r="C36" s="59">
        <v>41869</v>
      </c>
      <c r="D36" s="1" t="s">
        <v>68</v>
      </c>
      <c r="E36" s="1" t="s">
        <v>84</v>
      </c>
      <c r="F36" s="41" t="s">
        <v>9</v>
      </c>
      <c r="G36" s="22">
        <v>73125</v>
      </c>
      <c r="H36" s="11">
        <v>41904</v>
      </c>
      <c r="I36" s="9">
        <v>73125</v>
      </c>
      <c r="J36" s="12">
        <f t="shared" si="0"/>
        <v>0</v>
      </c>
    </row>
    <row r="37" spans="1:10" ht="15" customHeight="1" x14ac:dyDescent="0.25">
      <c r="A37" s="57"/>
      <c r="B37" s="58">
        <v>73</v>
      </c>
      <c r="C37" s="59">
        <v>41866</v>
      </c>
      <c r="D37" s="1" t="s">
        <v>85</v>
      </c>
      <c r="E37" s="1" t="s">
        <v>30</v>
      </c>
      <c r="F37" s="41"/>
      <c r="G37" s="22">
        <v>104784.1</v>
      </c>
      <c r="H37" s="3" t="s">
        <v>109</v>
      </c>
      <c r="I37" s="9">
        <f>82128.1+22656</f>
        <v>104784.1</v>
      </c>
      <c r="J37" s="12">
        <f t="shared" si="0"/>
        <v>0</v>
      </c>
    </row>
    <row r="38" spans="1:10" x14ac:dyDescent="0.25">
      <c r="A38" s="1"/>
      <c r="B38" s="25"/>
      <c r="C38" s="3"/>
      <c r="D38" s="15" t="s">
        <v>85</v>
      </c>
      <c r="E38" s="15" t="s">
        <v>30</v>
      </c>
      <c r="F38" s="44" t="s">
        <v>25</v>
      </c>
      <c r="G38" s="82">
        <f>2711.86*1.18</f>
        <v>3199.9947999999999</v>
      </c>
      <c r="H38" s="45"/>
      <c r="I38" s="19"/>
      <c r="J38" s="12"/>
    </row>
    <row r="39" spans="1:10" x14ac:dyDescent="0.25">
      <c r="A39" s="1"/>
      <c r="B39" s="25"/>
      <c r="C39" s="3"/>
      <c r="D39" s="15" t="s">
        <v>85</v>
      </c>
      <c r="E39" s="15" t="s">
        <v>30</v>
      </c>
      <c r="F39" s="44" t="s">
        <v>48</v>
      </c>
      <c r="G39" s="82">
        <f>2711.86*1.18</f>
        <v>3199.9947999999999</v>
      </c>
      <c r="H39" s="45"/>
      <c r="I39" s="19"/>
      <c r="J39" s="12"/>
    </row>
    <row r="40" spans="1:10" x14ac:dyDescent="0.25">
      <c r="A40" s="1"/>
      <c r="B40" s="25"/>
      <c r="C40" s="3"/>
      <c r="D40" s="15" t="s">
        <v>85</v>
      </c>
      <c r="E40" s="15" t="s">
        <v>30</v>
      </c>
      <c r="F40" s="44" t="s">
        <v>9</v>
      </c>
      <c r="G40" s="82">
        <f>5423.76*1.18-0.02</f>
        <v>6400.0167999999994</v>
      </c>
      <c r="H40" s="45"/>
      <c r="I40" s="19"/>
      <c r="J40" s="12"/>
    </row>
    <row r="41" spans="1:10" x14ac:dyDescent="0.25">
      <c r="A41" s="1"/>
      <c r="B41" s="25"/>
      <c r="C41" s="3"/>
      <c r="D41" s="15" t="s">
        <v>85</v>
      </c>
      <c r="E41" s="15" t="s">
        <v>30</v>
      </c>
      <c r="F41" s="44" t="s">
        <v>9</v>
      </c>
      <c r="G41" s="82">
        <f>49152.54*1.18</f>
        <v>57999.997199999998</v>
      </c>
      <c r="H41" s="45"/>
      <c r="I41" s="19"/>
      <c r="J41" s="12"/>
    </row>
    <row r="42" spans="1:10" x14ac:dyDescent="0.25">
      <c r="A42" s="1"/>
      <c r="B42" s="25"/>
      <c r="C42" s="3"/>
      <c r="D42" s="15" t="s">
        <v>85</v>
      </c>
      <c r="E42" s="15" t="s">
        <v>30</v>
      </c>
      <c r="F42" s="83" t="s">
        <v>50</v>
      </c>
      <c r="G42" s="84">
        <f>19200*1.18</f>
        <v>22656</v>
      </c>
      <c r="H42" s="45"/>
      <c r="I42" s="19"/>
      <c r="J42" s="12"/>
    </row>
    <row r="43" spans="1:10" x14ac:dyDescent="0.25">
      <c r="A43" s="1"/>
      <c r="B43" s="25"/>
      <c r="C43" s="3"/>
      <c r="D43" s="15" t="s">
        <v>85</v>
      </c>
      <c r="E43" s="15" t="s">
        <v>30</v>
      </c>
      <c r="F43" s="44" t="s">
        <v>9</v>
      </c>
      <c r="G43" s="82">
        <f>9600*1.18</f>
        <v>11328</v>
      </c>
      <c r="H43" s="45"/>
      <c r="I43" s="19"/>
      <c r="J43" s="12"/>
    </row>
    <row r="44" spans="1:10" ht="15" customHeight="1" x14ac:dyDescent="0.25">
      <c r="A44" s="57"/>
      <c r="B44" s="58">
        <v>159</v>
      </c>
      <c r="C44" s="59">
        <v>41866</v>
      </c>
      <c r="D44" s="1" t="s">
        <v>6</v>
      </c>
      <c r="E44" s="1" t="s">
        <v>30</v>
      </c>
      <c r="F44" s="40" t="s">
        <v>20</v>
      </c>
      <c r="G44" s="22">
        <v>12000</v>
      </c>
      <c r="H44" s="3">
        <v>41912</v>
      </c>
      <c r="I44" s="9">
        <v>12000</v>
      </c>
      <c r="J44" s="12">
        <f t="shared" si="0"/>
        <v>0</v>
      </c>
    </row>
    <row r="45" spans="1:10" ht="15" customHeight="1" x14ac:dyDescent="0.25">
      <c r="A45" s="57"/>
      <c r="B45" s="58">
        <v>160</v>
      </c>
      <c r="C45" s="59">
        <v>41866</v>
      </c>
      <c r="D45" s="1" t="s">
        <v>6</v>
      </c>
      <c r="E45" s="1" t="s">
        <v>30</v>
      </c>
      <c r="F45" s="41" t="s">
        <v>48</v>
      </c>
      <c r="G45" s="22">
        <v>8000</v>
      </c>
      <c r="H45" s="3">
        <v>41912</v>
      </c>
      <c r="I45" s="9">
        <v>8000</v>
      </c>
      <c r="J45" s="12">
        <f t="shared" si="0"/>
        <v>0</v>
      </c>
    </row>
    <row r="46" spans="1:10" ht="15" customHeight="1" x14ac:dyDescent="0.25">
      <c r="A46" s="57"/>
      <c r="B46" s="58">
        <v>166</v>
      </c>
      <c r="C46" s="59">
        <v>41866</v>
      </c>
      <c r="D46" s="1" t="s">
        <v>6</v>
      </c>
      <c r="E46" s="1" t="s">
        <v>30</v>
      </c>
      <c r="F46" s="40" t="s">
        <v>19</v>
      </c>
      <c r="G46" s="22">
        <v>83000</v>
      </c>
      <c r="H46" s="3">
        <v>41912</v>
      </c>
      <c r="I46" s="9">
        <v>83000</v>
      </c>
      <c r="J46" s="12">
        <f t="shared" si="0"/>
        <v>0</v>
      </c>
    </row>
    <row r="47" spans="1:10" ht="15" customHeight="1" x14ac:dyDescent="0.25">
      <c r="A47" s="57"/>
      <c r="B47" s="58">
        <v>162</v>
      </c>
      <c r="C47" s="59">
        <v>41866</v>
      </c>
      <c r="D47" s="1" t="s">
        <v>6</v>
      </c>
      <c r="E47" s="1" t="s">
        <v>30</v>
      </c>
      <c r="F47" s="41" t="s">
        <v>23</v>
      </c>
      <c r="G47" s="22">
        <v>4800</v>
      </c>
      <c r="H47" s="3">
        <v>41912</v>
      </c>
      <c r="I47" s="9">
        <v>4800</v>
      </c>
      <c r="J47" s="12">
        <f t="shared" si="0"/>
        <v>0</v>
      </c>
    </row>
    <row r="48" spans="1:10" ht="15" customHeight="1" x14ac:dyDescent="0.25">
      <c r="A48" s="57"/>
      <c r="B48" s="58">
        <v>78</v>
      </c>
      <c r="C48" s="59">
        <v>41866</v>
      </c>
      <c r="D48" s="1" t="s">
        <v>15</v>
      </c>
      <c r="E48" s="1" t="s">
        <v>30</v>
      </c>
      <c r="F48" s="41"/>
      <c r="G48" s="22">
        <v>375867</v>
      </c>
      <c r="H48" s="3" t="s">
        <v>109</v>
      </c>
      <c r="I48" s="9">
        <f>207235+168632</f>
        <v>375867</v>
      </c>
      <c r="J48" s="12">
        <f t="shared" si="0"/>
        <v>0</v>
      </c>
    </row>
    <row r="49" spans="1:10" x14ac:dyDescent="0.25">
      <c r="A49" s="1"/>
      <c r="B49" s="1"/>
      <c r="C49" s="3"/>
      <c r="D49" s="15" t="s">
        <v>15</v>
      </c>
      <c r="E49" s="15" t="s">
        <v>30</v>
      </c>
      <c r="F49" s="44" t="s">
        <v>9</v>
      </c>
      <c r="G49" s="16">
        <f>80559.32*1.18</f>
        <v>95059.997600000002</v>
      </c>
      <c r="H49" s="24"/>
      <c r="I49" s="15"/>
      <c r="J49" s="20"/>
    </row>
    <row r="50" spans="1:10" x14ac:dyDescent="0.25">
      <c r="A50" s="1"/>
      <c r="B50" s="1"/>
      <c r="C50" s="3"/>
      <c r="D50" s="15" t="s">
        <v>15</v>
      </c>
      <c r="E50" s="15" t="s">
        <v>30</v>
      </c>
      <c r="F50" s="44" t="s">
        <v>50</v>
      </c>
      <c r="G50" s="85">
        <f>26305.08*1.18+0.01</f>
        <v>31040.004399999998</v>
      </c>
      <c r="H50" s="24"/>
      <c r="I50" s="15"/>
      <c r="J50" s="20"/>
    </row>
    <row r="51" spans="1:10" ht="15" customHeight="1" x14ac:dyDescent="0.25">
      <c r="A51" s="1"/>
      <c r="B51" s="1"/>
      <c r="C51" s="3"/>
      <c r="D51" s="15" t="s">
        <v>15</v>
      </c>
      <c r="E51" s="15" t="s">
        <v>30</v>
      </c>
      <c r="F51" s="42" t="s">
        <v>87</v>
      </c>
      <c r="G51" s="85">
        <f>31237.29*1.18</f>
        <v>36860.002200000003</v>
      </c>
      <c r="H51" s="24"/>
      <c r="I51" s="15"/>
      <c r="J51" s="20"/>
    </row>
    <row r="52" spans="1:10" x14ac:dyDescent="0.25">
      <c r="A52" s="1"/>
      <c r="B52" s="1"/>
      <c r="C52" s="3"/>
      <c r="D52" s="15" t="s">
        <v>15</v>
      </c>
      <c r="E52" s="15" t="s">
        <v>30</v>
      </c>
      <c r="F52" s="42" t="s">
        <v>88</v>
      </c>
      <c r="G52" s="85">
        <f>19728.81*1.18</f>
        <v>23279.995800000001</v>
      </c>
      <c r="H52" s="24"/>
      <c r="I52" s="15"/>
      <c r="J52" s="20"/>
    </row>
    <row r="53" spans="1:10" x14ac:dyDescent="0.25">
      <c r="A53" s="1"/>
      <c r="B53" s="1"/>
      <c r="C53" s="3"/>
      <c r="D53" s="15" t="s">
        <v>15</v>
      </c>
      <c r="E53" s="15" t="s">
        <v>30</v>
      </c>
      <c r="F53" s="42" t="s">
        <v>21</v>
      </c>
      <c r="G53" s="85">
        <f>26305.08*1.18+0.01</f>
        <v>31040.004399999998</v>
      </c>
      <c r="H53" s="24"/>
      <c r="I53" s="15"/>
      <c r="J53" s="20"/>
    </row>
    <row r="54" spans="1:10" x14ac:dyDescent="0.25">
      <c r="A54" s="1"/>
      <c r="B54" s="1"/>
      <c r="C54" s="3"/>
      <c r="D54" s="15" t="s">
        <v>15</v>
      </c>
      <c r="E54" s="15" t="s">
        <v>30</v>
      </c>
      <c r="F54" s="44" t="s">
        <v>23</v>
      </c>
      <c r="G54" s="85">
        <f>6576.27*1.18</f>
        <v>7759.9985999999999</v>
      </c>
      <c r="H54" s="24"/>
      <c r="I54" s="15"/>
      <c r="J54" s="20"/>
    </row>
    <row r="55" spans="1:10" x14ac:dyDescent="0.25">
      <c r="A55" s="1"/>
      <c r="B55" s="1"/>
      <c r="C55" s="3"/>
      <c r="D55" s="15" t="s">
        <v>15</v>
      </c>
      <c r="E55" s="15" t="s">
        <v>30</v>
      </c>
      <c r="F55" s="44" t="s">
        <v>20</v>
      </c>
      <c r="G55" s="85">
        <f>4449.15*1.18</f>
        <v>5249.9969999999994</v>
      </c>
      <c r="H55" s="24"/>
      <c r="I55" s="15"/>
      <c r="J55" s="20"/>
    </row>
    <row r="56" spans="1:10" x14ac:dyDescent="0.25">
      <c r="A56" s="1"/>
      <c r="B56" s="1"/>
      <c r="C56" s="3"/>
      <c r="D56" s="15" t="s">
        <v>15</v>
      </c>
      <c r="E56" s="15" t="s">
        <v>30</v>
      </c>
      <c r="F56" s="44" t="s">
        <v>9</v>
      </c>
      <c r="G56" s="16">
        <f>54131.36*1.18</f>
        <v>63875.004799999995</v>
      </c>
      <c r="H56" s="24"/>
      <c r="I56" s="15"/>
      <c r="J56" s="20"/>
    </row>
    <row r="57" spans="1:10" x14ac:dyDescent="0.25">
      <c r="A57" s="1"/>
      <c r="B57" s="1"/>
      <c r="C57" s="3"/>
      <c r="D57" s="15" t="s">
        <v>15</v>
      </c>
      <c r="E57" s="15" t="s">
        <v>30</v>
      </c>
      <c r="F57" s="44" t="s">
        <v>9</v>
      </c>
      <c r="G57" s="16">
        <f>33135.59*1.18</f>
        <v>39099.996199999994</v>
      </c>
      <c r="H57" s="24"/>
      <c r="I57" s="15"/>
      <c r="J57" s="20"/>
    </row>
    <row r="58" spans="1:10" x14ac:dyDescent="0.25">
      <c r="A58" s="1"/>
      <c r="B58" s="1"/>
      <c r="C58" s="3"/>
      <c r="D58" s="15" t="s">
        <v>15</v>
      </c>
      <c r="E58" s="15" t="s">
        <v>30</v>
      </c>
      <c r="F58" s="44" t="s">
        <v>50</v>
      </c>
      <c r="G58" s="85">
        <f>18555.93*1.18</f>
        <v>21895.9974</v>
      </c>
      <c r="H58" s="24"/>
      <c r="I58" s="15"/>
      <c r="J58" s="20"/>
    </row>
    <row r="59" spans="1:10" x14ac:dyDescent="0.25">
      <c r="A59" s="1"/>
      <c r="B59" s="1"/>
      <c r="C59" s="3"/>
      <c r="D59" s="15" t="s">
        <v>15</v>
      </c>
      <c r="E59" s="15" t="s">
        <v>30</v>
      </c>
      <c r="F59" s="44" t="s">
        <v>23</v>
      </c>
      <c r="G59" s="85">
        <f>5301.69*1.18+0.01</f>
        <v>6256.0041999999994</v>
      </c>
      <c r="H59" s="24"/>
      <c r="I59" s="15"/>
      <c r="J59" s="20"/>
    </row>
    <row r="60" spans="1:10" x14ac:dyDescent="0.25">
      <c r="A60" s="1"/>
      <c r="B60" s="1"/>
      <c r="C60" s="3"/>
      <c r="D60" s="15" t="s">
        <v>15</v>
      </c>
      <c r="E60" s="15" t="s">
        <v>26</v>
      </c>
      <c r="F60" s="44" t="s">
        <v>9</v>
      </c>
      <c r="G60" s="16">
        <f>7796.61*1.18</f>
        <v>9199.9997999999996</v>
      </c>
      <c r="H60" s="24"/>
      <c r="I60" s="15"/>
      <c r="J60" s="20"/>
    </row>
    <row r="61" spans="1:10" x14ac:dyDescent="0.25">
      <c r="A61" s="1"/>
      <c r="B61" s="1"/>
      <c r="C61" s="3"/>
      <c r="D61" s="15" t="s">
        <v>15</v>
      </c>
      <c r="E61" s="15" t="s">
        <v>30</v>
      </c>
      <c r="F61" s="42" t="s">
        <v>21</v>
      </c>
      <c r="G61" s="16">
        <f>4449.15*1.18</f>
        <v>5249.9969999999994</v>
      </c>
      <c r="H61" s="24"/>
      <c r="I61" s="15"/>
      <c r="J61" s="20"/>
    </row>
    <row r="62" spans="1:10" x14ac:dyDescent="0.25">
      <c r="A62" s="1"/>
      <c r="B62" s="1">
        <v>84</v>
      </c>
      <c r="C62" s="3">
        <v>41882</v>
      </c>
      <c r="D62" s="1" t="s">
        <v>15</v>
      </c>
      <c r="E62" s="1" t="s">
        <v>30</v>
      </c>
      <c r="F62" s="42"/>
      <c r="G62" s="22">
        <v>256644</v>
      </c>
      <c r="H62" s="45">
        <v>41920</v>
      </c>
      <c r="I62" s="19">
        <v>256644</v>
      </c>
      <c r="J62" s="86">
        <f t="shared" ref="J62" si="1">G62-I62</f>
        <v>0</v>
      </c>
    </row>
    <row r="63" spans="1:10" x14ac:dyDescent="0.25">
      <c r="A63" s="1"/>
      <c r="B63" s="1"/>
      <c r="C63" s="3"/>
      <c r="D63" s="15" t="s">
        <v>15</v>
      </c>
      <c r="E63" s="15" t="s">
        <v>30</v>
      </c>
      <c r="F63" s="42" t="s">
        <v>9</v>
      </c>
      <c r="G63" s="16">
        <v>143892</v>
      </c>
      <c r="H63" s="24"/>
      <c r="I63" s="15"/>
      <c r="J63" s="20"/>
    </row>
    <row r="64" spans="1:10" x14ac:dyDescent="0.25">
      <c r="A64" s="1"/>
      <c r="B64" s="1"/>
      <c r="C64" s="3"/>
      <c r="D64" s="15" t="s">
        <v>15</v>
      </c>
      <c r="E64" s="15" t="s">
        <v>30</v>
      </c>
      <c r="F64" s="42" t="s">
        <v>21</v>
      </c>
      <c r="G64" s="16">
        <v>55500</v>
      </c>
      <c r="H64" s="24"/>
      <c r="I64" s="15"/>
      <c r="J64" s="20"/>
    </row>
    <row r="65" spans="1:10" x14ac:dyDescent="0.25">
      <c r="A65" s="1"/>
      <c r="B65" s="1"/>
      <c r="C65" s="3"/>
      <c r="D65" s="15" t="s">
        <v>15</v>
      </c>
      <c r="E65" s="15" t="s">
        <v>30</v>
      </c>
      <c r="F65" s="44" t="s">
        <v>98</v>
      </c>
      <c r="G65" s="16">
        <v>13580</v>
      </c>
      <c r="H65" s="24"/>
      <c r="I65" s="15"/>
      <c r="J65" s="20"/>
    </row>
    <row r="66" spans="1:10" x14ac:dyDescent="0.25">
      <c r="A66" s="1"/>
      <c r="B66" s="1"/>
      <c r="C66" s="3"/>
      <c r="D66" s="15" t="s">
        <v>15</v>
      </c>
      <c r="E66" s="15" t="s">
        <v>30</v>
      </c>
      <c r="F66" s="44" t="s">
        <v>23</v>
      </c>
      <c r="G66" s="16">
        <v>10888</v>
      </c>
      <c r="H66" s="24"/>
      <c r="I66" s="15"/>
      <c r="J66" s="20"/>
    </row>
    <row r="67" spans="1:10" x14ac:dyDescent="0.25">
      <c r="A67" s="1"/>
      <c r="B67" s="1"/>
      <c r="C67" s="3"/>
      <c r="D67" s="15" t="s">
        <v>15</v>
      </c>
      <c r="E67" s="15" t="s">
        <v>30</v>
      </c>
      <c r="F67" s="41" t="s">
        <v>50</v>
      </c>
      <c r="G67" s="16">
        <v>6256</v>
      </c>
      <c r="H67" s="24"/>
      <c r="I67" s="15"/>
      <c r="J67" s="20"/>
    </row>
    <row r="68" spans="1:10" x14ac:dyDescent="0.25">
      <c r="A68" s="1"/>
      <c r="B68" s="1"/>
      <c r="C68" s="3"/>
      <c r="D68" s="15" t="s">
        <v>15</v>
      </c>
      <c r="E68" s="15" t="s">
        <v>30</v>
      </c>
      <c r="F68" s="44" t="s">
        <v>19</v>
      </c>
      <c r="G68" s="16">
        <v>12512</v>
      </c>
      <c r="H68" s="24"/>
      <c r="I68" s="15"/>
      <c r="J68" s="20"/>
    </row>
    <row r="69" spans="1:10" ht="29.25" x14ac:dyDescent="0.25">
      <c r="A69" s="1"/>
      <c r="B69" s="1"/>
      <c r="C69" s="3"/>
      <c r="D69" s="15" t="s">
        <v>15</v>
      </c>
      <c r="E69" s="15" t="s">
        <v>30</v>
      </c>
      <c r="F69" s="72" t="s">
        <v>96</v>
      </c>
      <c r="G69" s="16">
        <v>14016</v>
      </c>
      <c r="H69" s="24"/>
      <c r="I69" s="15"/>
      <c r="J69" s="20"/>
    </row>
    <row r="70" spans="1:10" x14ac:dyDescent="0.25">
      <c r="A70" s="1"/>
      <c r="B70" s="1">
        <v>86</v>
      </c>
      <c r="C70" s="3">
        <v>41882</v>
      </c>
      <c r="D70" s="19" t="s">
        <v>15</v>
      </c>
      <c r="E70" s="19" t="s">
        <v>30</v>
      </c>
      <c r="F70" s="41" t="s">
        <v>99</v>
      </c>
      <c r="G70" s="22">
        <v>7760</v>
      </c>
      <c r="H70" s="45">
        <v>41920</v>
      </c>
      <c r="I70" s="19">
        <v>7760</v>
      </c>
      <c r="J70" s="86">
        <f t="shared" ref="J70:J86" si="2">G70-I70</f>
        <v>0</v>
      </c>
    </row>
    <row r="71" spans="1:10" x14ac:dyDescent="0.25">
      <c r="A71" s="1"/>
      <c r="B71" s="1">
        <v>105</v>
      </c>
      <c r="C71" s="3">
        <v>41872</v>
      </c>
      <c r="D71" s="1" t="s">
        <v>71</v>
      </c>
      <c r="E71" s="1" t="s">
        <v>24</v>
      </c>
      <c r="F71" s="41" t="s">
        <v>50</v>
      </c>
      <c r="G71" s="22">
        <v>15300</v>
      </c>
      <c r="H71" s="3">
        <v>41912</v>
      </c>
      <c r="I71" s="19">
        <v>15300</v>
      </c>
      <c r="J71" s="12">
        <f t="shared" si="2"/>
        <v>0</v>
      </c>
    </row>
    <row r="72" spans="1:10" x14ac:dyDescent="0.25">
      <c r="A72" s="1"/>
      <c r="B72" s="1">
        <v>101</v>
      </c>
      <c r="C72" s="3">
        <v>41867</v>
      </c>
      <c r="D72" s="1" t="s">
        <v>71</v>
      </c>
      <c r="E72" s="1" t="s">
        <v>24</v>
      </c>
      <c r="F72" s="41" t="s">
        <v>50</v>
      </c>
      <c r="G72" s="22">
        <v>20400</v>
      </c>
      <c r="H72" s="3">
        <v>41912</v>
      </c>
      <c r="I72" s="19">
        <v>20400</v>
      </c>
      <c r="J72" s="12">
        <f t="shared" si="2"/>
        <v>0</v>
      </c>
    </row>
    <row r="73" spans="1:10" x14ac:dyDescent="0.25">
      <c r="A73" s="1"/>
      <c r="B73" s="1">
        <v>99</v>
      </c>
      <c r="C73" s="3">
        <v>41864</v>
      </c>
      <c r="D73" s="1" t="s">
        <v>71</v>
      </c>
      <c r="E73" s="1" t="s">
        <v>24</v>
      </c>
      <c r="F73" s="37" t="s">
        <v>23</v>
      </c>
      <c r="G73" s="22">
        <v>13600</v>
      </c>
      <c r="H73" s="3">
        <v>41904</v>
      </c>
      <c r="I73" s="19">
        <v>13600</v>
      </c>
      <c r="J73" s="12">
        <f t="shared" si="2"/>
        <v>0</v>
      </c>
    </row>
    <row r="74" spans="1:10" x14ac:dyDescent="0.25">
      <c r="A74" s="1"/>
      <c r="B74" s="1">
        <v>100</v>
      </c>
      <c r="C74" s="3">
        <v>41865</v>
      </c>
      <c r="D74" s="1" t="s">
        <v>71</v>
      </c>
      <c r="E74" s="1" t="s">
        <v>24</v>
      </c>
      <c r="F74" s="40" t="s">
        <v>20</v>
      </c>
      <c r="G74" s="22">
        <v>117300</v>
      </c>
      <c r="H74" s="3">
        <v>41904</v>
      </c>
      <c r="I74" s="19">
        <v>117300</v>
      </c>
      <c r="J74" s="12">
        <f t="shared" si="2"/>
        <v>0</v>
      </c>
    </row>
    <row r="75" spans="1:10" s="71" customFormat="1" x14ac:dyDescent="0.25">
      <c r="A75" s="25"/>
      <c r="B75" s="31">
        <v>107</v>
      </c>
      <c r="C75" s="32">
        <v>41881</v>
      </c>
      <c r="D75" s="31" t="s">
        <v>71</v>
      </c>
      <c r="E75" s="31" t="s">
        <v>91</v>
      </c>
      <c r="F75" s="70" t="s">
        <v>50</v>
      </c>
      <c r="G75" s="34">
        <v>118200</v>
      </c>
      <c r="H75" s="45">
        <v>41920</v>
      </c>
      <c r="I75" s="31">
        <v>58200</v>
      </c>
      <c r="J75" s="26">
        <f t="shared" si="2"/>
        <v>60000</v>
      </c>
    </row>
    <row r="76" spans="1:10" x14ac:dyDescent="0.25">
      <c r="A76" s="1"/>
      <c r="B76" s="1">
        <v>290</v>
      </c>
      <c r="C76" s="3">
        <v>41855</v>
      </c>
      <c r="D76" s="1" t="s">
        <v>36</v>
      </c>
      <c r="E76" s="1" t="s">
        <v>73</v>
      </c>
      <c r="F76" s="37" t="s">
        <v>23</v>
      </c>
      <c r="G76" s="22">
        <v>6000</v>
      </c>
      <c r="H76" s="45">
        <v>41920</v>
      </c>
      <c r="I76" s="19">
        <v>6000</v>
      </c>
      <c r="J76" s="12">
        <f t="shared" si="2"/>
        <v>0</v>
      </c>
    </row>
    <row r="77" spans="1:10" x14ac:dyDescent="0.25">
      <c r="A77" s="1"/>
      <c r="B77" s="1">
        <v>291</v>
      </c>
      <c r="C77" s="3">
        <v>41864</v>
      </c>
      <c r="D77" s="1" t="s">
        <v>36</v>
      </c>
      <c r="E77" s="1" t="s">
        <v>73</v>
      </c>
      <c r="F77" s="44" t="s">
        <v>50</v>
      </c>
      <c r="G77" s="22">
        <v>22500</v>
      </c>
      <c r="H77" s="45">
        <v>41920</v>
      </c>
      <c r="I77" s="19">
        <v>22500</v>
      </c>
      <c r="J77" s="12">
        <f t="shared" si="2"/>
        <v>0</v>
      </c>
    </row>
    <row r="78" spans="1:10" x14ac:dyDescent="0.25">
      <c r="A78" s="1"/>
      <c r="B78" s="1">
        <v>292</v>
      </c>
      <c r="C78" s="3">
        <v>41864</v>
      </c>
      <c r="D78" s="1" t="s">
        <v>36</v>
      </c>
      <c r="E78" s="1" t="s">
        <v>73</v>
      </c>
      <c r="F78" s="40" t="s">
        <v>20</v>
      </c>
      <c r="G78" s="22">
        <v>34500</v>
      </c>
      <c r="H78" s="45">
        <v>41920</v>
      </c>
      <c r="I78" s="19">
        <v>34500</v>
      </c>
      <c r="J78" s="12">
        <f t="shared" si="2"/>
        <v>0</v>
      </c>
    </row>
    <row r="79" spans="1:10" x14ac:dyDescent="0.25">
      <c r="A79" s="1"/>
      <c r="B79" s="1">
        <v>294</v>
      </c>
      <c r="C79" s="3">
        <v>41865</v>
      </c>
      <c r="D79" s="1" t="s">
        <v>36</v>
      </c>
      <c r="E79" s="1" t="s">
        <v>91</v>
      </c>
      <c r="F79" s="37" t="s">
        <v>88</v>
      </c>
      <c r="G79" s="22">
        <v>84000</v>
      </c>
      <c r="H79" s="45">
        <v>41920</v>
      </c>
      <c r="I79" s="19">
        <v>84000</v>
      </c>
      <c r="J79" s="12">
        <f t="shared" si="2"/>
        <v>0</v>
      </c>
    </row>
    <row r="80" spans="1:10" x14ac:dyDescent="0.25">
      <c r="A80" s="1"/>
      <c r="B80" s="1">
        <v>295</v>
      </c>
      <c r="C80" s="3">
        <v>41866</v>
      </c>
      <c r="D80" s="1" t="s">
        <v>36</v>
      </c>
      <c r="E80" s="1" t="s">
        <v>73</v>
      </c>
      <c r="F80" s="44" t="s">
        <v>25</v>
      </c>
      <c r="G80" s="22">
        <v>36000</v>
      </c>
      <c r="H80" s="45">
        <v>41920</v>
      </c>
      <c r="I80" s="19">
        <v>36000</v>
      </c>
      <c r="J80" s="12">
        <f t="shared" si="2"/>
        <v>0</v>
      </c>
    </row>
    <row r="81" spans="1:10" x14ac:dyDescent="0.25">
      <c r="A81" s="1"/>
      <c r="B81" s="1">
        <v>296</v>
      </c>
      <c r="C81" s="3">
        <v>41866</v>
      </c>
      <c r="D81" s="1" t="s">
        <v>36</v>
      </c>
      <c r="E81" s="1" t="s">
        <v>73</v>
      </c>
      <c r="F81" s="41" t="s">
        <v>21</v>
      </c>
      <c r="G81" s="22">
        <v>105000</v>
      </c>
      <c r="H81" s="45">
        <v>41920</v>
      </c>
      <c r="I81" s="19">
        <v>105000</v>
      </c>
      <c r="J81" s="12">
        <f t="shared" si="2"/>
        <v>0</v>
      </c>
    </row>
    <row r="82" spans="1:10" x14ac:dyDescent="0.25">
      <c r="A82" s="1"/>
      <c r="B82" s="1">
        <v>293</v>
      </c>
      <c r="C82" s="3">
        <v>41865</v>
      </c>
      <c r="D82" s="1" t="s">
        <v>36</v>
      </c>
      <c r="E82" s="1" t="s">
        <v>92</v>
      </c>
      <c r="F82" s="40" t="s">
        <v>19</v>
      </c>
      <c r="G82" s="22">
        <v>77600</v>
      </c>
      <c r="H82" s="45">
        <v>41920</v>
      </c>
      <c r="I82" s="19">
        <v>77600</v>
      </c>
      <c r="J82" s="12">
        <f t="shared" si="2"/>
        <v>0</v>
      </c>
    </row>
    <row r="83" spans="1:10" x14ac:dyDescent="0.25">
      <c r="A83" s="1"/>
      <c r="B83" s="1">
        <v>297</v>
      </c>
      <c r="C83" s="3">
        <v>41867</v>
      </c>
      <c r="D83" s="1" t="s">
        <v>36</v>
      </c>
      <c r="E83" s="1" t="s">
        <v>93</v>
      </c>
      <c r="F83" s="44" t="s">
        <v>9</v>
      </c>
      <c r="G83" s="22">
        <v>375400</v>
      </c>
      <c r="H83" s="45">
        <v>41920</v>
      </c>
      <c r="I83" s="19">
        <v>375400</v>
      </c>
      <c r="J83" s="12">
        <f t="shared" si="2"/>
        <v>0</v>
      </c>
    </row>
    <row r="84" spans="1:10" s="71" customFormat="1" ht="15" customHeight="1" x14ac:dyDescent="0.25">
      <c r="A84" s="25"/>
      <c r="B84" s="25">
        <v>1449</v>
      </c>
      <c r="C84" s="35">
        <v>41881</v>
      </c>
      <c r="D84" s="25" t="s">
        <v>27</v>
      </c>
      <c r="E84" s="25" t="s">
        <v>60</v>
      </c>
      <c r="F84" s="72" t="s">
        <v>87</v>
      </c>
      <c r="G84" s="34">
        <v>36000</v>
      </c>
      <c r="H84" s="35">
        <v>41912</v>
      </c>
      <c r="I84" s="31">
        <v>36000</v>
      </c>
      <c r="J84" s="26">
        <f t="shared" si="2"/>
        <v>0</v>
      </c>
    </row>
    <row r="85" spans="1:10" s="71" customFormat="1" x14ac:dyDescent="0.25">
      <c r="A85" s="25"/>
      <c r="B85" s="25">
        <v>1448</v>
      </c>
      <c r="C85" s="35">
        <v>41881</v>
      </c>
      <c r="D85" s="25" t="s">
        <v>27</v>
      </c>
      <c r="E85" s="25" t="s">
        <v>60</v>
      </c>
      <c r="F85" s="70" t="s">
        <v>23</v>
      </c>
      <c r="G85" s="34">
        <v>12000</v>
      </c>
      <c r="H85" s="35">
        <v>41912</v>
      </c>
      <c r="I85" s="31">
        <v>12000</v>
      </c>
      <c r="J85" s="26">
        <f>G85-I85</f>
        <v>0</v>
      </c>
    </row>
    <row r="86" spans="1:10" x14ac:dyDescent="0.25">
      <c r="A86" s="1"/>
      <c r="B86" s="25">
        <v>78</v>
      </c>
      <c r="C86" s="35">
        <v>41880</v>
      </c>
      <c r="D86" s="25" t="s">
        <v>85</v>
      </c>
      <c r="E86" s="25"/>
      <c r="F86" s="69"/>
      <c r="G86" s="34">
        <v>122608</v>
      </c>
      <c r="H86" s="3" t="s">
        <v>126</v>
      </c>
      <c r="I86" s="19">
        <f>74208+48400</f>
        <v>122608</v>
      </c>
      <c r="J86" s="86">
        <f t="shared" si="2"/>
        <v>0</v>
      </c>
    </row>
    <row r="87" spans="1:10" ht="15" customHeight="1" x14ac:dyDescent="0.25">
      <c r="A87" s="1"/>
      <c r="B87" s="1"/>
      <c r="C87" s="3"/>
      <c r="D87" s="15" t="s">
        <v>85</v>
      </c>
      <c r="E87" s="15" t="s">
        <v>24</v>
      </c>
      <c r="F87" s="42" t="s">
        <v>95</v>
      </c>
      <c r="G87" s="16">
        <f>9830.51*1.18</f>
        <v>11600.0018</v>
      </c>
      <c r="H87" s="3"/>
      <c r="I87" s="15">
        <v>11600</v>
      </c>
      <c r="J87" s="12"/>
    </row>
    <row r="88" spans="1:10" x14ac:dyDescent="0.25">
      <c r="A88" s="1"/>
      <c r="B88" s="1"/>
      <c r="C88" s="3"/>
      <c r="D88" s="15" t="s">
        <v>85</v>
      </c>
      <c r="E88" s="15" t="s">
        <v>26</v>
      </c>
      <c r="F88" s="44" t="s">
        <v>9</v>
      </c>
      <c r="G88" s="16">
        <f>7457.63*1.18</f>
        <v>8800.0033999999996</v>
      </c>
      <c r="H88" s="3"/>
      <c r="I88" s="15">
        <v>8800</v>
      </c>
      <c r="J88" s="12"/>
    </row>
    <row r="89" spans="1:10" ht="29.25" x14ac:dyDescent="0.25">
      <c r="A89" s="1"/>
      <c r="B89" s="1"/>
      <c r="C89" s="3"/>
      <c r="D89" s="15" t="s">
        <v>85</v>
      </c>
      <c r="E89" s="15" t="s">
        <v>61</v>
      </c>
      <c r="F89" s="42" t="s">
        <v>96</v>
      </c>
      <c r="G89" s="16">
        <f>9600*1.18</f>
        <v>11328</v>
      </c>
      <c r="H89" s="3"/>
      <c r="I89" s="15">
        <v>11328</v>
      </c>
      <c r="J89" s="12"/>
    </row>
    <row r="90" spans="1:10" x14ac:dyDescent="0.25">
      <c r="A90" s="1"/>
      <c r="B90" s="1"/>
      <c r="C90" s="3"/>
      <c r="D90" s="15" t="s">
        <v>85</v>
      </c>
      <c r="E90" s="15" t="s">
        <v>61</v>
      </c>
      <c r="F90" s="44" t="s">
        <v>48</v>
      </c>
      <c r="G90" s="16">
        <f>9600*1.18</f>
        <v>11328</v>
      </c>
      <c r="H90" s="3"/>
      <c r="I90" s="15">
        <v>11328</v>
      </c>
      <c r="J90" s="12"/>
    </row>
    <row r="91" spans="1:10" x14ac:dyDescent="0.25">
      <c r="A91" s="1"/>
      <c r="B91" s="1"/>
      <c r="C91" s="3"/>
      <c r="D91" s="15" t="s">
        <v>85</v>
      </c>
      <c r="E91" s="15" t="s">
        <v>61</v>
      </c>
      <c r="F91" s="44" t="s">
        <v>22</v>
      </c>
      <c r="G91" s="16">
        <f>9600*1.18</f>
        <v>11328</v>
      </c>
      <c r="H91" s="3"/>
      <c r="I91" s="15">
        <v>11328</v>
      </c>
      <c r="J91" s="12"/>
    </row>
    <row r="92" spans="1:10" x14ac:dyDescent="0.25">
      <c r="A92" s="1"/>
      <c r="B92" s="1"/>
      <c r="C92" s="3"/>
      <c r="D92" s="15" t="s">
        <v>85</v>
      </c>
      <c r="E92" s="15" t="s">
        <v>61</v>
      </c>
      <c r="F92" s="44" t="s">
        <v>50</v>
      </c>
      <c r="G92" s="16">
        <f>7200*1.18</f>
        <v>8496</v>
      </c>
      <c r="H92" s="3"/>
      <c r="I92" s="15">
        <v>8496</v>
      </c>
      <c r="J92" s="12"/>
    </row>
    <row r="93" spans="1:10" x14ac:dyDescent="0.25">
      <c r="A93" s="1"/>
      <c r="B93" s="1"/>
      <c r="C93" s="3"/>
      <c r="D93" s="15" t="s">
        <v>85</v>
      </c>
      <c r="E93" s="15" t="s">
        <v>61</v>
      </c>
      <c r="F93" s="44" t="s">
        <v>50</v>
      </c>
      <c r="G93" s="16">
        <f>9600*1.18</f>
        <v>11328</v>
      </c>
      <c r="H93" s="3"/>
      <c r="I93" s="15">
        <v>11328</v>
      </c>
      <c r="J93" s="12"/>
    </row>
    <row r="94" spans="1:10" x14ac:dyDescent="0.25">
      <c r="A94" s="1"/>
      <c r="B94" s="1"/>
      <c r="C94" s="3"/>
      <c r="D94" s="15" t="s">
        <v>85</v>
      </c>
      <c r="E94" s="15" t="s">
        <v>60</v>
      </c>
      <c r="F94" s="42" t="s">
        <v>87</v>
      </c>
      <c r="G94" s="16">
        <f>10169.49*1.18</f>
        <v>11999.9982</v>
      </c>
      <c r="H94" s="3"/>
      <c r="I94" s="19"/>
      <c r="J94" s="12"/>
    </row>
    <row r="95" spans="1:10" x14ac:dyDescent="0.25">
      <c r="A95" s="1"/>
      <c r="B95" s="1"/>
      <c r="C95" s="3"/>
      <c r="D95" s="15" t="s">
        <v>85</v>
      </c>
      <c r="E95" s="15" t="s">
        <v>94</v>
      </c>
      <c r="F95" s="44" t="s">
        <v>9</v>
      </c>
      <c r="G95" s="16">
        <f>8474.58*1.18</f>
        <v>10000.0044</v>
      </c>
      <c r="H95" s="3"/>
      <c r="I95" s="19"/>
      <c r="J95" s="12"/>
    </row>
    <row r="96" spans="1:10" x14ac:dyDescent="0.25">
      <c r="A96" s="1"/>
      <c r="B96" s="1"/>
      <c r="C96" s="3"/>
      <c r="D96" s="15" t="s">
        <v>85</v>
      </c>
      <c r="E96" s="36" t="s">
        <v>40</v>
      </c>
      <c r="F96" s="44" t="s">
        <v>25</v>
      </c>
      <c r="G96" s="16">
        <f>22372.88*1.18</f>
        <v>26399.9984</v>
      </c>
      <c r="H96" s="3"/>
      <c r="I96" s="19"/>
      <c r="J96" s="12"/>
    </row>
    <row r="97" spans="1:10" s="71" customFormat="1" x14ac:dyDescent="0.25">
      <c r="A97" s="25"/>
      <c r="B97" s="25">
        <v>127</v>
      </c>
      <c r="C97" s="35">
        <v>41880</v>
      </c>
      <c r="D97" s="33" t="s">
        <v>35</v>
      </c>
      <c r="E97" s="31" t="s">
        <v>24</v>
      </c>
      <c r="F97" s="70" t="s">
        <v>25</v>
      </c>
      <c r="G97" s="34">
        <v>64000</v>
      </c>
      <c r="H97" s="35">
        <v>41912</v>
      </c>
      <c r="I97" s="31">
        <v>64000</v>
      </c>
      <c r="J97" s="26">
        <f t="shared" ref="J97:J103" si="3">G97-I97</f>
        <v>0</v>
      </c>
    </row>
    <row r="98" spans="1:10" x14ac:dyDescent="0.25">
      <c r="A98" s="1"/>
      <c r="B98" s="25">
        <v>131</v>
      </c>
      <c r="C98" s="35">
        <v>41878</v>
      </c>
      <c r="D98" s="33" t="s">
        <v>35</v>
      </c>
      <c r="E98" s="33" t="s">
        <v>45</v>
      </c>
      <c r="F98" s="72" t="s">
        <v>21</v>
      </c>
      <c r="G98" s="34">
        <v>52400</v>
      </c>
      <c r="H98" s="3">
        <v>41904</v>
      </c>
      <c r="I98" s="19">
        <v>52400</v>
      </c>
      <c r="J98" s="12">
        <f t="shared" si="3"/>
        <v>0</v>
      </c>
    </row>
    <row r="99" spans="1:10" x14ac:dyDescent="0.25">
      <c r="A99" s="1"/>
      <c r="B99" s="25">
        <v>129</v>
      </c>
      <c r="C99" s="35">
        <v>41873</v>
      </c>
      <c r="D99" s="33" t="s">
        <v>35</v>
      </c>
      <c r="E99" s="33" t="s">
        <v>44</v>
      </c>
      <c r="F99" s="73" t="s">
        <v>19</v>
      </c>
      <c r="G99" s="34">
        <v>8000</v>
      </c>
      <c r="H99" s="45">
        <v>41893</v>
      </c>
      <c r="I99" s="19">
        <v>8000</v>
      </c>
      <c r="J99" s="12">
        <f t="shared" si="3"/>
        <v>0</v>
      </c>
    </row>
    <row r="100" spans="1:10" x14ac:dyDescent="0.25">
      <c r="A100" s="1"/>
      <c r="B100" s="25">
        <v>130</v>
      </c>
      <c r="C100" s="35">
        <v>41874</v>
      </c>
      <c r="D100" s="33" t="s">
        <v>35</v>
      </c>
      <c r="E100" s="33" t="s">
        <v>46</v>
      </c>
      <c r="F100" s="73" t="s">
        <v>97</v>
      </c>
      <c r="G100" s="34">
        <v>3600</v>
      </c>
      <c r="H100" s="45">
        <v>41893</v>
      </c>
      <c r="I100" s="19">
        <v>3600</v>
      </c>
      <c r="J100" s="12">
        <f t="shared" si="3"/>
        <v>0</v>
      </c>
    </row>
    <row r="101" spans="1:10" s="71" customFormat="1" x14ac:dyDescent="0.25">
      <c r="A101" s="25"/>
      <c r="B101" s="25">
        <v>132</v>
      </c>
      <c r="C101" s="35">
        <v>41880</v>
      </c>
      <c r="D101" s="33" t="s">
        <v>35</v>
      </c>
      <c r="E101" s="33" t="s">
        <v>45</v>
      </c>
      <c r="F101" s="72" t="s">
        <v>37</v>
      </c>
      <c r="G101" s="34">
        <v>15600</v>
      </c>
      <c r="H101" s="35">
        <v>41912</v>
      </c>
      <c r="I101" s="31">
        <v>15600</v>
      </c>
      <c r="J101" s="26">
        <f t="shared" si="3"/>
        <v>0</v>
      </c>
    </row>
    <row r="102" spans="1:10" s="71" customFormat="1" x14ac:dyDescent="0.25">
      <c r="A102" s="25"/>
      <c r="B102" s="25">
        <v>128</v>
      </c>
      <c r="C102" s="35">
        <v>41881</v>
      </c>
      <c r="D102" s="33" t="s">
        <v>35</v>
      </c>
      <c r="E102" s="33" t="s">
        <v>45</v>
      </c>
      <c r="F102" s="70" t="s">
        <v>25</v>
      </c>
      <c r="G102" s="34">
        <v>88150</v>
      </c>
      <c r="H102" s="35">
        <v>41912</v>
      </c>
      <c r="I102" s="31">
        <v>88150</v>
      </c>
      <c r="J102" s="26">
        <f t="shared" si="3"/>
        <v>0</v>
      </c>
    </row>
    <row r="103" spans="1:10" x14ac:dyDescent="0.25">
      <c r="A103" s="1"/>
      <c r="B103" s="25">
        <v>5</v>
      </c>
      <c r="C103" s="35">
        <v>41882</v>
      </c>
      <c r="D103" s="25" t="s">
        <v>68</v>
      </c>
      <c r="E103" s="25" t="s">
        <v>30</v>
      </c>
      <c r="F103" s="69"/>
      <c r="G103" s="34">
        <v>55290</v>
      </c>
      <c r="H103" s="3">
        <v>41912</v>
      </c>
      <c r="I103" s="19">
        <f>63050-7760</f>
        <v>55290</v>
      </c>
      <c r="J103" s="23">
        <f t="shared" si="3"/>
        <v>0</v>
      </c>
    </row>
    <row r="104" spans="1:10" x14ac:dyDescent="0.25">
      <c r="A104" s="1"/>
      <c r="B104" s="1"/>
      <c r="C104" s="3"/>
      <c r="D104" s="15" t="s">
        <v>68</v>
      </c>
      <c r="E104" s="15" t="s">
        <v>30</v>
      </c>
      <c r="F104" s="42" t="s">
        <v>82</v>
      </c>
      <c r="G104" s="16">
        <v>13580</v>
      </c>
      <c r="H104" s="3"/>
      <c r="I104" s="19"/>
      <c r="J104" s="12"/>
    </row>
    <row r="105" spans="1:10" x14ac:dyDescent="0.25">
      <c r="A105" s="1"/>
      <c r="B105" s="1"/>
      <c r="C105" s="3"/>
      <c r="D105" s="15" t="s">
        <v>68</v>
      </c>
      <c r="E105" s="15" t="s">
        <v>30</v>
      </c>
      <c r="F105" s="42" t="s">
        <v>98</v>
      </c>
      <c r="G105" s="16">
        <v>33950</v>
      </c>
      <c r="H105" s="3"/>
      <c r="I105" s="19"/>
      <c r="J105" s="12"/>
    </row>
    <row r="106" spans="1:10" x14ac:dyDescent="0.25">
      <c r="A106" s="1"/>
      <c r="B106" s="1"/>
      <c r="C106" s="3"/>
      <c r="D106" s="15" t="s">
        <v>68</v>
      </c>
      <c r="E106" s="15" t="s">
        <v>30</v>
      </c>
      <c r="F106" s="44" t="s">
        <v>9</v>
      </c>
      <c r="G106" s="16">
        <v>7760</v>
      </c>
      <c r="H106" s="3"/>
      <c r="I106" s="19"/>
      <c r="J106" s="12"/>
    </row>
    <row r="107" spans="1:10" x14ac:dyDescent="0.25">
      <c r="A107" s="1"/>
      <c r="B107" s="31">
        <v>6</v>
      </c>
      <c r="C107" s="32">
        <v>41873</v>
      </c>
      <c r="D107" s="31" t="s">
        <v>68</v>
      </c>
      <c r="E107" s="31" t="s">
        <v>30</v>
      </c>
      <c r="F107" s="70" t="s">
        <v>99</v>
      </c>
      <c r="G107" s="34">
        <v>7760</v>
      </c>
      <c r="H107" s="35">
        <v>41912</v>
      </c>
      <c r="I107" s="19">
        <v>7760</v>
      </c>
      <c r="J107" s="12">
        <f t="shared" ref="J107:J131" si="4">G107-I107</f>
        <v>0</v>
      </c>
    </row>
    <row r="108" spans="1:10" x14ac:dyDescent="0.25">
      <c r="A108" s="1"/>
      <c r="B108" s="31">
        <v>7</v>
      </c>
      <c r="C108" s="32">
        <v>41882</v>
      </c>
      <c r="D108" s="31" t="s">
        <v>68</v>
      </c>
      <c r="E108" s="31" t="s">
        <v>30</v>
      </c>
      <c r="F108" s="70" t="s">
        <v>9</v>
      </c>
      <c r="G108" s="34">
        <v>67500</v>
      </c>
      <c r="H108" s="45">
        <v>41920</v>
      </c>
      <c r="I108" s="19">
        <v>67500</v>
      </c>
      <c r="J108" s="12">
        <f t="shared" si="4"/>
        <v>0</v>
      </c>
    </row>
    <row r="109" spans="1:10" s="71" customFormat="1" ht="29.25" x14ac:dyDescent="0.25">
      <c r="A109" s="25"/>
      <c r="B109" s="25">
        <v>66</v>
      </c>
      <c r="C109" s="35">
        <v>41881</v>
      </c>
      <c r="D109" s="25" t="s">
        <v>52</v>
      </c>
      <c r="E109" s="79" t="s">
        <v>24</v>
      </c>
      <c r="F109" s="72" t="s">
        <v>96</v>
      </c>
      <c r="G109" s="34">
        <v>52200</v>
      </c>
      <c r="H109" s="45">
        <v>41912</v>
      </c>
      <c r="I109" s="31">
        <v>52200</v>
      </c>
      <c r="J109" s="26">
        <f t="shared" si="4"/>
        <v>0</v>
      </c>
    </row>
    <row r="110" spans="1:10" s="71" customFormat="1" x14ac:dyDescent="0.25">
      <c r="A110" s="25"/>
      <c r="B110" s="31">
        <v>65</v>
      </c>
      <c r="C110" s="32">
        <v>41871</v>
      </c>
      <c r="D110" s="31" t="s">
        <v>52</v>
      </c>
      <c r="E110" s="75" t="s">
        <v>24</v>
      </c>
      <c r="F110" s="72" t="s">
        <v>87</v>
      </c>
      <c r="G110" s="34">
        <v>23200</v>
      </c>
      <c r="H110" s="45">
        <v>41912</v>
      </c>
      <c r="I110" s="31">
        <v>23200</v>
      </c>
      <c r="J110" s="26">
        <f t="shared" si="4"/>
        <v>0</v>
      </c>
    </row>
    <row r="111" spans="1:10" s="71" customFormat="1" x14ac:dyDescent="0.25">
      <c r="A111" s="25"/>
      <c r="B111" s="31">
        <v>67</v>
      </c>
      <c r="C111" s="32">
        <v>41874</v>
      </c>
      <c r="D111" s="31" t="s">
        <v>52</v>
      </c>
      <c r="E111" s="75" t="s">
        <v>24</v>
      </c>
      <c r="F111" s="72" t="s">
        <v>82</v>
      </c>
      <c r="G111" s="34">
        <v>17400</v>
      </c>
      <c r="H111" s="45">
        <v>41912</v>
      </c>
      <c r="I111" s="31">
        <v>17400</v>
      </c>
      <c r="J111" s="26">
        <f t="shared" si="4"/>
        <v>0</v>
      </c>
    </row>
    <row r="112" spans="1:10" s="71" customFormat="1" x14ac:dyDescent="0.25">
      <c r="A112" s="25"/>
      <c r="B112" s="31">
        <v>158</v>
      </c>
      <c r="C112" s="32">
        <v>41873</v>
      </c>
      <c r="D112" s="25" t="s">
        <v>47</v>
      </c>
      <c r="E112" s="25" t="s">
        <v>86</v>
      </c>
      <c r="F112" s="72" t="s">
        <v>9</v>
      </c>
      <c r="G112" s="34">
        <v>57200</v>
      </c>
      <c r="H112" s="45">
        <v>41920</v>
      </c>
      <c r="I112" s="31">
        <v>57200</v>
      </c>
      <c r="J112" s="26">
        <f t="shared" si="4"/>
        <v>0</v>
      </c>
    </row>
    <row r="113" spans="1:10" s="71" customFormat="1" x14ac:dyDescent="0.25">
      <c r="A113" s="25"/>
      <c r="B113" s="31">
        <v>158</v>
      </c>
      <c r="C113" s="32">
        <v>41873</v>
      </c>
      <c r="D113" s="25" t="s">
        <v>47</v>
      </c>
      <c r="E113" s="25" t="s">
        <v>86</v>
      </c>
      <c r="F113" s="70" t="s">
        <v>98</v>
      </c>
      <c r="G113" s="34">
        <v>6960</v>
      </c>
      <c r="H113" s="45">
        <v>41920</v>
      </c>
      <c r="I113" s="31">
        <v>6960</v>
      </c>
      <c r="J113" s="26">
        <f t="shared" si="4"/>
        <v>0</v>
      </c>
    </row>
    <row r="114" spans="1:10" s="71" customFormat="1" x14ac:dyDescent="0.25">
      <c r="A114" s="25"/>
      <c r="B114" s="31">
        <v>161</v>
      </c>
      <c r="C114" s="32">
        <v>41881</v>
      </c>
      <c r="D114" s="25" t="s">
        <v>47</v>
      </c>
      <c r="E114" s="75" t="s">
        <v>24</v>
      </c>
      <c r="F114" s="72" t="s">
        <v>9</v>
      </c>
      <c r="G114" s="34">
        <v>11440</v>
      </c>
      <c r="H114" s="35"/>
      <c r="I114" s="31"/>
      <c r="J114" s="26">
        <f t="shared" si="4"/>
        <v>11440</v>
      </c>
    </row>
    <row r="115" spans="1:10" s="71" customFormat="1" x14ac:dyDescent="0.25">
      <c r="A115" s="25"/>
      <c r="B115" s="31">
        <v>159</v>
      </c>
      <c r="C115" s="32">
        <v>41880</v>
      </c>
      <c r="D115" s="25" t="s">
        <v>47</v>
      </c>
      <c r="E115" s="25" t="s">
        <v>100</v>
      </c>
      <c r="F115" s="72" t="s">
        <v>9</v>
      </c>
      <c r="G115" s="34">
        <v>166150</v>
      </c>
      <c r="H115" s="45">
        <v>41920</v>
      </c>
      <c r="I115" s="31">
        <v>166150</v>
      </c>
      <c r="J115" s="26">
        <f t="shared" si="4"/>
        <v>0</v>
      </c>
    </row>
    <row r="116" spans="1:10" s="71" customFormat="1" x14ac:dyDescent="0.25">
      <c r="A116" s="25"/>
      <c r="B116" s="31">
        <v>159</v>
      </c>
      <c r="C116" s="32">
        <v>41880</v>
      </c>
      <c r="D116" s="25" t="s">
        <v>47</v>
      </c>
      <c r="E116" s="25" t="s">
        <v>100</v>
      </c>
      <c r="F116" s="70" t="s">
        <v>98</v>
      </c>
      <c r="G116" s="80">
        <v>8000</v>
      </c>
      <c r="H116" s="45">
        <v>41920</v>
      </c>
      <c r="I116" s="31">
        <v>8000</v>
      </c>
      <c r="J116" s="26">
        <f t="shared" si="4"/>
        <v>0</v>
      </c>
    </row>
    <row r="117" spans="1:10" s="71" customFormat="1" x14ac:dyDescent="0.25">
      <c r="A117" s="25"/>
      <c r="B117" s="31">
        <v>176</v>
      </c>
      <c r="C117" s="32">
        <v>41882</v>
      </c>
      <c r="D117" s="25" t="s">
        <v>6</v>
      </c>
      <c r="E117" s="25" t="s">
        <v>30</v>
      </c>
      <c r="F117" s="70" t="s">
        <v>48</v>
      </c>
      <c r="G117" s="81">
        <v>4000</v>
      </c>
      <c r="H117" s="35"/>
      <c r="I117" s="31"/>
      <c r="J117" s="26">
        <f t="shared" si="4"/>
        <v>4000</v>
      </c>
    </row>
    <row r="118" spans="1:10" s="71" customFormat="1" x14ac:dyDescent="0.25">
      <c r="A118" s="25"/>
      <c r="B118" s="31">
        <v>173</v>
      </c>
      <c r="C118" s="32">
        <v>41882</v>
      </c>
      <c r="D118" s="25" t="s">
        <v>6</v>
      </c>
      <c r="E118" s="25" t="s">
        <v>30</v>
      </c>
      <c r="F118" s="70" t="s">
        <v>25</v>
      </c>
      <c r="G118" s="34">
        <v>19000</v>
      </c>
      <c r="H118" s="35"/>
      <c r="I118" s="31"/>
      <c r="J118" s="26">
        <f t="shared" si="4"/>
        <v>19000</v>
      </c>
    </row>
    <row r="119" spans="1:10" s="71" customFormat="1" ht="29.25" x14ac:dyDescent="0.25">
      <c r="A119" s="25"/>
      <c r="B119" s="31">
        <v>178</v>
      </c>
      <c r="C119" s="32">
        <v>41882</v>
      </c>
      <c r="D119" s="25" t="s">
        <v>6</v>
      </c>
      <c r="E119" s="25" t="s">
        <v>30</v>
      </c>
      <c r="F119" s="72" t="s">
        <v>96</v>
      </c>
      <c r="G119" s="34">
        <v>20000</v>
      </c>
      <c r="H119" s="35"/>
      <c r="I119" s="31"/>
      <c r="J119" s="26">
        <f t="shared" si="4"/>
        <v>20000</v>
      </c>
    </row>
    <row r="120" spans="1:10" s="71" customFormat="1" x14ac:dyDescent="0.25">
      <c r="A120" s="25"/>
      <c r="B120" s="31">
        <v>174</v>
      </c>
      <c r="C120" s="32">
        <v>41882</v>
      </c>
      <c r="D120" s="25" t="s">
        <v>6</v>
      </c>
      <c r="E120" s="25" t="s">
        <v>30</v>
      </c>
      <c r="F120" s="70" t="s">
        <v>9</v>
      </c>
      <c r="G120" s="34">
        <v>8000</v>
      </c>
      <c r="H120" s="35"/>
      <c r="I120" s="31"/>
      <c r="J120" s="26">
        <f t="shared" si="4"/>
        <v>8000</v>
      </c>
    </row>
    <row r="121" spans="1:10" s="71" customFormat="1" x14ac:dyDescent="0.25">
      <c r="A121" s="25"/>
      <c r="B121" s="31">
        <v>175</v>
      </c>
      <c r="C121" s="32">
        <v>41882</v>
      </c>
      <c r="D121" s="25" t="s">
        <v>6</v>
      </c>
      <c r="E121" s="25" t="s">
        <v>30</v>
      </c>
      <c r="F121" s="70" t="s">
        <v>23</v>
      </c>
      <c r="G121" s="34">
        <v>8000</v>
      </c>
      <c r="H121" s="35"/>
      <c r="I121" s="31"/>
      <c r="J121" s="26">
        <f t="shared" si="4"/>
        <v>8000</v>
      </c>
    </row>
    <row r="122" spans="1:10" s="71" customFormat="1" x14ac:dyDescent="0.25">
      <c r="A122" s="25"/>
      <c r="B122" s="31">
        <v>177</v>
      </c>
      <c r="C122" s="32">
        <v>41882</v>
      </c>
      <c r="D122" s="25" t="s">
        <v>6</v>
      </c>
      <c r="E122" s="25" t="s">
        <v>30</v>
      </c>
      <c r="F122" s="70" t="s">
        <v>20</v>
      </c>
      <c r="G122" s="34">
        <v>4000</v>
      </c>
      <c r="H122" s="35"/>
      <c r="I122" s="31"/>
      <c r="J122" s="26">
        <f t="shared" si="4"/>
        <v>4000</v>
      </c>
    </row>
    <row r="123" spans="1:10" s="71" customFormat="1" x14ac:dyDescent="0.25">
      <c r="A123" s="25"/>
      <c r="B123" s="31">
        <v>169</v>
      </c>
      <c r="C123" s="32">
        <v>41882</v>
      </c>
      <c r="D123" s="25" t="s">
        <v>6</v>
      </c>
      <c r="E123" s="25" t="s">
        <v>30</v>
      </c>
      <c r="F123" s="70" t="s">
        <v>9</v>
      </c>
      <c r="G123" s="34">
        <v>68800</v>
      </c>
      <c r="H123" s="35">
        <v>41920</v>
      </c>
      <c r="I123" s="31">
        <v>68800</v>
      </c>
      <c r="J123" s="26">
        <f t="shared" si="4"/>
        <v>0</v>
      </c>
    </row>
    <row r="124" spans="1:10" s="71" customFormat="1" x14ac:dyDescent="0.25">
      <c r="A124" s="25"/>
      <c r="B124" s="31">
        <v>168</v>
      </c>
      <c r="C124" s="32">
        <v>41882</v>
      </c>
      <c r="D124" s="25" t="s">
        <v>6</v>
      </c>
      <c r="E124" s="25" t="s">
        <v>30</v>
      </c>
      <c r="F124" s="70" t="s">
        <v>9</v>
      </c>
      <c r="G124" s="34">
        <v>32000</v>
      </c>
      <c r="H124" s="35">
        <v>41920</v>
      </c>
      <c r="I124" s="31">
        <v>32000</v>
      </c>
      <c r="J124" s="26">
        <f t="shared" si="4"/>
        <v>0</v>
      </c>
    </row>
    <row r="125" spans="1:10" s="71" customFormat="1" x14ac:dyDescent="0.25">
      <c r="A125" s="25"/>
      <c r="B125" s="31">
        <v>167</v>
      </c>
      <c r="C125" s="32">
        <v>41882</v>
      </c>
      <c r="D125" s="25" t="s">
        <v>6</v>
      </c>
      <c r="E125" s="25" t="s">
        <v>30</v>
      </c>
      <c r="F125" s="70" t="s">
        <v>19</v>
      </c>
      <c r="G125" s="34">
        <v>100000</v>
      </c>
      <c r="H125" s="35">
        <v>41920</v>
      </c>
      <c r="I125" s="31">
        <v>100000</v>
      </c>
      <c r="J125" s="26">
        <f t="shared" si="4"/>
        <v>0</v>
      </c>
    </row>
    <row r="126" spans="1:10" s="71" customFormat="1" x14ac:dyDescent="0.25">
      <c r="A126" s="25"/>
      <c r="B126" s="31">
        <v>170</v>
      </c>
      <c r="C126" s="32">
        <v>41882</v>
      </c>
      <c r="D126" s="25" t="s">
        <v>6</v>
      </c>
      <c r="E126" s="25" t="s">
        <v>30</v>
      </c>
      <c r="F126" s="70" t="s">
        <v>19</v>
      </c>
      <c r="G126" s="34">
        <v>64000</v>
      </c>
      <c r="H126" s="35">
        <v>41920</v>
      </c>
      <c r="I126" s="31">
        <v>64000</v>
      </c>
      <c r="J126" s="26">
        <f t="shared" si="4"/>
        <v>0</v>
      </c>
    </row>
    <row r="127" spans="1:10" s="71" customFormat="1" x14ac:dyDescent="0.25">
      <c r="A127" s="25"/>
      <c r="B127" s="31">
        <v>171</v>
      </c>
      <c r="C127" s="32">
        <v>41882</v>
      </c>
      <c r="D127" s="25" t="s">
        <v>6</v>
      </c>
      <c r="E127" s="25" t="s">
        <v>30</v>
      </c>
      <c r="F127" s="70" t="s">
        <v>20</v>
      </c>
      <c r="G127" s="34">
        <v>17600</v>
      </c>
      <c r="H127" s="35">
        <v>41920</v>
      </c>
      <c r="I127" s="31">
        <v>17600</v>
      </c>
      <c r="J127" s="26">
        <f t="shared" si="4"/>
        <v>0</v>
      </c>
    </row>
    <row r="128" spans="1:10" s="71" customFormat="1" x14ac:dyDescent="0.25">
      <c r="A128" s="25"/>
      <c r="B128" s="31">
        <v>172</v>
      </c>
      <c r="C128" s="32">
        <v>41882</v>
      </c>
      <c r="D128" s="25" t="s">
        <v>6</v>
      </c>
      <c r="E128" s="25" t="s">
        <v>30</v>
      </c>
      <c r="F128" s="70" t="s">
        <v>9</v>
      </c>
      <c r="G128" s="34">
        <v>17000</v>
      </c>
      <c r="H128" s="35">
        <v>41920</v>
      </c>
      <c r="I128" s="31">
        <v>17000</v>
      </c>
      <c r="J128" s="26">
        <f t="shared" si="4"/>
        <v>0</v>
      </c>
    </row>
    <row r="129" spans="1:10" s="71" customFormat="1" x14ac:dyDescent="0.25">
      <c r="A129" s="25"/>
      <c r="B129" s="31">
        <v>161</v>
      </c>
      <c r="C129" s="32">
        <v>41866</v>
      </c>
      <c r="D129" s="25" t="s">
        <v>6</v>
      </c>
      <c r="E129" s="25" t="s">
        <v>30</v>
      </c>
      <c r="F129" s="72" t="s">
        <v>87</v>
      </c>
      <c r="G129" s="34">
        <v>4000</v>
      </c>
      <c r="H129" s="3">
        <v>41912</v>
      </c>
      <c r="I129" s="31">
        <v>4000</v>
      </c>
      <c r="J129" s="26">
        <f t="shared" si="4"/>
        <v>0</v>
      </c>
    </row>
    <row r="130" spans="1:10" s="71" customFormat="1" x14ac:dyDescent="0.25">
      <c r="A130" s="25"/>
      <c r="B130" s="31">
        <v>111</v>
      </c>
      <c r="C130" s="32">
        <v>41881</v>
      </c>
      <c r="D130" s="25" t="s">
        <v>32</v>
      </c>
      <c r="E130" s="25" t="s">
        <v>60</v>
      </c>
      <c r="F130" s="70" t="s">
        <v>9</v>
      </c>
      <c r="G130" s="34">
        <v>88000</v>
      </c>
      <c r="H130" s="45">
        <v>41920</v>
      </c>
      <c r="I130" s="31">
        <v>88000</v>
      </c>
      <c r="J130" s="26">
        <f t="shared" si="4"/>
        <v>0</v>
      </c>
    </row>
    <row r="131" spans="1:10" s="71" customFormat="1" x14ac:dyDescent="0.25">
      <c r="A131" s="25"/>
      <c r="B131" s="31">
        <v>26</v>
      </c>
      <c r="C131" s="32">
        <v>41880</v>
      </c>
      <c r="D131" s="25" t="s">
        <v>34</v>
      </c>
      <c r="E131" s="25" t="s">
        <v>30</v>
      </c>
      <c r="F131" s="72"/>
      <c r="G131" s="34">
        <v>104000</v>
      </c>
      <c r="H131" s="35">
        <v>41912</v>
      </c>
      <c r="I131" s="31">
        <v>104000</v>
      </c>
      <c r="J131" s="26">
        <f t="shared" si="4"/>
        <v>0</v>
      </c>
    </row>
    <row r="132" spans="1:10" s="71" customFormat="1" ht="29.25" x14ac:dyDescent="0.25">
      <c r="A132" s="25"/>
      <c r="B132" s="31"/>
      <c r="C132" s="32"/>
      <c r="D132" s="76" t="s">
        <v>34</v>
      </c>
      <c r="E132" s="76" t="s">
        <v>30</v>
      </c>
      <c r="F132" s="69" t="s">
        <v>96</v>
      </c>
      <c r="G132" s="78">
        <v>24000</v>
      </c>
      <c r="H132" s="35"/>
      <c r="I132" s="31"/>
      <c r="J132" s="26"/>
    </row>
    <row r="133" spans="1:10" s="71" customFormat="1" x14ac:dyDescent="0.25">
      <c r="A133" s="25"/>
      <c r="B133" s="31"/>
      <c r="C133" s="32"/>
      <c r="D133" s="76" t="s">
        <v>34</v>
      </c>
      <c r="E133" s="76" t="s">
        <v>30</v>
      </c>
      <c r="F133" s="74" t="s">
        <v>9</v>
      </c>
      <c r="G133" s="78">
        <v>4000</v>
      </c>
      <c r="H133" s="35"/>
      <c r="I133" s="31"/>
      <c r="J133" s="26"/>
    </row>
    <row r="134" spans="1:10" s="71" customFormat="1" x14ac:dyDescent="0.25">
      <c r="A134" s="25"/>
      <c r="B134" s="31"/>
      <c r="C134" s="32"/>
      <c r="D134" s="76" t="s">
        <v>34</v>
      </c>
      <c r="E134" s="76" t="s">
        <v>30</v>
      </c>
      <c r="F134" s="74" t="s">
        <v>20</v>
      </c>
      <c r="G134" s="78">
        <v>60000</v>
      </c>
      <c r="H134" s="35"/>
      <c r="I134" s="31"/>
      <c r="J134" s="26"/>
    </row>
    <row r="135" spans="1:10" s="71" customFormat="1" x14ac:dyDescent="0.25">
      <c r="A135" s="25"/>
      <c r="B135" s="31"/>
      <c r="C135" s="32"/>
      <c r="D135" s="76" t="s">
        <v>34</v>
      </c>
      <c r="E135" s="76" t="s">
        <v>30</v>
      </c>
      <c r="F135" s="74" t="s">
        <v>19</v>
      </c>
      <c r="G135" s="78">
        <v>16000</v>
      </c>
      <c r="H135" s="35"/>
      <c r="I135" s="31"/>
      <c r="J135" s="26"/>
    </row>
    <row r="136" spans="1:10" x14ac:dyDescent="0.25">
      <c r="A136" s="1"/>
      <c r="B136" s="31">
        <v>25</v>
      </c>
      <c r="C136" s="32">
        <v>41869</v>
      </c>
      <c r="D136" s="25" t="s">
        <v>34</v>
      </c>
      <c r="E136" s="75"/>
      <c r="F136" s="72"/>
      <c r="G136" s="34">
        <v>121000</v>
      </c>
      <c r="H136" s="3">
        <v>41904</v>
      </c>
      <c r="I136" s="19">
        <v>121000</v>
      </c>
      <c r="J136" s="12">
        <f t="shared" ref="J136" si="5">G136-I136</f>
        <v>0</v>
      </c>
    </row>
    <row r="137" spans="1:10" x14ac:dyDescent="0.25">
      <c r="A137" s="1"/>
      <c r="B137" s="31"/>
      <c r="C137" s="32"/>
      <c r="D137" s="76" t="s">
        <v>34</v>
      </c>
      <c r="E137" s="75"/>
      <c r="F137" s="74" t="s">
        <v>20</v>
      </c>
      <c r="G137" s="78">
        <v>76000</v>
      </c>
      <c r="H137" s="3"/>
      <c r="I137" s="19"/>
      <c r="J137" s="12"/>
    </row>
    <row r="138" spans="1:10" x14ac:dyDescent="0.25">
      <c r="A138" s="1"/>
      <c r="B138" s="31"/>
      <c r="C138" s="32"/>
      <c r="D138" s="76" t="s">
        <v>34</v>
      </c>
      <c r="E138" s="75"/>
      <c r="F138" s="74" t="s">
        <v>9</v>
      </c>
      <c r="G138" s="78">
        <v>37000</v>
      </c>
      <c r="H138" s="3"/>
      <c r="I138" s="19"/>
      <c r="J138" s="12"/>
    </row>
    <row r="139" spans="1:10" x14ac:dyDescent="0.25">
      <c r="A139" s="1"/>
      <c r="B139" s="31"/>
      <c r="C139" s="32"/>
      <c r="D139" s="76" t="s">
        <v>34</v>
      </c>
      <c r="E139" s="75"/>
      <c r="F139" s="69" t="s">
        <v>95</v>
      </c>
      <c r="G139" s="78">
        <v>8000</v>
      </c>
      <c r="H139" s="3"/>
      <c r="I139" s="19"/>
      <c r="J139" s="12"/>
    </row>
    <row r="140" spans="1:10" s="71" customFormat="1" x14ac:dyDescent="0.25">
      <c r="A140" s="25"/>
      <c r="B140" s="31">
        <v>27</v>
      </c>
      <c r="C140" s="32">
        <v>41880</v>
      </c>
      <c r="D140" s="25" t="s">
        <v>34</v>
      </c>
      <c r="E140" s="25" t="s">
        <v>30</v>
      </c>
      <c r="F140" s="72" t="s">
        <v>9</v>
      </c>
      <c r="G140" s="34">
        <v>36000</v>
      </c>
      <c r="H140" s="45">
        <v>41920</v>
      </c>
      <c r="I140" s="31">
        <v>36000</v>
      </c>
      <c r="J140" s="26">
        <f t="shared" ref="J140:J150" si="6">G140-I140</f>
        <v>0</v>
      </c>
    </row>
    <row r="141" spans="1:10" x14ac:dyDescent="0.25">
      <c r="A141" s="1"/>
      <c r="B141" s="31">
        <v>110</v>
      </c>
      <c r="C141" s="32">
        <v>41879</v>
      </c>
      <c r="D141" s="25" t="s">
        <v>32</v>
      </c>
      <c r="E141" s="75" t="s">
        <v>70</v>
      </c>
      <c r="F141" s="70" t="s">
        <v>9</v>
      </c>
      <c r="G141" s="34">
        <v>7500</v>
      </c>
      <c r="H141" s="3">
        <v>41904</v>
      </c>
      <c r="I141" s="19">
        <v>7500</v>
      </c>
      <c r="J141" s="12">
        <f t="shared" si="6"/>
        <v>0</v>
      </c>
    </row>
    <row r="142" spans="1:10" s="71" customFormat="1" ht="29.25" x14ac:dyDescent="0.25">
      <c r="A142" s="25"/>
      <c r="B142" s="31">
        <v>326</v>
      </c>
      <c r="C142" s="32">
        <v>41881</v>
      </c>
      <c r="D142" s="25" t="s">
        <v>36</v>
      </c>
      <c r="E142" s="25" t="s">
        <v>101</v>
      </c>
      <c r="F142" s="72" t="s">
        <v>96</v>
      </c>
      <c r="G142" s="34">
        <v>90600</v>
      </c>
      <c r="H142" s="35"/>
      <c r="I142" s="31"/>
      <c r="J142" s="26">
        <f t="shared" si="6"/>
        <v>90600</v>
      </c>
    </row>
    <row r="143" spans="1:10" s="71" customFormat="1" x14ac:dyDescent="0.25">
      <c r="A143" s="25"/>
      <c r="B143" s="31">
        <v>327</v>
      </c>
      <c r="C143" s="32">
        <v>41881</v>
      </c>
      <c r="D143" s="25" t="s">
        <v>36</v>
      </c>
      <c r="E143" s="25" t="s">
        <v>73</v>
      </c>
      <c r="F143" s="73" t="s">
        <v>19</v>
      </c>
      <c r="G143" s="34">
        <v>9000</v>
      </c>
      <c r="H143" s="35"/>
      <c r="I143" s="31"/>
      <c r="J143" s="26">
        <f t="shared" si="6"/>
        <v>9000</v>
      </c>
    </row>
    <row r="144" spans="1:10" s="71" customFormat="1" x14ac:dyDescent="0.25">
      <c r="A144" s="25"/>
      <c r="B144" s="31">
        <v>324</v>
      </c>
      <c r="C144" s="32">
        <v>41878</v>
      </c>
      <c r="D144" s="25" t="s">
        <v>36</v>
      </c>
      <c r="E144" s="25" t="s">
        <v>73</v>
      </c>
      <c r="F144" s="72" t="s">
        <v>98</v>
      </c>
      <c r="G144" s="34">
        <v>16800</v>
      </c>
      <c r="H144" s="45">
        <v>41920</v>
      </c>
      <c r="I144" s="31">
        <v>16800</v>
      </c>
      <c r="J144" s="26">
        <f t="shared" si="6"/>
        <v>0</v>
      </c>
    </row>
    <row r="145" spans="1:10" s="71" customFormat="1" x14ac:dyDescent="0.25">
      <c r="A145" s="25"/>
      <c r="B145" s="31">
        <v>320</v>
      </c>
      <c r="C145" s="32">
        <v>41870</v>
      </c>
      <c r="D145" s="25" t="s">
        <v>36</v>
      </c>
      <c r="E145" s="25" t="s">
        <v>73</v>
      </c>
      <c r="F145" s="74" t="s">
        <v>50</v>
      </c>
      <c r="G145" s="34">
        <v>12000</v>
      </c>
      <c r="H145" s="45">
        <v>41920</v>
      </c>
      <c r="I145" s="31">
        <v>12000</v>
      </c>
      <c r="J145" s="26">
        <f t="shared" si="6"/>
        <v>0</v>
      </c>
    </row>
    <row r="146" spans="1:10" s="71" customFormat="1" x14ac:dyDescent="0.25">
      <c r="A146" s="25"/>
      <c r="B146" s="31">
        <v>319</v>
      </c>
      <c r="C146" s="32">
        <v>41869</v>
      </c>
      <c r="D146" s="25" t="s">
        <v>36</v>
      </c>
      <c r="E146" s="25" t="s">
        <v>24</v>
      </c>
      <c r="F146" s="74" t="s">
        <v>20</v>
      </c>
      <c r="G146" s="34">
        <v>7000</v>
      </c>
      <c r="H146" s="45">
        <v>41920</v>
      </c>
      <c r="I146" s="31">
        <v>7000</v>
      </c>
      <c r="J146" s="26">
        <f t="shared" si="6"/>
        <v>0</v>
      </c>
    </row>
    <row r="147" spans="1:10" s="71" customFormat="1" x14ac:dyDescent="0.25">
      <c r="A147" s="25"/>
      <c r="B147" s="31">
        <v>321</v>
      </c>
      <c r="C147" s="32">
        <v>41877</v>
      </c>
      <c r="D147" s="25" t="s">
        <v>36</v>
      </c>
      <c r="E147" s="25" t="s">
        <v>73</v>
      </c>
      <c r="F147" s="72" t="s">
        <v>21</v>
      </c>
      <c r="G147" s="34">
        <v>45000</v>
      </c>
      <c r="H147" s="45">
        <v>41920</v>
      </c>
      <c r="I147" s="31">
        <v>45000</v>
      </c>
      <c r="J147" s="26">
        <f t="shared" si="6"/>
        <v>0</v>
      </c>
    </row>
    <row r="148" spans="1:10" s="71" customFormat="1" x14ac:dyDescent="0.25">
      <c r="A148" s="25"/>
      <c r="B148" s="31">
        <v>322</v>
      </c>
      <c r="C148" s="32">
        <v>41877</v>
      </c>
      <c r="D148" s="25" t="s">
        <v>36</v>
      </c>
      <c r="E148" s="25" t="s">
        <v>91</v>
      </c>
      <c r="F148" s="70" t="s">
        <v>25</v>
      </c>
      <c r="G148" s="34">
        <v>53600</v>
      </c>
      <c r="H148" s="45">
        <v>41920</v>
      </c>
      <c r="I148" s="31">
        <v>53600</v>
      </c>
      <c r="J148" s="26">
        <f t="shared" si="6"/>
        <v>0</v>
      </c>
    </row>
    <row r="149" spans="1:10" s="71" customFormat="1" x14ac:dyDescent="0.25">
      <c r="A149" s="25"/>
      <c r="B149" s="31">
        <v>323</v>
      </c>
      <c r="C149" s="32">
        <v>41876</v>
      </c>
      <c r="D149" s="25" t="s">
        <v>36</v>
      </c>
      <c r="E149" s="30" t="s">
        <v>24</v>
      </c>
      <c r="F149" s="72" t="s">
        <v>82</v>
      </c>
      <c r="G149" s="34">
        <v>7000</v>
      </c>
      <c r="H149" s="45">
        <v>41920</v>
      </c>
      <c r="I149" s="31">
        <v>7000</v>
      </c>
      <c r="J149" s="26">
        <f t="shared" si="6"/>
        <v>0</v>
      </c>
    </row>
    <row r="150" spans="1:10" s="71" customFormat="1" x14ac:dyDescent="0.25">
      <c r="A150" s="25"/>
      <c r="B150" s="31">
        <v>325</v>
      </c>
      <c r="C150" s="32">
        <v>41881</v>
      </c>
      <c r="D150" s="25" t="s">
        <v>36</v>
      </c>
      <c r="E150" s="75" t="s">
        <v>30</v>
      </c>
      <c r="F150" s="70" t="s">
        <v>9</v>
      </c>
      <c r="G150" s="34">
        <v>535200</v>
      </c>
      <c r="H150" s="35"/>
      <c r="I150" s="31"/>
      <c r="J150" s="26">
        <f t="shared" si="6"/>
        <v>535200</v>
      </c>
    </row>
    <row r="151" spans="1:10" s="71" customFormat="1" x14ac:dyDescent="0.25">
      <c r="A151" s="25"/>
      <c r="B151" s="31"/>
      <c r="C151" s="32"/>
      <c r="D151" s="76" t="s">
        <v>36</v>
      </c>
      <c r="E151" s="77" t="s">
        <v>70</v>
      </c>
      <c r="F151" s="70" t="s">
        <v>9</v>
      </c>
      <c r="G151" s="78">
        <v>7000</v>
      </c>
      <c r="H151" s="35"/>
      <c r="I151" s="31"/>
      <c r="J151" s="26"/>
    </row>
    <row r="152" spans="1:10" s="71" customFormat="1" x14ac:dyDescent="0.25">
      <c r="A152" s="25"/>
      <c r="B152" s="31"/>
      <c r="C152" s="32"/>
      <c r="D152" s="76" t="s">
        <v>36</v>
      </c>
      <c r="E152" s="77" t="s">
        <v>61</v>
      </c>
      <c r="F152" s="70" t="s">
        <v>9</v>
      </c>
      <c r="G152" s="78">
        <v>11200</v>
      </c>
      <c r="H152" s="35"/>
      <c r="I152" s="31"/>
      <c r="J152" s="26"/>
    </row>
    <row r="153" spans="1:10" s="71" customFormat="1" x14ac:dyDescent="0.25">
      <c r="A153" s="25"/>
      <c r="B153" s="31"/>
      <c r="C153" s="32"/>
      <c r="D153" s="76" t="s">
        <v>36</v>
      </c>
      <c r="E153" s="77" t="s">
        <v>73</v>
      </c>
      <c r="F153" s="70" t="s">
        <v>9</v>
      </c>
      <c r="G153" s="78">
        <v>60000</v>
      </c>
      <c r="H153" s="35"/>
      <c r="I153" s="31"/>
      <c r="J153" s="26"/>
    </row>
    <row r="154" spans="1:10" s="71" customFormat="1" x14ac:dyDescent="0.25">
      <c r="A154" s="25"/>
      <c r="B154" s="31"/>
      <c r="C154" s="32"/>
      <c r="D154" s="76" t="s">
        <v>36</v>
      </c>
      <c r="E154" s="77" t="s">
        <v>40</v>
      </c>
      <c r="F154" s="70" t="s">
        <v>9</v>
      </c>
      <c r="G154" s="78">
        <v>36800</v>
      </c>
      <c r="H154" s="35"/>
      <c r="I154" s="31"/>
      <c r="J154" s="26"/>
    </row>
    <row r="155" spans="1:10" s="71" customFormat="1" x14ac:dyDescent="0.25">
      <c r="A155" s="25"/>
      <c r="B155" s="31"/>
      <c r="C155" s="32"/>
      <c r="D155" s="76" t="s">
        <v>36</v>
      </c>
      <c r="E155" s="77" t="s">
        <v>53</v>
      </c>
      <c r="F155" s="70" t="s">
        <v>9</v>
      </c>
      <c r="G155" s="78">
        <v>66700</v>
      </c>
      <c r="H155" s="35"/>
      <c r="I155" s="31"/>
      <c r="J155" s="26"/>
    </row>
    <row r="156" spans="1:10" s="71" customFormat="1" x14ac:dyDescent="0.25">
      <c r="A156" s="25"/>
      <c r="B156" s="31"/>
      <c r="C156" s="32"/>
      <c r="D156" s="76" t="s">
        <v>36</v>
      </c>
      <c r="E156" s="77" t="s">
        <v>73</v>
      </c>
      <c r="F156" s="70" t="s">
        <v>9</v>
      </c>
      <c r="G156" s="78">
        <v>60000</v>
      </c>
      <c r="H156" s="35"/>
      <c r="I156" s="31"/>
      <c r="J156" s="26"/>
    </row>
    <row r="157" spans="1:10" s="71" customFormat="1" x14ac:dyDescent="0.25">
      <c r="A157" s="25"/>
      <c r="B157" s="31"/>
      <c r="C157" s="32"/>
      <c r="D157" s="76" t="s">
        <v>36</v>
      </c>
      <c r="E157" s="77" t="s">
        <v>73</v>
      </c>
      <c r="F157" s="70" t="s">
        <v>9</v>
      </c>
      <c r="G157" s="78">
        <v>12600</v>
      </c>
      <c r="H157" s="35"/>
      <c r="I157" s="31"/>
      <c r="J157" s="26"/>
    </row>
    <row r="158" spans="1:10" s="71" customFormat="1" x14ac:dyDescent="0.25">
      <c r="A158" s="25"/>
      <c r="B158" s="31"/>
      <c r="C158" s="32"/>
      <c r="D158" s="76" t="s">
        <v>36</v>
      </c>
      <c r="E158" s="77" t="s">
        <v>24</v>
      </c>
      <c r="F158" s="70" t="s">
        <v>9</v>
      </c>
      <c r="G158" s="78">
        <v>19200</v>
      </c>
      <c r="H158" s="35"/>
      <c r="I158" s="31"/>
      <c r="J158" s="26"/>
    </row>
    <row r="159" spans="1:10" s="71" customFormat="1" x14ac:dyDescent="0.25">
      <c r="A159" s="25"/>
      <c r="B159" s="31"/>
      <c r="C159" s="32"/>
      <c r="D159" s="76" t="s">
        <v>36</v>
      </c>
      <c r="E159" s="77" t="s">
        <v>28</v>
      </c>
      <c r="F159" s="70" t="s">
        <v>9</v>
      </c>
      <c r="G159" s="78">
        <v>34800</v>
      </c>
      <c r="H159" s="35"/>
      <c r="I159" s="31"/>
      <c r="J159" s="26"/>
    </row>
    <row r="160" spans="1:10" s="71" customFormat="1" x14ac:dyDescent="0.25">
      <c r="A160" s="25"/>
      <c r="B160" s="31"/>
      <c r="C160" s="32"/>
      <c r="D160" s="76" t="s">
        <v>36</v>
      </c>
      <c r="E160" s="77" t="s">
        <v>40</v>
      </c>
      <c r="F160" s="70" t="s">
        <v>9</v>
      </c>
      <c r="G160" s="78">
        <v>19200</v>
      </c>
      <c r="H160" s="35"/>
      <c r="I160" s="31"/>
      <c r="J160" s="26"/>
    </row>
    <row r="161" spans="1:10" s="71" customFormat="1" x14ac:dyDescent="0.25">
      <c r="A161" s="25"/>
      <c r="B161" s="31"/>
      <c r="C161" s="32"/>
      <c r="D161" s="76" t="s">
        <v>36</v>
      </c>
      <c r="E161" s="77" t="s">
        <v>73</v>
      </c>
      <c r="F161" s="70" t="s">
        <v>9</v>
      </c>
      <c r="G161" s="78">
        <v>24000</v>
      </c>
      <c r="H161" s="35"/>
      <c r="I161" s="31"/>
      <c r="J161" s="26"/>
    </row>
    <row r="162" spans="1:10" s="71" customFormat="1" x14ac:dyDescent="0.25">
      <c r="A162" s="25"/>
      <c r="B162" s="31"/>
      <c r="C162" s="32"/>
      <c r="D162" s="76" t="s">
        <v>36</v>
      </c>
      <c r="E162" s="77" t="s">
        <v>73</v>
      </c>
      <c r="F162" s="70" t="s">
        <v>9</v>
      </c>
      <c r="G162" s="78">
        <v>48000</v>
      </c>
      <c r="H162" s="35"/>
      <c r="I162" s="31"/>
      <c r="J162" s="26"/>
    </row>
    <row r="163" spans="1:10" s="71" customFormat="1" x14ac:dyDescent="0.25">
      <c r="A163" s="25"/>
      <c r="B163" s="31"/>
      <c r="C163" s="32"/>
      <c r="D163" s="76" t="s">
        <v>36</v>
      </c>
      <c r="E163" s="77" t="s">
        <v>73</v>
      </c>
      <c r="F163" s="70" t="s">
        <v>9</v>
      </c>
      <c r="G163" s="78">
        <v>69000</v>
      </c>
      <c r="H163" s="35"/>
      <c r="I163" s="31"/>
      <c r="J163" s="26"/>
    </row>
    <row r="164" spans="1:10" s="71" customFormat="1" x14ac:dyDescent="0.25">
      <c r="A164" s="25"/>
      <c r="B164" s="31"/>
      <c r="C164" s="32"/>
      <c r="D164" s="76" t="s">
        <v>36</v>
      </c>
      <c r="E164" s="77" t="s">
        <v>53</v>
      </c>
      <c r="F164" s="70" t="s">
        <v>9</v>
      </c>
      <c r="G164" s="78">
        <v>66700</v>
      </c>
      <c r="H164" s="35"/>
      <c r="I164" s="31"/>
      <c r="J164" s="26"/>
    </row>
    <row r="165" spans="1:10" x14ac:dyDescent="0.25">
      <c r="A165" s="1"/>
      <c r="B165" s="1">
        <v>7</v>
      </c>
      <c r="C165" s="3">
        <v>41882</v>
      </c>
      <c r="D165" s="1" t="s">
        <v>31</v>
      </c>
      <c r="E165" s="1"/>
      <c r="F165" s="42" t="s">
        <v>9</v>
      </c>
      <c r="G165" s="22">
        <v>427600</v>
      </c>
      <c r="H165" s="3" t="s">
        <v>126</v>
      </c>
      <c r="I165" s="19">
        <f>150000+150000</f>
        <v>300000</v>
      </c>
      <c r="J165" s="26">
        <f t="shared" ref="J165:J182" si="7">G165-I165</f>
        <v>127600</v>
      </c>
    </row>
    <row r="166" spans="1:10" x14ac:dyDescent="0.25">
      <c r="A166" s="1"/>
      <c r="B166" s="1">
        <v>258</v>
      </c>
      <c r="C166" s="3">
        <v>41867</v>
      </c>
      <c r="D166" s="1" t="s">
        <v>7</v>
      </c>
      <c r="E166" s="1" t="s">
        <v>54</v>
      </c>
      <c r="F166" s="48" t="s">
        <v>9</v>
      </c>
      <c r="G166" s="22">
        <v>460900</v>
      </c>
      <c r="H166" s="3" t="s">
        <v>126</v>
      </c>
      <c r="I166" s="19">
        <f>100000+360900</f>
        <v>460900</v>
      </c>
      <c r="J166" s="26">
        <f t="shared" si="7"/>
        <v>0</v>
      </c>
    </row>
    <row r="167" spans="1:10" x14ac:dyDescent="0.25">
      <c r="A167" s="1"/>
      <c r="B167" s="1">
        <v>273</v>
      </c>
      <c r="C167" s="3">
        <v>41881</v>
      </c>
      <c r="D167" s="1" t="s">
        <v>7</v>
      </c>
      <c r="E167" s="1" t="s">
        <v>54</v>
      </c>
      <c r="F167" s="48" t="s">
        <v>9</v>
      </c>
      <c r="G167" s="22">
        <v>131600</v>
      </c>
      <c r="H167" s="3"/>
      <c r="I167" s="19"/>
      <c r="J167" s="26">
        <f t="shared" si="7"/>
        <v>131600</v>
      </c>
    </row>
    <row r="168" spans="1:10" x14ac:dyDescent="0.25">
      <c r="A168" s="1"/>
      <c r="B168" s="1">
        <v>3</v>
      </c>
      <c r="C168" s="3">
        <v>41882</v>
      </c>
      <c r="D168" s="1" t="s">
        <v>107</v>
      </c>
      <c r="E168" s="1" t="s">
        <v>24</v>
      </c>
      <c r="F168" s="48" t="s">
        <v>19</v>
      </c>
      <c r="G168" s="22">
        <v>64600.1</v>
      </c>
      <c r="H168" s="3">
        <v>41904</v>
      </c>
      <c r="I168" s="19">
        <v>64600.1</v>
      </c>
      <c r="J168" s="26">
        <f t="shared" si="7"/>
        <v>0</v>
      </c>
    </row>
    <row r="169" spans="1:10" x14ac:dyDescent="0.25">
      <c r="A169" s="1"/>
      <c r="B169" s="1">
        <v>1</v>
      </c>
      <c r="C169" s="3">
        <v>41879</v>
      </c>
      <c r="D169" s="1" t="s">
        <v>107</v>
      </c>
      <c r="E169" s="1" t="s">
        <v>24</v>
      </c>
      <c r="F169" s="70" t="s">
        <v>23</v>
      </c>
      <c r="G169" s="22">
        <v>176800.25</v>
      </c>
      <c r="H169" s="3" t="s">
        <v>126</v>
      </c>
      <c r="I169" s="19">
        <f>106800.25+70000</f>
        <v>176800.25</v>
      </c>
      <c r="J169" s="26">
        <f t="shared" si="7"/>
        <v>0</v>
      </c>
    </row>
    <row r="170" spans="1:10" x14ac:dyDescent="0.25">
      <c r="A170" s="1"/>
      <c r="B170" s="1">
        <v>2</v>
      </c>
      <c r="C170" s="3">
        <v>41882</v>
      </c>
      <c r="D170" s="1" t="s">
        <v>107</v>
      </c>
      <c r="E170" s="1" t="s">
        <v>24</v>
      </c>
      <c r="F170" s="48" t="s">
        <v>21</v>
      </c>
      <c r="G170" s="22">
        <v>10200.02</v>
      </c>
      <c r="H170" s="3"/>
      <c r="I170" s="19"/>
      <c r="J170" s="26">
        <f t="shared" si="7"/>
        <v>10200.02</v>
      </c>
    </row>
    <row r="171" spans="1:10" x14ac:dyDescent="0.25">
      <c r="A171" s="1"/>
      <c r="B171" s="1">
        <v>4</v>
      </c>
      <c r="C171" s="3">
        <v>41882</v>
      </c>
      <c r="D171" s="1" t="s">
        <v>107</v>
      </c>
      <c r="E171" s="1" t="s">
        <v>24</v>
      </c>
      <c r="F171" s="70" t="s">
        <v>50</v>
      </c>
      <c r="G171" s="22">
        <v>6800</v>
      </c>
      <c r="H171" s="3"/>
      <c r="I171" s="19"/>
      <c r="J171" s="26">
        <f t="shared" si="7"/>
        <v>6800</v>
      </c>
    </row>
    <row r="172" spans="1:10" x14ac:dyDescent="0.25">
      <c r="A172" s="1"/>
      <c r="B172" s="1">
        <v>5</v>
      </c>
      <c r="C172" s="3">
        <v>41882</v>
      </c>
      <c r="D172" s="1" t="s">
        <v>107</v>
      </c>
      <c r="E172" s="1" t="s">
        <v>24</v>
      </c>
      <c r="F172" s="72" t="s">
        <v>87</v>
      </c>
      <c r="G172" s="22">
        <v>27200.03</v>
      </c>
      <c r="H172" s="3"/>
      <c r="I172" s="19"/>
      <c r="J172" s="26">
        <f t="shared" si="7"/>
        <v>27200.03</v>
      </c>
    </row>
    <row r="173" spans="1:10" x14ac:dyDescent="0.25">
      <c r="A173" s="1"/>
      <c r="B173" s="1">
        <v>38</v>
      </c>
      <c r="C173" s="3">
        <v>41873</v>
      </c>
      <c r="D173" s="1" t="s">
        <v>108</v>
      </c>
      <c r="E173" s="1" t="s">
        <v>8</v>
      </c>
      <c r="F173" s="48" t="s">
        <v>21</v>
      </c>
      <c r="G173" s="22">
        <v>14000</v>
      </c>
      <c r="H173" s="3">
        <v>41904</v>
      </c>
      <c r="I173" s="19">
        <v>14000</v>
      </c>
      <c r="J173" s="26">
        <f t="shared" si="7"/>
        <v>0</v>
      </c>
    </row>
    <row r="174" spans="1:10" x14ac:dyDescent="0.25">
      <c r="A174" s="1"/>
      <c r="B174" s="1">
        <v>51</v>
      </c>
      <c r="C174" s="3">
        <v>41882</v>
      </c>
      <c r="D174" s="1" t="s">
        <v>108</v>
      </c>
      <c r="E174" s="1" t="s">
        <v>8</v>
      </c>
      <c r="F174" s="70" t="s">
        <v>25</v>
      </c>
      <c r="G174" s="22">
        <v>199250</v>
      </c>
      <c r="H174" s="3">
        <v>41912</v>
      </c>
      <c r="I174" s="19">
        <v>199250</v>
      </c>
      <c r="J174" s="26">
        <f t="shared" si="7"/>
        <v>0</v>
      </c>
    </row>
    <row r="175" spans="1:10" x14ac:dyDescent="0.25">
      <c r="A175" s="1"/>
      <c r="B175" s="1">
        <v>52</v>
      </c>
      <c r="C175" s="3">
        <v>41882</v>
      </c>
      <c r="D175" s="1" t="s">
        <v>108</v>
      </c>
      <c r="E175" s="1" t="s">
        <v>8</v>
      </c>
      <c r="F175" s="70" t="s">
        <v>23</v>
      </c>
      <c r="G175" s="22">
        <v>76000</v>
      </c>
      <c r="H175" s="45">
        <v>41928</v>
      </c>
      <c r="I175" s="19">
        <v>76000</v>
      </c>
      <c r="J175" s="26">
        <f t="shared" si="7"/>
        <v>0</v>
      </c>
    </row>
    <row r="176" spans="1:10" ht="29.25" x14ac:dyDescent="0.25">
      <c r="A176" s="1"/>
      <c r="B176" s="1">
        <v>53</v>
      </c>
      <c r="C176" s="3">
        <v>41882</v>
      </c>
      <c r="D176" s="1" t="s">
        <v>108</v>
      </c>
      <c r="E176" s="1" t="s">
        <v>8</v>
      </c>
      <c r="F176" s="41" t="s">
        <v>96</v>
      </c>
      <c r="G176" s="22">
        <v>16000</v>
      </c>
      <c r="H176" s="45">
        <v>41928</v>
      </c>
      <c r="I176" s="19">
        <v>16000</v>
      </c>
      <c r="J176" s="26">
        <f t="shared" si="7"/>
        <v>0</v>
      </c>
    </row>
    <row r="177" spans="1:10" x14ac:dyDescent="0.25">
      <c r="A177" s="1"/>
      <c r="B177" s="1">
        <v>54</v>
      </c>
      <c r="C177" s="3">
        <v>41882</v>
      </c>
      <c r="D177" s="1" t="s">
        <v>108</v>
      </c>
      <c r="E177" s="1" t="s">
        <v>8</v>
      </c>
      <c r="F177" s="41" t="s">
        <v>9</v>
      </c>
      <c r="G177" s="22">
        <v>45125</v>
      </c>
      <c r="H177" s="45">
        <v>41928</v>
      </c>
      <c r="I177" s="19">
        <v>45125</v>
      </c>
      <c r="J177" s="26">
        <f t="shared" si="7"/>
        <v>0</v>
      </c>
    </row>
    <row r="178" spans="1:10" x14ac:dyDescent="0.25">
      <c r="A178" s="1"/>
      <c r="B178" s="1">
        <v>55</v>
      </c>
      <c r="C178" s="3">
        <v>41882</v>
      </c>
      <c r="D178" s="1" t="s">
        <v>108</v>
      </c>
      <c r="E178" s="1" t="s">
        <v>8</v>
      </c>
      <c r="F178" s="72" t="s">
        <v>87</v>
      </c>
      <c r="G178" s="22">
        <v>29750</v>
      </c>
      <c r="H178" s="45">
        <v>41928</v>
      </c>
      <c r="I178" s="19">
        <v>29750</v>
      </c>
      <c r="J178" s="26">
        <f t="shared" si="7"/>
        <v>0</v>
      </c>
    </row>
    <row r="179" spans="1:10" x14ac:dyDescent="0.25">
      <c r="A179" s="1"/>
      <c r="B179" s="1">
        <v>56</v>
      </c>
      <c r="C179" s="3">
        <v>41882</v>
      </c>
      <c r="D179" s="1" t="s">
        <v>108</v>
      </c>
      <c r="E179" s="1" t="s">
        <v>8</v>
      </c>
      <c r="F179" s="41" t="s">
        <v>98</v>
      </c>
      <c r="G179" s="22">
        <v>33250</v>
      </c>
      <c r="H179" s="45">
        <v>41928</v>
      </c>
      <c r="I179" s="19">
        <v>33250</v>
      </c>
      <c r="J179" s="26">
        <f t="shared" si="7"/>
        <v>0</v>
      </c>
    </row>
    <row r="180" spans="1:10" x14ac:dyDescent="0.25">
      <c r="A180" s="1"/>
      <c r="B180" s="1"/>
      <c r="C180" s="3"/>
      <c r="D180" s="1"/>
      <c r="E180" s="1"/>
      <c r="F180" s="87"/>
      <c r="G180" s="22"/>
      <c r="H180" s="3"/>
      <c r="I180" s="19"/>
      <c r="J180" s="26"/>
    </row>
    <row r="181" spans="1:10" x14ac:dyDescent="0.25">
      <c r="A181" s="1"/>
      <c r="B181" s="1"/>
      <c r="C181" s="3"/>
      <c r="D181" s="1"/>
      <c r="E181" s="1"/>
      <c r="F181" s="87"/>
      <c r="G181" s="22"/>
      <c r="H181" s="3"/>
      <c r="I181" s="19"/>
      <c r="J181" s="26"/>
    </row>
    <row r="182" spans="1:10" x14ac:dyDescent="0.25">
      <c r="A182" s="1"/>
      <c r="B182" s="1"/>
      <c r="C182" s="3"/>
      <c r="D182" s="1"/>
      <c r="E182" s="1"/>
      <c r="F182" s="48"/>
      <c r="G182" s="22"/>
      <c r="H182" s="3"/>
      <c r="I182" s="19"/>
      <c r="J182" s="26">
        <f t="shared" si="7"/>
        <v>0</v>
      </c>
    </row>
    <row r="183" spans="1:10" x14ac:dyDescent="0.25">
      <c r="A183" s="6"/>
      <c r="B183" s="6"/>
      <c r="C183" s="6"/>
      <c r="D183" s="6" t="s">
        <v>17</v>
      </c>
      <c r="E183" s="6"/>
      <c r="F183" s="6"/>
      <c r="G183" s="7">
        <f>SUM(G7:G37,G44:G48,G70:G86,G97:G103,G107:G131,G136,G140:G150,G62,G165:G179)</f>
        <v>6743853.4999999991</v>
      </c>
      <c r="H183" s="7"/>
      <c r="I183" s="7">
        <f>SUM(I7:I182)-SUM(I87:I96)</f>
        <v>5671213.4499999993</v>
      </c>
      <c r="J183" s="7">
        <f>SUM(J7:J182)</f>
        <v>1072640.05</v>
      </c>
    </row>
    <row r="184" spans="1:10" x14ac:dyDescent="0.25">
      <c r="A184" s="2"/>
      <c r="B184" s="2"/>
      <c r="C184" s="2"/>
      <c r="D184" s="2"/>
      <c r="E184" s="2"/>
      <c r="F184" s="2"/>
      <c r="G184" s="2"/>
      <c r="J184" s="52">
        <f>G183-I183</f>
        <v>1072640.0499999998</v>
      </c>
    </row>
    <row r="185" spans="1:10" x14ac:dyDescent="0.25">
      <c r="A185" s="8"/>
      <c r="B185" s="2"/>
      <c r="C185" s="2"/>
      <c r="D185" s="54"/>
      <c r="E185" s="55"/>
      <c r="F185" s="55"/>
      <c r="G185" s="13"/>
      <c r="H185" s="13"/>
      <c r="I185" s="13"/>
      <c r="J185" s="13"/>
    </row>
    <row r="186" spans="1:10" x14ac:dyDescent="0.25">
      <c r="A186" s="2"/>
      <c r="B186" s="2"/>
      <c r="C186" s="2"/>
      <c r="D186" s="55"/>
      <c r="E186" s="55"/>
      <c r="F186" s="55"/>
      <c r="G186" s="2"/>
    </row>
    <row r="187" spans="1:10" x14ac:dyDescent="0.25">
      <c r="A187" s="2"/>
      <c r="F187" s="56"/>
    </row>
    <row r="188" spans="1:10" x14ac:dyDescent="0.25">
      <c r="A188" s="2"/>
    </row>
    <row r="189" spans="1:10" x14ac:dyDescent="0.25">
      <c r="A189" s="2"/>
    </row>
    <row r="190" spans="1:10" x14ac:dyDescent="0.25">
      <c r="A190" s="2"/>
      <c r="B190" s="2"/>
      <c r="C190" s="2"/>
      <c r="F190" s="2"/>
      <c r="G190" s="2"/>
    </row>
    <row r="191" spans="1:10" x14ac:dyDescent="0.25">
      <c r="A191" s="2"/>
      <c r="B191" s="2"/>
      <c r="C191" s="2"/>
      <c r="F191" s="2"/>
      <c r="G191" s="2"/>
    </row>
    <row r="192" spans="1:10" x14ac:dyDescent="0.25">
      <c r="A192" s="2"/>
      <c r="B192" s="2"/>
      <c r="C192" s="2"/>
      <c r="F192" s="2"/>
      <c r="G192" s="2"/>
    </row>
    <row r="193" spans="1:7" x14ac:dyDescent="0.25">
      <c r="A193" s="2"/>
      <c r="B193" s="2"/>
      <c r="C193" s="2"/>
      <c r="F193" s="2"/>
      <c r="G193" s="2"/>
    </row>
    <row r="194" spans="1:7" x14ac:dyDescent="0.25">
      <c r="A194" s="2"/>
      <c r="B194" s="2"/>
      <c r="C194" s="2"/>
      <c r="F194" s="2"/>
      <c r="G194" s="2"/>
    </row>
    <row r="195" spans="1:7" x14ac:dyDescent="0.25">
      <c r="A195" s="2"/>
      <c r="B195" s="2"/>
      <c r="C195" s="2"/>
      <c r="F195" s="2"/>
      <c r="G195" s="2"/>
    </row>
    <row r="196" spans="1:7" x14ac:dyDescent="0.25">
      <c r="A196" s="2"/>
      <c r="B196" s="2"/>
      <c r="C196" s="2"/>
      <c r="F196" s="2"/>
      <c r="G196" s="2"/>
    </row>
    <row r="197" spans="1:7" x14ac:dyDescent="0.25">
      <c r="A197" s="2"/>
      <c r="B197" s="2"/>
      <c r="C197" s="2"/>
      <c r="F197" s="2"/>
      <c r="G197" s="2"/>
    </row>
    <row r="198" spans="1:7" x14ac:dyDescent="0.25">
      <c r="A198" s="2"/>
      <c r="B198" s="2"/>
      <c r="C198" s="2"/>
      <c r="F198" s="2"/>
      <c r="G198" s="2"/>
    </row>
    <row r="199" spans="1:7" x14ac:dyDescent="0.25">
      <c r="A199" s="2"/>
      <c r="B199" s="2"/>
      <c r="C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</sheetData>
  <autoFilter ref="A5:J184"/>
  <mergeCells count="7">
    <mergeCell ref="G5:G6"/>
    <mergeCell ref="A5:A6"/>
    <mergeCell ref="B5:B6"/>
    <mergeCell ref="C5:C6"/>
    <mergeCell ref="D5:D6"/>
    <mergeCell ref="E5:E6"/>
    <mergeCell ref="F5:F6"/>
  </mergeCells>
  <pageMargins left="0.31496062992125984" right="0.11811023622047245" top="0.35433070866141736" bottom="0.15748031496062992" header="0.31496062992125984" footer="0.31496062992125984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4"/>
  <sheetViews>
    <sheetView workbookViewId="0">
      <selection activeCell="A57" sqref="A57"/>
    </sheetView>
  </sheetViews>
  <sheetFormatPr defaultRowHeight="15" x14ac:dyDescent="0.25"/>
  <cols>
    <col min="1" max="1" width="40.28515625" customWidth="1"/>
    <col min="2" max="2" width="13.140625" customWidth="1"/>
    <col min="3" max="3" width="10" bestFit="1" customWidth="1"/>
    <col min="4" max="4" width="9" customWidth="1"/>
    <col min="5" max="5" width="21.85546875" bestFit="1" customWidth="1"/>
    <col min="6" max="6" width="13.140625" customWidth="1"/>
    <col min="7" max="7" width="10" bestFit="1" customWidth="1"/>
    <col min="8" max="10" width="5" customWidth="1"/>
    <col min="11" max="11" width="10" bestFit="1" customWidth="1"/>
    <col min="12" max="12" width="9" customWidth="1"/>
    <col min="13" max="13" width="5" customWidth="1"/>
    <col min="14" max="15" width="9" customWidth="1"/>
    <col min="16" max="16" width="5" customWidth="1"/>
    <col min="17" max="17" width="10" bestFit="1" customWidth="1"/>
    <col min="18" max="18" width="9" customWidth="1"/>
    <col min="19" max="19" width="5" customWidth="1"/>
    <col min="20" max="20" width="10" bestFit="1" customWidth="1"/>
    <col min="21" max="24" width="5" customWidth="1"/>
    <col min="25" max="28" width="10" bestFit="1" customWidth="1"/>
    <col min="29" max="29" width="5" customWidth="1"/>
    <col min="30" max="31" width="10" bestFit="1" customWidth="1"/>
    <col min="32" max="34" width="11" bestFit="1" customWidth="1"/>
    <col min="35" max="38" width="6" customWidth="1"/>
    <col min="39" max="39" width="11" bestFit="1" customWidth="1"/>
    <col min="40" max="40" width="6" customWidth="1"/>
    <col min="41" max="41" width="11" bestFit="1" customWidth="1"/>
    <col min="42" max="43" width="6" customWidth="1"/>
    <col min="44" max="45" width="11" bestFit="1" customWidth="1"/>
    <col min="46" max="47" width="6" customWidth="1"/>
    <col min="48" max="50" width="11" bestFit="1" customWidth="1"/>
    <col min="51" max="51" width="6" customWidth="1"/>
    <col min="52" max="52" width="10" bestFit="1" customWidth="1"/>
    <col min="53" max="53" width="11" bestFit="1" customWidth="1"/>
    <col min="54" max="55" width="6" customWidth="1"/>
    <col min="56" max="56" width="11" bestFit="1" customWidth="1"/>
    <col min="57" max="57" width="10" bestFit="1" customWidth="1"/>
    <col min="58" max="58" width="11" bestFit="1" customWidth="1"/>
    <col min="59" max="60" width="10" bestFit="1" customWidth="1"/>
    <col min="61" max="61" width="6" customWidth="1"/>
    <col min="62" max="62" width="11" bestFit="1" customWidth="1"/>
    <col min="63" max="63" width="6" customWidth="1"/>
    <col min="64" max="64" width="11" bestFit="1" customWidth="1"/>
    <col min="65" max="70" width="6" customWidth="1"/>
    <col min="71" max="71" width="10" bestFit="1" customWidth="1"/>
    <col min="72" max="72" width="11" bestFit="1" customWidth="1"/>
    <col min="73" max="73" width="6" customWidth="1"/>
    <col min="74" max="74" width="11" bestFit="1" customWidth="1"/>
    <col min="75" max="75" width="6" customWidth="1"/>
    <col min="76" max="76" width="11" bestFit="1" customWidth="1"/>
    <col min="77" max="78" width="6" customWidth="1"/>
    <col min="79" max="79" width="11" bestFit="1" customWidth="1"/>
    <col min="80" max="80" width="6" customWidth="1"/>
    <col min="81" max="81" width="11" bestFit="1" customWidth="1"/>
    <col min="82" max="85" width="6" customWidth="1"/>
    <col min="86" max="86" width="11" bestFit="1" customWidth="1"/>
    <col min="87" max="88" width="6" customWidth="1"/>
    <col min="89" max="89" width="10" bestFit="1" customWidth="1"/>
    <col min="90" max="92" width="6" customWidth="1"/>
    <col min="93" max="93" width="11" bestFit="1" customWidth="1"/>
    <col min="94" max="97" width="6" customWidth="1"/>
    <col min="98" max="98" width="11" bestFit="1" customWidth="1"/>
    <col min="99" max="100" width="6" customWidth="1"/>
    <col min="101" max="101" width="10" bestFit="1" customWidth="1"/>
    <col min="102" max="106" width="6" customWidth="1"/>
    <col min="107" max="107" width="11" bestFit="1" customWidth="1"/>
    <col min="108" max="111" width="6" customWidth="1"/>
    <col min="112" max="112" width="11" bestFit="1" customWidth="1"/>
    <col min="113" max="115" width="6" customWidth="1"/>
    <col min="116" max="116" width="11" bestFit="1" customWidth="1"/>
    <col min="117" max="120" width="7" customWidth="1"/>
    <col min="121" max="121" width="12" bestFit="1" customWidth="1"/>
    <col min="122" max="128" width="7" customWidth="1"/>
    <col min="129" max="129" width="12" bestFit="1" customWidth="1"/>
    <col min="130" max="132" width="7" customWidth="1"/>
    <col min="133" max="133" width="12" bestFit="1" customWidth="1"/>
    <col min="134" max="134" width="16.28515625" bestFit="1" customWidth="1"/>
    <col min="135" max="135" width="10.42578125" bestFit="1" customWidth="1"/>
    <col min="136" max="136" width="7.42578125" customWidth="1"/>
    <col min="137" max="137" width="11.85546875" bestFit="1" customWidth="1"/>
  </cols>
  <sheetData>
    <row r="4" spans="1:6" x14ac:dyDescent="0.25">
      <c r="A4" s="97" t="s">
        <v>149</v>
      </c>
      <c r="B4" t="s">
        <v>148</v>
      </c>
      <c r="E4" s="97" t="s">
        <v>147</v>
      </c>
      <c r="F4" t="s">
        <v>148</v>
      </c>
    </row>
    <row r="5" spans="1:6" x14ac:dyDescent="0.25">
      <c r="A5" s="98" t="s">
        <v>107</v>
      </c>
      <c r="B5" s="99">
        <v>336600</v>
      </c>
      <c r="E5" s="98" t="s">
        <v>98</v>
      </c>
      <c r="F5" s="99">
        <v>335073.99859999999</v>
      </c>
    </row>
    <row r="6" spans="1:6" x14ac:dyDescent="0.25">
      <c r="A6" s="100" t="s">
        <v>20</v>
      </c>
      <c r="B6" s="99">
        <v>238000</v>
      </c>
      <c r="E6" s="98" t="s">
        <v>50</v>
      </c>
      <c r="F6" s="99">
        <v>272278.00219999999</v>
      </c>
    </row>
    <row r="7" spans="1:6" x14ac:dyDescent="0.25">
      <c r="A7" s="100" t="s">
        <v>19</v>
      </c>
      <c r="B7" s="99">
        <v>98600</v>
      </c>
      <c r="E7" s="98" t="s">
        <v>22</v>
      </c>
      <c r="F7" s="99">
        <v>77550.004000000001</v>
      </c>
    </row>
    <row r="8" spans="1:6" x14ac:dyDescent="0.25">
      <c r="A8" s="98" t="s">
        <v>6</v>
      </c>
      <c r="B8" s="99">
        <v>520000</v>
      </c>
      <c r="E8" s="98" t="s">
        <v>48</v>
      </c>
      <c r="F8" s="99">
        <v>229640.005</v>
      </c>
    </row>
    <row r="9" spans="1:6" x14ac:dyDescent="0.25">
      <c r="A9" s="100" t="s">
        <v>98</v>
      </c>
      <c r="B9" s="99">
        <v>3200</v>
      </c>
      <c r="E9" s="98" t="s">
        <v>25</v>
      </c>
      <c r="F9" s="99">
        <v>727984.97640000004</v>
      </c>
    </row>
    <row r="10" spans="1:6" x14ac:dyDescent="0.25">
      <c r="A10" s="100" t="s">
        <v>48</v>
      </c>
      <c r="B10" s="99">
        <v>22400</v>
      </c>
      <c r="E10" s="98" t="s">
        <v>23</v>
      </c>
      <c r="F10" s="99">
        <v>289273.99299999996</v>
      </c>
    </row>
    <row r="11" spans="1:6" x14ac:dyDescent="0.25">
      <c r="A11" s="100" t="s">
        <v>25</v>
      </c>
      <c r="B11" s="99">
        <v>42400</v>
      </c>
      <c r="E11" s="98" t="s">
        <v>9</v>
      </c>
      <c r="F11" s="99">
        <v>3169447.9826000002</v>
      </c>
    </row>
    <row r="12" spans="1:6" x14ac:dyDescent="0.25">
      <c r="A12" s="100" t="s">
        <v>9</v>
      </c>
      <c r="B12" s="99">
        <v>101600</v>
      </c>
      <c r="E12" s="98" t="s">
        <v>37</v>
      </c>
      <c r="F12" s="99">
        <v>40000</v>
      </c>
    </row>
    <row r="13" spans="1:6" x14ac:dyDescent="0.25">
      <c r="A13" s="100" t="s">
        <v>95</v>
      </c>
      <c r="B13" s="99">
        <v>44800</v>
      </c>
      <c r="E13" s="98" t="s">
        <v>96</v>
      </c>
      <c r="F13" s="99">
        <v>316400</v>
      </c>
    </row>
    <row r="14" spans="1:6" x14ac:dyDescent="0.25">
      <c r="A14" s="100" t="s">
        <v>21</v>
      </c>
      <c r="B14" s="99">
        <v>24800</v>
      </c>
      <c r="E14" s="98" t="s">
        <v>87</v>
      </c>
      <c r="F14" s="99">
        <v>208580.00080000001</v>
      </c>
    </row>
    <row r="15" spans="1:6" x14ac:dyDescent="0.25">
      <c r="A15" s="100" t="s">
        <v>20</v>
      </c>
      <c r="B15" s="99">
        <v>21600</v>
      </c>
      <c r="E15" s="98" t="s">
        <v>95</v>
      </c>
      <c r="F15" s="99">
        <v>146839.98800000001</v>
      </c>
    </row>
    <row r="16" spans="1:6" x14ac:dyDescent="0.25">
      <c r="A16" s="100" t="s">
        <v>19</v>
      </c>
      <c r="B16" s="99">
        <v>253600</v>
      </c>
      <c r="E16" s="98" t="s">
        <v>21</v>
      </c>
      <c r="F16" s="99">
        <v>259308.019</v>
      </c>
    </row>
    <row r="17" spans="1:6" x14ac:dyDescent="0.25">
      <c r="A17" s="100" t="s">
        <v>88</v>
      </c>
      <c r="B17" s="99">
        <v>5600</v>
      </c>
      <c r="E17" s="98" t="s">
        <v>20</v>
      </c>
      <c r="F17" s="99">
        <v>318719.99719999998</v>
      </c>
    </row>
    <row r="18" spans="1:6" x14ac:dyDescent="0.25">
      <c r="A18" s="98" t="s">
        <v>47</v>
      </c>
      <c r="B18" s="99">
        <v>489550</v>
      </c>
      <c r="E18" s="98" t="s">
        <v>19</v>
      </c>
      <c r="F18" s="99">
        <v>797049.99579999992</v>
      </c>
    </row>
    <row r="19" spans="1:6" x14ac:dyDescent="0.25">
      <c r="A19" s="100" t="s">
        <v>50</v>
      </c>
      <c r="B19" s="99">
        <v>11440</v>
      </c>
      <c r="E19" s="98" t="s">
        <v>88</v>
      </c>
      <c r="F19" s="99">
        <v>59649.996199999994</v>
      </c>
    </row>
    <row r="20" spans="1:6" x14ac:dyDescent="0.25">
      <c r="A20" s="100" t="s">
        <v>25</v>
      </c>
      <c r="B20" s="99">
        <v>37180</v>
      </c>
      <c r="E20" s="98" t="s">
        <v>146</v>
      </c>
      <c r="F20" s="99">
        <v>7247796.9588000001</v>
      </c>
    </row>
    <row r="21" spans="1:6" x14ac:dyDescent="0.25">
      <c r="A21" s="100" t="s">
        <v>9</v>
      </c>
      <c r="B21" s="99">
        <v>400530</v>
      </c>
    </row>
    <row r="22" spans="1:6" x14ac:dyDescent="0.25">
      <c r="A22" s="100" t="s">
        <v>95</v>
      </c>
      <c r="B22" s="99">
        <v>11440</v>
      </c>
    </row>
    <row r="23" spans="1:6" x14ac:dyDescent="0.25">
      <c r="A23" s="100" t="s">
        <v>19</v>
      </c>
      <c r="B23" s="99">
        <v>28960</v>
      </c>
    </row>
    <row r="24" spans="1:6" x14ac:dyDescent="0.25">
      <c r="A24" s="98" t="s">
        <v>52</v>
      </c>
      <c r="B24" s="99">
        <v>255200</v>
      </c>
    </row>
    <row r="25" spans="1:6" x14ac:dyDescent="0.25">
      <c r="A25" s="100" t="s">
        <v>98</v>
      </c>
      <c r="B25" s="99">
        <v>118900</v>
      </c>
    </row>
    <row r="26" spans="1:6" x14ac:dyDescent="0.25">
      <c r="A26" s="100" t="s">
        <v>22</v>
      </c>
      <c r="B26" s="99">
        <v>58000</v>
      </c>
    </row>
    <row r="27" spans="1:6" x14ac:dyDescent="0.25">
      <c r="A27" s="100" t="s">
        <v>25</v>
      </c>
      <c r="B27" s="99">
        <v>11600</v>
      </c>
    </row>
    <row r="28" spans="1:6" x14ac:dyDescent="0.25">
      <c r="A28" s="100" t="s">
        <v>87</v>
      </c>
      <c r="B28" s="99">
        <v>66700</v>
      </c>
    </row>
    <row r="29" spans="1:6" x14ac:dyDescent="0.25">
      <c r="A29" s="98" t="s">
        <v>31</v>
      </c>
      <c r="B29" s="99">
        <v>237800</v>
      </c>
    </row>
    <row r="30" spans="1:6" x14ac:dyDescent="0.25">
      <c r="A30" s="98" t="s">
        <v>7</v>
      </c>
      <c r="B30" s="99">
        <v>271600</v>
      </c>
    </row>
    <row r="31" spans="1:6" x14ac:dyDescent="0.25">
      <c r="A31" s="98" t="s">
        <v>71</v>
      </c>
      <c r="B31" s="99">
        <v>547249.97880000004</v>
      </c>
    </row>
    <row r="32" spans="1:6" x14ac:dyDescent="0.25">
      <c r="A32" s="98" t="s">
        <v>27</v>
      </c>
      <c r="B32" s="99">
        <v>138000</v>
      </c>
    </row>
    <row r="33" spans="1:2" x14ac:dyDescent="0.25">
      <c r="A33" s="100" t="s">
        <v>25</v>
      </c>
      <c r="B33" s="99">
        <v>126000</v>
      </c>
    </row>
    <row r="34" spans="1:2" x14ac:dyDescent="0.25">
      <c r="A34" s="100" t="s">
        <v>87</v>
      </c>
      <c r="B34" s="99">
        <v>12000</v>
      </c>
    </row>
    <row r="35" spans="1:2" x14ac:dyDescent="0.25">
      <c r="A35" s="98" t="s">
        <v>108</v>
      </c>
      <c r="B35" s="99">
        <v>362550</v>
      </c>
    </row>
    <row r="36" spans="1:2" x14ac:dyDescent="0.25">
      <c r="A36" s="100" t="s">
        <v>98</v>
      </c>
      <c r="B36" s="99">
        <v>53400</v>
      </c>
    </row>
    <row r="37" spans="1:2" x14ac:dyDescent="0.25">
      <c r="A37" s="100" t="s">
        <v>48</v>
      </c>
      <c r="B37" s="99">
        <v>50250</v>
      </c>
    </row>
    <row r="38" spans="1:2" x14ac:dyDescent="0.25">
      <c r="A38" s="100" t="s">
        <v>25</v>
      </c>
      <c r="B38" s="99">
        <v>57650</v>
      </c>
    </row>
    <row r="39" spans="1:2" x14ac:dyDescent="0.25">
      <c r="A39" s="100" t="s">
        <v>23</v>
      </c>
      <c r="B39" s="99">
        <v>114000</v>
      </c>
    </row>
    <row r="40" spans="1:2" x14ac:dyDescent="0.25">
      <c r="A40" s="100" t="s">
        <v>9</v>
      </c>
      <c r="B40" s="99">
        <v>33250</v>
      </c>
    </row>
    <row r="41" spans="1:2" x14ac:dyDescent="0.25">
      <c r="A41" s="100" t="s">
        <v>96</v>
      </c>
      <c r="B41" s="99">
        <v>16000</v>
      </c>
    </row>
    <row r="42" spans="1:2" x14ac:dyDescent="0.25">
      <c r="A42" s="100" t="s">
        <v>21</v>
      </c>
      <c r="B42" s="99">
        <v>7000</v>
      </c>
    </row>
    <row r="43" spans="1:2" x14ac:dyDescent="0.25">
      <c r="A43" s="100" t="s">
        <v>20</v>
      </c>
      <c r="B43" s="99">
        <v>16000</v>
      </c>
    </row>
    <row r="44" spans="1:2" x14ac:dyDescent="0.25">
      <c r="A44" s="100" t="s">
        <v>19</v>
      </c>
      <c r="B44" s="99">
        <v>15000</v>
      </c>
    </row>
    <row r="45" spans="1:2" x14ac:dyDescent="0.25">
      <c r="A45" s="98" t="s">
        <v>111</v>
      </c>
      <c r="B45" s="99">
        <v>28200</v>
      </c>
    </row>
    <row r="46" spans="1:2" x14ac:dyDescent="0.25">
      <c r="A46" s="100" t="s">
        <v>50</v>
      </c>
      <c r="B46" s="99">
        <v>28200</v>
      </c>
    </row>
    <row r="47" spans="1:2" x14ac:dyDescent="0.25">
      <c r="A47" s="98" t="s">
        <v>34</v>
      </c>
      <c r="B47" s="99">
        <v>266600</v>
      </c>
    </row>
    <row r="48" spans="1:2" x14ac:dyDescent="0.25">
      <c r="A48" s="100" t="s">
        <v>48</v>
      </c>
      <c r="B48" s="99">
        <v>8000</v>
      </c>
    </row>
    <row r="49" spans="1:2" x14ac:dyDescent="0.25">
      <c r="A49" s="100" t="s">
        <v>9</v>
      </c>
      <c r="B49" s="99">
        <v>93600</v>
      </c>
    </row>
    <row r="50" spans="1:2" x14ac:dyDescent="0.25">
      <c r="A50" s="100" t="s">
        <v>87</v>
      </c>
      <c r="B50" s="99">
        <v>4000</v>
      </c>
    </row>
    <row r="51" spans="1:2" x14ac:dyDescent="0.25">
      <c r="A51" s="100" t="s">
        <v>95</v>
      </c>
      <c r="B51" s="99">
        <v>43000</v>
      </c>
    </row>
    <row r="52" spans="1:2" x14ac:dyDescent="0.25">
      <c r="A52" s="100" t="s">
        <v>20</v>
      </c>
      <c r="B52" s="99">
        <v>24000</v>
      </c>
    </row>
    <row r="53" spans="1:2" x14ac:dyDescent="0.25">
      <c r="A53" s="100" t="s">
        <v>19</v>
      </c>
      <c r="B53" s="99">
        <v>94000</v>
      </c>
    </row>
    <row r="54" spans="1:2" x14ac:dyDescent="0.25">
      <c r="A54" s="98" t="s">
        <v>35</v>
      </c>
      <c r="B54" s="99">
        <v>235700</v>
      </c>
    </row>
    <row r="55" spans="1:2" x14ac:dyDescent="0.25">
      <c r="A55" s="98" t="s">
        <v>15</v>
      </c>
      <c r="B55" s="99">
        <v>747564.99879999994</v>
      </c>
    </row>
    <row r="56" spans="1:2" x14ac:dyDescent="0.25">
      <c r="A56" s="98" t="s">
        <v>68</v>
      </c>
      <c r="B56" s="99">
        <v>254890</v>
      </c>
    </row>
    <row r="57" spans="1:2" x14ac:dyDescent="0.25">
      <c r="A57" s="100" t="s">
        <v>50</v>
      </c>
      <c r="B57" s="99">
        <v>7760</v>
      </c>
    </row>
    <row r="58" spans="1:2" x14ac:dyDescent="0.25">
      <c r="A58" s="100" t="s">
        <v>23</v>
      </c>
      <c r="B58" s="99">
        <v>3880</v>
      </c>
    </row>
    <row r="59" spans="1:2" x14ac:dyDescent="0.25">
      <c r="A59" s="100" t="s">
        <v>9</v>
      </c>
      <c r="B59" s="99">
        <v>190870</v>
      </c>
    </row>
    <row r="60" spans="1:2" x14ac:dyDescent="0.25">
      <c r="A60" s="100" t="s">
        <v>19</v>
      </c>
      <c r="B60" s="99">
        <v>52380</v>
      </c>
    </row>
    <row r="61" spans="1:2" x14ac:dyDescent="0.25">
      <c r="A61" s="98" t="s">
        <v>32</v>
      </c>
      <c r="B61" s="99">
        <v>221399.97839999999</v>
      </c>
    </row>
    <row r="62" spans="1:2" x14ac:dyDescent="0.25">
      <c r="A62" s="98" t="s">
        <v>36</v>
      </c>
      <c r="B62" s="99">
        <v>2001250</v>
      </c>
    </row>
    <row r="63" spans="1:2" x14ac:dyDescent="0.25">
      <c r="A63" s="98" t="s">
        <v>85</v>
      </c>
      <c r="B63" s="99">
        <v>333642.00280000002</v>
      </c>
    </row>
    <row r="64" spans="1:2" x14ac:dyDescent="0.25">
      <c r="A64" s="98" t="s">
        <v>146</v>
      </c>
      <c r="B64" s="99">
        <v>7247796.9588000001</v>
      </c>
    </row>
  </sheetData>
  <pageMargins left="0.7" right="0.7" top="0.75" bottom="0.75" header="0.3" footer="0.3"/>
  <pageSetup paperSize="9" orientation="portrait" horizontalDpi="300" verticalDpi="300" copies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L208"/>
  <sheetViews>
    <sheetView workbookViewId="0">
      <pane xSplit="4" ySplit="5" topLeftCell="E177" activePane="bottomRight" state="frozen"/>
      <selection pane="topRight" activeCell="E1" sqref="E1"/>
      <selection pane="bottomLeft" activeCell="A7" sqref="A7"/>
      <selection pane="bottomRight" activeCell="A4" sqref="A4"/>
    </sheetView>
  </sheetViews>
  <sheetFormatPr defaultRowHeight="15" x14ac:dyDescent="0.25"/>
  <cols>
    <col min="1" max="2" width="12.28515625" customWidth="1"/>
    <col min="3" max="3" width="12.42578125" customWidth="1"/>
    <col min="4" max="4" width="31" customWidth="1"/>
    <col min="5" max="5" width="34.5703125" customWidth="1"/>
    <col min="6" max="6" width="20" customWidth="1"/>
    <col min="7" max="7" width="17.7109375" customWidth="1"/>
    <col min="8" max="8" width="11.85546875" customWidth="1"/>
    <col min="9" max="9" width="14.140625" customWidth="1"/>
    <col min="10" max="10" width="14.42578125" customWidth="1"/>
    <col min="12" max="12" width="10.7109375" bestFit="1" customWidth="1"/>
  </cols>
  <sheetData>
    <row r="2" spans="1:10" x14ac:dyDescent="0.25">
      <c r="E2" s="71"/>
    </row>
    <row r="5" spans="1:10" x14ac:dyDescent="0.25">
      <c r="A5" s="91" t="s">
        <v>136</v>
      </c>
      <c r="B5" s="92" t="s">
        <v>137</v>
      </c>
      <c r="C5" s="92" t="s">
        <v>138</v>
      </c>
      <c r="D5" s="92" t="s">
        <v>139</v>
      </c>
      <c r="E5" s="92" t="s">
        <v>140</v>
      </c>
      <c r="F5" s="93" t="s">
        <v>141</v>
      </c>
      <c r="G5" s="92" t="s">
        <v>142</v>
      </c>
      <c r="H5" s="94" t="s">
        <v>143</v>
      </c>
      <c r="I5" s="95" t="s">
        <v>144</v>
      </c>
      <c r="J5" s="96" t="s">
        <v>145</v>
      </c>
    </row>
    <row r="6" spans="1:10" x14ac:dyDescent="0.25">
      <c r="A6" s="1">
        <v>1</v>
      </c>
      <c r="B6" s="1">
        <v>47</v>
      </c>
      <c r="C6" s="3">
        <v>41887</v>
      </c>
      <c r="D6" s="1" t="s">
        <v>108</v>
      </c>
      <c r="E6" s="1" t="s">
        <v>8</v>
      </c>
      <c r="F6" s="70" t="s">
        <v>23</v>
      </c>
      <c r="G6" s="22">
        <v>38000</v>
      </c>
      <c r="H6" s="3"/>
      <c r="I6" s="19"/>
      <c r="J6" s="26">
        <f t="shared" ref="J6:J136" si="0">G6-I6</f>
        <v>38000</v>
      </c>
    </row>
    <row r="7" spans="1:10" x14ac:dyDescent="0.25">
      <c r="A7" s="1">
        <v>2</v>
      </c>
      <c r="B7" s="1">
        <v>46</v>
      </c>
      <c r="C7" s="3">
        <v>41887</v>
      </c>
      <c r="D7" s="1" t="s">
        <v>108</v>
      </c>
      <c r="E7" s="1" t="s">
        <v>8</v>
      </c>
      <c r="F7" s="48" t="s">
        <v>21</v>
      </c>
      <c r="G7" s="22">
        <v>7000</v>
      </c>
      <c r="H7" s="3"/>
      <c r="I7" s="19"/>
      <c r="J7" s="26">
        <f t="shared" si="0"/>
        <v>7000</v>
      </c>
    </row>
    <row r="8" spans="1:10" ht="29.25" x14ac:dyDescent="0.25">
      <c r="A8" s="1">
        <v>3</v>
      </c>
      <c r="B8" s="1">
        <v>45</v>
      </c>
      <c r="C8" s="3">
        <v>41887</v>
      </c>
      <c r="D8" s="1" t="s">
        <v>108</v>
      </c>
      <c r="E8" s="1" t="s">
        <v>8</v>
      </c>
      <c r="F8" s="72" t="s">
        <v>96</v>
      </c>
      <c r="G8" s="22">
        <v>16000</v>
      </c>
      <c r="H8" s="3"/>
      <c r="I8" s="19"/>
      <c r="J8" s="26">
        <f t="shared" si="0"/>
        <v>16000</v>
      </c>
    </row>
    <row r="9" spans="1:10" x14ac:dyDescent="0.25">
      <c r="A9" s="1"/>
      <c r="B9" s="1">
        <v>59</v>
      </c>
      <c r="C9" s="3">
        <v>41897</v>
      </c>
      <c r="D9" s="1" t="s">
        <v>108</v>
      </c>
      <c r="E9" s="1" t="s">
        <v>8</v>
      </c>
      <c r="F9" s="70" t="s">
        <v>48</v>
      </c>
      <c r="G9" s="22">
        <v>14000</v>
      </c>
      <c r="H9" s="3"/>
      <c r="I9" s="19"/>
      <c r="J9" s="26">
        <f t="shared" si="0"/>
        <v>14000</v>
      </c>
    </row>
    <row r="10" spans="1:10" x14ac:dyDescent="0.25">
      <c r="A10" s="1"/>
      <c r="B10" s="1">
        <v>57</v>
      </c>
      <c r="C10" s="3">
        <v>41897</v>
      </c>
      <c r="D10" s="1" t="s">
        <v>108</v>
      </c>
      <c r="E10" s="1" t="s">
        <v>8</v>
      </c>
      <c r="F10" s="70" t="s">
        <v>98</v>
      </c>
      <c r="G10" s="22">
        <v>7000</v>
      </c>
      <c r="H10" s="3"/>
      <c r="I10" s="19"/>
      <c r="J10" s="26">
        <f t="shared" si="0"/>
        <v>7000</v>
      </c>
    </row>
    <row r="11" spans="1:10" x14ac:dyDescent="0.25">
      <c r="A11" s="1"/>
      <c r="B11" s="1">
        <v>58</v>
      </c>
      <c r="C11" s="3">
        <v>41897</v>
      </c>
      <c r="D11" s="1" t="s">
        <v>108</v>
      </c>
      <c r="E11" s="1" t="s">
        <v>8</v>
      </c>
      <c r="F11" s="70" t="s">
        <v>9</v>
      </c>
      <c r="G11" s="22">
        <v>26250</v>
      </c>
      <c r="H11" s="3"/>
      <c r="I11" s="19"/>
      <c r="J11" s="26">
        <f t="shared" si="0"/>
        <v>26250</v>
      </c>
    </row>
    <row r="12" spans="1:10" x14ac:dyDescent="0.25">
      <c r="A12" s="1">
        <v>4</v>
      </c>
      <c r="B12" s="1">
        <v>44</v>
      </c>
      <c r="C12" s="3">
        <v>41887</v>
      </c>
      <c r="D12" s="1" t="s">
        <v>108</v>
      </c>
      <c r="E12" s="1" t="s">
        <v>8</v>
      </c>
      <c r="F12" s="70" t="s">
        <v>23</v>
      </c>
      <c r="G12" s="22">
        <v>76000</v>
      </c>
      <c r="H12" s="3"/>
      <c r="I12" s="19"/>
      <c r="J12" s="26">
        <f t="shared" si="0"/>
        <v>76000</v>
      </c>
    </row>
    <row r="13" spans="1:10" x14ac:dyDescent="0.25">
      <c r="A13" s="1"/>
      <c r="B13" s="1">
        <v>71</v>
      </c>
      <c r="C13" s="3">
        <v>41912</v>
      </c>
      <c r="D13" s="1" t="s">
        <v>108</v>
      </c>
      <c r="E13" s="1" t="s">
        <v>8</v>
      </c>
      <c r="F13" s="37" t="s">
        <v>19</v>
      </c>
      <c r="G13" s="22">
        <v>15000</v>
      </c>
      <c r="H13" s="3"/>
      <c r="I13" s="19"/>
      <c r="J13" s="26">
        <f t="shared" si="0"/>
        <v>15000</v>
      </c>
    </row>
    <row r="14" spans="1:10" x14ac:dyDescent="0.25">
      <c r="A14" s="1"/>
      <c r="B14" s="1">
        <v>74</v>
      </c>
      <c r="C14" s="3">
        <v>41906</v>
      </c>
      <c r="D14" s="1" t="s">
        <v>108</v>
      </c>
      <c r="E14" s="1" t="s">
        <v>8</v>
      </c>
      <c r="F14" s="37" t="s">
        <v>98</v>
      </c>
      <c r="G14" s="22">
        <v>13050</v>
      </c>
      <c r="H14" s="3"/>
      <c r="I14" s="19"/>
      <c r="J14" s="26">
        <f t="shared" si="0"/>
        <v>13050</v>
      </c>
    </row>
    <row r="15" spans="1:10" x14ac:dyDescent="0.25">
      <c r="A15" s="1"/>
      <c r="B15" s="1">
        <v>63</v>
      </c>
      <c r="C15" s="3">
        <v>41898</v>
      </c>
      <c r="D15" s="1" t="s">
        <v>108</v>
      </c>
      <c r="E15" s="1" t="s">
        <v>8</v>
      </c>
      <c r="F15" s="37" t="s">
        <v>48</v>
      </c>
      <c r="G15" s="22">
        <v>11600</v>
      </c>
      <c r="H15" s="3"/>
      <c r="I15" s="19"/>
      <c r="J15" s="26">
        <f t="shared" si="0"/>
        <v>11600</v>
      </c>
    </row>
    <row r="16" spans="1:10" x14ac:dyDescent="0.25">
      <c r="A16" s="1"/>
      <c r="B16" s="1">
        <v>69</v>
      </c>
      <c r="C16" s="3">
        <v>41912</v>
      </c>
      <c r="D16" s="1" t="s">
        <v>108</v>
      </c>
      <c r="E16" s="1" t="s">
        <v>8</v>
      </c>
      <c r="F16" s="37" t="s">
        <v>25</v>
      </c>
      <c r="G16" s="22">
        <v>4000</v>
      </c>
      <c r="H16" s="3"/>
      <c r="I16" s="19"/>
      <c r="J16" s="26">
        <f t="shared" si="0"/>
        <v>4000</v>
      </c>
    </row>
    <row r="17" spans="1:10" x14ac:dyDescent="0.25">
      <c r="A17" s="1"/>
      <c r="B17" s="1">
        <v>70</v>
      </c>
      <c r="C17" s="3">
        <v>41912</v>
      </c>
      <c r="D17" s="1" t="s">
        <v>108</v>
      </c>
      <c r="E17" s="1" t="s">
        <v>8</v>
      </c>
      <c r="F17" s="40" t="s">
        <v>20</v>
      </c>
      <c r="G17" s="22">
        <v>16000</v>
      </c>
      <c r="H17" s="3"/>
      <c r="I17" s="19"/>
      <c r="J17" s="26">
        <f t="shared" si="0"/>
        <v>16000</v>
      </c>
    </row>
    <row r="18" spans="1:10" x14ac:dyDescent="0.25">
      <c r="A18" s="1"/>
      <c r="B18" s="1">
        <v>72</v>
      </c>
      <c r="C18" s="3">
        <v>41912</v>
      </c>
      <c r="D18" s="1" t="s">
        <v>108</v>
      </c>
      <c r="E18" s="1" t="s">
        <v>8</v>
      </c>
      <c r="F18" s="37" t="s">
        <v>9</v>
      </c>
      <c r="G18" s="22">
        <v>7000</v>
      </c>
      <c r="H18" s="3"/>
      <c r="I18" s="19"/>
      <c r="J18" s="26">
        <f t="shared" si="0"/>
        <v>7000</v>
      </c>
    </row>
    <row r="19" spans="1:10" x14ac:dyDescent="0.25">
      <c r="A19" s="1"/>
      <c r="B19" s="1">
        <v>62</v>
      </c>
      <c r="C19" s="3">
        <v>41897</v>
      </c>
      <c r="D19" s="1" t="s">
        <v>108</v>
      </c>
      <c r="E19" s="1" t="s">
        <v>8</v>
      </c>
      <c r="F19" s="37" t="s">
        <v>25</v>
      </c>
      <c r="G19" s="22">
        <v>53650</v>
      </c>
      <c r="H19" s="3"/>
      <c r="I19" s="19"/>
      <c r="J19" s="26">
        <f t="shared" si="0"/>
        <v>53650</v>
      </c>
    </row>
    <row r="20" spans="1:10" x14ac:dyDescent="0.25">
      <c r="A20" s="1"/>
      <c r="B20" s="1">
        <v>61</v>
      </c>
      <c r="C20" s="3">
        <v>41897</v>
      </c>
      <c r="D20" s="1" t="s">
        <v>108</v>
      </c>
      <c r="E20" s="1" t="s">
        <v>8</v>
      </c>
      <c r="F20" s="37" t="s">
        <v>48</v>
      </c>
      <c r="G20" s="22">
        <v>24650</v>
      </c>
      <c r="H20" s="3"/>
      <c r="I20" s="19"/>
      <c r="J20" s="26">
        <f t="shared" si="0"/>
        <v>24650</v>
      </c>
    </row>
    <row r="21" spans="1:10" x14ac:dyDescent="0.25">
      <c r="A21" s="1"/>
      <c r="B21" s="1">
        <v>64</v>
      </c>
      <c r="C21" s="3">
        <v>41900</v>
      </c>
      <c r="D21" s="1" t="s">
        <v>108</v>
      </c>
      <c r="E21" s="1" t="s">
        <v>8</v>
      </c>
      <c r="F21" s="37" t="s">
        <v>98</v>
      </c>
      <c r="G21" s="22">
        <v>24650</v>
      </c>
      <c r="H21" s="3"/>
      <c r="I21" s="19"/>
      <c r="J21" s="26">
        <f t="shared" si="0"/>
        <v>24650</v>
      </c>
    </row>
    <row r="22" spans="1:10" x14ac:dyDescent="0.25">
      <c r="A22" s="1"/>
      <c r="B22" s="1">
        <v>60</v>
      </c>
      <c r="C22" s="3">
        <v>41897</v>
      </c>
      <c r="D22" s="1" t="s">
        <v>108</v>
      </c>
      <c r="E22" s="1" t="s">
        <v>8</v>
      </c>
      <c r="F22" s="37" t="s">
        <v>98</v>
      </c>
      <c r="G22" s="22">
        <v>8700</v>
      </c>
      <c r="H22" s="3"/>
      <c r="I22" s="19"/>
      <c r="J22" s="26">
        <f t="shared" si="0"/>
        <v>8700</v>
      </c>
    </row>
    <row r="23" spans="1:10" ht="29.25" x14ac:dyDescent="0.25">
      <c r="A23" s="1">
        <v>5</v>
      </c>
      <c r="B23" s="1">
        <v>140</v>
      </c>
      <c r="C23" s="3">
        <v>41892</v>
      </c>
      <c r="D23" s="33" t="s">
        <v>35</v>
      </c>
      <c r="E23" s="33" t="s">
        <v>45</v>
      </c>
      <c r="F23" s="72" t="s">
        <v>96</v>
      </c>
      <c r="G23" s="22">
        <v>26100</v>
      </c>
      <c r="H23" s="3">
        <v>41912</v>
      </c>
      <c r="I23" s="19">
        <v>26100</v>
      </c>
      <c r="J23" s="26">
        <f t="shared" si="0"/>
        <v>0</v>
      </c>
    </row>
    <row r="24" spans="1:10" x14ac:dyDescent="0.25">
      <c r="A24" s="1">
        <v>6</v>
      </c>
      <c r="B24" s="1">
        <v>138</v>
      </c>
      <c r="C24" s="3">
        <v>41894</v>
      </c>
      <c r="D24" s="33" t="s">
        <v>35</v>
      </c>
      <c r="E24" s="1" t="s">
        <v>8</v>
      </c>
      <c r="F24" s="70" t="s">
        <v>25</v>
      </c>
      <c r="G24" s="22">
        <v>64000</v>
      </c>
      <c r="H24" s="3">
        <v>41912</v>
      </c>
      <c r="I24" s="19">
        <v>64000</v>
      </c>
      <c r="J24" s="26">
        <f t="shared" si="0"/>
        <v>0</v>
      </c>
    </row>
    <row r="25" spans="1:10" x14ac:dyDescent="0.25">
      <c r="A25" s="1"/>
      <c r="B25" s="1">
        <v>139</v>
      </c>
      <c r="C25" s="3">
        <v>41894</v>
      </c>
      <c r="D25" s="33" t="s">
        <v>35</v>
      </c>
      <c r="E25" s="1" t="s">
        <v>8</v>
      </c>
      <c r="F25" s="70" t="s">
        <v>25</v>
      </c>
      <c r="G25" s="22">
        <v>80500</v>
      </c>
      <c r="H25" s="45">
        <v>41920</v>
      </c>
      <c r="I25" s="19">
        <v>80500</v>
      </c>
      <c r="J25" s="26">
        <f t="shared" si="0"/>
        <v>0</v>
      </c>
    </row>
    <row r="26" spans="1:10" x14ac:dyDescent="0.25">
      <c r="A26" s="1"/>
      <c r="B26" s="1">
        <v>141</v>
      </c>
      <c r="C26" s="3">
        <v>41895</v>
      </c>
      <c r="D26" s="33" t="s">
        <v>35</v>
      </c>
      <c r="E26" s="33" t="s">
        <v>45</v>
      </c>
      <c r="F26" s="48" t="s">
        <v>21</v>
      </c>
      <c r="G26" s="22">
        <v>26100</v>
      </c>
      <c r="H26" s="45">
        <v>41920</v>
      </c>
      <c r="I26" s="19">
        <v>26100</v>
      </c>
      <c r="J26" s="26">
        <f t="shared" si="0"/>
        <v>0</v>
      </c>
    </row>
    <row r="27" spans="1:10" ht="29.25" x14ac:dyDescent="0.25">
      <c r="A27" s="1"/>
      <c r="B27" s="1">
        <v>150</v>
      </c>
      <c r="C27" s="3">
        <v>41898</v>
      </c>
      <c r="D27" s="33" t="s">
        <v>35</v>
      </c>
      <c r="E27" s="33" t="s">
        <v>44</v>
      </c>
      <c r="F27" s="72" t="s">
        <v>96</v>
      </c>
      <c r="G27" s="22">
        <v>4000</v>
      </c>
      <c r="H27" s="3"/>
      <c r="I27" s="19"/>
      <c r="J27" s="26">
        <f t="shared" si="0"/>
        <v>4000</v>
      </c>
    </row>
    <row r="28" spans="1:10" x14ac:dyDescent="0.25">
      <c r="A28" s="1"/>
      <c r="B28" s="1">
        <v>152</v>
      </c>
      <c r="C28" s="3">
        <v>41897</v>
      </c>
      <c r="D28" s="33" t="s">
        <v>35</v>
      </c>
      <c r="E28" s="33" t="s">
        <v>45</v>
      </c>
      <c r="F28" s="41" t="s">
        <v>25</v>
      </c>
      <c r="G28" s="22">
        <v>8050</v>
      </c>
      <c r="H28" s="3"/>
      <c r="I28" s="19"/>
      <c r="J28" s="26">
        <f t="shared" si="0"/>
        <v>8050</v>
      </c>
    </row>
    <row r="29" spans="1:10" x14ac:dyDescent="0.25">
      <c r="A29" s="1"/>
      <c r="B29" s="1">
        <v>155</v>
      </c>
      <c r="C29" s="3">
        <v>41902</v>
      </c>
      <c r="D29" s="33" t="s">
        <v>35</v>
      </c>
      <c r="E29" s="33" t="s">
        <v>44</v>
      </c>
      <c r="F29" s="37" t="s">
        <v>19</v>
      </c>
      <c r="G29" s="22">
        <v>4000</v>
      </c>
      <c r="H29" s="3"/>
      <c r="I29" s="19"/>
      <c r="J29" s="26">
        <f t="shared" si="0"/>
        <v>4000</v>
      </c>
    </row>
    <row r="30" spans="1:10" x14ac:dyDescent="0.25">
      <c r="A30" s="1"/>
      <c r="B30" s="1">
        <v>148</v>
      </c>
      <c r="C30" s="3">
        <v>41904</v>
      </c>
      <c r="D30" s="33" t="s">
        <v>35</v>
      </c>
      <c r="E30" s="33" t="s">
        <v>44</v>
      </c>
      <c r="F30" s="48" t="s">
        <v>21</v>
      </c>
      <c r="G30" s="22">
        <v>27000</v>
      </c>
      <c r="H30" s="3"/>
      <c r="I30" s="19"/>
      <c r="J30" s="26">
        <f t="shared" si="0"/>
        <v>27000</v>
      </c>
    </row>
    <row r="31" spans="1:10" x14ac:dyDescent="0.25">
      <c r="A31" s="1"/>
      <c r="B31" s="1">
        <v>149</v>
      </c>
      <c r="C31" s="3">
        <v>41908</v>
      </c>
      <c r="D31" s="33" t="s">
        <v>35</v>
      </c>
      <c r="E31" s="33" t="s">
        <v>44</v>
      </c>
      <c r="F31" s="41" t="s">
        <v>95</v>
      </c>
      <c r="G31" s="22">
        <v>18000</v>
      </c>
      <c r="H31" s="3"/>
      <c r="I31" s="19"/>
      <c r="J31" s="26">
        <f t="shared" si="0"/>
        <v>18000</v>
      </c>
    </row>
    <row r="32" spans="1:10" x14ac:dyDescent="0.25">
      <c r="A32" s="1"/>
      <c r="B32" s="1">
        <v>153</v>
      </c>
      <c r="C32" s="3">
        <v>41912</v>
      </c>
      <c r="D32" s="33" t="s">
        <v>35</v>
      </c>
      <c r="E32" s="33" t="s">
        <v>24</v>
      </c>
      <c r="F32" s="41" t="s">
        <v>25</v>
      </c>
      <c r="G32" s="22">
        <v>70400</v>
      </c>
      <c r="H32" s="3"/>
      <c r="I32" s="19"/>
      <c r="J32" s="26">
        <f t="shared" si="0"/>
        <v>70400</v>
      </c>
    </row>
    <row r="33" spans="1:10" x14ac:dyDescent="0.25">
      <c r="A33" s="1"/>
      <c r="B33" s="1">
        <v>154</v>
      </c>
      <c r="C33" s="3">
        <v>41912</v>
      </c>
      <c r="D33" s="33" t="s">
        <v>35</v>
      </c>
      <c r="E33" s="33" t="s">
        <v>45</v>
      </c>
      <c r="F33" s="41" t="s">
        <v>23</v>
      </c>
      <c r="G33" s="22">
        <v>60650</v>
      </c>
      <c r="H33" s="3"/>
      <c r="I33" s="19"/>
      <c r="J33" s="26">
        <f t="shared" si="0"/>
        <v>60650</v>
      </c>
    </row>
    <row r="34" spans="1:10" x14ac:dyDescent="0.25">
      <c r="A34" s="1"/>
      <c r="B34" s="1">
        <v>156</v>
      </c>
      <c r="C34" s="3">
        <v>41912</v>
      </c>
      <c r="D34" s="33" t="s">
        <v>35</v>
      </c>
      <c r="E34" s="33" t="s">
        <v>44</v>
      </c>
      <c r="F34" s="48" t="s">
        <v>37</v>
      </c>
      <c r="G34" s="22">
        <v>40000</v>
      </c>
      <c r="H34" s="3"/>
      <c r="I34" s="19"/>
      <c r="J34" s="26">
        <f t="shared" si="0"/>
        <v>40000</v>
      </c>
    </row>
    <row r="35" spans="1:10" x14ac:dyDescent="0.25">
      <c r="A35" s="1"/>
      <c r="B35" s="1">
        <v>157</v>
      </c>
      <c r="C35" s="3">
        <v>41909</v>
      </c>
      <c r="D35" s="33" t="s">
        <v>35</v>
      </c>
      <c r="E35" s="33" t="s">
        <v>46</v>
      </c>
      <c r="F35" s="40" t="s">
        <v>20</v>
      </c>
      <c r="G35" s="22">
        <v>3600</v>
      </c>
      <c r="H35" s="3"/>
      <c r="I35" s="19"/>
      <c r="J35" s="26">
        <f t="shared" si="0"/>
        <v>3600</v>
      </c>
    </row>
    <row r="36" spans="1:10" x14ac:dyDescent="0.25">
      <c r="A36" s="1"/>
      <c r="B36" s="1"/>
      <c r="C36" s="3"/>
      <c r="D36" s="15" t="s">
        <v>85</v>
      </c>
      <c r="E36" s="15" t="s">
        <v>30</v>
      </c>
      <c r="F36" s="42" t="s">
        <v>48</v>
      </c>
      <c r="G36" s="16">
        <f>9600*1.18</f>
        <v>11328</v>
      </c>
      <c r="H36" s="3"/>
      <c r="I36" s="19"/>
      <c r="J36" s="16">
        <f>9600*1.18</f>
        <v>11328</v>
      </c>
    </row>
    <row r="37" spans="1:10" x14ac:dyDescent="0.25">
      <c r="A37" s="1"/>
      <c r="B37" s="1"/>
      <c r="C37" s="3"/>
      <c r="D37" s="15" t="s">
        <v>85</v>
      </c>
      <c r="E37" s="15" t="s">
        <v>30</v>
      </c>
      <c r="F37" s="42" t="s">
        <v>25</v>
      </c>
      <c r="G37" s="16">
        <f>7627.12*1.18</f>
        <v>9000.0015999999996</v>
      </c>
      <c r="H37" s="3"/>
      <c r="I37" s="19"/>
      <c r="J37" s="16">
        <f>7627.12*1.18</f>
        <v>9000.0015999999996</v>
      </c>
    </row>
    <row r="38" spans="1:10" x14ac:dyDescent="0.25">
      <c r="A38" s="1"/>
      <c r="B38" s="1"/>
      <c r="C38" s="3"/>
      <c r="D38" s="15" t="s">
        <v>85</v>
      </c>
      <c r="E38" s="15" t="s">
        <v>30</v>
      </c>
      <c r="F38" s="42" t="s">
        <v>25</v>
      </c>
      <c r="G38" s="16">
        <f>15932.2*1.18</f>
        <v>18799.995999999999</v>
      </c>
      <c r="H38" s="3"/>
      <c r="I38" s="19"/>
      <c r="J38" s="16">
        <f>15932.2*1.18</f>
        <v>18799.995999999999</v>
      </c>
    </row>
    <row r="39" spans="1:10" x14ac:dyDescent="0.25">
      <c r="A39" s="1"/>
      <c r="B39" s="1"/>
      <c r="C39" s="3"/>
      <c r="D39" s="15" t="s">
        <v>85</v>
      </c>
      <c r="E39" s="15" t="s">
        <v>30</v>
      </c>
      <c r="F39" s="42" t="s">
        <v>9</v>
      </c>
      <c r="G39" s="16">
        <f>7457.63*1.18</f>
        <v>8800.0033999999996</v>
      </c>
      <c r="H39" s="3"/>
      <c r="I39" s="19"/>
      <c r="J39" s="16">
        <f>7457.63*1.18</f>
        <v>8800.0033999999996</v>
      </c>
    </row>
    <row r="40" spans="1:10" x14ac:dyDescent="0.25">
      <c r="A40" s="1"/>
      <c r="B40" s="1"/>
      <c r="C40" s="3"/>
      <c r="D40" s="15" t="s">
        <v>85</v>
      </c>
      <c r="E40" s="15" t="s">
        <v>30</v>
      </c>
      <c r="F40" s="44" t="s">
        <v>98</v>
      </c>
      <c r="G40" s="16">
        <f>12245.76*1.18</f>
        <v>14449.996799999999</v>
      </c>
      <c r="H40" s="3"/>
      <c r="I40" s="19"/>
      <c r="J40" s="16">
        <f>12245.76*1.18</f>
        <v>14449.996799999999</v>
      </c>
    </row>
    <row r="41" spans="1:10" x14ac:dyDescent="0.25">
      <c r="A41" s="1"/>
      <c r="B41" s="1"/>
      <c r="C41" s="3"/>
      <c r="D41" s="15" t="s">
        <v>85</v>
      </c>
      <c r="E41" s="15" t="s">
        <v>30</v>
      </c>
      <c r="F41" s="46" t="s">
        <v>21</v>
      </c>
      <c r="G41" s="16">
        <f>15254.24*1.18</f>
        <v>18000.003199999999</v>
      </c>
      <c r="H41" s="3"/>
      <c r="I41" s="19"/>
      <c r="J41" s="16">
        <f>15254.24*1.18</f>
        <v>18000.003199999999</v>
      </c>
    </row>
    <row r="42" spans="1:10" x14ac:dyDescent="0.25">
      <c r="A42" s="1"/>
      <c r="B42" s="1"/>
      <c r="C42" s="3"/>
      <c r="D42" s="15" t="s">
        <v>85</v>
      </c>
      <c r="E42" s="15" t="s">
        <v>30</v>
      </c>
      <c r="F42" s="42" t="s">
        <v>25</v>
      </c>
      <c r="G42" s="16">
        <f>8135.59*1.18</f>
        <v>9599.9961999999996</v>
      </c>
      <c r="H42" s="3"/>
      <c r="I42" s="19"/>
      <c r="J42" s="16">
        <f>8135.59*1.18</f>
        <v>9599.9961999999996</v>
      </c>
    </row>
    <row r="43" spans="1:10" x14ac:dyDescent="0.25">
      <c r="A43" s="1"/>
      <c r="B43" s="1"/>
      <c r="C43" s="3"/>
      <c r="D43" s="15" t="s">
        <v>85</v>
      </c>
      <c r="E43" s="15" t="s">
        <v>30</v>
      </c>
      <c r="F43" s="42" t="s">
        <v>9</v>
      </c>
      <c r="G43" s="16">
        <f>52203.39*1.18</f>
        <v>61600.000199999995</v>
      </c>
      <c r="H43" s="3"/>
      <c r="I43" s="19"/>
      <c r="J43" s="16">
        <f>52203.39*1.18</f>
        <v>61600.000199999995</v>
      </c>
    </row>
    <row r="44" spans="1:10" x14ac:dyDescent="0.25">
      <c r="A44" s="1"/>
      <c r="B44" s="1"/>
      <c r="C44" s="3"/>
      <c r="D44" s="15" t="s">
        <v>85</v>
      </c>
      <c r="E44" s="15" t="s">
        <v>30</v>
      </c>
      <c r="F44" s="42" t="s">
        <v>25</v>
      </c>
      <c r="G44" s="16">
        <f>10169.49*1.18</f>
        <v>11999.9982</v>
      </c>
      <c r="H44" s="3"/>
      <c r="I44" s="19"/>
      <c r="J44" s="16">
        <f>10169.49*1.18</f>
        <v>11999.9982</v>
      </c>
    </row>
    <row r="45" spans="1:10" x14ac:dyDescent="0.25">
      <c r="A45" s="1"/>
      <c r="B45" s="1"/>
      <c r="C45" s="3"/>
      <c r="D45" s="15" t="s">
        <v>85</v>
      </c>
      <c r="E45" s="15" t="s">
        <v>30</v>
      </c>
      <c r="F45" s="42" t="s">
        <v>9</v>
      </c>
      <c r="G45" s="16">
        <f>8135.59*1.18</f>
        <v>9599.9961999999996</v>
      </c>
      <c r="H45" s="3"/>
      <c r="I45" s="19"/>
      <c r="J45" s="16">
        <f>8135.59*1.18</f>
        <v>9599.9961999999996</v>
      </c>
    </row>
    <row r="46" spans="1:10" x14ac:dyDescent="0.25">
      <c r="A46" s="1"/>
      <c r="B46" s="1"/>
      <c r="C46" s="3"/>
      <c r="D46" s="15" t="s">
        <v>85</v>
      </c>
      <c r="E46" s="15" t="s">
        <v>30</v>
      </c>
      <c r="F46" s="42" t="s">
        <v>9</v>
      </c>
      <c r="G46" s="16">
        <f>9152.54*1.18</f>
        <v>10799.9972</v>
      </c>
      <c r="H46" s="3"/>
      <c r="I46" s="19"/>
      <c r="J46" s="16">
        <f>9152.54*1.18</f>
        <v>10799.9972</v>
      </c>
    </row>
    <row r="47" spans="1:10" x14ac:dyDescent="0.25">
      <c r="A47" s="1"/>
      <c r="B47" s="1"/>
      <c r="C47" s="3"/>
      <c r="D47" s="15" t="s">
        <v>85</v>
      </c>
      <c r="E47" s="15" t="s">
        <v>30</v>
      </c>
      <c r="F47" s="44" t="s">
        <v>98</v>
      </c>
      <c r="G47" s="16">
        <f>28800*1.18</f>
        <v>33984</v>
      </c>
      <c r="H47" s="3"/>
      <c r="I47" s="19"/>
      <c r="J47" s="16">
        <f>28800*1.18</f>
        <v>33984</v>
      </c>
    </row>
    <row r="48" spans="1:10" x14ac:dyDescent="0.25">
      <c r="A48" s="1"/>
      <c r="B48" s="1"/>
      <c r="C48" s="3"/>
      <c r="D48" s="15" t="s">
        <v>85</v>
      </c>
      <c r="E48" s="15" t="s">
        <v>30</v>
      </c>
      <c r="F48" s="42" t="s">
        <v>9</v>
      </c>
      <c r="G48" s="16">
        <f>10237.29*1.18</f>
        <v>12080.002200000001</v>
      </c>
      <c r="H48" s="3"/>
      <c r="I48" s="19"/>
      <c r="J48" s="16">
        <f>10237.29*1.18</f>
        <v>12080.002200000001</v>
      </c>
    </row>
    <row r="49" spans="1:10" x14ac:dyDescent="0.25">
      <c r="A49" s="1"/>
      <c r="B49" s="1"/>
      <c r="C49" s="3"/>
      <c r="D49" s="15" t="s">
        <v>85</v>
      </c>
      <c r="E49" s="15" t="s">
        <v>30</v>
      </c>
      <c r="F49" s="42" t="s">
        <v>95</v>
      </c>
      <c r="G49" s="16">
        <f>1864.4*1.18</f>
        <v>2199.9920000000002</v>
      </c>
      <c r="H49" s="3"/>
      <c r="I49" s="19"/>
      <c r="J49" s="16">
        <f>1864.4*1.18</f>
        <v>2199.9920000000002</v>
      </c>
    </row>
    <row r="50" spans="1:10" x14ac:dyDescent="0.25">
      <c r="A50" s="1"/>
      <c r="B50" s="1"/>
      <c r="C50" s="3"/>
      <c r="D50" s="15" t="s">
        <v>85</v>
      </c>
      <c r="E50" s="15" t="s">
        <v>30</v>
      </c>
      <c r="F50" s="42" t="s">
        <v>9</v>
      </c>
      <c r="G50" s="16">
        <f>7457.63*1.18</f>
        <v>8800.0033999999996</v>
      </c>
      <c r="H50" s="3"/>
      <c r="I50" s="19"/>
      <c r="J50" s="16">
        <f>7457.63*1.18</f>
        <v>8800.0033999999996</v>
      </c>
    </row>
    <row r="51" spans="1:10" x14ac:dyDescent="0.25">
      <c r="A51" s="1"/>
      <c r="B51" s="1"/>
      <c r="C51" s="3"/>
      <c r="D51" s="15" t="s">
        <v>85</v>
      </c>
      <c r="E51" s="15" t="s">
        <v>30</v>
      </c>
      <c r="F51" s="42" t="s">
        <v>9</v>
      </c>
      <c r="G51" s="16">
        <f>8813.56*1.18</f>
        <v>10400.000799999998</v>
      </c>
      <c r="H51" s="3"/>
      <c r="I51" s="19"/>
      <c r="J51" s="16">
        <f>8813.56*1.18</f>
        <v>10400.000799999998</v>
      </c>
    </row>
    <row r="52" spans="1:10" x14ac:dyDescent="0.25">
      <c r="A52" s="1"/>
      <c r="B52" s="1"/>
      <c r="C52" s="3"/>
      <c r="D52" s="15" t="s">
        <v>85</v>
      </c>
      <c r="E52" s="15" t="s">
        <v>30</v>
      </c>
      <c r="F52" s="42" t="s">
        <v>87</v>
      </c>
      <c r="G52" s="16">
        <f>18644.07*1.18</f>
        <v>22000.0026</v>
      </c>
      <c r="H52" s="3"/>
      <c r="I52" s="19"/>
      <c r="J52" s="16">
        <f>18644.07*1.18</f>
        <v>22000.0026</v>
      </c>
    </row>
    <row r="53" spans="1:10" x14ac:dyDescent="0.25">
      <c r="A53" s="1"/>
      <c r="B53" s="1"/>
      <c r="C53" s="3"/>
      <c r="D53" s="15" t="s">
        <v>85</v>
      </c>
      <c r="E53" s="15" t="s">
        <v>30</v>
      </c>
      <c r="F53" s="42" t="s">
        <v>87</v>
      </c>
      <c r="G53" s="16">
        <f>24576.27*1.18</f>
        <v>28999.998599999999</v>
      </c>
      <c r="H53" s="3"/>
      <c r="I53" s="19"/>
      <c r="J53" s="16">
        <f>24576.27*1.18</f>
        <v>28999.998599999999</v>
      </c>
    </row>
    <row r="54" spans="1:10" x14ac:dyDescent="0.25">
      <c r="A54" s="1"/>
      <c r="B54" s="1"/>
      <c r="C54" s="3"/>
      <c r="D54" s="15" t="s">
        <v>85</v>
      </c>
      <c r="E54" s="15" t="s">
        <v>30</v>
      </c>
      <c r="F54" s="42" t="s">
        <v>87</v>
      </c>
      <c r="G54" s="16">
        <f>3389.84*1.18</f>
        <v>4000.0111999999999</v>
      </c>
      <c r="H54" s="3"/>
      <c r="I54" s="19"/>
      <c r="J54" s="16">
        <f>3389.84*1.18</f>
        <v>4000.0111999999999</v>
      </c>
    </row>
    <row r="55" spans="1:10" x14ac:dyDescent="0.25">
      <c r="A55" s="1"/>
      <c r="B55" s="1"/>
      <c r="C55" s="3"/>
      <c r="D55" s="15" t="s">
        <v>85</v>
      </c>
      <c r="E55" s="15" t="s">
        <v>30</v>
      </c>
      <c r="F55" s="42" t="s">
        <v>25</v>
      </c>
      <c r="G55" s="16">
        <f>5423.73*1.18</f>
        <v>6400.0013999999992</v>
      </c>
      <c r="H55" s="3"/>
      <c r="I55" s="19"/>
      <c r="J55" s="16">
        <f>5423.73*1.18</f>
        <v>6400.0013999999992</v>
      </c>
    </row>
    <row r="56" spans="1:10" x14ac:dyDescent="0.25">
      <c r="A56" s="1"/>
      <c r="B56" s="1"/>
      <c r="C56" s="3"/>
      <c r="D56" s="15" t="s">
        <v>85</v>
      </c>
      <c r="E56" s="15" t="s">
        <v>30</v>
      </c>
      <c r="F56" s="42" t="s">
        <v>25</v>
      </c>
      <c r="G56" s="16">
        <f>5423.73*1.18</f>
        <v>6400.0013999999992</v>
      </c>
      <c r="H56" s="3"/>
      <c r="I56" s="19"/>
      <c r="J56" s="16">
        <f>5423.73*1.18</f>
        <v>6400.0013999999992</v>
      </c>
    </row>
    <row r="57" spans="1:10" x14ac:dyDescent="0.25">
      <c r="A57" s="1"/>
      <c r="B57" s="1"/>
      <c r="C57" s="3"/>
      <c r="D57" s="15" t="s">
        <v>85</v>
      </c>
      <c r="E57" s="15" t="s">
        <v>30</v>
      </c>
      <c r="F57" s="42" t="s">
        <v>25</v>
      </c>
      <c r="G57" s="16">
        <f>5423.73*1.18</f>
        <v>6400.0013999999992</v>
      </c>
      <c r="H57" s="3"/>
      <c r="I57" s="19"/>
      <c r="J57" s="16">
        <f>5423.73*1.18</f>
        <v>6400.0013999999992</v>
      </c>
    </row>
    <row r="58" spans="1:10" x14ac:dyDescent="0.25">
      <c r="A58" s="1"/>
      <c r="B58" s="1"/>
      <c r="C58" s="3"/>
      <c r="D58" s="15" t="s">
        <v>85</v>
      </c>
      <c r="E58" s="15" t="s">
        <v>30</v>
      </c>
      <c r="F58" s="44" t="s">
        <v>19</v>
      </c>
      <c r="G58" s="16">
        <f>4067.8*1.18</f>
        <v>4800.0039999999999</v>
      </c>
      <c r="H58" s="3"/>
      <c r="I58" s="19"/>
      <c r="J58" s="16">
        <f>4067.8*1.18</f>
        <v>4800.0039999999999</v>
      </c>
    </row>
    <row r="59" spans="1:10" x14ac:dyDescent="0.25">
      <c r="A59" s="1"/>
      <c r="B59" s="1"/>
      <c r="C59" s="3"/>
      <c r="D59" s="15" t="s">
        <v>85</v>
      </c>
      <c r="E59" s="15" t="s">
        <v>30</v>
      </c>
      <c r="F59" s="44" t="s">
        <v>19</v>
      </c>
      <c r="G59" s="16">
        <f>2711.86*1.18</f>
        <v>3199.9947999999999</v>
      </c>
      <c r="H59" s="3"/>
      <c r="I59" s="19"/>
      <c r="J59" s="16">
        <f>2711.86*1.18</f>
        <v>3199.9947999999999</v>
      </c>
    </row>
    <row r="60" spans="1:10" x14ac:dyDescent="0.25">
      <c r="A60" s="1"/>
      <c r="B60" s="1">
        <v>6</v>
      </c>
      <c r="C60" s="3">
        <v>41894</v>
      </c>
      <c r="D60" s="1" t="s">
        <v>107</v>
      </c>
      <c r="E60" s="1" t="s">
        <v>24</v>
      </c>
      <c r="F60" s="40" t="s">
        <v>20</v>
      </c>
      <c r="G60" s="22">
        <v>156400</v>
      </c>
      <c r="H60" s="3"/>
      <c r="I60" s="19"/>
      <c r="J60" s="26">
        <f t="shared" si="0"/>
        <v>156400</v>
      </c>
    </row>
    <row r="61" spans="1:10" x14ac:dyDescent="0.25">
      <c r="A61" s="1"/>
      <c r="B61" s="1"/>
      <c r="C61" s="3"/>
      <c r="D61" s="15" t="s">
        <v>107</v>
      </c>
      <c r="E61" s="15" t="s">
        <v>24</v>
      </c>
      <c r="F61" s="44" t="s">
        <v>20</v>
      </c>
      <c r="G61" s="16">
        <v>81600</v>
      </c>
      <c r="H61" s="24"/>
      <c r="I61" s="15"/>
      <c r="J61" s="16">
        <v>81600</v>
      </c>
    </row>
    <row r="62" spans="1:10" x14ac:dyDescent="0.25">
      <c r="A62" s="1"/>
      <c r="B62" s="1"/>
      <c r="C62" s="3"/>
      <c r="D62" s="15" t="s">
        <v>107</v>
      </c>
      <c r="E62" s="15" t="s">
        <v>24</v>
      </c>
      <c r="F62" s="44" t="s">
        <v>19</v>
      </c>
      <c r="G62" s="16">
        <v>98600</v>
      </c>
      <c r="H62" s="24"/>
      <c r="I62" s="15"/>
      <c r="J62" s="16">
        <v>98600</v>
      </c>
    </row>
    <row r="63" spans="1:10" x14ac:dyDescent="0.25">
      <c r="A63" s="1"/>
      <c r="B63" s="1">
        <v>179</v>
      </c>
      <c r="C63" s="3">
        <v>41897</v>
      </c>
      <c r="D63" s="25" t="s">
        <v>6</v>
      </c>
      <c r="E63" s="25" t="s">
        <v>30</v>
      </c>
      <c r="F63" s="40" t="s">
        <v>20</v>
      </c>
      <c r="G63" s="22">
        <v>16000</v>
      </c>
      <c r="H63" s="3"/>
      <c r="I63" s="19"/>
      <c r="J63" s="26">
        <f t="shared" si="0"/>
        <v>16000</v>
      </c>
    </row>
    <row r="64" spans="1:10" x14ac:dyDescent="0.25">
      <c r="A64" s="1"/>
      <c r="B64" s="1">
        <v>180</v>
      </c>
      <c r="C64" s="3">
        <v>41897</v>
      </c>
      <c r="D64" s="25" t="s">
        <v>6</v>
      </c>
      <c r="E64" s="25" t="s">
        <v>30</v>
      </c>
      <c r="F64" s="41" t="s">
        <v>25</v>
      </c>
      <c r="G64" s="22">
        <v>42400</v>
      </c>
      <c r="H64" s="3"/>
      <c r="I64" s="19"/>
      <c r="J64" s="26">
        <f t="shared" si="0"/>
        <v>42400</v>
      </c>
    </row>
    <row r="65" spans="1:10" x14ac:dyDescent="0.25">
      <c r="A65" s="1"/>
      <c r="B65" s="1">
        <v>181</v>
      </c>
      <c r="C65" s="3">
        <v>41897</v>
      </c>
      <c r="D65" s="25" t="s">
        <v>6</v>
      </c>
      <c r="E65" s="25" t="s">
        <v>30</v>
      </c>
      <c r="F65" s="41" t="s">
        <v>48</v>
      </c>
      <c r="G65" s="22">
        <v>12800</v>
      </c>
      <c r="H65" s="3"/>
      <c r="I65" s="19"/>
      <c r="J65" s="26">
        <f t="shared" si="0"/>
        <v>12800</v>
      </c>
    </row>
    <row r="66" spans="1:10" x14ac:dyDescent="0.25">
      <c r="A66" s="1"/>
      <c r="B66" s="1">
        <v>182</v>
      </c>
      <c r="C66" s="3">
        <v>41897</v>
      </c>
      <c r="D66" s="25" t="s">
        <v>6</v>
      </c>
      <c r="E66" s="25" t="s">
        <v>30</v>
      </c>
      <c r="F66" s="48" t="s">
        <v>21</v>
      </c>
      <c r="G66" s="22">
        <v>24800</v>
      </c>
      <c r="H66" s="3"/>
      <c r="I66" s="19"/>
      <c r="J66" s="26">
        <f t="shared" si="0"/>
        <v>24800</v>
      </c>
    </row>
    <row r="67" spans="1:10" x14ac:dyDescent="0.25">
      <c r="A67" s="1"/>
      <c r="B67" s="1">
        <v>183</v>
      </c>
      <c r="C67" s="3">
        <v>41897</v>
      </c>
      <c r="D67" s="25" t="s">
        <v>6</v>
      </c>
      <c r="E67" s="25" t="s">
        <v>30</v>
      </c>
      <c r="F67" s="41" t="s">
        <v>9</v>
      </c>
      <c r="G67" s="22">
        <v>88800</v>
      </c>
      <c r="H67" s="3"/>
      <c r="I67" s="19"/>
      <c r="J67" s="26">
        <f t="shared" si="0"/>
        <v>88800</v>
      </c>
    </row>
    <row r="68" spans="1:10" x14ac:dyDescent="0.25">
      <c r="A68" s="1"/>
      <c r="B68" s="1">
        <v>184</v>
      </c>
      <c r="C68" s="3">
        <v>41897</v>
      </c>
      <c r="D68" s="25" t="s">
        <v>6</v>
      </c>
      <c r="E68" s="25" t="s">
        <v>30</v>
      </c>
      <c r="F68" s="40" t="s">
        <v>19</v>
      </c>
      <c r="G68" s="22">
        <v>137600</v>
      </c>
      <c r="H68" s="3"/>
      <c r="I68" s="19"/>
      <c r="J68" s="26">
        <f t="shared" si="0"/>
        <v>137600</v>
      </c>
    </row>
    <row r="69" spans="1:10" x14ac:dyDescent="0.25">
      <c r="A69" s="1"/>
      <c r="B69" s="1">
        <v>185</v>
      </c>
      <c r="C69" s="3">
        <v>41912</v>
      </c>
      <c r="D69" s="25" t="s">
        <v>6</v>
      </c>
      <c r="E69" s="25" t="s">
        <v>30</v>
      </c>
      <c r="F69" s="41" t="s">
        <v>95</v>
      </c>
      <c r="G69" s="22">
        <v>44800</v>
      </c>
      <c r="H69" s="3"/>
      <c r="I69" s="19"/>
      <c r="J69" s="26">
        <f t="shared" si="0"/>
        <v>44800</v>
      </c>
    </row>
    <row r="70" spans="1:10" x14ac:dyDescent="0.25">
      <c r="A70" s="1"/>
      <c r="B70" s="1">
        <v>186</v>
      </c>
      <c r="C70" s="3">
        <v>41912</v>
      </c>
      <c r="D70" s="25" t="s">
        <v>6</v>
      </c>
      <c r="E70" s="25" t="s">
        <v>30</v>
      </c>
      <c r="F70" s="41" t="s">
        <v>48</v>
      </c>
      <c r="G70" s="22">
        <v>9600</v>
      </c>
      <c r="H70" s="3"/>
      <c r="I70" s="19"/>
      <c r="J70" s="26">
        <f t="shared" si="0"/>
        <v>9600</v>
      </c>
    </row>
    <row r="71" spans="1:10" x14ac:dyDescent="0.25">
      <c r="A71" s="1"/>
      <c r="B71" s="1">
        <v>187</v>
      </c>
      <c r="C71" s="3">
        <v>41912</v>
      </c>
      <c r="D71" s="25" t="s">
        <v>6</v>
      </c>
      <c r="E71" s="25" t="s">
        <v>30</v>
      </c>
      <c r="F71" s="37" t="s">
        <v>98</v>
      </c>
      <c r="G71" s="22">
        <v>3200</v>
      </c>
      <c r="H71" s="3"/>
      <c r="I71" s="19"/>
      <c r="J71" s="26">
        <f t="shared" si="0"/>
        <v>3200</v>
      </c>
    </row>
    <row r="72" spans="1:10" x14ac:dyDescent="0.25">
      <c r="A72" s="1"/>
      <c r="B72" s="1">
        <v>188</v>
      </c>
      <c r="C72" s="3">
        <v>41912</v>
      </c>
      <c r="D72" s="25" t="s">
        <v>6</v>
      </c>
      <c r="E72" s="25" t="s">
        <v>30</v>
      </c>
      <c r="F72" s="41" t="s">
        <v>9</v>
      </c>
      <c r="G72" s="22">
        <v>12800</v>
      </c>
      <c r="H72" s="3"/>
      <c r="I72" s="19"/>
      <c r="J72" s="26">
        <f t="shared" si="0"/>
        <v>12800</v>
      </c>
    </row>
    <row r="73" spans="1:10" x14ac:dyDescent="0.25">
      <c r="A73" s="1"/>
      <c r="B73" s="1">
        <v>189</v>
      </c>
      <c r="C73" s="3">
        <v>41912</v>
      </c>
      <c r="D73" s="25" t="s">
        <v>6</v>
      </c>
      <c r="E73" s="25" t="s">
        <v>30</v>
      </c>
      <c r="F73" s="41" t="s">
        <v>88</v>
      </c>
      <c r="G73" s="22">
        <v>5600</v>
      </c>
      <c r="H73" s="3"/>
      <c r="I73" s="19"/>
      <c r="J73" s="26">
        <f t="shared" si="0"/>
        <v>5600</v>
      </c>
    </row>
    <row r="74" spans="1:10" x14ac:dyDescent="0.25">
      <c r="A74" s="1"/>
      <c r="B74" s="1">
        <v>190</v>
      </c>
      <c r="C74" s="3">
        <v>41912</v>
      </c>
      <c r="D74" s="25" t="s">
        <v>6</v>
      </c>
      <c r="E74" s="25" t="s">
        <v>30</v>
      </c>
      <c r="F74" s="40" t="s">
        <v>20</v>
      </c>
      <c r="G74" s="22">
        <v>5600</v>
      </c>
      <c r="H74" s="3"/>
      <c r="I74" s="19"/>
      <c r="J74" s="26">
        <f t="shared" si="0"/>
        <v>5600</v>
      </c>
    </row>
    <row r="75" spans="1:10" x14ac:dyDescent="0.25">
      <c r="A75" s="1"/>
      <c r="B75" s="1">
        <v>191</v>
      </c>
      <c r="C75" s="3">
        <v>41912</v>
      </c>
      <c r="D75" s="25" t="s">
        <v>6</v>
      </c>
      <c r="E75" s="25" t="s">
        <v>30</v>
      </c>
      <c r="F75" s="40" t="s">
        <v>19</v>
      </c>
      <c r="G75" s="22">
        <v>116000</v>
      </c>
      <c r="H75" s="3"/>
      <c r="I75" s="19"/>
      <c r="J75" s="26">
        <f t="shared" si="0"/>
        <v>116000</v>
      </c>
    </row>
    <row r="76" spans="1:10" x14ac:dyDescent="0.25">
      <c r="A76" s="1"/>
      <c r="B76" s="1">
        <v>167</v>
      </c>
      <c r="C76" s="3">
        <v>41897</v>
      </c>
      <c r="D76" s="25" t="s">
        <v>47</v>
      </c>
      <c r="E76" s="25" t="s">
        <v>60</v>
      </c>
      <c r="F76" s="41" t="s">
        <v>25</v>
      </c>
      <c r="G76" s="22">
        <v>25740</v>
      </c>
      <c r="H76" s="3"/>
      <c r="I76" s="19"/>
      <c r="J76" s="26">
        <f t="shared" si="0"/>
        <v>25740</v>
      </c>
    </row>
    <row r="77" spans="1:10" x14ac:dyDescent="0.25">
      <c r="A77" s="1"/>
      <c r="B77" s="1">
        <v>168</v>
      </c>
      <c r="C77" s="3">
        <v>41897</v>
      </c>
      <c r="D77" s="25" t="s">
        <v>47</v>
      </c>
      <c r="E77" s="1"/>
      <c r="F77" s="41" t="s">
        <v>50</v>
      </c>
      <c r="G77" s="22">
        <v>11440</v>
      </c>
      <c r="H77" s="3"/>
      <c r="I77" s="19"/>
      <c r="J77" s="26">
        <f t="shared" si="0"/>
        <v>11440</v>
      </c>
    </row>
    <row r="78" spans="1:10" x14ac:dyDescent="0.25">
      <c r="A78" s="1"/>
      <c r="B78" s="1">
        <v>166</v>
      </c>
      <c r="C78" s="3">
        <v>41897</v>
      </c>
      <c r="D78" s="25" t="s">
        <v>47</v>
      </c>
      <c r="E78" s="1"/>
      <c r="F78" s="41" t="s">
        <v>9</v>
      </c>
      <c r="G78" s="22">
        <v>253240</v>
      </c>
      <c r="H78" s="3"/>
      <c r="I78" s="19"/>
      <c r="J78" s="26">
        <f t="shared" si="0"/>
        <v>253240</v>
      </c>
    </row>
    <row r="79" spans="1:10" x14ac:dyDescent="0.25">
      <c r="A79" s="1"/>
      <c r="B79" s="1">
        <v>169</v>
      </c>
      <c r="C79" s="3">
        <v>41897</v>
      </c>
      <c r="D79" s="25" t="s">
        <v>47</v>
      </c>
      <c r="E79" s="1"/>
      <c r="F79" s="40" t="s">
        <v>19</v>
      </c>
      <c r="G79" s="22">
        <v>6080</v>
      </c>
      <c r="H79" s="3"/>
      <c r="I79" s="19"/>
      <c r="J79" s="26">
        <f t="shared" si="0"/>
        <v>6080</v>
      </c>
    </row>
    <row r="80" spans="1:10" x14ac:dyDescent="0.25">
      <c r="A80" s="1"/>
      <c r="B80" s="1">
        <v>171</v>
      </c>
      <c r="C80" s="3">
        <v>41912</v>
      </c>
      <c r="D80" s="25" t="s">
        <v>47</v>
      </c>
      <c r="E80" s="1" t="s">
        <v>24</v>
      </c>
      <c r="F80" s="40" t="s">
        <v>9</v>
      </c>
      <c r="G80" s="22">
        <v>147290</v>
      </c>
      <c r="H80" s="3"/>
      <c r="I80" s="19"/>
      <c r="J80" s="26">
        <f t="shared" si="0"/>
        <v>147290</v>
      </c>
    </row>
    <row r="81" spans="1:10" x14ac:dyDescent="0.25">
      <c r="A81" s="1"/>
      <c r="B81" s="1">
        <v>172</v>
      </c>
      <c r="C81" s="3">
        <v>41912</v>
      </c>
      <c r="D81" s="25" t="s">
        <v>47</v>
      </c>
      <c r="E81" s="1" t="s">
        <v>60</v>
      </c>
      <c r="F81" s="40" t="s">
        <v>19</v>
      </c>
      <c r="G81" s="22">
        <v>22880</v>
      </c>
      <c r="H81" s="3"/>
      <c r="I81" s="19"/>
      <c r="J81" s="26">
        <f t="shared" si="0"/>
        <v>22880</v>
      </c>
    </row>
    <row r="82" spans="1:10" x14ac:dyDescent="0.25">
      <c r="A82" s="1"/>
      <c r="B82" s="1">
        <v>173</v>
      </c>
      <c r="C82" s="3">
        <v>41912</v>
      </c>
      <c r="D82" s="25" t="s">
        <v>47</v>
      </c>
      <c r="E82" s="1" t="s">
        <v>24</v>
      </c>
      <c r="F82" s="41" t="s">
        <v>95</v>
      </c>
      <c r="G82" s="22">
        <v>11440</v>
      </c>
      <c r="H82" s="3"/>
      <c r="I82" s="19"/>
      <c r="J82" s="26">
        <f t="shared" si="0"/>
        <v>11440</v>
      </c>
    </row>
    <row r="83" spans="1:10" x14ac:dyDescent="0.25">
      <c r="A83" s="1"/>
      <c r="B83" s="1">
        <v>174</v>
      </c>
      <c r="C83" s="3">
        <v>41912</v>
      </c>
      <c r="D83" s="25" t="s">
        <v>47</v>
      </c>
      <c r="E83" s="1" t="s">
        <v>60</v>
      </c>
      <c r="F83" s="41" t="s">
        <v>25</v>
      </c>
      <c r="G83" s="22">
        <v>11440</v>
      </c>
      <c r="H83" s="3"/>
      <c r="I83" s="19"/>
      <c r="J83" s="26">
        <f t="shared" si="0"/>
        <v>11440</v>
      </c>
    </row>
    <row r="84" spans="1:10" x14ac:dyDescent="0.25">
      <c r="A84" s="1"/>
      <c r="B84" s="1">
        <v>8</v>
      </c>
      <c r="C84" s="3">
        <v>41900</v>
      </c>
      <c r="D84" s="1" t="s">
        <v>31</v>
      </c>
      <c r="E84" s="25" t="s">
        <v>60</v>
      </c>
      <c r="F84" s="40" t="s">
        <v>9</v>
      </c>
      <c r="G84" s="22">
        <v>210600</v>
      </c>
      <c r="H84" s="3"/>
      <c r="I84" s="19"/>
      <c r="J84" s="26">
        <f t="shared" si="0"/>
        <v>210600</v>
      </c>
    </row>
    <row r="85" spans="1:10" x14ac:dyDescent="0.25">
      <c r="A85" s="1"/>
      <c r="B85" s="1"/>
      <c r="C85" s="3"/>
      <c r="D85" s="15" t="s">
        <v>31</v>
      </c>
      <c r="E85" s="76" t="s">
        <v>24</v>
      </c>
      <c r="F85" s="42" t="s">
        <v>25</v>
      </c>
      <c r="G85" s="16">
        <v>13600</v>
      </c>
      <c r="H85" s="24"/>
      <c r="I85" s="15"/>
      <c r="J85" s="16">
        <v>13600</v>
      </c>
    </row>
    <row r="86" spans="1:10" x14ac:dyDescent="0.25">
      <c r="A86" s="1"/>
      <c r="B86" s="1"/>
      <c r="C86" s="3"/>
      <c r="D86" s="15" t="s">
        <v>31</v>
      </c>
      <c r="E86" s="76" t="s">
        <v>24</v>
      </c>
      <c r="F86" s="42" t="s">
        <v>87</v>
      </c>
      <c r="G86" s="16">
        <v>13600</v>
      </c>
      <c r="H86" s="24"/>
      <c r="I86" s="15"/>
      <c r="J86" s="16">
        <v>13600</v>
      </c>
    </row>
    <row r="87" spans="1:10" x14ac:dyDescent="0.25">
      <c r="A87" s="1"/>
      <c r="B87" s="1">
        <v>75</v>
      </c>
      <c r="C87" s="3">
        <v>41883</v>
      </c>
      <c r="D87" s="1" t="s">
        <v>52</v>
      </c>
      <c r="E87" s="31" t="s">
        <v>24</v>
      </c>
      <c r="F87" s="41" t="s">
        <v>25</v>
      </c>
      <c r="G87" s="22">
        <v>11600</v>
      </c>
      <c r="H87" s="24"/>
      <c r="I87" s="15"/>
      <c r="J87" s="26">
        <f t="shared" si="0"/>
        <v>11600</v>
      </c>
    </row>
    <row r="88" spans="1:10" x14ac:dyDescent="0.25">
      <c r="A88" s="1"/>
      <c r="B88" s="1">
        <v>76</v>
      </c>
      <c r="C88" s="3">
        <v>41890</v>
      </c>
      <c r="D88" s="1" t="s">
        <v>52</v>
      </c>
      <c r="E88" s="31" t="s">
        <v>24</v>
      </c>
      <c r="F88" s="41" t="s">
        <v>87</v>
      </c>
      <c r="G88" s="22">
        <v>66700</v>
      </c>
      <c r="H88" s="24"/>
      <c r="I88" s="15"/>
      <c r="J88" s="26">
        <f t="shared" si="0"/>
        <v>66700</v>
      </c>
    </row>
    <row r="89" spans="1:10" x14ac:dyDescent="0.25">
      <c r="A89" s="1"/>
      <c r="B89" s="1">
        <v>77</v>
      </c>
      <c r="C89" s="3">
        <v>41898</v>
      </c>
      <c r="D89" s="1" t="s">
        <v>52</v>
      </c>
      <c r="E89" s="31" t="s">
        <v>24</v>
      </c>
      <c r="F89" s="41" t="s">
        <v>22</v>
      </c>
      <c r="G89" s="22">
        <v>58000</v>
      </c>
      <c r="H89" s="24"/>
      <c r="I89" s="15"/>
      <c r="J89" s="26">
        <f t="shared" si="0"/>
        <v>58000</v>
      </c>
    </row>
    <row r="90" spans="1:10" x14ac:dyDescent="0.25">
      <c r="A90" s="1"/>
      <c r="B90" s="1">
        <v>78</v>
      </c>
      <c r="C90" s="3">
        <v>41912</v>
      </c>
      <c r="D90" s="1" t="s">
        <v>52</v>
      </c>
      <c r="E90" s="31" t="s">
        <v>24</v>
      </c>
      <c r="F90" s="37" t="s">
        <v>98</v>
      </c>
      <c r="G90" s="22">
        <v>118900</v>
      </c>
      <c r="H90" s="24"/>
      <c r="I90" s="15"/>
      <c r="J90" s="26">
        <f t="shared" si="0"/>
        <v>118900</v>
      </c>
    </row>
    <row r="91" spans="1:10" ht="29.25" x14ac:dyDescent="0.25">
      <c r="A91" s="1"/>
      <c r="B91" s="1">
        <v>12</v>
      </c>
      <c r="C91" s="3">
        <v>41892</v>
      </c>
      <c r="D91" s="33" t="s">
        <v>111</v>
      </c>
      <c r="E91" s="1" t="s">
        <v>112</v>
      </c>
      <c r="F91" s="37" t="s">
        <v>50</v>
      </c>
      <c r="G91" s="22">
        <v>28200</v>
      </c>
      <c r="H91" s="3"/>
      <c r="I91" s="19"/>
      <c r="J91" s="26">
        <f t="shared" si="0"/>
        <v>28200</v>
      </c>
    </row>
    <row r="92" spans="1:10" x14ac:dyDescent="0.25">
      <c r="A92" s="1"/>
      <c r="B92" s="1">
        <v>1499</v>
      </c>
      <c r="C92" s="3">
        <v>41884</v>
      </c>
      <c r="D92" s="33" t="s">
        <v>27</v>
      </c>
      <c r="E92" s="1" t="s">
        <v>113</v>
      </c>
      <c r="F92" s="41" t="s">
        <v>25</v>
      </c>
      <c r="G92" s="22">
        <v>12000</v>
      </c>
      <c r="H92" s="3"/>
      <c r="I92" s="19"/>
      <c r="J92" s="26">
        <f t="shared" si="0"/>
        <v>12000</v>
      </c>
    </row>
    <row r="93" spans="1:10" x14ac:dyDescent="0.25">
      <c r="A93" s="1"/>
      <c r="B93" s="1">
        <v>1500</v>
      </c>
      <c r="C93" s="3">
        <v>41884</v>
      </c>
      <c r="D93" s="33" t="s">
        <v>27</v>
      </c>
      <c r="E93" s="1" t="s">
        <v>113</v>
      </c>
      <c r="F93" s="41" t="s">
        <v>87</v>
      </c>
      <c r="G93" s="22">
        <v>12000</v>
      </c>
      <c r="H93" s="3"/>
      <c r="I93" s="19"/>
      <c r="J93" s="26">
        <f t="shared" si="0"/>
        <v>12000</v>
      </c>
    </row>
    <row r="94" spans="1:10" x14ac:dyDescent="0.25">
      <c r="A94" s="1"/>
      <c r="B94" s="1">
        <v>1501</v>
      </c>
      <c r="C94" s="3">
        <v>41890</v>
      </c>
      <c r="D94" s="33" t="s">
        <v>27</v>
      </c>
      <c r="E94" s="1" t="s">
        <v>113</v>
      </c>
      <c r="F94" s="37" t="s">
        <v>25</v>
      </c>
      <c r="G94" s="22">
        <v>33000</v>
      </c>
      <c r="H94" s="3"/>
      <c r="I94" s="19"/>
      <c r="J94" s="26">
        <f t="shared" si="0"/>
        <v>33000</v>
      </c>
    </row>
    <row r="95" spans="1:10" x14ac:dyDescent="0.25">
      <c r="A95" s="1"/>
      <c r="B95" s="1">
        <v>1551</v>
      </c>
      <c r="C95" s="3">
        <v>41897</v>
      </c>
      <c r="D95" s="33" t="s">
        <v>27</v>
      </c>
      <c r="E95" s="1" t="s">
        <v>113</v>
      </c>
      <c r="F95" s="41" t="s">
        <v>25</v>
      </c>
      <c r="G95" s="22">
        <v>69000</v>
      </c>
      <c r="H95" s="3"/>
      <c r="I95" s="19"/>
      <c r="J95" s="26">
        <f t="shared" si="0"/>
        <v>69000</v>
      </c>
    </row>
    <row r="96" spans="1:10" x14ac:dyDescent="0.25">
      <c r="A96" s="1"/>
      <c r="B96" s="1">
        <v>1614</v>
      </c>
      <c r="C96" s="3">
        <v>41897</v>
      </c>
      <c r="D96" s="33" t="s">
        <v>27</v>
      </c>
      <c r="E96" s="1" t="s">
        <v>113</v>
      </c>
      <c r="F96" s="41" t="s">
        <v>25</v>
      </c>
      <c r="G96" s="22">
        <v>12000</v>
      </c>
      <c r="H96" s="3"/>
      <c r="I96" s="19"/>
      <c r="J96" s="26">
        <f t="shared" si="0"/>
        <v>12000</v>
      </c>
    </row>
    <row r="97" spans="1:10" x14ac:dyDescent="0.25">
      <c r="A97" s="1"/>
      <c r="B97" s="1"/>
      <c r="C97" s="3"/>
      <c r="D97" s="89" t="s">
        <v>34</v>
      </c>
      <c r="E97" s="15" t="s">
        <v>30</v>
      </c>
      <c r="F97" s="42" t="s">
        <v>9</v>
      </c>
      <c r="G97" s="16">
        <v>55800</v>
      </c>
      <c r="H97" s="3"/>
      <c r="I97" s="19"/>
      <c r="J97" s="16">
        <v>55800</v>
      </c>
    </row>
    <row r="98" spans="1:10" x14ac:dyDescent="0.25">
      <c r="A98" s="1"/>
      <c r="B98" s="1"/>
      <c r="C98" s="3"/>
      <c r="D98" s="89" t="s">
        <v>34</v>
      </c>
      <c r="E98" s="15" t="s">
        <v>30</v>
      </c>
      <c r="F98" s="44" t="s">
        <v>20</v>
      </c>
      <c r="G98" s="16">
        <v>24000</v>
      </c>
      <c r="H98" s="3"/>
      <c r="I98" s="19"/>
      <c r="J98" s="16">
        <v>24000</v>
      </c>
    </row>
    <row r="99" spans="1:10" x14ac:dyDescent="0.25">
      <c r="A99" s="1"/>
      <c r="B99" s="1"/>
      <c r="C99" s="3"/>
      <c r="D99" s="89" t="s">
        <v>34</v>
      </c>
      <c r="E99" s="15" t="s">
        <v>30</v>
      </c>
      <c r="F99" s="44" t="s">
        <v>19</v>
      </c>
      <c r="G99" s="16">
        <v>56000</v>
      </c>
      <c r="H99" s="3"/>
      <c r="I99" s="19"/>
      <c r="J99" s="16">
        <v>56000</v>
      </c>
    </row>
    <row r="100" spans="1:10" x14ac:dyDescent="0.25">
      <c r="A100" s="1"/>
      <c r="B100" s="1"/>
      <c r="C100" s="3"/>
      <c r="D100" s="89" t="s">
        <v>34</v>
      </c>
      <c r="E100" s="15" t="s">
        <v>30</v>
      </c>
      <c r="F100" s="42" t="s">
        <v>87</v>
      </c>
      <c r="G100" s="16">
        <v>4000</v>
      </c>
      <c r="H100" s="3"/>
      <c r="I100" s="19"/>
      <c r="J100" s="16">
        <v>4000</v>
      </c>
    </row>
    <row r="101" spans="1:10" x14ac:dyDescent="0.25">
      <c r="A101" s="1"/>
      <c r="B101" s="1"/>
      <c r="C101" s="3"/>
      <c r="D101" s="89" t="s">
        <v>34</v>
      </c>
      <c r="E101" s="15" t="s">
        <v>30</v>
      </c>
      <c r="F101" s="42" t="s">
        <v>9</v>
      </c>
      <c r="G101" s="16">
        <v>37800</v>
      </c>
      <c r="H101" s="3"/>
      <c r="I101" s="19"/>
      <c r="J101" s="16">
        <v>37800</v>
      </c>
    </row>
    <row r="102" spans="1:10" x14ac:dyDescent="0.25">
      <c r="A102" s="1"/>
      <c r="B102" s="1"/>
      <c r="C102" s="3"/>
      <c r="D102" s="89" t="s">
        <v>34</v>
      </c>
      <c r="E102" s="15" t="s">
        <v>30</v>
      </c>
      <c r="F102" s="42" t="s">
        <v>48</v>
      </c>
      <c r="G102" s="16">
        <v>8000</v>
      </c>
      <c r="H102" s="3"/>
      <c r="I102" s="19"/>
      <c r="J102" s="16">
        <v>8000</v>
      </c>
    </row>
    <row r="103" spans="1:10" x14ac:dyDescent="0.25">
      <c r="A103" s="1"/>
      <c r="B103" s="1"/>
      <c r="C103" s="3"/>
      <c r="D103" s="89" t="s">
        <v>34</v>
      </c>
      <c r="E103" s="15" t="s">
        <v>30</v>
      </c>
      <c r="F103" s="44" t="s">
        <v>19</v>
      </c>
      <c r="G103" s="16">
        <v>38000</v>
      </c>
      <c r="H103" s="3"/>
      <c r="I103" s="19"/>
      <c r="J103" s="16">
        <v>38000</v>
      </c>
    </row>
    <row r="104" spans="1:10" x14ac:dyDescent="0.25">
      <c r="A104" s="1"/>
      <c r="B104" s="1"/>
      <c r="C104" s="3"/>
      <c r="D104" s="89" t="s">
        <v>34</v>
      </c>
      <c r="E104" s="15" t="s">
        <v>30</v>
      </c>
      <c r="F104" s="42" t="s">
        <v>95</v>
      </c>
      <c r="G104" s="16">
        <v>43000</v>
      </c>
      <c r="H104" s="3"/>
      <c r="I104" s="19"/>
      <c r="J104" s="16">
        <v>43000</v>
      </c>
    </row>
    <row r="105" spans="1:10" x14ac:dyDescent="0.25">
      <c r="A105" s="1"/>
      <c r="B105" s="1"/>
      <c r="C105" s="3"/>
      <c r="D105" s="89" t="s">
        <v>68</v>
      </c>
      <c r="E105" s="15" t="s">
        <v>30</v>
      </c>
      <c r="F105" s="44" t="s">
        <v>19</v>
      </c>
      <c r="G105" s="16">
        <v>44620</v>
      </c>
      <c r="H105" s="3"/>
      <c r="I105" s="19"/>
      <c r="J105" s="16">
        <v>44620</v>
      </c>
    </row>
    <row r="106" spans="1:10" x14ac:dyDescent="0.25">
      <c r="A106" s="1"/>
      <c r="B106" s="1"/>
      <c r="C106" s="3"/>
      <c r="D106" s="89" t="s">
        <v>68</v>
      </c>
      <c r="E106" s="15" t="s">
        <v>30</v>
      </c>
      <c r="F106" s="42" t="s">
        <v>23</v>
      </c>
      <c r="G106" s="16">
        <v>3880</v>
      </c>
      <c r="H106" s="3"/>
      <c r="I106" s="19"/>
      <c r="J106" s="16">
        <v>3880</v>
      </c>
    </row>
    <row r="107" spans="1:10" x14ac:dyDescent="0.25">
      <c r="A107" s="1"/>
      <c r="B107" s="1"/>
      <c r="C107" s="3"/>
      <c r="D107" s="89" t="s">
        <v>68</v>
      </c>
      <c r="E107" s="15" t="s">
        <v>30</v>
      </c>
      <c r="F107" s="44" t="s">
        <v>19</v>
      </c>
      <c r="G107" s="16">
        <v>7760</v>
      </c>
      <c r="H107" s="3"/>
      <c r="I107" s="19"/>
      <c r="J107" s="16">
        <v>7760</v>
      </c>
    </row>
    <row r="108" spans="1:10" x14ac:dyDescent="0.25">
      <c r="A108" s="1"/>
      <c r="B108" s="1">
        <v>8</v>
      </c>
      <c r="C108" s="3">
        <v>41899</v>
      </c>
      <c r="D108" s="33" t="s">
        <v>68</v>
      </c>
      <c r="E108" s="1" t="s">
        <v>30</v>
      </c>
      <c r="F108" s="41" t="s">
        <v>9</v>
      </c>
      <c r="G108" s="22">
        <v>78750</v>
      </c>
      <c r="H108" s="3"/>
      <c r="I108" s="19"/>
      <c r="J108" s="26">
        <f t="shared" si="0"/>
        <v>78750</v>
      </c>
    </row>
    <row r="109" spans="1:10" x14ac:dyDescent="0.25">
      <c r="A109" s="1"/>
      <c r="B109" s="1">
        <v>9</v>
      </c>
      <c r="C109" s="3">
        <v>41912</v>
      </c>
      <c r="D109" s="33" t="s">
        <v>68</v>
      </c>
      <c r="E109" s="1" t="s">
        <v>123</v>
      </c>
      <c r="F109" s="41" t="s">
        <v>9</v>
      </c>
      <c r="G109" s="22">
        <v>67500</v>
      </c>
      <c r="H109" s="3"/>
      <c r="I109" s="19"/>
      <c r="J109" s="26">
        <f t="shared" si="0"/>
        <v>67500</v>
      </c>
    </row>
    <row r="110" spans="1:10" x14ac:dyDescent="0.25">
      <c r="A110" s="1"/>
      <c r="B110" s="1">
        <v>136</v>
      </c>
      <c r="C110" s="3">
        <v>41912</v>
      </c>
      <c r="D110" s="33" t="s">
        <v>68</v>
      </c>
      <c r="E110" s="1" t="s">
        <v>30</v>
      </c>
      <c r="F110" s="41" t="s">
        <v>9</v>
      </c>
      <c r="G110" s="22">
        <v>7760</v>
      </c>
      <c r="H110" s="3"/>
      <c r="I110" s="19"/>
      <c r="J110" s="26">
        <f t="shared" si="0"/>
        <v>7760</v>
      </c>
    </row>
    <row r="111" spans="1:10" x14ac:dyDescent="0.25">
      <c r="A111" s="1"/>
      <c r="B111" s="1"/>
      <c r="C111" s="3"/>
      <c r="D111" s="89" t="s">
        <v>68</v>
      </c>
      <c r="E111" s="15" t="s">
        <v>30</v>
      </c>
      <c r="F111" s="42" t="s">
        <v>50</v>
      </c>
      <c r="G111" s="16">
        <v>7760</v>
      </c>
      <c r="H111" s="24"/>
      <c r="I111" s="15"/>
      <c r="J111" s="16">
        <v>7760</v>
      </c>
    </row>
    <row r="112" spans="1:10" x14ac:dyDescent="0.25">
      <c r="A112" s="1"/>
      <c r="B112" s="1"/>
      <c r="C112" s="3"/>
      <c r="D112" s="89" t="s">
        <v>68</v>
      </c>
      <c r="E112" s="15" t="s">
        <v>30</v>
      </c>
      <c r="F112" s="42" t="s">
        <v>9</v>
      </c>
      <c r="G112" s="16">
        <v>36860</v>
      </c>
      <c r="H112" s="24"/>
      <c r="I112" s="15"/>
      <c r="J112" s="16">
        <v>36860</v>
      </c>
    </row>
    <row r="113" spans="1:12" x14ac:dyDescent="0.25">
      <c r="A113" s="1"/>
      <c r="B113" s="1">
        <v>113</v>
      </c>
      <c r="C113" s="3">
        <v>41892</v>
      </c>
      <c r="D113" s="33" t="s">
        <v>32</v>
      </c>
      <c r="E113" s="1" t="s">
        <v>60</v>
      </c>
      <c r="F113" s="70" t="s">
        <v>9</v>
      </c>
      <c r="G113" s="22">
        <v>136400</v>
      </c>
      <c r="H113" s="3"/>
      <c r="I113" s="19"/>
      <c r="J113" s="26">
        <f t="shared" si="0"/>
        <v>136400</v>
      </c>
    </row>
    <row r="114" spans="1:12" x14ac:dyDescent="0.25">
      <c r="A114" s="1"/>
      <c r="B114" s="1"/>
      <c r="C114" s="3"/>
      <c r="D114" s="89" t="s">
        <v>32</v>
      </c>
      <c r="E114" s="15" t="s">
        <v>124</v>
      </c>
      <c r="F114" s="42" t="s">
        <v>9</v>
      </c>
      <c r="G114" s="16">
        <f>12711.86*1.18</f>
        <v>14999.9948</v>
      </c>
      <c r="H114" s="3"/>
      <c r="I114" s="19"/>
      <c r="J114" s="16">
        <f>12711.86*1.18</f>
        <v>14999.9948</v>
      </c>
    </row>
    <row r="115" spans="1:12" x14ac:dyDescent="0.25">
      <c r="A115" s="1"/>
      <c r="B115" s="1"/>
      <c r="C115" s="3"/>
      <c r="D115" s="89" t="s">
        <v>32</v>
      </c>
      <c r="E115" s="15" t="s">
        <v>124</v>
      </c>
      <c r="F115" s="42" t="s">
        <v>48</v>
      </c>
      <c r="G115" s="16">
        <f>16949.15*1.18</f>
        <v>19999.996999999999</v>
      </c>
      <c r="H115" s="3"/>
      <c r="I115" s="19"/>
      <c r="J115" s="16">
        <f>16949.15*1.18</f>
        <v>19999.996999999999</v>
      </c>
    </row>
    <row r="116" spans="1:12" x14ac:dyDescent="0.25">
      <c r="A116" s="1"/>
      <c r="B116" s="1"/>
      <c r="C116" s="3"/>
      <c r="D116" s="89" t="s">
        <v>32</v>
      </c>
      <c r="E116" s="15" t="s">
        <v>125</v>
      </c>
      <c r="F116" s="42" t="s">
        <v>9</v>
      </c>
      <c r="G116" s="16">
        <f>16949.15*1.18</f>
        <v>19999.996999999999</v>
      </c>
      <c r="H116" s="3"/>
      <c r="I116" s="19"/>
      <c r="J116" s="16">
        <f>16949.15*1.18</f>
        <v>19999.996999999999</v>
      </c>
    </row>
    <row r="117" spans="1:12" x14ac:dyDescent="0.25">
      <c r="A117" s="1"/>
      <c r="B117" s="1"/>
      <c r="C117" s="3"/>
      <c r="D117" s="89" t="s">
        <v>32</v>
      </c>
      <c r="E117" s="15" t="s">
        <v>124</v>
      </c>
      <c r="F117" s="42" t="s">
        <v>87</v>
      </c>
      <c r="G117" s="16">
        <f>8474.57*1.18</f>
        <v>9999.9925999999996</v>
      </c>
      <c r="H117" s="3"/>
      <c r="I117" s="19"/>
      <c r="J117" s="16">
        <f>8474.57*1.18</f>
        <v>9999.9925999999996</v>
      </c>
    </row>
    <row r="118" spans="1:12" x14ac:dyDescent="0.25">
      <c r="A118" s="1"/>
      <c r="B118" s="1"/>
      <c r="C118" s="3"/>
      <c r="D118" s="89" t="s">
        <v>32</v>
      </c>
      <c r="E118" s="15" t="s">
        <v>124</v>
      </c>
      <c r="F118" s="42" t="s">
        <v>25</v>
      </c>
      <c r="G118" s="16">
        <f>16949.15*1.18</f>
        <v>19999.996999999999</v>
      </c>
      <c r="H118" s="3"/>
      <c r="I118" s="19"/>
      <c r="J118" s="16">
        <f>16949.15*1.18</f>
        <v>19999.996999999999</v>
      </c>
    </row>
    <row r="119" spans="1:12" x14ac:dyDescent="0.25">
      <c r="A119" s="1"/>
      <c r="B119" s="1">
        <v>363</v>
      </c>
      <c r="C119" s="3">
        <v>41886</v>
      </c>
      <c r="D119" s="33" t="s">
        <v>36</v>
      </c>
      <c r="E119" s="1" t="s">
        <v>114</v>
      </c>
      <c r="F119" s="41" t="s">
        <v>50</v>
      </c>
      <c r="G119" s="22">
        <v>29200</v>
      </c>
      <c r="H119" s="3"/>
      <c r="I119" s="19"/>
      <c r="J119" s="26">
        <f t="shared" si="0"/>
        <v>29200</v>
      </c>
    </row>
    <row r="120" spans="1:12" x14ac:dyDescent="0.25">
      <c r="A120" s="1"/>
      <c r="B120" s="1">
        <v>364</v>
      </c>
      <c r="C120" s="3">
        <v>41887</v>
      </c>
      <c r="D120" s="33" t="s">
        <v>36</v>
      </c>
      <c r="E120" s="1" t="s">
        <v>59</v>
      </c>
      <c r="F120" s="41" t="s">
        <v>48</v>
      </c>
      <c r="G120" s="22">
        <v>33600</v>
      </c>
      <c r="H120" s="3"/>
      <c r="I120" s="19"/>
      <c r="J120" s="26">
        <f t="shared" si="0"/>
        <v>33600</v>
      </c>
      <c r="L120" t="s">
        <v>116</v>
      </c>
    </row>
    <row r="121" spans="1:12" x14ac:dyDescent="0.25">
      <c r="A121" s="1"/>
      <c r="B121" s="1">
        <v>365</v>
      </c>
      <c r="C121" s="3">
        <v>41891</v>
      </c>
      <c r="D121" s="33" t="s">
        <v>36</v>
      </c>
      <c r="E121" s="1" t="s">
        <v>115</v>
      </c>
      <c r="F121" s="48" t="s">
        <v>21</v>
      </c>
      <c r="G121" s="22">
        <v>94600</v>
      </c>
      <c r="H121" s="3"/>
      <c r="I121" s="19"/>
      <c r="J121" s="26">
        <f t="shared" si="0"/>
        <v>94600</v>
      </c>
    </row>
    <row r="122" spans="1:12" x14ac:dyDescent="0.25">
      <c r="A122" s="1"/>
      <c r="B122" s="1">
        <v>366</v>
      </c>
      <c r="C122" s="3">
        <v>41892</v>
      </c>
      <c r="D122" s="33" t="s">
        <v>36</v>
      </c>
      <c r="E122" s="1" t="s">
        <v>60</v>
      </c>
      <c r="F122" s="41" t="s">
        <v>87</v>
      </c>
      <c r="G122" s="22">
        <v>24000</v>
      </c>
      <c r="H122" s="3"/>
      <c r="I122" s="19"/>
      <c r="J122" s="26">
        <f t="shared" si="0"/>
        <v>24000</v>
      </c>
    </row>
    <row r="123" spans="1:12" x14ac:dyDescent="0.25">
      <c r="A123" s="1"/>
      <c r="B123" s="1">
        <v>367</v>
      </c>
      <c r="C123" s="3">
        <v>41892</v>
      </c>
      <c r="D123" s="33" t="s">
        <v>36</v>
      </c>
      <c r="E123" s="1" t="s">
        <v>117</v>
      </c>
      <c r="F123" s="41" t="s">
        <v>98</v>
      </c>
      <c r="G123" s="22">
        <v>48800</v>
      </c>
      <c r="H123" s="3"/>
      <c r="I123" s="19"/>
      <c r="J123" s="26">
        <f t="shared" si="0"/>
        <v>48800</v>
      </c>
    </row>
    <row r="124" spans="1:12" x14ac:dyDescent="0.25">
      <c r="A124" s="1"/>
      <c r="B124" s="1">
        <v>368</v>
      </c>
      <c r="C124" s="3">
        <v>41892</v>
      </c>
      <c r="D124" s="33" t="s">
        <v>36</v>
      </c>
      <c r="E124" s="1" t="s">
        <v>118</v>
      </c>
      <c r="F124" s="41" t="s">
        <v>25</v>
      </c>
      <c r="G124" s="22">
        <v>82400</v>
      </c>
      <c r="H124" s="3"/>
      <c r="I124" s="19"/>
      <c r="J124" s="26">
        <f t="shared" si="0"/>
        <v>82400</v>
      </c>
    </row>
    <row r="125" spans="1:12" x14ac:dyDescent="0.25">
      <c r="A125" s="1"/>
      <c r="B125" s="1">
        <v>369</v>
      </c>
      <c r="C125" s="3">
        <v>41893</v>
      </c>
      <c r="D125" s="33" t="s">
        <v>36</v>
      </c>
      <c r="E125" s="43" t="s">
        <v>60</v>
      </c>
      <c r="F125" s="72" t="s">
        <v>95</v>
      </c>
      <c r="G125" s="22">
        <v>20400</v>
      </c>
      <c r="H125" s="3"/>
      <c r="I125" s="19"/>
      <c r="J125" s="26">
        <f t="shared" si="0"/>
        <v>20400</v>
      </c>
    </row>
    <row r="126" spans="1:12" ht="29.25" x14ac:dyDescent="0.25">
      <c r="A126" s="1"/>
      <c r="B126" s="1">
        <v>370</v>
      </c>
      <c r="C126" s="3">
        <v>41894</v>
      </c>
      <c r="D126" s="33" t="s">
        <v>36</v>
      </c>
      <c r="E126" s="1" t="s">
        <v>119</v>
      </c>
      <c r="F126" s="41" t="s">
        <v>96</v>
      </c>
      <c r="G126" s="22">
        <v>218000</v>
      </c>
      <c r="H126" s="3"/>
      <c r="I126" s="19"/>
      <c r="J126" s="26">
        <f t="shared" si="0"/>
        <v>218000</v>
      </c>
    </row>
    <row r="127" spans="1:12" x14ac:dyDescent="0.25">
      <c r="A127" s="1"/>
      <c r="B127" s="1">
        <v>371</v>
      </c>
      <c r="C127" s="3">
        <v>41894</v>
      </c>
      <c r="D127" s="33" t="s">
        <v>36</v>
      </c>
      <c r="E127" s="1" t="s">
        <v>120</v>
      </c>
      <c r="F127" s="41" t="s">
        <v>48</v>
      </c>
      <c r="G127" s="22">
        <v>38000</v>
      </c>
      <c r="H127" s="3"/>
      <c r="I127" s="19"/>
      <c r="J127" s="26">
        <f t="shared" si="0"/>
        <v>38000</v>
      </c>
    </row>
    <row r="128" spans="1:12" x14ac:dyDescent="0.25">
      <c r="A128" s="1"/>
      <c r="B128" s="1">
        <v>372</v>
      </c>
      <c r="C128" s="3">
        <v>41894</v>
      </c>
      <c r="D128" s="33" t="s">
        <v>36</v>
      </c>
      <c r="E128" s="1" t="s">
        <v>30</v>
      </c>
      <c r="F128" s="41" t="s">
        <v>9</v>
      </c>
      <c r="G128" s="22">
        <v>539800</v>
      </c>
      <c r="H128" s="3"/>
      <c r="I128" s="19"/>
      <c r="J128" s="26">
        <f t="shared" si="0"/>
        <v>539800</v>
      </c>
    </row>
    <row r="129" spans="1:10" x14ac:dyDescent="0.25">
      <c r="A129" s="1"/>
      <c r="B129" s="1">
        <v>373</v>
      </c>
      <c r="C129" s="3">
        <v>41895</v>
      </c>
      <c r="D129" s="33" t="s">
        <v>36</v>
      </c>
      <c r="E129" s="43" t="s">
        <v>60</v>
      </c>
      <c r="F129" s="40" t="s">
        <v>19</v>
      </c>
      <c r="G129" s="22">
        <v>106500</v>
      </c>
      <c r="H129" s="3"/>
      <c r="I129" s="19"/>
      <c r="J129" s="26">
        <f t="shared" si="0"/>
        <v>106500</v>
      </c>
    </row>
    <row r="130" spans="1:10" x14ac:dyDescent="0.25">
      <c r="A130" s="1"/>
      <c r="B130" s="1">
        <v>402</v>
      </c>
      <c r="C130" s="3">
        <v>41899</v>
      </c>
      <c r="D130" s="33" t="s">
        <v>36</v>
      </c>
      <c r="E130" s="43" t="s">
        <v>60</v>
      </c>
      <c r="F130" s="37" t="s">
        <v>23</v>
      </c>
      <c r="G130" s="22">
        <v>12000</v>
      </c>
      <c r="H130" s="3"/>
      <c r="I130" s="19"/>
      <c r="J130" s="26">
        <f t="shared" si="0"/>
        <v>12000</v>
      </c>
    </row>
    <row r="131" spans="1:10" x14ac:dyDescent="0.25">
      <c r="A131" s="1"/>
      <c r="B131" s="1">
        <v>405</v>
      </c>
      <c r="C131" s="3">
        <v>41912</v>
      </c>
      <c r="D131" s="33" t="s">
        <v>36</v>
      </c>
      <c r="E131" s="1" t="s">
        <v>120</v>
      </c>
      <c r="F131" s="37" t="s">
        <v>25</v>
      </c>
      <c r="G131" s="22">
        <v>125600</v>
      </c>
      <c r="H131" s="3"/>
      <c r="I131" s="19"/>
      <c r="J131" s="26">
        <f t="shared" si="0"/>
        <v>125600</v>
      </c>
    </row>
    <row r="132" spans="1:10" ht="29.25" x14ac:dyDescent="0.25">
      <c r="A132" s="1"/>
      <c r="B132" s="1">
        <v>409</v>
      </c>
      <c r="C132" s="3">
        <v>41912</v>
      </c>
      <c r="D132" s="33" t="s">
        <v>36</v>
      </c>
      <c r="E132" s="43" t="s">
        <v>60</v>
      </c>
      <c r="F132" s="41" t="s">
        <v>96</v>
      </c>
      <c r="G132" s="22">
        <v>78400</v>
      </c>
      <c r="H132" s="3"/>
      <c r="I132" s="19"/>
      <c r="J132" s="26">
        <f t="shared" si="0"/>
        <v>78400</v>
      </c>
    </row>
    <row r="133" spans="1:10" x14ac:dyDescent="0.25">
      <c r="A133" s="1"/>
      <c r="B133" s="1">
        <v>407</v>
      </c>
      <c r="C133" s="3">
        <v>41911</v>
      </c>
      <c r="D133" s="33" t="s">
        <v>36</v>
      </c>
      <c r="E133" s="1" t="s">
        <v>59</v>
      </c>
      <c r="F133" s="37" t="s">
        <v>50</v>
      </c>
      <c r="G133" s="22">
        <v>11200</v>
      </c>
      <c r="H133" s="3"/>
      <c r="I133" s="19"/>
      <c r="J133" s="26">
        <f t="shared" si="0"/>
        <v>11200</v>
      </c>
    </row>
    <row r="134" spans="1:10" x14ac:dyDescent="0.25">
      <c r="A134" s="1"/>
      <c r="B134" s="1">
        <v>404</v>
      </c>
      <c r="C134" s="3">
        <v>41906</v>
      </c>
      <c r="D134" s="33" t="s">
        <v>36</v>
      </c>
      <c r="E134" s="43" t="s">
        <v>60</v>
      </c>
      <c r="F134" s="41" t="s">
        <v>88</v>
      </c>
      <c r="G134" s="22">
        <v>12000</v>
      </c>
      <c r="H134" s="3"/>
      <c r="I134" s="19"/>
      <c r="J134" s="26">
        <f t="shared" si="0"/>
        <v>12000</v>
      </c>
    </row>
    <row r="135" spans="1:10" x14ac:dyDescent="0.25">
      <c r="A135" s="1"/>
      <c r="B135" s="1">
        <v>406</v>
      </c>
      <c r="C135" s="3">
        <v>41911</v>
      </c>
      <c r="D135" s="33" t="s">
        <v>36</v>
      </c>
      <c r="E135" s="43" t="s">
        <v>60</v>
      </c>
      <c r="F135" s="37" t="s">
        <v>19</v>
      </c>
      <c r="G135" s="22">
        <v>93000</v>
      </c>
      <c r="H135" s="3"/>
      <c r="I135" s="19"/>
      <c r="J135" s="26">
        <f t="shared" si="0"/>
        <v>93000</v>
      </c>
    </row>
    <row r="136" spans="1:10" x14ac:dyDescent="0.25">
      <c r="A136" s="1"/>
      <c r="B136" s="1">
        <v>410</v>
      </c>
      <c r="C136" s="3">
        <v>41912</v>
      </c>
      <c r="D136" s="33" t="s">
        <v>36</v>
      </c>
      <c r="E136" s="43" t="s">
        <v>60</v>
      </c>
      <c r="F136" s="37" t="s">
        <v>9</v>
      </c>
      <c r="G136" s="22">
        <v>433750</v>
      </c>
      <c r="H136" s="3"/>
      <c r="I136" s="19"/>
      <c r="J136" s="26">
        <f t="shared" si="0"/>
        <v>433750</v>
      </c>
    </row>
    <row r="137" spans="1:10" x14ac:dyDescent="0.25">
      <c r="A137" s="1"/>
      <c r="B137" s="1"/>
      <c r="C137" s="3"/>
      <c r="D137" s="88" t="s">
        <v>71</v>
      </c>
      <c r="E137" s="15" t="s">
        <v>24</v>
      </c>
      <c r="F137" s="44" t="s">
        <v>50</v>
      </c>
      <c r="G137" s="16">
        <f>12966.1*1.18</f>
        <v>15299.998</v>
      </c>
      <c r="H137" s="3"/>
      <c r="I137" s="19"/>
      <c r="J137" s="16">
        <f>12966.1*1.18</f>
        <v>15299.998</v>
      </c>
    </row>
    <row r="138" spans="1:10" x14ac:dyDescent="0.25">
      <c r="A138" s="1"/>
      <c r="B138" s="1"/>
      <c r="C138" s="3"/>
      <c r="D138" s="88" t="s">
        <v>71</v>
      </c>
      <c r="E138" s="15" t="s">
        <v>24</v>
      </c>
      <c r="F138" s="44" t="s">
        <v>50</v>
      </c>
      <c r="G138" s="16">
        <f>11440.68*1.18</f>
        <v>13500.002399999999</v>
      </c>
      <c r="H138" s="3"/>
      <c r="I138" s="19"/>
      <c r="J138" s="16">
        <f>11440.68*1.18</f>
        <v>13500.002399999999</v>
      </c>
    </row>
    <row r="139" spans="1:10" x14ac:dyDescent="0.25">
      <c r="A139" s="1"/>
      <c r="B139" s="1"/>
      <c r="C139" s="3"/>
      <c r="D139" s="88" t="s">
        <v>71</v>
      </c>
      <c r="E139" s="15" t="s">
        <v>24</v>
      </c>
      <c r="F139" s="46" t="s">
        <v>21</v>
      </c>
      <c r="G139" s="16">
        <f>30508.47*1.18+0.01</f>
        <v>36000.0046</v>
      </c>
      <c r="H139" s="3"/>
      <c r="I139" s="19"/>
      <c r="J139" s="16">
        <f>30508.47*1.18+0.01</f>
        <v>36000.0046</v>
      </c>
    </row>
    <row r="140" spans="1:10" x14ac:dyDescent="0.25">
      <c r="A140" s="1"/>
      <c r="B140" s="1"/>
      <c r="C140" s="3"/>
      <c r="D140" s="88" t="s">
        <v>71</v>
      </c>
      <c r="E140" s="15" t="s">
        <v>24</v>
      </c>
      <c r="F140" s="44" t="s">
        <v>23</v>
      </c>
      <c r="G140" s="16">
        <f>69152.54*1.18</f>
        <v>81599.997199999983</v>
      </c>
      <c r="H140" s="3"/>
      <c r="I140" s="19"/>
      <c r="J140" s="16">
        <f>69152.54*1.18</f>
        <v>81599.997199999983</v>
      </c>
    </row>
    <row r="141" spans="1:10" x14ac:dyDescent="0.25">
      <c r="A141" s="1"/>
      <c r="B141" s="1"/>
      <c r="C141" s="3"/>
      <c r="D141" s="88" t="s">
        <v>71</v>
      </c>
      <c r="E141" s="15" t="s">
        <v>24</v>
      </c>
      <c r="F141" s="44" t="s">
        <v>50</v>
      </c>
      <c r="G141" s="16">
        <f>11525.42*1.18</f>
        <v>13599.9956</v>
      </c>
      <c r="H141" s="3"/>
      <c r="I141" s="19"/>
      <c r="J141" s="16">
        <f>11525.42*1.18</f>
        <v>13599.9956</v>
      </c>
    </row>
    <row r="142" spans="1:10" x14ac:dyDescent="0.25">
      <c r="A142" s="1"/>
      <c r="B142" s="1"/>
      <c r="C142" s="3"/>
      <c r="D142" s="88" t="s">
        <v>71</v>
      </c>
      <c r="E142" s="15" t="s">
        <v>24</v>
      </c>
      <c r="F142" s="44" t="s">
        <v>98</v>
      </c>
      <c r="G142" s="16">
        <f>46101.69*1.18+0.01</f>
        <v>54400.004200000003</v>
      </c>
      <c r="H142" s="3"/>
      <c r="I142" s="19"/>
      <c r="J142" s="16">
        <f>46101.69*1.18+0.01</f>
        <v>54400.004200000003</v>
      </c>
    </row>
    <row r="143" spans="1:10" x14ac:dyDescent="0.25">
      <c r="A143" s="1"/>
      <c r="B143" s="1"/>
      <c r="C143" s="3"/>
      <c r="D143" s="88" t="s">
        <v>71</v>
      </c>
      <c r="E143" s="15" t="s">
        <v>121</v>
      </c>
      <c r="F143" s="46" t="s">
        <v>21</v>
      </c>
      <c r="G143" s="16">
        <f>16271.19*1.18</f>
        <v>19200.004199999999</v>
      </c>
      <c r="H143" s="3"/>
      <c r="I143" s="19"/>
      <c r="J143" s="16">
        <f>16271.19*1.18</f>
        <v>19200.004199999999</v>
      </c>
    </row>
    <row r="144" spans="1:10" x14ac:dyDescent="0.25">
      <c r="A144" s="1"/>
      <c r="B144" s="1"/>
      <c r="C144" s="3"/>
      <c r="D144" s="88" t="s">
        <v>71</v>
      </c>
      <c r="E144" s="15" t="s">
        <v>121</v>
      </c>
      <c r="F144" s="42" t="s">
        <v>9</v>
      </c>
      <c r="G144" s="16">
        <f>23389.83*1.18</f>
        <v>27599.999400000001</v>
      </c>
      <c r="H144" s="3"/>
      <c r="I144" s="19"/>
      <c r="J144" s="16">
        <f>23389.83*1.18</f>
        <v>27599.999400000001</v>
      </c>
    </row>
    <row r="145" spans="1:10" x14ac:dyDescent="0.25">
      <c r="A145" s="1"/>
      <c r="B145" s="1"/>
      <c r="C145" s="3"/>
      <c r="D145" s="88" t="s">
        <v>71</v>
      </c>
      <c r="E145" s="15" t="s">
        <v>73</v>
      </c>
      <c r="F145" s="44" t="s">
        <v>98</v>
      </c>
      <c r="G145" s="16">
        <f>5084.75*1.18-0.01</f>
        <v>5999.9949999999999</v>
      </c>
      <c r="H145" s="3"/>
      <c r="I145" s="19"/>
      <c r="J145" s="16">
        <f>5084.75*1.18-0.01</f>
        <v>5999.9949999999999</v>
      </c>
    </row>
    <row r="146" spans="1:10" x14ac:dyDescent="0.25">
      <c r="A146" s="1"/>
      <c r="B146" s="1"/>
      <c r="C146" s="3"/>
      <c r="D146" s="88" t="s">
        <v>71</v>
      </c>
      <c r="E146" s="15" t="s">
        <v>73</v>
      </c>
      <c r="F146" s="44" t="s">
        <v>50</v>
      </c>
      <c r="G146" s="16">
        <f>88983.05*1.18</f>
        <v>104999.999</v>
      </c>
      <c r="H146" s="3"/>
      <c r="I146" s="19"/>
      <c r="J146" s="16">
        <f>88983.05*1.18</f>
        <v>104999.999</v>
      </c>
    </row>
    <row r="147" spans="1:10" x14ac:dyDescent="0.25">
      <c r="A147" s="1"/>
      <c r="B147" s="1"/>
      <c r="C147" s="3"/>
      <c r="D147" s="88" t="s">
        <v>71</v>
      </c>
      <c r="E147" s="1" t="s">
        <v>121</v>
      </c>
      <c r="F147" s="42" t="s">
        <v>9</v>
      </c>
      <c r="G147" s="16">
        <f>57966.1*1.18</f>
        <v>68399.997999999992</v>
      </c>
      <c r="H147" s="3"/>
      <c r="I147" s="19"/>
      <c r="J147" s="16">
        <f>57966.1*1.18</f>
        <v>68399.997999999992</v>
      </c>
    </row>
    <row r="148" spans="1:10" x14ac:dyDescent="0.25">
      <c r="A148" s="1"/>
      <c r="B148" s="1"/>
      <c r="C148" s="3"/>
      <c r="D148" s="88" t="s">
        <v>71</v>
      </c>
      <c r="E148" s="1" t="s">
        <v>122</v>
      </c>
      <c r="F148" s="42" t="s">
        <v>25</v>
      </c>
      <c r="G148" s="16">
        <f>12711.86*1.18</f>
        <v>14999.9948</v>
      </c>
      <c r="H148" s="3"/>
      <c r="I148" s="19"/>
      <c r="J148" s="16">
        <f>12711.86*1.18</f>
        <v>14999.9948</v>
      </c>
    </row>
    <row r="149" spans="1:10" x14ac:dyDescent="0.25">
      <c r="A149" s="1"/>
      <c r="B149" s="1"/>
      <c r="C149" s="3"/>
      <c r="D149" s="88" t="s">
        <v>71</v>
      </c>
      <c r="E149" s="1" t="s">
        <v>122</v>
      </c>
      <c r="F149" s="42" t="s">
        <v>25</v>
      </c>
      <c r="G149" s="16">
        <f>2542.37*1.18</f>
        <v>2999.9965999999995</v>
      </c>
      <c r="H149" s="3"/>
      <c r="I149" s="19"/>
      <c r="J149" s="16">
        <f>2542.37*1.18</f>
        <v>2999.9965999999995</v>
      </c>
    </row>
    <row r="150" spans="1:10" x14ac:dyDescent="0.25">
      <c r="A150" s="1"/>
      <c r="B150" s="1"/>
      <c r="C150" s="3"/>
      <c r="D150" s="88" t="s">
        <v>71</v>
      </c>
      <c r="E150" s="1" t="s">
        <v>24</v>
      </c>
      <c r="F150" s="42" t="s">
        <v>9</v>
      </c>
      <c r="G150" s="16">
        <f>4915.25*1.18</f>
        <v>5799.9949999999999</v>
      </c>
      <c r="H150" s="3"/>
      <c r="I150" s="19"/>
      <c r="J150" s="16">
        <f>4915.25*1.18</f>
        <v>5799.9949999999999</v>
      </c>
    </row>
    <row r="151" spans="1:10" x14ac:dyDescent="0.25">
      <c r="A151" s="1"/>
      <c r="B151" s="1"/>
      <c r="C151" s="3"/>
      <c r="D151" s="88" t="s">
        <v>71</v>
      </c>
      <c r="E151" s="1" t="s">
        <v>24</v>
      </c>
      <c r="F151" s="42" t="s">
        <v>88</v>
      </c>
      <c r="G151" s="16">
        <f>35635.59*1.18</f>
        <v>42049.996199999994</v>
      </c>
      <c r="H151" s="3"/>
      <c r="I151" s="19"/>
      <c r="J151" s="16">
        <f>35635.59*1.18</f>
        <v>42049.996199999994</v>
      </c>
    </row>
    <row r="152" spans="1:10" x14ac:dyDescent="0.25">
      <c r="A152" s="1"/>
      <c r="B152" s="1"/>
      <c r="C152" s="3"/>
      <c r="D152" s="88" t="s">
        <v>71</v>
      </c>
      <c r="E152" s="1" t="s">
        <v>24</v>
      </c>
      <c r="F152" s="42" t="s">
        <v>9</v>
      </c>
      <c r="G152" s="16">
        <f>23050.85*1.18</f>
        <v>27200.002999999997</v>
      </c>
      <c r="H152" s="3"/>
      <c r="I152" s="19"/>
      <c r="J152" s="16">
        <f>23050.85*1.18</f>
        <v>27200.002999999997</v>
      </c>
    </row>
    <row r="153" spans="1:10" x14ac:dyDescent="0.25">
      <c r="A153" s="1"/>
      <c r="B153" s="1"/>
      <c r="C153" s="3"/>
      <c r="D153" s="88" t="s">
        <v>71</v>
      </c>
      <c r="E153" s="1" t="s">
        <v>24</v>
      </c>
      <c r="F153" s="42" t="s">
        <v>25</v>
      </c>
      <c r="G153" s="16">
        <f>11525.42*1.18</f>
        <v>13599.9956</v>
      </c>
      <c r="H153" s="3"/>
      <c r="I153" s="19"/>
      <c r="J153" s="16">
        <f>11525.42*1.18</f>
        <v>13599.9956</v>
      </c>
    </row>
    <row r="154" spans="1:10" x14ac:dyDescent="0.25">
      <c r="A154" s="1"/>
      <c r="B154" s="1"/>
      <c r="C154" s="3"/>
      <c r="D154" s="88" t="s">
        <v>15</v>
      </c>
      <c r="E154" s="15" t="s">
        <v>30</v>
      </c>
      <c r="F154" s="44" t="s">
        <v>20</v>
      </c>
      <c r="G154" s="16">
        <f>13152.54*1.18</f>
        <v>15519.9972</v>
      </c>
      <c r="H154" s="3"/>
      <c r="I154" s="19"/>
      <c r="J154" s="16">
        <f>13152.54*1.18</f>
        <v>15519.9972</v>
      </c>
    </row>
    <row r="155" spans="1:10" x14ac:dyDescent="0.25">
      <c r="A155" s="1"/>
      <c r="B155" s="1"/>
      <c r="C155" s="3"/>
      <c r="D155" s="88" t="s">
        <v>15</v>
      </c>
      <c r="E155" s="15" t="s">
        <v>30</v>
      </c>
      <c r="F155" s="42" t="s">
        <v>50</v>
      </c>
      <c r="G155" s="16">
        <f>28771.19*1.18</f>
        <v>33950.004199999996</v>
      </c>
      <c r="H155" s="3"/>
      <c r="I155" s="19"/>
      <c r="J155" s="16">
        <f>28771.19*1.18</f>
        <v>33950.004199999996</v>
      </c>
    </row>
    <row r="156" spans="1:10" x14ac:dyDescent="0.25">
      <c r="A156" s="1"/>
      <c r="B156" s="1"/>
      <c r="C156" s="3"/>
      <c r="D156" s="88" t="s">
        <v>15</v>
      </c>
      <c r="E156" s="15" t="s">
        <v>30</v>
      </c>
      <c r="F156" s="42" t="s">
        <v>87</v>
      </c>
      <c r="G156" s="16">
        <f>19728.81*1.18</f>
        <v>23279.995800000001</v>
      </c>
      <c r="H156" s="3"/>
      <c r="I156" s="19"/>
      <c r="J156" s="16">
        <f>19728.81*1.18</f>
        <v>23279.995800000001</v>
      </c>
    </row>
    <row r="157" spans="1:10" x14ac:dyDescent="0.25">
      <c r="A157" s="1"/>
      <c r="B157" s="1"/>
      <c r="C157" s="3"/>
      <c r="D157" s="88" t="s">
        <v>15</v>
      </c>
      <c r="E157" s="15" t="s">
        <v>30</v>
      </c>
      <c r="F157" s="42" t="s">
        <v>25</v>
      </c>
      <c r="G157" s="16">
        <f>13152.54*1.18</f>
        <v>15519.9972</v>
      </c>
      <c r="H157" s="3"/>
      <c r="I157" s="19"/>
      <c r="J157" s="16">
        <f>13152.54*1.18</f>
        <v>15519.9972</v>
      </c>
    </row>
    <row r="158" spans="1:10" x14ac:dyDescent="0.25">
      <c r="A158" s="1"/>
      <c r="B158" s="1"/>
      <c r="C158" s="3"/>
      <c r="D158" s="88" t="s">
        <v>15</v>
      </c>
      <c r="E158" s="15" t="s">
        <v>30</v>
      </c>
      <c r="F158" s="42" t="s">
        <v>23</v>
      </c>
      <c r="G158" s="16">
        <f>6576.27*1.18</f>
        <v>7759.9985999999999</v>
      </c>
      <c r="H158" s="3"/>
      <c r="I158" s="19"/>
      <c r="J158" s="16">
        <f>6576.27*1.18</f>
        <v>7759.9985999999999</v>
      </c>
    </row>
    <row r="159" spans="1:10" x14ac:dyDescent="0.25">
      <c r="A159" s="1"/>
      <c r="B159" s="1"/>
      <c r="C159" s="3"/>
      <c r="D159" s="88" t="s">
        <v>15</v>
      </c>
      <c r="E159" s="15" t="s">
        <v>30</v>
      </c>
      <c r="F159" s="42" t="s">
        <v>25</v>
      </c>
      <c r="G159" s="16">
        <f>6576.27*1.18</f>
        <v>7759.9985999999999</v>
      </c>
      <c r="H159" s="3"/>
      <c r="I159" s="19"/>
      <c r="J159" s="16">
        <f>6576.27*1.18</f>
        <v>7759.9985999999999</v>
      </c>
    </row>
    <row r="160" spans="1:10" x14ac:dyDescent="0.25">
      <c r="A160" s="1"/>
      <c r="B160" s="1"/>
      <c r="C160" s="3"/>
      <c r="D160" s="88" t="s">
        <v>15</v>
      </c>
      <c r="E160" s="15" t="s">
        <v>30</v>
      </c>
      <c r="F160" s="46" t="s">
        <v>21</v>
      </c>
      <c r="G160" s="16">
        <f>6576.27*1.18</f>
        <v>7759.9985999999999</v>
      </c>
      <c r="H160" s="3"/>
      <c r="I160" s="19"/>
      <c r="J160" s="16">
        <f>6576.27*1.18</f>
        <v>7759.9985999999999</v>
      </c>
    </row>
    <row r="161" spans="1:10" x14ac:dyDescent="0.25">
      <c r="A161" s="1"/>
      <c r="B161" s="1"/>
      <c r="C161" s="3"/>
      <c r="D161" s="88" t="s">
        <v>15</v>
      </c>
      <c r="E161" s="15" t="s">
        <v>30</v>
      </c>
      <c r="F161" s="44" t="s">
        <v>98</v>
      </c>
      <c r="G161" s="16">
        <f>1644.07*1.18</f>
        <v>1940.0025999999998</v>
      </c>
      <c r="H161" s="3"/>
      <c r="I161" s="19"/>
      <c r="J161" s="16">
        <f>1644.07*1.18</f>
        <v>1940.0025999999998</v>
      </c>
    </row>
    <row r="162" spans="1:10" x14ac:dyDescent="0.25">
      <c r="A162" s="1"/>
      <c r="B162" s="1"/>
      <c r="C162" s="3"/>
      <c r="D162" s="88" t="s">
        <v>15</v>
      </c>
      <c r="E162" s="15" t="s">
        <v>30</v>
      </c>
      <c r="F162" s="42" t="s">
        <v>9</v>
      </c>
      <c r="G162" s="16">
        <f>197288.14*1.18</f>
        <v>232800.00520000001</v>
      </c>
      <c r="H162" s="3"/>
      <c r="I162" s="19"/>
      <c r="J162" s="16">
        <f>197288.14*1.18</f>
        <v>232800.00520000001</v>
      </c>
    </row>
    <row r="163" spans="1:10" x14ac:dyDescent="0.25">
      <c r="A163" s="1"/>
      <c r="B163" s="1"/>
      <c r="C163" s="3"/>
      <c r="D163" s="88" t="s">
        <v>15</v>
      </c>
      <c r="E163" s="15" t="s">
        <v>30</v>
      </c>
      <c r="F163" s="42" t="s">
        <v>9</v>
      </c>
      <c r="G163" s="16">
        <f>7952.54*1.18</f>
        <v>9383.9971999999998</v>
      </c>
      <c r="H163" s="3"/>
      <c r="I163" s="19"/>
      <c r="J163" s="16">
        <f>7952.54*1.18</f>
        <v>9383.9971999999998</v>
      </c>
    </row>
    <row r="164" spans="1:10" x14ac:dyDescent="0.25">
      <c r="A164" s="1"/>
      <c r="B164" s="1"/>
      <c r="C164" s="3"/>
      <c r="D164" s="88" t="s">
        <v>15</v>
      </c>
      <c r="E164" s="15" t="s">
        <v>30</v>
      </c>
      <c r="F164" s="42" t="s">
        <v>9</v>
      </c>
      <c r="G164" s="16">
        <f>7952.54*1.18</f>
        <v>9383.9971999999998</v>
      </c>
      <c r="H164" s="3"/>
      <c r="I164" s="19"/>
      <c r="J164" s="16">
        <f>7952.54*1.18</f>
        <v>9383.9971999999998</v>
      </c>
    </row>
    <row r="165" spans="1:10" x14ac:dyDescent="0.25">
      <c r="A165" s="1"/>
      <c r="B165" s="1"/>
      <c r="C165" s="3"/>
      <c r="D165" s="88" t="s">
        <v>15</v>
      </c>
      <c r="E165" s="15" t="s">
        <v>30</v>
      </c>
      <c r="F165" s="42" t="s">
        <v>50</v>
      </c>
      <c r="G165" s="16">
        <f>2650.85*1.18</f>
        <v>3128.0029999999997</v>
      </c>
      <c r="H165" s="3"/>
      <c r="I165" s="19"/>
      <c r="J165" s="16">
        <f>2650.85*1.18</f>
        <v>3128.0029999999997</v>
      </c>
    </row>
    <row r="166" spans="1:10" x14ac:dyDescent="0.25">
      <c r="A166" s="1"/>
      <c r="B166" s="1"/>
      <c r="C166" s="3"/>
      <c r="D166" s="88" t="s">
        <v>15</v>
      </c>
      <c r="E166" s="15" t="s">
        <v>30</v>
      </c>
      <c r="F166" s="46" t="s">
        <v>21</v>
      </c>
      <c r="G166" s="16">
        <f>9277.97*1.18</f>
        <v>10948.004599999998</v>
      </c>
      <c r="H166" s="3"/>
      <c r="I166" s="19"/>
      <c r="J166" s="16">
        <f>9277.97*1.18</f>
        <v>10948.004599999998</v>
      </c>
    </row>
    <row r="167" spans="1:10" x14ac:dyDescent="0.25">
      <c r="A167" s="1"/>
      <c r="B167" s="1"/>
      <c r="C167" s="3"/>
      <c r="D167" s="88" t="s">
        <v>15</v>
      </c>
      <c r="E167" s="15" t="s">
        <v>30</v>
      </c>
      <c r="F167" s="42" t="s">
        <v>23</v>
      </c>
      <c r="G167" s="16">
        <f>7952.54*1.18</f>
        <v>9383.9971999999998</v>
      </c>
      <c r="H167" s="3"/>
      <c r="I167" s="19"/>
      <c r="J167" s="16">
        <f>7952.54*1.18</f>
        <v>9383.9971999999998</v>
      </c>
    </row>
    <row r="168" spans="1:10" x14ac:dyDescent="0.25">
      <c r="A168" s="1"/>
      <c r="B168" s="1"/>
      <c r="C168" s="3"/>
      <c r="D168" s="88" t="s">
        <v>15</v>
      </c>
      <c r="E168" s="15" t="s">
        <v>30</v>
      </c>
      <c r="F168" s="42" t="s">
        <v>22</v>
      </c>
      <c r="G168" s="16">
        <f>16567.8*1.18</f>
        <v>19550.003999999997</v>
      </c>
      <c r="H168" s="3"/>
      <c r="I168" s="19"/>
      <c r="J168" s="16">
        <f>16567.8*1.18</f>
        <v>19550.003999999997</v>
      </c>
    </row>
    <row r="169" spans="1:10" x14ac:dyDescent="0.25">
      <c r="A169" s="1"/>
      <c r="B169" s="1"/>
      <c r="C169" s="3"/>
      <c r="D169" s="88" t="s">
        <v>15</v>
      </c>
      <c r="E169" s="15" t="s">
        <v>30</v>
      </c>
      <c r="F169" s="42" t="s">
        <v>48</v>
      </c>
      <c r="G169" s="16">
        <f>27171.19*1.18</f>
        <v>32062.004199999996</v>
      </c>
      <c r="H169" s="3"/>
      <c r="I169" s="19"/>
      <c r="J169" s="16">
        <f>27171.19*1.18</f>
        <v>32062.004199999996</v>
      </c>
    </row>
    <row r="170" spans="1:10" x14ac:dyDescent="0.25">
      <c r="A170" s="1"/>
      <c r="B170" s="1"/>
      <c r="C170" s="3"/>
      <c r="D170" s="88" t="s">
        <v>15</v>
      </c>
      <c r="E170" s="15" t="s">
        <v>30</v>
      </c>
      <c r="F170" s="44" t="s">
        <v>19</v>
      </c>
      <c r="G170" s="16">
        <f>36449.15*1.18</f>
        <v>43009.997000000003</v>
      </c>
      <c r="H170" s="3"/>
      <c r="I170" s="19"/>
      <c r="J170" s="16">
        <f>36449.15*1.18</f>
        <v>43009.997000000003</v>
      </c>
    </row>
    <row r="171" spans="1:10" x14ac:dyDescent="0.25">
      <c r="A171" s="1"/>
      <c r="B171" s="1"/>
      <c r="C171" s="3"/>
      <c r="D171" s="88" t="s">
        <v>15</v>
      </c>
      <c r="E171" s="15" t="s">
        <v>30</v>
      </c>
      <c r="F171" s="42" t="s">
        <v>9</v>
      </c>
      <c r="G171" s="16">
        <f>109152.54*1.18</f>
        <v>128799.99719999998</v>
      </c>
      <c r="H171" s="3"/>
      <c r="I171" s="19"/>
      <c r="J171" s="16">
        <f>109152.54*1.18</f>
        <v>128799.99719999998</v>
      </c>
    </row>
    <row r="172" spans="1:10" x14ac:dyDescent="0.25">
      <c r="A172" s="1"/>
      <c r="B172" s="1"/>
      <c r="C172" s="3"/>
      <c r="D172" s="88" t="s">
        <v>15</v>
      </c>
      <c r="E172" s="15" t="s">
        <v>30</v>
      </c>
      <c r="F172" s="42" t="s">
        <v>25</v>
      </c>
      <c r="G172" s="16">
        <f>8156.78*1.18</f>
        <v>9625.000399999999</v>
      </c>
      <c r="H172" s="3"/>
      <c r="I172" s="19"/>
      <c r="J172" s="16">
        <f>8156.78*1.18</f>
        <v>9625.000399999999</v>
      </c>
    </row>
    <row r="173" spans="1:10" x14ac:dyDescent="0.25">
      <c r="A173" s="1"/>
      <c r="B173" s="1"/>
      <c r="C173" s="3"/>
      <c r="D173" s="88" t="s">
        <v>15</v>
      </c>
      <c r="E173" s="15" t="s">
        <v>30</v>
      </c>
      <c r="F173" s="42" t="s">
        <v>95</v>
      </c>
      <c r="G173" s="16">
        <f>5932.2*1.18</f>
        <v>6999.9959999999992</v>
      </c>
      <c r="H173" s="3"/>
      <c r="I173" s="19"/>
      <c r="J173" s="16">
        <f>5932.2*1.18</f>
        <v>6999.9959999999992</v>
      </c>
    </row>
    <row r="174" spans="1:10" x14ac:dyDescent="0.25">
      <c r="A174" s="1"/>
      <c r="B174" s="1"/>
      <c r="C174" s="3"/>
      <c r="D174" s="88" t="s">
        <v>15</v>
      </c>
      <c r="E174" s="15" t="s">
        <v>30</v>
      </c>
      <c r="F174" s="46" t="s">
        <v>21</v>
      </c>
      <c r="G174" s="16">
        <f>11864.41*1.18</f>
        <v>14000.003799999999</v>
      </c>
      <c r="H174" s="3"/>
      <c r="I174" s="19"/>
      <c r="J174" s="16">
        <f>11864.41*1.18</f>
        <v>14000.003799999999</v>
      </c>
    </row>
    <row r="175" spans="1:10" x14ac:dyDescent="0.25">
      <c r="A175" s="1"/>
      <c r="B175" s="1"/>
      <c r="C175" s="3"/>
      <c r="D175" s="88" t="s">
        <v>15</v>
      </c>
      <c r="E175" s="15" t="s">
        <v>30</v>
      </c>
      <c r="F175" s="42" t="s">
        <v>48</v>
      </c>
      <c r="G175" s="16">
        <f>11864.41*1.18</f>
        <v>14000.003799999999</v>
      </c>
      <c r="H175" s="3"/>
      <c r="I175" s="19"/>
      <c r="J175" s="16">
        <f>11864.41*1.18</f>
        <v>14000.003799999999</v>
      </c>
    </row>
    <row r="176" spans="1:10" x14ac:dyDescent="0.25">
      <c r="A176" s="1"/>
      <c r="B176" s="1"/>
      <c r="C176" s="3"/>
      <c r="D176" s="88" t="s">
        <v>15</v>
      </c>
      <c r="E176" s="15" t="s">
        <v>30</v>
      </c>
      <c r="F176" s="42" t="s">
        <v>9</v>
      </c>
      <c r="G176" s="16">
        <f>77118.64*1.18</f>
        <v>90999.99519999999</v>
      </c>
      <c r="H176" s="3"/>
      <c r="I176" s="19"/>
      <c r="J176" s="16">
        <f>77118.64*1.18</f>
        <v>90999.99519999999</v>
      </c>
    </row>
    <row r="177" spans="1:12" x14ac:dyDescent="0.25">
      <c r="A177" s="1"/>
      <c r="B177" s="1">
        <v>304</v>
      </c>
      <c r="C177" s="3">
        <v>41902</v>
      </c>
      <c r="D177" s="1" t="s">
        <v>7</v>
      </c>
      <c r="E177" s="15"/>
      <c r="F177" s="37" t="s">
        <v>9</v>
      </c>
      <c r="G177" s="22">
        <v>184800</v>
      </c>
      <c r="H177" s="21"/>
      <c r="I177" s="19"/>
      <c r="J177" s="26">
        <f t="shared" ref="J177:J178" si="1">G177-I177</f>
        <v>184800</v>
      </c>
    </row>
    <row r="178" spans="1:12" x14ac:dyDescent="0.25">
      <c r="A178" s="1"/>
      <c r="B178" s="1" t="s">
        <v>127</v>
      </c>
      <c r="C178" s="3">
        <v>41912</v>
      </c>
      <c r="D178" s="1" t="s">
        <v>7</v>
      </c>
      <c r="E178" s="64" t="s">
        <v>39</v>
      </c>
      <c r="F178" s="37" t="s">
        <v>9</v>
      </c>
      <c r="G178" s="22">
        <v>86800</v>
      </c>
      <c r="H178" s="21"/>
      <c r="I178" s="19"/>
      <c r="J178" s="26">
        <f t="shared" si="1"/>
        <v>86800</v>
      </c>
    </row>
    <row r="179" spans="1:12" x14ac:dyDescent="0.25">
      <c r="A179" s="1"/>
      <c r="B179" s="1"/>
      <c r="C179" s="3"/>
      <c r="D179" s="1"/>
      <c r="E179" s="15"/>
      <c r="F179" s="42"/>
      <c r="G179" s="22"/>
      <c r="H179" s="21"/>
      <c r="I179" s="19"/>
      <c r="J179" s="26"/>
    </row>
    <row r="180" spans="1:12" x14ac:dyDescent="0.25">
      <c r="A180" s="1"/>
      <c r="B180" s="1"/>
      <c r="C180" s="3"/>
      <c r="D180" s="1"/>
      <c r="E180" s="15"/>
      <c r="F180" s="42"/>
      <c r="G180" s="22"/>
      <c r="H180" s="21"/>
      <c r="I180" s="19"/>
      <c r="J180" s="26"/>
    </row>
    <row r="181" spans="1:12" x14ac:dyDescent="0.25">
      <c r="A181" s="1"/>
      <c r="B181" s="1"/>
      <c r="C181" s="3"/>
      <c r="D181" s="1"/>
      <c r="E181" s="15"/>
      <c r="F181" s="42"/>
      <c r="G181" s="22"/>
      <c r="H181" s="21"/>
      <c r="I181" s="19"/>
      <c r="J181" s="26"/>
    </row>
    <row r="182" spans="1:12" x14ac:dyDescent="0.25">
      <c r="A182" s="1"/>
      <c r="B182" s="1"/>
      <c r="C182" s="3"/>
      <c r="D182" s="1"/>
      <c r="E182" s="15"/>
      <c r="F182" s="42"/>
      <c r="G182" s="22"/>
      <c r="H182" s="21"/>
      <c r="I182" s="19"/>
      <c r="J182" s="26"/>
      <c r="L182" s="52"/>
    </row>
    <row r="183" spans="1:12" x14ac:dyDescent="0.25">
      <c r="A183" s="6"/>
      <c r="B183" s="6"/>
      <c r="C183" s="6"/>
      <c r="D183" s="6" t="s">
        <v>17</v>
      </c>
      <c r="E183" s="6"/>
      <c r="F183" s="6"/>
      <c r="G183" s="7" t="e">
        <f>SUM(G6:G35,#REF!,G60:G60,G63:G84,G87:G96,#REF!,#REF!,G108:G110,G113:G113,G119:G136,#REF!,#REF!,G177:G178)</f>
        <v>#REF!</v>
      </c>
      <c r="H183" s="7"/>
      <c r="I183" s="7">
        <f>SUM(I6:I182)</f>
        <v>196700</v>
      </c>
      <c r="J183" s="7">
        <f>SUM(J6:J178)</f>
        <v>7247796.9587999992</v>
      </c>
    </row>
    <row r="184" spans="1:12" x14ac:dyDescent="0.25">
      <c r="A184" s="2"/>
      <c r="B184" s="2"/>
      <c r="C184" s="2"/>
      <c r="D184" s="2"/>
      <c r="E184" s="2"/>
      <c r="F184" s="2"/>
      <c r="G184" s="2"/>
      <c r="J184" s="52" t="e">
        <f>G183-I183</f>
        <v>#REF!</v>
      </c>
    </row>
    <row r="185" spans="1:12" x14ac:dyDescent="0.25">
      <c r="A185" s="2"/>
      <c r="B185" s="2"/>
      <c r="C185" s="2"/>
      <c r="D185" s="55"/>
      <c r="E185" s="55"/>
      <c r="F185" s="55"/>
      <c r="G185" s="2"/>
    </row>
    <row r="186" spans="1:12" x14ac:dyDescent="0.25">
      <c r="A186" s="2"/>
      <c r="F186" s="56"/>
    </row>
    <row r="187" spans="1:12" x14ac:dyDescent="0.25">
      <c r="A187" s="2"/>
    </row>
    <row r="188" spans="1:12" x14ac:dyDescent="0.25">
      <c r="A188" s="2"/>
    </row>
    <row r="189" spans="1:12" x14ac:dyDescent="0.25">
      <c r="A189" s="2"/>
      <c r="B189" s="2"/>
      <c r="C189" s="2"/>
      <c r="F189" s="2"/>
      <c r="G189" s="2"/>
    </row>
    <row r="190" spans="1:12" x14ac:dyDescent="0.25">
      <c r="A190" s="2"/>
      <c r="B190" s="2"/>
      <c r="C190" s="2"/>
      <c r="F190" s="2"/>
      <c r="G190" s="2"/>
    </row>
    <row r="191" spans="1:12" x14ac:dyDescent="0.25">
      <c r="A191" s="2"/>
      <c r="B191" s="2"/>
      <c r="C191" s="2"/>
      <c r="F191" s="2"/>
      <c r="G191" s="2"/>
    </row>
    <row r="192" spans="1:12" x14ac:dyDescent="0.25">
      <c r="A192" s="2"/>
      <c r="B192" s="2"/>
      <c r="C192" s="2"/>
      <c r="F192" s="2"/>
      <c r="G192" s="2"/>
    </row>
    <row r="193" spans="1:7" x14ac:dyDescent="0.25">
      <c r="A193" s="2"/>
      <c r="B193" s="2"/>
      <c r="C193" s="2"/>
      <c r="F193" s="2"/>
      <c r="G193" s="2"/>
    </row>
    <row r="194" spans="1:7" x14ac:dyDescent="0.25">
      <c r="A194" s="2"/>
      <c r="B194" s="2"/>
      <c r="C194" s="2"/>
      <c r="F194" s="2"/>
      <c r="G194" s="2"/>
    </row>
    <row r="195" spans="1:7" x14ac:dyDescent="0.25">
      <c r="A195" s="2"/>
      <c r="B195" s="2"/>
      <c r="C195" s="2"/>
      <c r="F195" s="2"/>
      <c r="G195" s="2"/>
    </row>
    <row r="196" spans="1:7" x14ac:dyDescent="0.25">
      <c r="A196" s="2"/>
      <c r="B196" s="2"/>
      <c r="C196" s="2"/>
      <c r="F196" s="2"/>
      <c r="G196" s="2"/>
    </row>
    <row r="197" spans="1:7" x14ac:dyDescent="0.25">
      <c r="A197" s="2"/>
      <c r="B197" s="2"/>
      <c r="C197" s="2"/>
      <c r="F197" s="2"/>
      <c r="G197" s="2"/>
    </row>
    <row r="198" spans="1:7" x14ac:dyDescent="0.25">
      <c r="A198" s="2"/>
      <c r="B198" s="2"/>
      <c r="C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</sheetData>
  <pageMargins left="0.31496062992125984" right="0.11811023622047245" top="0.35433070866141736" bottom="0.15748031496062992" header="0.31496062992125984" footer="0.31496062992125984"/>
  <pageSetup paperSize="9" scale="6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2:L200"/>
  <sheetViews>
    <sheetView workbookViewId="0">
      <pane xSplit="4" ySplit="6" topLeftCell="E116" activePane="bottomRight" state="frozen"/>
      <selection pane="topRight" activeCell="E1" sqref="E1"/>
      <selection pane="bottomLeft" activeCell="A7" sqref="A7"/>
      <selection pane="bottomRight" activeCell="D5" sqref="D5:D6"/>
    </sheetView>
  </sheetViews>
  <sheetFormatPr defaultRowHeight="15" x14ac:dyDescent="0.25"/>
  <cols>
    <col min="1" max="1" width="5.140625" customWidth="1"/>
    <col min="2" max="2" width="8.5703125" customWidth="1"/>
    <col min="3" max="3" width="12.42578125" customWidth="1"/>
    <col min="4" max="4" width="31" customWidth="1"/>
    <col min="5" max="5" width="34.5703125" customWidth="1"/>
    <col min="6" max="6" width="20" customWidth="1"/>
    <col min="7" max="7" width="17.7109375" customWidth="1"/>
    <col min="8" max="8" width="11.85546875" customWidth="1"/>
    <col min="9" max="9" width="14.140625" customWidth="1"/>
    <col min="10" max="10" width="14.42578125" customWidth="1"/>
    <col min="12" max="12" width="10.7109375" bestFit="1" customWidth="1"/>
  </cols>
  <sheetData>
    <row r="2" spans="1:10" x14ac:dyDescent="0.25">
      <c r="E2" s="71"/>
    </row>
    <row r="5" spans="1:10" x14ac:dyDescent="0.25">
      <c r="A5" s="102" t="s">
        <v>0</v>
      </c>
      <c r="B5" s="101" t="s">
        <v>1</v>
      </c>
      <c r="C5" s="101" t="s">
        <v>2</v>
      </c>
      <c r="D5" s="101" t="s">
        <v>151</v>
      </c>
      <c r="E5" s="101" t="s">
        <v>4</v>
      </c>
      <c r="F5" s="103" t="s">
        <v>150</v>
      </c>
      <c r="G5" s="101" t="s">
        <v>5</v>
      </c>
      <c r="H5" s="27" t="s">
        <v>10</v>
      </c>
      <c r="I5" s="28"/>
      <c r="J5" s="29"/>
    </row>
    <row r="6" spans="1:10" ht="29.25" customHeight="1" x14ac:dyDescent="0.25">
      <c r="A6" s="102"/>
      <c r="B6" s="101"/>
      <c r="C6" s="101"/>
      <c r="D6" s="101"/>
      <c r="E6" s="101"/>
      <c r="F6" s="104"/>
      <c r="G6" s="101"/>
      <c r="H6" s="9" t="s">
        <v>11</v>
      </c>
      <c r="I6" s="9" t="s">
        <v>12</v>
      </c>
      <c r="J6" s="10" t="s">
        <v>13</v>
      </c>
    </row>
    <row r="7" spans="1:10" x14ac:dyDescent="0.25">
      <c r="A7" s="1"/>
      <c r="B7" s="1">
        <v>164</v>
      </c>
      <c r="C7" s="3">
        <v>41927</v>
      </c>
      <c r="D7" s="33" t="s">
        <v>35</v>
      </c>
      <c r="E7" s="33" t="s">
        <v>45</v>
      </c>
      <c r="F7" s="37" t="s">
        <v>22</v>
      </c>
      <c r="G7" s="22">
        <v>72350</v>
      </c>
      <c r="H7" s="3"/>
      <c r="I7" s="19"/>
      <c r="J7" s="26">
        <f t="shared" ref="J7:J34" si="0">G7-I7</f>
        <v>72350</v>
      </c>
    </row>
    <row r="8" spans="1:10" x14ac:dyDescent="0.25">
      <c r="A8" s="1"/>
      <c r="B8" s="1">
        <v>169</v>
      </c>
      <c r="C8" s="3">
        <v>41918</v>
      </c>
      <c r="D8" s="33" t="s">
        <v>35</v>
      </c>
      <c r="E8" s="33" t="s">
        <v>46</v>
      </c>
      <c r="F8" s="70" t="s">
        <v>23</v>
      </c>
      <c r="G8" s="22">
        <v>16200</v>
      </c>
      <c r="H8" s="45"/>
      <c r="I8" s="19"/>
      <c r="J8" s="26">
        <f t="shared" si="0"/>
        <v>16200</v>
      </c>
    </row>
    <row r="9" spans="1:10" x14ac:dyDescent="0.25">
      <c r="A9" s="1"/>
      <c r="B9" s="1">
        <v>166</v>
      </c>
      <c r="C9" s="3">
        <v>41923</v>
      </c>
      <c r="D9" s="33" t="s">
        <v>35</v>
      </c>
      <c r="E9" s="33" t="s">
        <v>45</v>
      </c>
      <c r="F9" s="37" t="s">
        <v>19</v>
      </c>
      <c r="G9" s="22">
        <v>7600</v>
      </c>
      <c r="H9" s="3"/>
      <c r="I9" s="19"/>
      <c r="J9" s="26">
        <f t="shared" si="0"/>
        <v>7600</v>
      </c>
    </row>
    <row r="10" spans="1:10" x14ac:dyDescent="0.25">
      <c r="A10" s="1"/>
      <c r="B10" s="1">
        <v>168</v>
      </c>
      <c r="C10" s="3">
        <v>41927</v>
      </c>
      <c r="D10" s="33" t="s">
        <v>35</v>
      </c>
      <c r="E10" s="33" t="s">
        <v>45</v>
      </c>
      <c r="F10" s="41" t="s">
        <v>50</v>
      </c>
      <c r="G10" s="22">
        <v>40950</v>
      </c>
      <c r="H10" s="3"/>
      <c r="I10" s="19"/>
      <c r="J10" s="26">
        <f t="shared" si="0"/>
        <v>40950</v>
      </c>
    </row>
    <row r="11" spans="1:10" ht="29.25" x14ac:dyDescent="0.25">
      <c r="A11" s="1"/>
      <c r="B11" s="1">
        <v>167</v>
      </c>
      <c r="C11" s="3">
        <v>41927</v>
      </c>
      <c r="D11" s="33" t="s">
        <v>35</v>
      </c>
      <c r="E11" s="25" t="s">
        <v>30</v>
      </c>
      <c r="F11" s="41" t="s">
        <v>96</v>
      </c>
      <c r="G11" s="22">
        <v>44500</v>
      </c>
      <c r="H11" s="3"/>
      <c r="I11" s="19"/>
      <c r="J11" s="26">
        <f t="shared" si="0"/>
        <v>44500</v>
      </c>
    </row>
    <row r="12" spans="1:10" x14ac:dyDescent="0.25">
      <c r="A12" s="1"/>
      <c r="B12" s="1">
        <v>165</v>
      </c>
      <c r="C12" s="3">
        <v>41922</v>
      </c>
      <c r="D12" s="33" t="s">
        <v>35</v>
      </c>
      <c r="E12" s="25" t="s">
        <v>24</v>
      </c>
      <c r="F12" s="37" t="s">
        <v>22</v>
      </c>
      <c r="G12" s="22">
        <v>51200</v>
      </c>
      <c r="H12" s="3"/>
      <c r="I12" s="19"/>
      <c r="J12" s="26">
        <f t="shared" si="0"/>
        <v>51200</v>
      </c>
    </row>
    <row r="13" spans="1:10" x14ac:dyDescent="0.25">
      <c r="A13" s="1"/>
      <c r="B13" s="1">
        <v>181</v>
      </c>
      <c r="C13" s="3">
        <v>41943</v>
      </c>
      <c r="D13" s="33" t="s">
        <v>35</v>
      </c>
      <c r="E13" s="33" t="s">
        <v>45</v>
      </c>
      <c r="F13" s="37" t="s">
        <v>22</v>
      </c>
      <c r="G13" s="22">
        <v>96600</v>
      </c>
      <c r="H13" s="3"/>
      <c r="I13" s="19"/>
      <c r="J13" s="26">
        <f t="shared" si="0"/>
        <v>96600</v>
      </c>
    </row>
    <row r="14" spans="1:10" x14ac:dyDescent="0.25">
      <c r="A14" s="1"/>
      <c r="B14" s="1">
        <v>179</v>
      </c>
      <c r="C14" s="3">
        <v>41943</v>
      </c>
      <c r="D14" s="33" t="s">
        <v>35</v>
      </c>
      <c r="E14" s="41" t="s">
        <v>45</v>
      </c>
      <c r="F14" s="37" t="s">
        <v>19</v>
      </c>
      <c r="G14" s="22">
        <v>48100</v>
      </c>
      <c r="H14" s="3"/>
      <c r="I14" s="19"/>
      <c r="J14" s="26">
        <f t="shared" si="0"/>
        <v>48100</v>
      </c>
    </row>
    <row r="15" spans="1:10" x14ac:dyDescent="0.25">
      <c r="A15" s="1"/>
      <c r="B15" s="1">
        <v>180</v>
      </c>
      <c r="C15" s="3">
        <v>41928</v>
      </c>
      <c r="D15" s="33" t="s">
        <v>35</v>
      </c>
      <c r="E15" s="41" t="s">
        <v>46</v>
      </c>
      <c r="F15" s="41" t="s">
        <v>50</v>
      </c>
      <c r="G15" s="22">
        <v>4050</v>
      </c>
      <c r="H15" s="3"/>
      <c r="I15" s="19"/>
      <c r="J15" s="26">
        <f t="shared" si="0"/>
        <v>4050</v>
      </c>
    </row>
    <row r="16" spans="1:10" ht="29.25" x14ac:dyDescent="0.25">
      <c r="A16" s="1"/>
      <c r="B16" s="1">
        <v>178</v>
      </c>
      <c r="C16" s="3">
        <v>41943</v>
      </c>
      <c r="D16" s="33" t="s">
        <v>35</v>
      </c>
      <c r="E16" s="41" t="s">
        <v>44</v>
      </c>
      <c r="F16" s="37" t="s">
        <v>135</v>
      </c>
      <c r="G16" s="22">
        <v>48500</v>
      </c>
      <c r="H16" s="3"/>
      <c r="I16" s="19"/>
      <c r="J16" s="26">
        <f t="shared" si="0"/>
        <v>48500</v>
      </c>
    </row>
    <row r="17" spans="1:10" x14ac:dyDescent="0.25">
      <c r="A17" s="1"/>
      <c r="B17" s="1">
        <v>182</v>
      </c>
      <c r="C17" s="3">
        <v>41943</v>
      </c>
      <c r="D17" s="33" t="s">
        <v>35</v>
      </c>
      <c r="E17" s="37" t="s">
        <v>24</v>
      </c>
      <c r="F17" s="37" t="s">
        <v>22</v>
      </c>
      <c r="G17" s="22">
        <v>96000</v>
      </c>
      <c r="H17" s="3"/>
      <c r="I17" s="19"/>
      <c r="J17" s="26">
        <f t="shared" si="0"/>
        <v>96000</v>
      </c>
    </row>
    <row r="18" spans="1:10" x14ac:dyDescent="0.25">
      <c r="A18" s="1"/>
      <c r="B18" s="1">
        <v>8</v>
      </c>
      <c r="C18" s="3">
        <v>41926</v>
      </c>
      <c r="D18" s="1" t="s">
        <v>107</v>
      </c>
      <c r="E18" s="1" t="s">
        <v>24</v>
      </c>
      <c r="F18" s="40" t="s">
        <v>20</v>
      </c>
      <c r="G18" s="22">
        <v>40800</v>
      </c>
      <c r="H18" s="3"/>
      <c r="I18" s="19"/>
      <c r="J18" s="26">
        <f t="shared" si="0"/>
        <v>40800</v>
      </c>
    </row>
    <row r="19" spans="1:10" x14ac:dyDescent="0.25">
      <c r="A19" s="1"/>
      <c r="B19" s="1">
        <v>199</v>
      </c>
      <c r="C19" s="3">
        <v>41927</v>
      </c>
      <c r="D19" s="25" t="s">
        <v>6</v>
      </c>
      <c r="E19" s="25" t="s">
        <v>30</v>
      </c>
      <c r="F19" s="40" t="s">
        <v>88</v>
      </c>
      <c r="G19" s="22">
        <v>12800</v>
      </c>
      <c r="H19" s="3"/>
      <c r="I19" s="19"/>
      <c r="J19" s="26">
        <f t="shared" si="0"/>
        <v>12800</v>
      </c>
    </row>
    <row r="20" spans="1:10" x14ac:dyDescent="0.25">
      <c r="A20" s="1"/>
      <c r="B20" s="1">
        <v>198</v>
      </c>
      <c r="C20" s="3">
        <v>41927</v>
      </c>
      <c r="D20" s="25" t="s">
        <v>6</v>
      </c>
      <c r="E20" s="25" t="s">
        <v>30</v>
      </c>
      <c r="F20" s="41" t="s">
        <v>95</v>
      </c>
      <c r="G20" s="22">
        <v>12800</v>
      </c>
      <c r="H20" s="3"/>
      <c r="I20" s="19"/>
      <c r="J20" s="26">
        <f t="shared" si="0"/>
        <v>12800</v>
      </c>
    </row>
    <row r="21" spans="1:10" x14ac:dyDescent="0.25">
      <c r="A21" s="1"/>
      <c r="B21" s="1">
        <v>196</v>
      </c>
      <c r="C21" s="3">
        <v>41927</v>
      </c>
      <c r="D21" s="25" t="s">
        <v>6</v>
      </c>
      <c r="E21" s="25" t="s">
        <v>30</v>
      </c>
      <c r="F21" s="37" t="s">
        <v>9</v>
      </c>
      <c r="G21" s="22">
        <v>6400</v>
      </c>
      <c r="H21" s="3"/>
      <c r="I21" s="19"/>
      <c r="J21" s="26">
        <f t="shared" si="0"/>
        <v>6400</v>
      </c>
    </row>
    <row r="22" spans="1:10" x14ac:dyDescent="0.25">
      <c r="A22" s="1"/>
      <c r="B22" s="1">
        <v>195</v>
      </c>
      <c r="C22" s="3">
        <v>41927</v>
      </c>
      <c r="D22" s="25" t="s">
        <v>6</v>
      </c>
      <c r="E22" s="25" t="s">
        <v>30</v>
      </c>
      <c r="F22" s="41" t="s">
        <v>25</v>
      </c>
      <c r="G22" s="22">
        <v>6400</v>
      </c>
      <c r="H22" s="3"/>
      <c r="I22" s="19"/>
      <c r="J22" s="26">
        <f t="shared" si="0"/>
        <v>6400</v>
      </c>
    </row>
    <row r="23" spans="1:10" ht="29.25" x14ac:dyDescent="0.25">
      <c r="A23" s="1"/>
      <c r="B23" s="1">
        <v>197</v>
      </c>
      <c r="C23" s="3">
        <v>41927</v>
      </c>
      <c r="D23" s="25" t="s">
        <v>6</v>
      </c>
      <c r="E23" s="25" t="s">
        <v>30</v>
      </c>
      <c r="F23" s="41" t="s">
        <v>96</v>
      </c>
      <c r="G23" s="22">
        <v>3200</v>
      </c>
      <c r="H23" s="3"/>
      <c r="I23" s="19"/>
      <c r="J23" s="26">
        <f t="shared" si="0"/>
        <v>3200</v>
      </c>
    </row>
    <row r="24" spans="1:10" x14ac:dyDescent="0.25">
      <c r="A24" s="1"/>
      <c r="B24" s="1">
        <v>194</v>
      </c>
      <c r="C24" s="3">
        <v>41927</v>
      </c>
      <c r="D24" s="25" t="s">
        <v>6</v>
      </c>
      <c r="E24" s="25" t="s">
        <v>30</v>
      </c>
      <c r="F24" s="37" t="s">
        <v>19</v>
      </c>
      <c r="G24" s="22">
        <v>63200</v>
      </c>
      <c r="H24" s="3"/>
      <c r="I24" s="19"/>
      <c r="J24" s="26">
        <f t="shared" si="0"/>
        <v>63200</v>
      </c>
    </row>
    <row r="25" spans="1:10" x14ac:dyDescent="0.25">
      <c r="A25" s="1"/>
      <c r="B25" s="1">
        <v>192</v>
      </c>
      <c r="C25" s="3">
        <v>41927</v>
      </c>
      <c r="D25" s="25" t="s">
        <v>6</v>
      </c>
      <c r="E25" s="25" t="s">
        <v>30</v>
      </c>
      <c r="F25" s="41" t="s">
        <v>95</v>
      </c>
      <c r="G25" s="22">
        <v>48000</v>
      </c>
      <c r="H25" s="3"/>
      <c r="I25" s="19"/>
      <c r="J25" s="26">
        <f t="shared" si="0"/>
        <v>48000</v>
      </c>
    </row>
    <row r="26" spans="1:10" x14ac:dyDescent="0.25">
      <c r="A26" s="1"/>
      <c r="B26" s="1">
        <v>193</v>
      </c>
      <c r="C26" s="3">
        <v>41927</v>
      </c>
      <c r="D26" s="25" t="s">
        <v>6</v>
      </c>
      <c r="E26" s="25" t="s">
        <v>30</v>
      </c>
      <c r="F26" s="41" t="s">
        <v>87</v>
      </c>
      <c r="G26" s="22">
        <v>36000</v>
      </c>
      <c r="H26" s="3"/>
      <c r="I26" s="19"/>
      <c r="J26" s="26">
        <f t="shared" si="0"/>
        <v>36000</v>
      </c>
    </row>
    <row r="27" spans="1:10" x14ac:dyDescent="0.25">
      <c r="A27" s="1"/>
      <c r="B27" s="1">
        <v>202</v>
      </c>
      <c r="C27" s="3">
        <v>41943</v>
      </c>
      <c r="D27" s="25" t="s">
        <v>6</v>
      </c>
      <c r="E27" s="25" t="s">
        <v>30</v>
      </c>
      <c r="F27" s="37" t="s">
        <v>9</v>
      </c>
      <c r="G27" s="22">
        <v>4000</v>
      </c>
      <c r="H27" s="3"/>
      <c r="I27" s="19"/>
      <c r="J27" s="26">
        <f t="shared" si="0"/>
        <v>4000</v>
      </c>
    </row>
    <row r="28" spans="1:10" x14ac:dyDescent="0.25">
      <c r="A28" s="1"/>
      <c r="B28" s="1">
        <v>203</v>
      </c>
      <c r="C28" s="3">
        <v>41943</v>
      </c>
      <c r="D28" s="25" t="s">
        <v>6</v>
      </c>
      <c r="E28" s="25" t="s">
        <v>30</v>
      </c>
      <c r="F28" s="37" t="s">
        <v>99</v>
      </c>
      <c r="G28" s="22">
        <v>4000</v>
      </c>
      <c r="H28" s="3"/>
      <c r="I28" s="19"/>
      <c r="J28" s="26">
        <f t="shared" si="0"/>
        <v>4000</v>
      </c>
    </row>
    <row r="29" spans="1:10" x14ac:dyDescent="0.25">
      <c r="A29" s="1"/>
      <c r="B29" s="1">
        <v>201</v>
      </c>
      <c r="C29" s="3">
        <v>41943</v>
      </c>
      <c r="D29" s="25" t="s">
        <v>6</v>
      </c>
      <c r="E29" s="25" t="s">
        <v>30</v>
      </c>
      <c r="F29" s="41" t="s">
        <v>82</v>
      </c>
      <c r="G29" s="22">
        <v>6400</v>
      </c>
      <c r="H29" s="3"/>
      <c r="I29" s="19"/>
      <c r="J29" s="26">
        <f t="shared" si="0"/>
        <v>6400</v>
      </c>
    </row>
    <row r="30" spans="1:10" x14ac:dyDescent="0.25">
      <c r="A30" s="1"/>
      <c r="B30" s="1">
        <v>200</v>
      </c>
      <c r="C30" s="3">
        <v>41943</v>
      </c>
      <c r="D30" s="25" t="s">
        <v>6</v>
      </c>
      <c r="E30" s="25" t="s">
        <v>30</v>
      </c>
      <c r="F30" s="41" t="s">
        <v>98</v>
      </c>
      <c r="G30" s="22">
        <v>12000</v>
      </c>
      <c r="H30" s="3"/>
      <c r="I30" s="19"/>
      <c r="J30" s="26">
        <f t="shared" si="0"/>
        <v>12000</v>
      </c>
    </row>
    <row r="31" spans="1:10" x14ac:dyDescent="0.25">
      <c r="A31" s="1"/>
      <c r="B31" s="1">
        <v>204</v>
      </c>
      <c r="C31" s="3">
        <v>41943</v>
      </c>
      <c r="D31" s="25" t="s">
        <v>6</v>
      </c>
      <c r="E31" s="25" t="s">
        <v>30</v>
      </c>
      <c r="F31" s="37" t="s">
        <v>19</v>
      </c>
      <c r="G31" s="22">
        <v>123200</v>
      </c>
      <c r="H31" s="3"/>
      <c r="I31" s="19"/>
      <c r="J31" s="26">
        <f t="shared" si="0"/>
        <v>123200</v>
      </c>
    </row>
    <row r="32" spans="1:10" x14ac:dyDescent="0.25">
      <c r="A32" s="1"/>
      <c r="B32" s="1">
        <v>88</v>
      </c>
      <c r="C32" s="3">
        <v>41926</v>
      </c>
      <c r="D32" s="1" t="s">
        <v>52</v>
      </c>
      <c r="E32" s="31" t="s">
        <v>24</v>
      </c>
      <c r="F32" s="37" t="s">
        <v>22</v>
      </c>
      <c r="G32" s="22">
        <v>11600</v>
      </c>
      <c r="H32" s="24"/>
      <c r="I32" s="15"/>
      <c r="J32" s="26">
        <f t="shared" si="0"/>
        <v>11600</v>
      </c>
    </row>
    <row r="33" spans="1:10" x14ac:dyDescent="0.25">
      <c r="A33" s="1"/>
      <c r="B33" s="1">
        <v>89</v>
      </c>
      <c r="C33" s="3">
        <v>41913</v>
      </c>
      <c r="D33" s="1" t="s">
        <v>52</v>
      </c>
      <c r="E33" s="31" t="s">
        <v>24</v>
      </c>
      <c r="F33" s="41" t="s">
        <v>95</v>
      </c>
      <c r="G33" s="22">
        <v>11600</v>
      </c>
      <c r="H33" s="24"/>
      <c r="I33" s="15"/>
      <c r="J33" s="26">
        <f t="shared" si="0"/>
        <v>11600</v>
      </c>
    </row>
    <row r="34" spans="1:10" x14ac:dyDescent="0.25">
      <c r="A34" s="1"/>
      <c r="B34" s="1">
        <v>90</v>
      </c>
      <c r="C34" s="3">
        <v>41919</v>
      </c>
      <c r="D34" s="1" t="s">
        <v>52</v>
      </c>
      <c r="E34" s="31" t="s">
        <v>24</v>
      </c>
      <c r="F34" s="37" t="s">
        <v>98</v>
      </c>
      <c r="G34" s="22">
        <v>47850</v>
      </c>
      <c r="H34" s="24"/>
      <c r="I34" s="15"/>
      <c r="J34" s="26">
        <f t="shared" si="0"/>
        <v>47850</v>
      </c>
    </row>
    <row r="35" spans="1:10" x14ac:dyDescent="0.25">
      <c r="A35" s="1"/>
      <c r="B35" s="1">
        <v>139</v>
      </c>
      <c r="C35" s="3">
        <v>41927</v>
      </c>
      <c r="D35" s="33" t="s">
        <v>68</v>
      </c>
      <c r="E35" s="1" t="s">
        <v>30</v>
      </c>
      <c r="F35" s="37" t="s">
        <v>9</v>
      </c>
      <c r="G35" s="22">
        <v>15520</v>
      </c>
      <c r="H35" s="3"/>
      <c r="I35" s="19"/>
      <c r="J35" s="26">
        <f>G35-I35</f>
        <v>15520</v>
      </c>
    </row>
    <row r="36" spans="1:10" x14ac:dyDescent="0.25">
      <c r="A36" s="1"/>
      <c r="B36" s="1">
        <v>10</v>
      </c>
      <c r="C36" s="3">
        <v>41928</v>
      </c>
      <c r="D36" s="33" t="s">
        <v>68</v>
      </c>
      <c r="E36" s="1" t="s">
        <v>30</v>
      </c>
      <c r="F36" s="37" t="s">
        <v>9</v>
      </c>
      <c r="G36" s="22">
        <v>80000</v>
      </c>
      <c r="H36" s="3"/>
      <c r="I36" s="19"/>
      <c r="J36" s="26">
        <f>G36-I36</f>
        <v>80000</v>
      </c>
    </row>
    <row r="37" spans="1:10" x14ac:dyDescent="0.25">
      <c r="A37" s="1"/>
      <c r="B37" s="1">
        <v>138</v>
      </c>
      <c r="C37" s="3">
        <v>41927</v>
      </c>
      <c r="D37" s="33" t="s">
        <v>68</v>
      </c>
      <c r="E37" s="1" t="s">
        <v>30</v>
      </c>
      <c r="F37" s="41"/>
      <c r="G37" s="22">
        <v>54320</v>
      </c>
      <c r="H37" s="3"/>
      <c r="I37" s="19"/>
      <c r="J37" s="26">
        <f>G37-I37</f>
        <v>54320</v>
      </c>
    </row>
    <row r="38" spans="1:10" x14ac:dyDescent="0.25">
      <c r="A38" s="1"/>
      <c r="B38" s="1"/>
      <c r="C38" s="3"/>
      <c r="D38" s="89" t="s">
        <v>68</v>
      </c>
      <c r="E38" s="15" t="s">
        <v>30</v>
      </c>
      <c r="F38" s="44" t="s">
        <v>9</v>
      </c>
      <c r="G38" s="16">
        <v>46560</v>
      </c>
      <c r="H38" s="24"/>
      <c r="I38" s="15"/>
      <c r="J38" s="90"/>
    </row>
    <row r="39" spans="1:10" x14ac:dyDescent="0.25">
      <c r="A39" s="1"/>
      <c r="B39" s="1"/>
      <c r="C39" s="3"/>
      <c r="D39" s="89" t="s">
        <v>68</v>
      </c>
      <c r="E39" s="15" t="s">
        <v>30</v>
      </c>
      <c r="F39" s="44" t="s">
        <v>23</v>
      </c>
      <c r="G39" s="16">
        <v>7760</v>
      </c>
      <c r="H39" s="24"/>
      <c r="I39" s="15"/>
      <c r="J39" s="90"/>
    </row>
    <row r="40" spans="1:10" x14ac:dyDescent="0.25">
      <c r="A40" s="1"/>
      <c r="B40" s="1">
        <v>131</v>
      </c>
      <c r="C40" s="3">
        <v>41927</v>
      </c>
      <c r="D40" s="33" t="s">
        <v>32</v>
      </c>
      <c r="E40" s="1" t="s">
        <v>131</v>
      </c>
      <c r="F40" s="37" t="s">
        <v>9</v>
      </c>
      <c r="G40" s="22">
        <v>12500</v>
      </c>
      <c r="H40" s="3"/>
      <c r="I40" s="19"/>
      <c r="J40" s="26">
        <f t="shared" ref="J40:J58" si="1">G40-I40</f>
        <v>12500</v>
      </c>
    </row>
    <row r="41" spans="1:10" x14ac:dyDescent="0.25">
      <c r="A41" s="1"/>
      <c r="B41" s="1">
        <v>435</v>
      </c>
      <c r="C41" s="3">
        <v>41923</v>
      </c>
      <c r="D41" s="33" t="s">
        <v>36</v>
      </c>
      <c r="E41" s="1" t="s">
        <v>60</v>
      </c>
      <c r="F41" s="37" t="s">
        <v>19</v>
      </c>
      <c r="G41" s="22">
        <v>21000</v>
      </c>
      <c r="H41" s="3"/>
      <c r="I41" s="19"/>
      <c r="J41" s="26">
        <f t="shared" si="1"/>
        <v>21000</v>
      </c>
    </row>
    <row r="42" spans="1:10" x14ac:dyDescent="0.25">
      <c r="A42" s="1"/>
      <c r="B42" s="1">
        <v>429</v>
      </c>
      <c r="C42" s="3">
        <v>41915</v>
      </c>
      <c r="D42" s="33" t="s">
        <v>36</v>
      </c>
      <c r="E42" s="1" t="s">
        <v>60</v>
      </c>
      <c r="F42" s="41" t="s">
        <v>88</v>
      </c>
      <c r="G42" s="22">
        <v>24000</v>
      </c>
      <c r="H42" s="3"/>
      <c r="I42" s="19"/>
      <c r="J42" s="26">
        <f t="shared" si="1"/>
        <v>24000</v>
      </c>
    </row>
    <row r="43" spans="1:10" x14ac:dyDescent="0.25">
      <c r="A43" s="1"/>
      <c r="B43" s="1">
        <v>433</v>
      </c>
      <c r="C43" s="3">
        <v>41922</v>
      </c>
      <c r="D43" s="33" t="s">
        <v>36</v>
      </c>
      <c r="E43" s="1" t="s">
        <v>128</v>
      </c>
      <c r="F43" s="37" t="s">
        <v>23</v>
      </c>
      <c r="G43" s="22">
        <v>11200</v>
      </c>
      <c r="H43" s="3"/>
      <c r="I43" s="19"/>
      <c r="J43" s="26">
        <f t="shared" si="1"/>
        <v>11200</v>
      </c>
    </row>
    <row r="44" spans="1:10" x14ac:dyDescent="0.25">
      <c r="A44" s="1"/>
      <c r="B44" s="1">
        <v>430</v>
      </c>
      <c r="C44" s="3">
        <v>41915</v>
      </c>
      <c r="D44" s="33" t="s">
        <v>36</v>
      </c>
      <c r="E44" s="1" t="s">
        <v>60</v>
      </c>
      <c r="F44" s="41" t="s">
        <v>25</v>
      </c>
      <c r="G44" s="22">
        <v>24000</v>
      </c>
      <c r="H44" s="3"/>
      <c r="I44" s="19"/>
      <c r="J44" s="26">
        <f t="shared" si="1"/>
        <v>24000</v>
      </c>
    </row>
    <row r="45" spans="1:10" x14ac:dyDescent="0.25">
      <c r="A45" s="1"/>
      <c r="B45" s="1">
        <v>431</v>
      </c>
      <c r="C45" s="3">
        <v>41919</v>
      </c>
      <c r="D45" s="33" t="s">
        <v>36</v>
      </c>
      <c r="E45" s="1" t="s">
        <v>129</v>
      </c>
      <c r="F45" s="37" t="s">
        <v>22</v>
      </c>
      <c r="G45" s="22">
        <v>56800</v>
      </c>
      <c r="H45" s="3"/>
      <c r="I45" s="19"/>
      <c r="J45" s="26">
        <f t="shared" si="1"/>
        <v>56800</v>
      </c>
    </row>
    <row r="46" spans="1:10" x14ac:dyDescent="0.25">
      <c r="A46" s="1"/>
      <c r="B46" s="1">
        <v>434</v>
      </c>
      <c r="C46" s="3">
        <v>41923</v>
      </c>
      <c r="D46" s="33" t="s">
        <v>36</v>
      </c>
      <c r="E46" s="1" t="s">
        <v>130</v>
      </c>
      <c r="F46" s="37" t="s">
        <v>9</v>
      </c>
      <c r="G46" s="22">
        <v>303550</v>
      </c>
      <c r="H46" s="3"/>
      <c r="I46" s="19"/>
      <c r="J46" s="26">
        <f t="shared" si="1"/>
        <v>303550</v>
      </c>
    </row>
    <row r="47" spans="1:10" x14ac:dyDescent="0.25">
      <c r="A47" s="1"/>
      <c r="B47" s="1">
        <v>432</v>
      </c>
      <c r="C47" s="3">
        <v>41921</v>
      </c>
      <c r="D47" s="33" t="s">
        <v>36</v>
      </c>
      <c r="E47" s="1" t="s">
        <v>73</v>
      </c>
      <c r="F47" s="40" t="s">
        <v>20</v>
      </c>
      <c r="G47" s="22">
        <v>12000</v>
      </c>
      <c r="H47" s="3"/>
      <c r="I47" s="19"/>
      <c r="J47" s="26">
        <f t="shared" si="1"/>
        <v>12000</v>
      </c>
    </row>
    <row r="48" spans="1:10" x14ac:dyDescent="0.25">
      <c r="A48" s="1"/>
      <c r="B48" s="1">
        <v>482</v>
      </c>
      <c r="C48" s="3">
        <v>41913</v>
      </c>
      <c r="D48" s="33" t="s">
        <v>36</v>
      </c>
      <c r="E48" s="1" t="s">
        <v>73</v>
      </c>
      <c r="F48" s="41" t="s">
        <v>25</v>
      </c>
      <c r="G48" s="22">
        <v>12000</v>
      </c>
      <c r="H48" s="3"/>
      <c r="I48" s="19"/>
      <c r="J48" s="26">
        <f t="shared" si="1"/>
        <v>12000</v>
      </c>
    </row>
    <row r="49" spans="1:10" x14ac:dyDescent="0.25">
      <c r="A49" s="1"/>
      <c r="B49" s="1">
        <v>474</v>
      </c>
      <c r="C49" s="3">
        <v>41928</v>
      </c>
      <c r="D49" s="33" t="s">
        <v>36</v>
      </c>
      <c r="E49" s="1" t="s">
        <v>73</v>
      </c>
      <c r="F49" s="41" t="s">
        <v>25</v>
      </c>
      <c r="G49" s="22">
        <v>36000</v>
      </c>
      <c r="H49" s="3"/>
      <c r="I49" s="19"/>
      <c r="J49" s="26">
        <f t="shared" si="1"/>
        <v>36000</v>
      </c>
    </row>
    <row r="50" spans="1:10" x14ac:dyDescent="0.25">
      <c r="A50" s="1"/>
      <c r="B50" s="1">
        <v>483</v>
      </c>
      <c r="C50" s="3">
        <v>41921</v>
      </c>
      <c r="D50" s="33" t="s">
        <v>36</v>
      </c>
      <c r="E50" s="1" t="s">
        <v>73</v>
      </c>
      <c r="F50" s="37" t="s">
        <v>19</v>
      </c>
      <c r="G50" s="22">
        <v>12000</v>
      </c>
      <c r="H50" s="3"/>
      <c r="I50" s="19"/>
      <c r="J50" s="26">
        <f t="shared" si="1"/>
        <v>12000</v>
      </c>
    </row>
    <row r="51" spans="1:10" x14ac:dyDescent="0.25">
      <c r="A51" s="1"/>
      <c r="B51" s="1">
        <v>475</v>
      </c>
      <c r="C51" s="3">
        <v>41932</v>
      </c>
      <c r="D51" s="33" t="s">
        <v>36</v>
      </c>
      <c r="E51" s="1" t="s">
        <v>73</v>
      </c>
      <c r="F51" s="41" t="s">
        <v>98</v>
      </c>
      <c r="G51" s="22">
        <v>6000</v>
      </c>
      <c r="H51" s="3"/>
      <c r="I51" s="19"/>
      <c r="J51" s="26">
        <f t="shared" si="1"/>
        <v>6000</v>
      </c>
    </row>
    <row r="52" spans="1:10" x14ac:dyDescent="0.25">
      <c r="A52" s="1"/>
      <c r="B52" s="1">
        <v>476</v>
      </c>
      <c r="C52" s="3">
        <v>41932</v>
      </c>
      <c r="D52" s="33" t="s">
        <v>36</v>
      </c>
      <c r="E52" s="1" t="s">
        <v>128</v>
      </c>
      <c r="F52" s="37" t="s">
        <v>99</v>
      </c>
      <c r="G52" s="22">
        <v>3500</v>
      </c>
      <c r="H52" s="3"/>
      <c r="I52" s="19"/>
      <c r="J52" s="26">
        <f t="shared" si="1"/>
        <v>3500</v>
      </c>
    </row>
    <row r="53" spans="1:10" x14ac:dyDescent="0.25">
      <c r="A53" s="1"/>
      <c r="B53" s="1">
        <v>477</v>
      </c>
      <c r="C53" s="3">
        <v>41936</v>
      </c>
      <c r="D53" s="33" t="s">
        <v>36</v>
      </c>
      <c r="E53" s="1" t="s">
        <v>128</v>
      </c>
      <c r="F53" s="41" t="s">
        <v>95</v>
      </c>
      <c r="G53" s="22">
        <v>5600</v>
      </c>
      <c r="H53" s="3"/>
      <c r="I53" s="19"/>
      <c r="J53" s="26">
        <f t="shared" si="1"/>
        <v>5600</v>
      </c>
    </row>
    <row r="54" spans="1:10" x14ac:dyDescent="0.25">
      <c r="A54" s="1"/>
      <c r="B54" s="1">
        <v>478</v>
      </c>
      <c r="C54" s="3">
        <v>41941</v>
      </c>
      <c r="D54" s="33" t="s">
        <v>36</v>
      </c>
      <c r="E54" s="1" t="s">
        <v>73</v>
      </c>
      <c r="F54" s="37" t="s">
        <v>19</v>
      </c>
      <c r="G54" s="22">
        <v>45000</v>
      </c>
      <c r="H54" s="3"/>
      <c r="I54" s="19"/>
      <c r="J54" s="26">
        <f t="shared" si="1"/>
        <v>45000</v>
      </c>
    </row>
    <row r="55" spans="1:10" x14ac:dyDescent="0.25">
      <c r="A55" s="1"/>
      <c r="B55" s="1">
        <v>479</v>
      </c>
      <c r="C55" s="3">
        <v>41941</v>
      </c>
      <c r="D55" s="33" t="s">
        <v>36</v>
      </c>
      <c r="E55" s="1" t="s">
        <v>128</v>
      </c>
      <c r="F55" s="41" t="s">
        <v>88</v>
      </c>
      <c r="G55" s="22">
        <v>5600</v>
      </c>
      <c r="H55" s="3"/>
      <c r="I55" s="19"/>
      <c r="J55" s="26">
        <f t="shared" si="1"/>
        <v>5600</v>
      </c>
    </row>
    <row r="56" spans="1:10" x14ac:dyDescent="0.25">
      <c r="A56" s="1"/>
      <c r="B56" s="1">
        <v>481</v>
      </c>
      <c r="C56" s="3">
        <v>41943</v>
      </c>
      <c r="D56" s="33" t="s">
        <v>36</v>
      </c>
      <c r="E56" s="1" t="s">
        <v>30</v>
      </c>
      <c r="F56" s="40" t="s">
        <v>9</v>
      </c>
      <c r="G56" s="22">
        <v>372800</v>
      </c>
      <c r="H56" s="3"/>
      <c r="I56" s="19"/>
      <c r="J56" s="26">
        <f t="shared" si="1"/>
        <v>372800</v>
      </c>
    </row>
    <row r="57" spans="1:10" x14ac:dyDescent="0.25">
      <c r="A57" s="1"/>
      <c r="B57" s="1">
        <v>480</v>
      </c>
      <c r="C57" s="3">
        <v>41943</v>
      </c>
      <c r="D57" s="33" t="s">
        <v>36</v>
      </c>
      <c r="E57" s="1" t="s">
        <v>30</v>
      </c>
      <c r="F57" s="37" t="s">
        <v>23</v>
      </c>
      <c r="G57" s="22">
        <v>93700</v>
      </c>
      <c r="H57" s="3"/>
      <c r="I57" s="19"/>
      <c r="J57" s="26">
        <f t="shared" si="1"/>
        <v>93700</v>
      </c>
    </row>
    <row r="58" spans="1:10" x14ac:dyDescent="0.25">
      <c r="A58" s="1"/>
      <c r="B58" s="1">
        <v>108</v>
      </c>
      <c r="C58" s="3">
        <v>41925</v>
      </c>
      <c r="D58" s="33" t="s">
        <v>15</v>
      </c>
      <c r="E58" s="1"/>
      <c r="F58" s="42"/>
      <c r="G58" s="22">
        <v>293308</v>
      </c>
      <c r="H58" s="3"/>
      <c r="I58" s="19"/>
      <c r="J58" s="26">
        <f t="shared" si="1"/>
        <v>293308</v>
      </c>
    </row>
    <row r="59" spans="1:10" x14ac:dyDescent="0.25">
      <c r="A59" s="1"/>
      <c r="B59" s="1"/>
      <c r="C59" s="3"/>
      <c r="D59" s="88" t="s">
        <v>15</v>
      </c>
      <c r="E59" s="15" t="s">
        <v>30</v>
      </c>
      <c r="F59" s="44" t="s">
        <v>23</v>
      </c>
      <c r="G59" s="16">
        <f>19728.81*1.18</f>
        <v>23279.995800000001</v>
      </c>
      <c r="H59" s="3"/>
      <c r="I59" s="19"/>
      <c r="J59" s="26"/>
    </row>
    <row r="60" spans="1:10" x14ac:dyDescent="0.25">
      <c r="A60" s="1"/>
      <c r="B60" s="1"/>
      <c r="C60" s="3"/>
      <c r="D60" s="88" t="s">
        <v>15</v>
      </c>
      <c r="E60" s="15" t="s">
        <v>30</v>
      </c>
      <c r="F60" s="42" t="s">
        <v>50</v>
      </c>
      <c r="G60" s="16">
        <f>6576.27*1.18</f>
        <v>7759.9985999999999</v>
      </c>
      <c r="H60" s="3"/>
      <c r="I60" s="19"/>
      <c r="J60" s="26"/>
    </row>
    <row r="61" spans="1:10" x14ac:dyDescent="0.25">
      <c r="A61" s="1"/>
      <c r="B61" s="1"/>
      <c r="C61" s="3"/>
      <c r="D61" s="88" t="s">
        <v>15</v>
      </c>
      <c r="E61" s="15" t="s">
        <v>30</v>
      </c>
      <c r="F61" s="44" t="s">
        <v>20</v>
      </c>
      <c r="G61" s="16">
        <f>32881.36*1.18</f>
        <v>38800.004799999995</v>
      </c>
      <c r="H61" s="3"/>
      <c r="I61" s="19"/>
      <c r="J61" s="26"/>
    </row>
    <row r="62" spans="1:10" x14ac:dyDescent="0.25">
      <c r="A62" s="1"/>
      <c r="B62" s="1"/>
      <c r="C62" s="3"/>
      <c r="D62" s="88" t="s">
        <v>15</v>
      </c>
      <c r="E62" s="15" t="s">
        <v>30</v>
      </c>
      <c r="F62" s="44" t="s">
        <v>9</v>
      </c>
      <c r="G62" s="16">
        <f>103576.27*1.18</f>
        <v>122219.99859999999</v>
      </c>
      <c r="H62" s="3"/>
      <c r="I62" s="19"/>
      <c r="J62" s="26"/>
    </row>
    <row r="63" spans="1:10" x14ac:dyDescent="0.25">
      <c r="A63" s="1"/>
      <c r="B63" s="1"/>
      <c r="C63" s="3"/>
      <c r="D63" s="88" t="s">
        <v>15</v>
      </c>
      <c r="E63" s="15" t="s">
        <v>30</v>
      </c>
      <c r="F63" s="44" t="s">
        <v>9</v>
      </c>
      <c r="G63" s="16">
        <f>7796.61*1.18</f>
        <v>9199.9997999999996</v>
      </c>
      <c r="H63" s="3"/>
      <c r="I63" s="19"/>
      <c r="J63" s="26"/>
    </row>
    <row r="64" spans="1:10" x14ac:dyDescent="0.25">
      <c r="A64" s="1"/>
      <c r="B64" s="1"/>
      <c r="C64" s="3"/>
      <c r="D64" s="88" t="s">
        <v>15</v>
      </c>
      <c r="E64" s="15" t="s">
        <v>30</v>
      </c>
      <c r="F64" s="44" t="s">
        <v>9</v>
      </c>
      <c r="G64" s="16">
        <f>2650.85*1.18</f>
        <v>3128.0029999999997</v>
      </c>
      <c r="H64" s="3"/>
      <c r="I64" s="19"/>
      <c r="J64" s="26"/>
    </row>
    <row r="65" spans="1:10" x14ac:dyDescent="0.25">
      <c r="A65" s="1"/>
      <c r="B65" s="1"/>
      <c r="C65" s="3"/>
      <c r="D65" s="88" t="s">
        <v>15</v>
      </c>
      <c r="E65" s="15" t="s">
        <v>30</v>
      </c>
      <c r="F65" s="44" t="s">
        <v>19</v>
      </c>
      <c r="G65" s="16">
        <f>5301.69*1.18+0.01</f>
        <v>6256.0041999999994</v>
      </c>
      <c r="H65" s="3"/>
      <c r="I65" s="19"/>
      <c r="J65" s="26"/>
    </row>
    <row r="66" spans="1:10" x14ac:dyDescent="0.25">
      <c r="A66" s="1"/>
      <c r="B66" s="1"/>
      <c r="C66" s="3"/>
      <c r="D66" s="88" t="s">
        <v>15</v>
      </c>
      <c r="E66" s="15" t="s">
        <v>30</v>
      </c>
      <c r="F66" s="44" t="s">
        <v>48</v>
      </c>
      <c r="G66" s="16">
        <f>10603.39*1.18</f>
        <v>12512.000199999999</v>
      </c>
      <c r="H66" s="3"/>
      <c r="I66" s="19"/>
      <c r="J66" s="26"/>
    </row>
    <row r="67" spans="1:10" x14ac:dyDescent="0.25">
      <c r="A67" s="1"/>
      <c r="B67" s="1"/>
      <c r="C67" s="3"/>
      <c r="D67" s="88" t="s">
        <v>15</v>
      </c>
      <c r="E67" s="15" t="s">
        <v>30</v>
      </c>
      <c r="F67" s="42" t="s">
        <v>95</v>
      </c>
      <c r="G67" s="16">
        <f>23857.63*1.18</f>
        <v>28152.003400000001</v>
      </c>
      <c r="H67" s="3"/>
      <c r="I67" s="19"/>
      <c r="J67" s="26"/>
    </row>
    <row r="68" spans="1:10" x14ac:dyDescent="0.25">
      <c r="A68" s="1"/>
      <c r="B68" s="1"/>
      <c r="C68" s="3"/>
      <c r="D68" s="88" t="s">
        <v>15</v>
      </c>
      <c r="E68" s="15" t="s">
        <v>30</v>
      </c>
      <c r="F68" s="44" t="s">
        <v>98</v>
      </c>
      <c r="G68" s="16">
        <f>5932.2*1.18</f>
        <v>6999.9959999999992</v>
      </c>
      <c r="H68" s="3"/>
      <c r="I68" s="19"/>
      <c r="J68" s="26"/>
    </row>
    <row r="69" spans="1:10" x14ac:dyDescent="0.25">
      <c r="A69" s="1"/>
      <c r="B69" s="1"/>
      <c r="C69" s="3"/>
      <c r="D69" s="88" t="s">
        <v>15</v>
      </c>
      <c r="E69" s="15" t="s">
        <v>30</v>
      </c>
      <c r="F69" s="44" t="s">
        <v>23</v>
      </c>
      <c r="G69" s="16">
        <f>5932.2*1.18</f>
        <v>6999.9959999999992</v>
      </c>
      <c r="H69" s="3"/>
      <c r="I69" s="19"/>
      <c r="J69" s="26"/>
    </row>
    <row r="70" spans="1:10" x14ac:dyDescent="0.25">
      <c r="A70" s="1"/>
      <c r="B70" s="1"/>
      <c r="C70" s="3"/>
      <c r="D70" s="88" t="s">
        <v>15</v>
      </c>
      <c r="E70" s="15" t="s">
        <v>30</v>
      </c>
      <c r="F70" s="44" t="s">
        <v>82</v>
      </c>
      <c r="G70" s="16">
        <f>5932.2*1.18</f>
        <v>6999.9959999999992</v>
      </c>
      <c r="H70" s="3"/>
      <c r="I70" s="19"/>
      <c r="J70" s="26"/>
    </row>
    <row r="71" spans="1:10" x14ac:dyDescent="0.25">
      <c r="A71" s="1"/>
      <c r="B71" s="1"/>
      <c r="C71" s="3"/>
      <c r="D71" s="88" t="s">
        <v>15</v>
      </c>
      <c r="E71" s="15" t="s">
        <v>30</v>
      </c>
      <c r="F71" s="44" t="s">
        <v>9</v>
      </c>
      <c r="G71" s="16">
        <f>17796.61*1.18</f>
        <v>20999.999799999998</v>
      </c>
      <c r="H71" s="3"/>
      <c r="I71" s="19"/>
      <c r="J71" s="26"/>
    </row>
    <row r="72" spans="1:10" x14ac:dyDescent="0.25">
      <c r="A72" s="1"/>
      <c r="B72" s="1">
        <v>107</v>
      </c>
      <c r="C72" s="3">
        <v>41925</v>
      </c>
      <c r="D72" s="33" t="s">
        <v>15</v>
      </c>
      <c r="E72" s="19" t="s">
        <v>30</v>
      </c>
      <c r="F72" s="37" t="s">
        <v>99</v>
      </c>
      <c r="G72" s="22">
        <v>14760</v>
      </c>
      <c r="H72" s="3"/>
      <c r="I72" s="19"/>
      <c r="J72" s="26">
        <f t="shared" ref="J72:J73" si="2">G72-I72</f>
        <v>14760</v>
      </c>
    </row>
    <row r="73" spans="1:10" x14ac:dyDescent="0.25">
      <c r="A73" s="1"/>
      <c r="B73" s="1">
        <v>79</v>
      </c>
      <c r="C73" s="3">
        <v>41930</v>
      </c>
      <c r="D73" s="1" t="s">
        <v>108</v>
      </c>
      <c r="E73" s="19" t="s">
        <v>30</v>
      </c>
      <c r="F73" s="44"/>
      <c r="G73" s="22">
        <v>119800</v>
      </c>
      <c r="H73" s="3"/>
      <c r="I73" s="19"/>
      <c r="J73" s="26">
        <f t="shared" si="2"/>
        <v>119800</v>
      </c>
    </row>
    <row r="74" spans="1:10" x14ac:dyDescent="0.25">
      <c r="A74" s="1"/>
      <c r="B74" s="1"/>
      <c r="C74" s="3"/>
      <c r="D74" s="15" t="s">
        <v>108</v>
      </c>
      <c r="E74" s="15" t="s">
        <v>132</v>
      </c>
      <c r="F74" s="44" t="s">
        <v>9</v>
      </c>
      <c r="G74" s="16">
        <v>6000</v>
      </c>
      <c r="H74" s="3"/>
      <c r="I74" s="19"/>
      <c r="J74" s="26"/>
    </row>
    <row r="75" spans="1:10" x14ac:dyDescent="0.25">
      <c r="A75" s="1"/>
      <c r="B75" s="1"/>
      <c r="C75" s="3"/>
      <c r="D75" s="15" t="s">
        <v>108</v>
      </c>
      <c r="E75" s="15" t="s">
        <v>40</v>
      </c>
      <c r="F75" s="44" t="s">
        <v>9</v>
      </c>
      <c r="G75" s="16">
        <v>14000</v>
      </c>
      <c r="H75" s="3"/>
      <c r="I75" s="19"/>
      <c r="J75" s="26"/>
    </row>
    <row r="76" spans="1:10" x14ac:dyDescent="0.25">
      <c r="A76" s="1"/>
      <c r="B76" s="1"/>
      <c r="C76" s="3"/>
      <c r="D76" s="15" t="s">
        <v>108</v>
      </c>
      <c r="E76" s="15" t="s">
        <v>40</v>
      </c>
      <c r="F76" s="44" t="s">
        <v>23</v>
      </c>
      <c r="G76" s="16">
        <v>7000</v>
      </c>
      <c r="H76" s="3"/>
      <c r="I76" s="19"/>
      <c r="J76" s="26"/>
    </row>
    <row r="77" spans="1:10" x14ac:dyDescent="0.25">
      <c r="A77" s="1"/>
      <c r="B77" s="1"/>
      <c r="C77" s="3"/>
      <c r="D77" s="15" t="s">
        <v>108</v>
      </c>
      <c r="E77" s="15" t="s">
        <v>73</v>
      </c>
      <c r="F77" s="42" t="s">
        <v>50</v>
      </c>
      <c r="G77" s="16">
        <v>11600</v>
      </c>
      <c r="H77" s="3"/>
      <c r="I77" s="19"/>
      <c r="J77" s="26"/>
    </row>
    <row r="78" spans="1:10" x14ac:dyDescent="0.25">
      <c r="A78" s="1"/>
      <c r="B78" s="1"/>
      <c r="C78" s="3"/>
      <c r="D78" s="15" t="s">
        <v>108</v>
      </c>
      <c r="E78" s="15" t="s">
        <v>73</v>
      </c>
      <c r="F78" s="44" t="s">
        <v>98</v>
      </c>
      <c r="G78" s="16">
        <v>11600</v>
      </c>
      <c r="H78" s="3"/>
      <c r="I78" s="19"/>
      <c r="J78" s="26"/>
    </row>
    <row r="79" spans="1:10" x14ac:dyDescent="0.25">
      <c r="A79" s="1"/>
      <c r="B79" s="1"/>
      <c r="C79" s="3"/>
      <c r="D79" s="15" t="s">
        <v>108</v>
      </c>
      <c r="E79" s="15" t="s">
        <v>73</v>
      </c>
      <c r="F79" s="42" t="s">
        <v>95</v>
      </c>
      <c r="G79" s="16">
        <v>11600</v>
      </c>
      <c r="H79" s="3"/>
      <c r="I79" s="19"/>
      <c r="J79" s="26"/>
    </row>
    <row r="80" spans="1:10" x14ac:dyDescent="0.25">
      <c r="A80" s="1"/>
      <c r="B80" s="1"/>
      <c r="C80" s="3"/>
      <c r="D80" s="15" t="s">
        <v>108</v>
      </c>
      <c r="E80" s="15" t="s">
        <v>73</v>
      </c>
      <c r="F80" s="44" t="s">
        <v>23</v>
      </c>
      <c r="G80" s="16">
        <v>23200</v>
      </c>
      <c r="H80" s="3"/>
      <c r="I80" s="19"/>
      <c r="J80" s="26"/>
    </row>
    <row r="81" spans="1:10" x14ac:dyDescent="0.25">
      <c r="A81" s="1"/>
      <c r="B81" s="1"/>
      <c r="C81" s="3"/>
      <c r="D81" s="15" t="s">
        <v>108</v>
      </c>
      <c r="E81" s="15" t="s">
        <v>73</v>
      </c>
      <c r="F81" s="42" t="s">
        <v>87</v>
      </c>
      <c r="G81" s="16">
        <v>23200</v>
      </c>
      <c r="H81" s="3"/>
      <c r="I81" s="19"/>
      <c r="J81" s="26"/>
    </row>
    <row r="82" spans="1:10" x14ac:dyDescent="0.25">
      <c r="A82" s="1"/>
      <c r="B82" s="1"/>
      <c r="C82" s="3"/>
      <c r="D82" s="15" t="s">
        <v>108</v>
      </c>
      <c r="E82" s="15" t="s">
        <v>73</v>
      </c>
      <c r="F82" s="44" t="s">
        <v>82</v>
      </c>
      <c r="G82" s="16">
        <v>11600</v>
      </c>
      <c r="H82" s="3"/>
      <c r="I82" s="19"/>
      <c r="J82" s="26"/>
    </row>
    <row r="83" spans="1:10" x14ac:dyDescent="0.25">
      <c r="A83" s="1"/>
      <c r="B83" s="1">
        <v>77</v>
      </c>
      <c r="C83" s="3">
        <v>41927</v>
      </c>
      <c r="D83" s="1" t="s">
        <v>108</v>
      </c>
      <c r="E83" s="19" t="s">
        <v>40</v>
      </c>
      <c r="F83" s="37" t="s">
        <v>99</v>
      </c>
      <c r="G83" s="22">
        <v>7000</v>
      </c>
      <c r="H83" s="3"/>
      <c r="I83" s="19"/>
      <c r="J83" s="26">
        <f t="shared" ref="J83:J92" si="3">G83-I83</f>
        <v>7000</v>
      </c>
    </row>
    <row r="84" spans="1:10" x14ac:dyDescent="0.25">
      <c r="A84" s="1"/>
      <c r="B84" s="1">
        <v>76</v>
      </c>
      <c r="C84" s="3">
        <v>41927</v>
      </c>
      <c r="D84" s="1" t="s">
        <v>108</v>
      </c>
      <c r="E84" s="19" t="s">
        <v>132</v>
      </c>
      <c r="F84" s="37" t="s">
        <v>19</v>
      </c>
      <c r="G84" s="22">
        <v>8000</v>
      </c>
      <c r="H84" s="3"/>
      <c r="I84" s="19"/>
      <c r="J84" s="26">
        <f t="shared" si="3"/>
        <v>8000</v>
      </c>
    </row>
    <row r="85" spans="1:10" x14ac:dyDescent="0.25">
      <c r="A85" s="1"/>
      <c r="B85" s="1">
        <v>178</v>
      </c>
      <c r="C85" s="3">
        <v>41929</v>
      </c>
      <c r="D85" s="25" t="s">
        <v>47</v>
      </c>
      <c r="E85" s="19" t="s">
        <v>24</v>
      </c>
      <c r="F85" s="41" t="s">
        <v>95</v>
      </c>
      <c r="G85" s="22">
        <v>137280</v>
      </c>
      <c r="H85" s="3"/>
      <c r="I85" s="19"/>
      <c r="J85" s="26">
        <f t="shared" si="3"/>
        <v>137280</v>
      </c>
    </row>
    <row r="86" spans="1:10" x14ac:dyDescent="0.25">
      <c r="A86" s="1"/>
      <c r="B86" s="1">
        <v>179</v>
      </c>
      <c r="C86" s="3">
        <v>41929</v>
      </c>
      <c r="D86" s="25" t="s">
        <v>47</v>
      </c>
      <c r="E86" s="19" t="s">
        <v>24</v>
      </c>
      <c r="F86" s="41" t="s">
        <v>88</v>
      </c>
      <c r="G86" s="22">
        <v>11440</v>
      </c>
      <c r="H86" s="3"/>
      <c r="I86" s="19"/>
      <c r="J86" s="26">
        <f t="shared" si="3"/>
        <v>11440</v>
      </c>
    </row>
    <row r="87" spans="1:10" x14ac:dyDescent="0.25">
      <c r="A87" s="1"/>
      <c r="B87" s="1">
        <v>177</v>
      </c>
      <c r="C87" s="3">
        <v>41929</v>
      </c>
      <c r="D87" s="25" t="s">
        <v>47</v>
      </c>
      <c r="E87" s="19" t="s">
        <v>24</v>
      </c>
      <c r="F87" s="37" t="s">
        <v>9</v>
      </c>
      <c r="G87" s="22">
        <v>187450</v>
      </c>
      <c r="H87" s="3"/>
      <c r="I87" s="19"/>
      <c r="J87" s="26">
        <f t="shared" si="3"/>
        <v>187450</v>
      </c>
    </row>
    <row r="88" spans="1:10" x14ac:dyDescent="0.25">
      <c r="A88" s="1"/>
      <c r="B88" s="1">
        <v>186</v>
      </c>
      <c r="C88" s="3">
        <v>41943</v>
      </c>
      <c r="D88" s="25" t="s">
        <v>47</v>
      </c>
      <c r="E88" s="19" t="s">
        <v>30</v>
      </c>
      <c r="F88" s="41" t="s">
        <v>98</v>
      </c>
      <c r="G88" s="22">
        <v>8000</v>
      </c>
      <c r="H88" s="3"/>
      <c r="I88" s="19"/>
      <c r="J88" s="26">
        <f t="shared" si="3"/>
        <v>8000</v>
      </c>
    </row>
    <row r="89" spans="1:10" x14ac:dyDescent="0.25">
      <c r="A89" s="1"/>
      <c r="B89" s="1">
        <v>185</v>
      </c>
      <c r="C89" s="3">
        <v>41943</v>
      </c>
      <c r="D89" s="25" t="s">
        <v>47</v>
      </c>
      <c r="E89" s="19" t="s">
        <v>41</v>
      </c>
      <c r="F89" s="41" t="s">
        <v>87</v>
      </c>
      <c r="G89" s="22">
        <v>68640</v>
      </c>
      <c r="H89" s="3"/>
      <c r="I89" s="19"/>
      <c r="J89" s="26">
        <f t="shared" si="3"/>
        <v>68640</v>
      </c>
    </row>
    <row r="90" spans="1:10" x14ac:dyDescent="0.25">
      <c r="A90" s="1"/>
      <c r="B90" s="1">
        <v>184</v>
      </c>
      <c r="C90" s="3">
        <v>41943</v>
      </c>
      <c r="D90" s="25" t="s">
        <v>47</v>
      </c>
      <c r="E90" s="19" t="s">
        <v>60</v>
      </c>
      <c r="F90" s="40" t="s">
        <v>20</v>
      </c>
      <c r="G90" s="22">
        <v>45760</v>
      </c>
      <c r="H90" s="3"/>
      <c r="I90" s="19"/>
      <c r="J90" s="26">
        <f t="shared" si="3"/>
        <v>45760</v>
      </c>
    </row>
    <row r="91" spans="1:10" x14ac:dyDescent="0.25">
      <c r="A91" s="1"/>
      <c r="B91" s="1">
        <v>183</v>
      </c>
      <c r="C91" s="3">
        <v>41943</v>
      </c>
      <c r="D91" s="25" t="s">
        <v>47</v>
      </c>
      <c r="E91" s="19" t="s">
        <v>24</v>
      </c>
      <c r="F91" s="41" t="s">
        <v>95</v>
      </c>
      <c r="G91" s="22">
        <v>57200</v>
      </c>
      <c r="H91" s="3"/>
      <c r="I91" s="19"/>
      <c r="J91" s="26">
        <f t="shared" si="3"/>
        <v>57200</v>
      </c>
    </row>
    <row r="92" spans="1:10" x14ac:dyDescent="0.25">
      <c r="A92" s="1"/>
      <c r="B92" s="1">
        <v>34</v>
      </c>
      <c r="C92" s="3">
        <v>41928</v>
      </c>
      <c r="D92" s="1" t="s">
        <v>34</v>
      </c>
      <c r="E92" s="19" t="s">
        <v>30</v>
      </c>
      <c r="F92" s="37"/>
      <c r="G92" s="22">
        <v>109600</v>
      </c>
      <c r="H92" s="21"/>
      <c r="I92" s="19"/>
      <c r="J92" s="26">
        <f t="shared" si="3"/>
        <v>109600</v>
      </c>
    </row>
    <row r="93" spans="1:10" x14ac:dyDescent="0.25">
      <c r="A93" s="1"/>
      <c r="B93" s="1"/>
      <c r="C93" s="3"/>
      <c r="D93" s="15" t="s">
        <v>34</v>
      </c>
      <c r="E93" s="15" t="s">
        <v>30</v>
      </c>
      <c r="F93" s="42" t="s">
        <v>87</v>
      </c>
      <c r="G93" s="16">
        <v>21600</v>
      </c>
      <c r="H93" s="21"/>
      <c r="I93" s="19"/>
      <c r="J93" s="26"/>
    </row>
    <row r="94" spans="1:10" x14ac:dyDescent="0.25">
      <c r="A94" s="1"/>
      <c r="B94" s="1"/>
      <c r="C94" s="3"/>
      <c r="D94" s="15" t="s">
        <v>34</v>
      </c>
      <c r="E94" s="15" t="s">
        <v>30</v>
      </c>
      <c r="F94" s="42" t="s">
        <v>87</v>
      </c>
      <c r="G94" s="16">
        <v>12000</v>
      </c>
      <c r="H94" s="21"/>
      <c r="I94" s="19"/>
      <c r="J94" s="26"/>
    </row>
    <row r="95" spans="1:10" x14ac:dyDescent="0.25">
      <c r="A95" s="1"/>
      <c r="B95" s="1"/>
      <c r="C95" s="3"/>
      <c r="D95" s="15" t="s">
        <v>34</v>
      </c>
      <c r="E95" s="15" t="s">
        <v>30</v>
      </c>
      <c r="F95" s="42" t="s">
        <v>95</v>
      </c>
      <c r="G95" s="16">
        <v>36000</v>
      </c>
      <c r="H95" s="21"/>
      <c r="I95" s="19"/>
      <c r="J95" s="26"/>
    </row>
    <row r="96" spans="1:10" x14ac:dyDescent="0.25">
      <c r="A96" s="1"/>
      <c r="B96" s="1"/>
      <c r="C96" s="3"/>
      <c r="D96" s="15" t="s">
        <v>34</v>
      </c>
      <c r="E96" s="15" t="s">
        <v>30</v>
      </c>
      <c r="F96" s="44" t="s">
        <v>19</v>
      </c>
      <c r="G96" s="16">
        <v>40000</v>
      </c>
      <c r="H96" s="21"/>
      <c r="I96" s="19"/>
      <c r="J96" s="26"/>
    </row>
    <row r="97" spans="1:10" x14ac:dyDescent="0.25">
      <c r="A97" s="1"/>
      <c r="B97" s="1">
        <v>262</v>
      </c>
      <c r="C97" s="3">
        <v>41922</v>
      </c>
      <c r="D97" s="1" t="s">
        <v>16</v>
      </c>
      <c r="E97" s="19"/>
      <c r="F97" s="37"/>
      <c r="G97" s="22">
        <v>34799.99</v>
      </c>
      <c r="H97" s="21"/>
      <c r="I97" s="19"/>
      <c r="J97" s="26">
        <f t="shared" ref="J97:J101" si="4">G97-I97</f>
        <v>34799.99</v>
      </c>
    </row>
    <row r="98" spans="1:10" x14ac:dyDescent="0.25">
      <c r="A98" s="1"/>
      <c r="B98" s="1"/>
      <c r="C98" s="3"/>
      <c r="D98" s="15" t="s">
        <v>16</v>
      </c>
      <c r="E98" s="15" t="s">
        <v>133</v>
      </c>
      <c r="F98" s="44" t="s">
        <v>22</v>
      </c>
      <c r="G98" s="16">
        <f>17966.08*1.18</f>
        <v>21199.974399999999</v>
      </c>
      <c r="H98" s="21"/>
      <c r="I98" s="19"/>
      <c r="J98" s="26"/>
    </row>
    <row r="99" spans="1:10" x14ac:dyDescent="0.25">
      <c r="A99" s="1"/>
      <c r="B99" s="1"/>
      <c r="C99" s="3"/>
      <c r="D99" s="15" t="s">
        <v>16</v>
      </c>
      <c r="E99" s="15" t="s">
        <v>60</v>
      </c>
      <c r="F99" s="44" t="s">
        <v>82</v>
      </c>
      <c r="G99" s="16">
        <f>11525.44*1.18</f>
        <v>13600.019200000001</v>
      </c>
      <c r="H99" s="21"/>
      <c r="I99" s="19"/>
      <c r="J99" s="26"/>
    </row>
    <row r="100" spans="1:10" x14ac:dyDescent="0.25">
      <c r="A100" s="1"/>
      <c r="B100" s="1">
        <v>98</v>
      </c>
      <c r="C100" s="3">
        <v>41943</v>
      </c>
      <c r="D100" s="1" t="s">
        <v>85</v>
      </c>
      <c r="E100" s="1" t="s">
        <v>30</v>
      </c>
      <c r="F100" s="37" t="s">
        <v>99</v>
      </c>
      <c r="G100" s="22">
        <v>4000</v>
      </c>
      <c r="H100" s="21"/>
      <c r="I100" s="19"/>
      <c r="J100" s="26">
        <f t="shared" si="4"/>
        <v>4000</v>
      </c>
    </row>
    <row r="101" spans="1:10" x14ac:dyDescent="0.25">
      <c r="A101" s="1"/>
      <c r="B101" s="1">
        <v>90</v>
      </c>
      <c r="C101" s="3">
        <v>41927</v>
      </c>
      <c r="D101" s="1" t="s">
        <v>85</v>
      </c>
      <c r="E101" s="1" t="s">
        <v>30</v>
      </c>
      <c r="F101" s="37"/>
      <c r="G101" s="22">
        <v>305556</v>
      </c>
      <c r="H101" s="21"/>
      <c r="I101" s="19"/>
      <c r="J101" s="26">
        <f t="shared" si="4"/>
        <v>305556</v>
      </c>
    </row>
    <row r="102" spans="1:10" x14ac:dyDescent="0.25">
      <c r="A102" s="1"/>
      <c r="B102" s="1"/>
      <c r="C102" s="3"/>
      <c r="D102" s="15" t="s">
        <v>85</v>
      </c>
      <c r="E102" s="15" t="s">
        <v>26</v>
      </c>
      <c r="F102" s="44" t="s">
        <v>9</v>
      </c>
      <c r="G102" s="16">
        <f>1.18*73644.07</f>
        <v>86900.002600000007</v>
      </c>
      <c r="H102" s="21"/>
      <c r="I102" s="19"/>
      <c r="J102" s="26"/>
    </row>
    <row r="103" spans="1:10" x14ac:dyDescent="0.25">
      <c r="A103" s="1"/>
      <c r="B103" s="1"/>
      <c r="C103" s="3"/>
      <c r="D103" s="15" t="s">
        <v>85</v>
      </c>
      <c r="E103" s="15" t="s">
        <v>26</v>
      </c>
      <c r="F103" s="44" t="s">
        <v>9</v>
      </c>
      <c r="G103" s="16">
        <f>1.18*6525.42</f>
        <v>7699.9955999999993</v>
      </c>
      <c r="H103" s="21"/>
      <c r="I103" s="19"/>
      <c r="J103" s="26"/>
    </row>
    <row r="104" spans="1:10" x14ac:dyDescent="0.25">
      <c r="A104" s="1"/>
      <c r="B104" s="1"/>
      <c r="C104" s="3"/>
      <c r="D104" s="15" t="s">
        <v>85</v>
      </c>
      <c r="E104" s="15" t="s">
        <v>61</v>
      </c>
      <c r="F104" s="44" t="s">
        <v>22</v>
      </c>
      <c r="G104" s="16">
        <f>1.18*19200</f>
        <v>22656</v>
      </c>
      <c r="H104" s="21"/>
      <c r="I104" s="19"/>
      <c r="J104" s="26"/>
    </row>
    <row r="105" spans="1:10" x14ac:dyDescent="0.25">
      <c r="A105" s="1"/>
      <c r="B105" s="1"/>
      <c r="C105" s="3"/>
      <c r="D105" s="15" t="s">
        <v>85</v>
      </c>
      <c r="E105" s="15" t="s">
        <v>60</v>
      </c>
      <c r="F105" s="44" t="s">
        <v>9</v>
      </c>
      <c r="G105" s="16">
        <f>1.18*45762.71</f>
        <v>53999.997799999997</v>
      </c>
      <c r="H105" s="21"/>
      <c r="I105" s="19"/>
      <c r="J105" s="26"/>
    </row>
    <row r="106" spans="1:10" x14ac:dyDescent="0.25">
      <c r="A106" s="1"/>
      <c r="B106" s="1"/>
      <c r="C106" s="3"/>
      <c r="D106" s="15" t="s">
        <v>85</v>
      </c>
      <c r="E106" s="15" t="s">
        <v>60</v>
      </c>
      <c r="F106" s="44" t="s">
        <v>82</v>
      </c>
      <c r="G106" s="16">
        <f>1.18*11440.68</f>
        <v>13500.002399999999</v>
      </c>
      <c r="H106" s="21"/>
      <c r="I106" s="19"/>
      <c r="J106" s="26"/>
    </row>
    <row r="107" spans="1:10" x14ac:dyDescent="0.25">
      <c r="A107" s="1"/>
      <c r="B107" s="1"/>
      <c r="C107" s="3"/>
      <c r="D107" s="15" t="s">
        <v>85</v>
      </c>
      <c r="E107" s="15" t="s">
        <v>24</v>
      </c>
      <c r="F107" s="44" t="s">
        <v>88</v>
      </c>
      <c r="G107" s="16">
        <f>1.18*17627.12</f>
        <v>20800.001599999996</v>
      </c>
      <c r="H107" s="21"/>
      <c r="I107" s="19"/>
      <c r="J107" s="26"/>
    </row>
    <row r="108" spans="1:10" x14ac:dyDescent="0.25">
      <c r="A108" s="1"/>
      <c r="B108" s="1"/>
      <c r="C108" s="3"/>
      <c r="D108" s="15" t="s">
        <v>85</v>
      </c>
      <c r="E108" s="15" t="s">
        <v>30</v>
      </c>
      <c r="F108" s="44" t="s">
        <v>23</v>
      </c>
      <c r="G108" s="16">
        <f>1.18*4745.76</f>
        <v>5599.9967999999999</v>
      </c>
      <c r="H108" s="21"/>
      <c r="I108" s="19"/>
      <c r="J108" s="26"/>
    </row>
    <row r="109" spans="1:10" x14ac:dyDescent="0.25">
      <c r="A109" s="1"/>
      <c r="B109" s="1"/>
      <c r="C109" s="3"/>
      <c r="D109" s="15" t="s">
        <v>85</v>
      </c>
      <c r="E109" s="15" t="s">
        <v>30</v>
      </c>
      <c r="F109" s="44" t="s">
        <v>9</v>
      </c>
      <c r="G109" s="16">
        <f>1.18*6779.66</f>
        <v>7999.9987999999994</v>
      </c>
      <c r="H109" s="21"/>
      <c r="I109" s="19"/>
      <c r="J109" s="26"/>
    </row>
    <row r="110" spans="1:10" x14ac:dyDescent="0.25">
      <c r="A110" s="1"/>
      <c r="B110" s="1"/>
      <c r="C110" s="3"/>
      <c r="D110" s="15" t="s">
        <v>85</v>
      </c>
      <c r="E110" s="15" t="s">
        <v>30</v>
      </c>
      <c r="F110" s="44" t="s">
        <v>9</v>
      </c>
      <c r="G110" s="16">
        <f>1.18*6779.66</f>
        <v>7999.9987999999994</v>
      </c>
      <c r="H110" s="21"/>
      <c r="I110" s="19"/>
      <c r="J110" s="26"/>
    </row>
    <row r="111" spans="1:10" x14ac:dyDescent="0.25">
      <c r="A111" s="1"/>
      <c r="B111" s="1"/>
      <c r="C111" s="3"/>
      <c r="D111" s="15" t="s">
        <v>85</v>
      </c>
      <c r="E111" s="15" t="s">
        <v>30</v>
      </c>
      <c r="F111" s="42" t="s">
        <v>87</v>
      </c>
      <c r="G111" s="16">
        <f>1.18*20338.98</f>
        <v>23999.9964</v>
      </c>
      <c r="H111" s="21"/>
      <c r="I111" s="19"/>
      <c r="J111" s="26"/>
    </row>
    <row r="112" spans="1:10" x14ac:dyDescent="0.25">
      <c r="A112" s="1"/>
      <c r="B112" s="1"/>
      <c r="C112" s="3"/>
      <c r="D112" s="15" t="s">
        <v>85</v>
      </c>
      <c r="E112" s="15" t="s">
        <v>30</v>
      </c>
      <c r="F112" s="44" t="s">
        <v>9</v>
      </c>
      <c r="G112" s="16">
        <f>20338.98*1.18</f>
        <v>23999.9964</v>
      </c>
      <c r="H112" s="21"/>
      <c r="I112" s="19"/>
      <c r="J112" s="26"/>
    </row>
    <row r="113" spans="1:10" x14ac:dyDescent="0.25">
      <c r="A113" s="1"/>
      <c r="B113" s="1"/>
      <c r="C113" s="3"/>
      <c r="D113" s="15" t="s">
        <v>85</v>
      </c>
      <c r="E113" s="15" t="s">
        <v>30</v>
      </c>
      <c r="F113" s="44" t="s">
        <v>9</v>
      </c>
      <c r="G113" s="16">
        <f>13559.32*1.18</f>
        <v>15999.997599999999</v>
      </c>
      <c r="H113" s="21"/>
      <c r="I113" s="19"/>
      <c r="J113" s="26"/>
    </row>
    <row r="114" spans="1:10" x14ac:dyDescent="0.25">
      <c r="A114" s="1"/>
      <c r="B114" s="1"/>
      <c r="C114" s="3"/>
      <c r="D114" s="15" t="s">
        <v>85</v>
      </c>
      <c r="E114" s="15" t="s">
        <v>30</v>
      </c>
      <c r="F114" s="42" t="s">
        <v>87</v>
      </c>
      <c r="G114" s="16">
        <f>6779.66*1.18</f>
        <v>7999.9987999999994</v>
      </c>
      <c r="H114" s="21"/>
      <c r="I114" s="19"/>
      <c r="J114" s="26"/>
    </row>
    <row r="115" spans="1:10" x14ac:dyDescent="0.25">
      <c r="A115" s="1"/>
      <c r="B115" s="1"/>
      <c r="C115" s="3"/>
      <c r="D115" s="15" t="s">
        <v>85</v>
      </c>
      <c r="E115" s="15" t="s">
        <v>30</v>
      </c>
      <c r="F115" s="44" t="s">
        <v>9</v>
      </c>
      <c r="G115" s="16">
        <f>2711.86*1.18+0.01</f>
        <v>3200.0048000000002</v>
      </c>
      <c r="H115" s="21"/>
      <c r="I115" s="19"/>
      <c r="J115" s="26"/>
    </row>
    <row r="116" spans="1:10" x14ac:dyDescent="0.25">
      <c r="A116" s="1"/>
      <c r="B116" s="1"/>
      <c r="C116" s="3"/>
      <c r="D116" s="15" t="s">
        <v>85</v>
      </c>
      <c r="E116" s="15" t="s">
        <v>30</v>
      </c>
      <c r="F116" s="42" t="s">
        <v>95</v>
      </c>
      <c r="G116" s="16">
        <f>2711.86*1.18+0.01</f>
        <v>3200.0048000000002</v>
      </c>
      <c r="H116" s="21"/>
      <c r="I116" s="19"/>
      <c r="J116" s="26"/>
    </row>
    <row r="117" spans="1:10" x14ac:dyDescent="0.25">
      <c r="A117" s="1"/>
      <c r="B117" s="1">
        <v>96</v>
      </c>
      <c r="C117" s="3">
        <v>41943</v>
      </c>
      <c r="D117" s="1" t="s">
        <v>85</v>
      </c>
      <c r="E117" s="1" t="s">
        <v>30</v>
      </c>
      <c r="F117" s="37"/>
      <c r="G117" s="22">
        <v>311928</v>
      </c>
      <c r="H117" s="21"/>
      <c r="I117" s="19"/>
      <c r="J117" s="26">
        <f t="shared" ref="J117" si="5">G117-I117</f>
        <v>311928</v>
      </c>
    </row>
    <row r="118" spans="1:10" x14ac:dyDescent="0.25">
      <c r="A118" s="1"/>
      <c r="B118" s="1"/>
      <c r="C118" s="3"/>
      <c r="D118" s="15" t="s">
        <v>85</v>
      </c>
      <c r="E118" s="15" t="s">
        <v>26</v>
      </c>
      <c r="F118" s="44" t="s">
        <v>9</v>
      </c>
      <c r="G118" s="16">
        <f>202288.14*1.18</f>
        <v>238700.00520000001</v>
      </c>
      <c r="H118" s="21"/>
      <c r="I118" s="19"/>
      <c r="J118" s="26"/>
    </row>
    <row r="119" spans="1:10" x14ac:dyDescent="0.25">
      <c r="A119" s="1"/>
      <c r="B119" s="1"/>
      <c r="C119" s="3"/>
      <c r="D119" s="15" t="s">
        <v>85</v>
      </c>
      <c r="E119" s="15" t="s">
        <v>24</v>
      </c>
      <c r="F119" s="44" t="s">
        <v>19</v>
      </c>
      <c r="G119" s="16">
        <f>9830.51*1.18</f>
        <v>11600.0018</v>
      </c>
      <c r="H119" s="21"/>
      <c r="I119" s="19"/>
      <c r="J119" s="26"/>
    </row>
    <row r="120" spans="1:10" x14ac:dyDescent="0.25">
      <c r="A120" s="1"/>
      <c r="B120" s="1"/>
      <c r="C120" s="3"/>
      <c r="D120" s="15" t="s">
        <v>85</v>
      </c>
      <c r="E120" s="15" t="s">
        <v>24</v>
      </c>
      <c r="F120" s="44" t="s">
        <v>20</v>
      </c>
      <c r="G120" s="16">
        <f>9830.51*1.18</f>
        <v>11600.0018</v>
      </c>
      <c r="H120" s="21"/>
      <c r="I120" s="19"/>
      <c r="J120" s="26"/>
    </row>
    <row r="121" spans="1:10" x14ac:dyDescent="0.25">
      <c r="A121" s="1"/>
      <c r="B121" s="1"/>
      <c r="C121" s="3"/>
      <c r="D121" s="15" t="s">
        <v>85</v>
      </c>
      <c r="E121" s="15" t="s">
        <v>24</v>
      </c>
      <c r="F121" s="42" t="s">
        <v>98</v>
      </c>
      <c r="G121" s="16">
        <f>7711.86*1.18</f>
        <v>9099.9947999999986</v>
      </c>
      <c r="H121" s="21"/>
      <c r="I121" s="19"/>
      <c r="J121" s="26"/>
    </row>
    <row r="122" spans="1:10" x14ac:dyDescent="0.25">
      <c r="A122" s="1"/>
      <c r="B122" s="1"/>
      <c r="C122" s="3"/>
      <c r="D122" s="15" t="s">
        <v>85</v>
      </c>
      <c r="E122" s="15" t="s">
        <v>24</v>
      </c>
      <c r="F122" s="44" t="s">
        <v>22</v>
      </c>
      <c r="G122" s="16">
        <f>11525.42*1.18</f>
        <v>13599.9956</v>
      </c>
      <c r="H122" s="21"/>
      <c r="I122" s="19"/>
      <c r="J122" s="26"/>
    </row>
    <row r="123" spans="1:10" x14ac:dyDescent="0.25">
      <c r="A123" s="1"/>
      <c r="B123" s="1"/>
      <c r="C123" s="3"/>
      <c r="D123" s="15" t="s">
        <v>85</v>
      </c>
      <c r="E123" s="15" t="s">
        <v>30</v>
      </c>
      <c r="F123" s="44" t="s">
        <v>9</v>
      </c>
      <c r="G123" s="16">
        <f>9600*1.18</f>
        <v>11328</v>
      </c>
      <c r="H123" s="21"/>
      <c r="I123" s="19"/>
      <c r="J123" s="26"/>
    </row>
    <row r="124" spans="1:10" x14ac:dyDescent="0.25">
      <c r="A124" s="1"/>
      <c r="B124" s="1"/>
      <c r="C124" s="3"/>
      <c r="D124" s="15" t="s">
        <v>85</v>
      </c>
      <c r="E124" s="15" t="s">
        <v>30</v>
      </c>
      <c r="F124" s="42" t="s">
        <v>95</v>
      </c>
      <c r="G124" s="16">
        <f>5423.73*1.18</f>
        <v>6400.0013999999992</v>
      </c>
      <c r="H124" s="21"/>
      <c r="I124" s="19"/>
      <c r="J124" s="26"/>
    </row>
    <row r="125" spans="1:10" x14ac:dyDescent="0.25">
      <c r="A125" s="1"/>
      <c r="B125" s="1"/>
      <c r="C125" s="3"/>
      <c r="D125" s="15" t="s">
        <v>85</v>
      </c>
      <c r="E125" s="15" t="s">
        <v>30</v>
      </c>
      <c r="F125" s="42" t="s">
        <v>98</v>
      </c>
      <c r="G125" s="16">
        <f>5423.73*1.18</f>
        <v>6400.0013999999992</v>
      </c>
      <c r="H125" s="21"/>
      <c r="I125" s="19"/>
      <c r="J125" s="26"/>
    </row>
    <row r="126" spans="1:10" x14ac:dyDescent="0.25">
      <c r="A126" s="1"/>
      <c r="B126" s="1"/>
      <c r="C126" s="3"/>
      <c r="D126" s="15" t="s">
        <v>85</v>
      </c>
      <c r="E126" s="15" t="s">
        <v>30</v>
      </c>
      <c r="F126" s="42" t="s">
        <v>88</v>
      </c>
      <c r="G126" s="16">
        <f>2711.86*1.18</f>
        <v>3199.9947999999999</v>
      </c>
      <c r="H126" s="21"/>
      <c r="I126" s="19"/>
      <c r="J126" s="26"/>
    </row>
    <row r="127" spans="1:10" x14ac:dyDescent="0.25">
      <c r="A127" s="1"/>
      <c r="B127" s="1">
        <v>334</v>
      </c>
      <c r="C127" s="3">
        <v>41923</v>
      </c>
      <c r="D127" s="1" t="s">
        <v>7</v>
      </c>
      <c r="E127" s="19" t="s">
        <v>39</v>
      </c>
      <c r="F127" s="37" t="s">
        <v>9</v>
      </c>
      <c r="G127" s="22">
        <v>106400</v>
      </c>
      <c r="H127" s="21"/>
      <c r="I127" s="19"/>
      <c r="J127" s="26">
        <f t="shared" ref="J127:J136" si="6">G127-I127</f>
        <v>106400</v>
      </c>
    </row>
    <row r="128" spans="1:10" x14ac:dyDescent="0.25">
      <c r="A128" s="1"/>
      <c r="B128" s="1">
        <v>94</v>
      </c>
      <c r="C128" s="3">
        <v>41943</v>
      </c>
      <c r="D128" s="1" t="s">
        <v>52</v>
      </c>
      <c r="E128" s="31" t="s">
        <v>24</v>
      </c>
      <c r="F128" s="37" t="s">
        <v>19</v>
      </c>
      <c r="G128" s="22">
        <v>24000</v>
      </c>
      <c r="H128" s="21"/>
      <c r="I128" s="19"/>
      <c r="J128" s="26">
        <f t="shared" si="6"/>
        <v>24000</v>
      </c>
    </row>
    <row r="129" spans="1:10" x14ac:dyDescent="0.25">
      <c r="A129" s="1"/>
      <c r="B129" s="1">
        <v>95</v>
      </c>
      <c r="C129" s="3">
        <v>41941</v>
      </c>
      <c r="D129" s="1" t="s">
        <v>52</v>
      </c>
      <c r="E129" s="31" t="s">
        <v>24</v>
      </c>
      <c r="F129" s="37" t="s">
        <v>48</v>
      </c>
      <c r="G129" s="22">
        <v>12000</v>
      </c>
      <c r="H129" s="21"/>
      <c r="I129" s="19"/>
      <c r="J129" s="26">
        <f t="shared" si="6"/>
        <v>12000</v>
      </c>
    </row>
    <row r="130" spans="1:10" x14ac:dyDescent="0.25">
      <c r="A130" s="1"/>
      <c r="B130" s="1">
        <v>96</v>
      </c>
      <c r="C130" s="3">
        <v>41939</v>
      </c>
      <c r="D130" s="1" t="s">
        <v>52</v>
      </c>
      <c r="E130" s="19" t="s">
        <v>24</v>
      </c>
      <c r="F130" s="37" t="s">
        <v>9</v>
      </c>
      <c r="G130" s="22">
        <v>13500</v>
      </c>
      <c r="H130" s="21"/>
      <c r="I130" s="19"/>
      <c r="J130" s="26">
        <f t="shared" si="6"/>
        <v>13500</v>
      </c>
    </row>
    <row r="131" spans="1:10" x14ac:dyDescent="0.25">
      <c r="A131" s="1"/>
      <c r="B131" s="1">
        <v>97</v>
      </c>
      <c r="C131" s="3">
        <v>41936</v>
      </c>
      <c r="D131" s="1" t="s">
        <v>52</v>
      </c>
      <c r="E131" s="19" t="s">
        <v>24</v>
      </c>
      <c r="F131" s="41" t="s">
        <v>87</v>
      </c>
      <c r="G131" s="22">
        <v>12000</v>
      </c>
      <c r="H131" s="21"/>
      <c r="I131" s="19"/>
      <c r="J131" s="26">
        <f t="shared" si="6"/>
        <v>12000</v>
      </c>
    </row>
    <row r="132" spans="1:10" x14ac:dyDescent="0.25">
      <c r="A132" s="1"/>
      <c r="B132" s="1">
        <v>98</v>
      </c>
      <c r="C132" s="3">
        <v>41929</v>
      </c>
      <c r="D132" s="1" t="s">
        <v>52</v>
      </c>
      <c r="E132" s="19" t="s">
        <v>24</v>
      </c>
      <c r="F132" s="37" t="s">
        <v>9</v>
      </c>
      <c r="G132" s="22">
        <v>34800</v>
      </c>
      <c r="H132" s="21"/>
      <c r="I132" s="19"/>
      <c r="J132" s="26">
        <f t="shared" si="6"/>
        <v>34800</v>
      </c>
    </row>
    <row r="133" spans="1:10" x14ac:dyDescent="0.25">
      <c r="A133" s="1"/>
      <c r="B133" s="1">
        <v>99</v>
      </c>
      <c r="C133" s="3">
        <v>41941</v>
      </c>
      <c r="D133" s="1" t="s">
        <v>52</v>
      </c>
      <c r="E133" s="19" t="s">
        <v>24</v>
      </c>
      <c r="F133" s="37" t="s">
        <v>9</v>
      </c>
      <c r="G133" s="22">
        <v>11600</v>
      </c>
      <c r="H133" s="21"/>
      <c r="I133" s="19"/>
      <c r="J133" s="26">
        <f t="shared" si="6"/>
        <v>11600</v>
      </c>
    </row>
    <row r="134" spans="1:10" x14ac:dyDescent="0.25">
      <c r="A134" s="1"/>
      <c r="B134" s="1">
        <v>100</v>
      </c>
      <c r="C134" s="3">
        <v>41942</v>
      </c>
      <c r="D134" s="1" t="s">
        <v>52</v>
      </c>
      <c r="E134" s="19" t="s">
        <v>24</v>
      </c>
      <c r="F134" s="37" t="s">
        <v>98</v>
      </c>
      <c r="G134" s="22">
        <v>11600</v>
      </c>
      <c r="H134" s="21"/>
      <c r="I134" s="19"/>
      <c r="J134" s="26">
        <f t="shared" si="6"/>
        <v>11600</v>
      </c>
    </row>
    <row r="135" spans="1:10" x14ac:dyDescent="0.25">
      <c r="A135" s="1"/>
      <c r="B135" s="1">
        <v>33</v>
      </c>
      <c r="C135" s="3">
        <v>41919</v>
      </c>
      <c r="D135" s="1" t="s">
        <v>34</v>
      </c>
      <c r="E135" s="19" t="s">
        <v>30</v>
      </c>
      <c r="F135" s="37" t="s">
        <v>9</v>
      </c>
      <c r="G135" s="22">
        <v>7200</v>
      </c>
      <c r="H135" s="21"/>
      <c r="I135" s="19"/>
      <c r="J135" s="26">
        <f t="shared" si="6"/>
        <v>7200</v>
      </c>
    </row>
    <row r="136" spans="1:10" x14ac:dyDescent="0.25">
      <c r="A136" s="1"/>
      <c r="B136" s="1">
        <v>35</v>
      </c>
      <c r="C136" s="3">
        <v>41943</v>
      </c>
      <c r="D136" s="1" t="s">
        <v>34</v>
      </c>
      <c r="E136" s="19" t="s">
        <v>30</v>
      </c>
      <c r="F136" s="37"/>
      <c r="G136" s="22">
        <f>44000</f>
        <v>44000</v>
      </c>
      <c r="H136" s="21"/>
      <c r="I136" s="19"/>
      <c r="J136" s="26">
        <f t="shared" si="6"/>
        <v>44000</v>
      </c>
    </row>
    <row r="137" spans="1:10" x14ac:dyDescent="0.25">
      <c r="A137" s="1"/>
      <c r="B137" s="1"/>
      <c r="C137" s="3"/>
      <c r="D137" s="1"/>
      <c r="E137" s="15" t="s">
        <v>30</v>
      </c>
      <c r="F137" s="44" t="s">
        <v>19</v>
      </c>
      <c r="G137" s="16">
        <v>4000</v>
      </c>
      <c r="H137" s="21"/>
      <c r="I137" s="19"/>
      <c r="J137" s="26"/>
    </row>
    <row r="138" spans="1:10" x14ac:dyDescent="0.25">
      <c r="A138" s="1"/>
      <c r="B138" s="1"/>
      <c r="C138" s="3"/>
      <c r="D138" s="1"/>
      <c r="E138" s="15" t="s">
        <v>30</v>
      </c>
      <c r="F138" s="42" t="s">
        <v>95</v>
      </c>
      <c r="G138" s="16">
        <v>40000</v>
      </c>
      <c r="H138" s="21"/>
      <c r="I138" s="19"/>
      <c r="J138" s="26"/>
    </row>
    <row r="139" spans="1:10" x14ac:dyDescent="0.25">
      <c r="A139" s="1"/>
      <c r="B139" s="1">
        <v>275</v>
      </c>
      <c r="C139" s="3">
        <v>41941</v>
      </c>
      <c r="D139" s="1" t="s">
        <v>16</v>
      </c>
      <c r="E139" s="19" t="s">
        <v>61</v>
      </c>
      <c r="F139" s="41" t="s">
        <v>9</v>
      </c>
      <c r="G139" s="22">
        <v>7275</v>
      </c>
      <c r="H139" s="21"/>
      <c r="I139" s="19"/>
      <c r="J139" s="26">
        <f t="shared" ref="J139:J143" si="7">G139-I139</f>
        <v>7275</v>
      </c>
    </row>
    <row r="140" spans="1:10" x14ac:dyDescent="0.25">
      <c r="A140" s="1"/>
      <c r="B140" s="1">
        <v>140</v>
      </c>
      <c r="C140" s="3">
        <v>41943</v>
      </c>
      <c r="D140" s="33" t="s">
        <v>68</v>
      </c>
      <c r="E140" s="19" t="s">
        <v>134</v>
      </c>
      <c r="F140" s="41" t="s">
        <v>9</v>
      </c>
      <c r="G140" s="22">
        <v>49470</v>
      </c>
      <c r="H140" s="21"/>
      <c r="I140" s="19"/>
      <c r="J140" s="26">
        <f t="shared" si="7"/>
        <v>49470</v>
      </c>
    </row>
    <row r="141" spans="1:10" x14ac:dyDescent="0.25">
      <c r="A141" s="1"/>
      <c r="B141" s="1">
        <v>11</v>
      </c>
      <c r="C141" s="3">
        <v>41943</v>
      </c>
      <c r="D141" s="33" t="s">
        <v>68</v>
      </c>
      <c r="E141" s="19" t="s">
        <v>42</v>
      </c>
      <c r="F141" s="41" t="s">
        <v>9</v>
      </c>
      <c r="G141" s="22">
        <v>78750</v>
      </c>
      <c r="H141" s="21"/>
      <c r="I141" s="19"/>
      <c r="J141" s="26">
        <f t="shared" si="7"/>
        <v>78750</v>
      </c>
    </row>
    <row r="142" spans="1:10" x14ac:dyDescent="0.25">
      <c r="A142" s="1"/>
      <c r="B142" s="1">
        <v>82</v>
      </c>
      <c r="C142" s="3">
        <v>41943</v>
      </c>
      <c r="D142" s="1" t="s">
        <v>108</v>
      </c>
      <c r="E142" s="19" t="s">
        <v>40</v>
      </c>
      <c r="F142" s="41" t="s">
        <v>99</v>
      </c>
      <c r="G142" s="22">
        <v>14000</v>
      </c>
      <c r="H142" s="21"/>
      <c r="I142" s="19"/>
      <c r="J142" s="26">
        <f t="shared" si="7"/>
        <v>14000</v>
      </c>
    </row>
    <row r="143" spans="1:10" x14ac:dyDescent="0.25">
      <c r="A143" s="1"/>
      <c r="B143" s="1">
        <v>81</v>
      </c>
      <c r="C143" s="3">
        <v>41943</v>
      </c>
      <c r="D143" s="1" t="s">
        <v>108</v>
      </c>
      <c r="E143" s="19" t="s">
        <v>30</v>
      </c>
      <c r="F143" s="42"/>
      <c r="G143" s="22">
        <v>121550</v>
      </c>
      <c r="H143" s="21"/>
      <c r="I143" s="19"/>
      <c r="J143" s="26">
        <f t="shared" si="7"/>
        <v>121550</v>
      </c>
    </row>
    <row r="144" spans="1:10" x14ac:dyDescent="0.25">
      <c r="A144" s="1"/>
      <c r="B144" s="1"/>
      <c r="C144" s="3"/>
      <c r="D144" s="1" t="s">
        <v>108</v>
      </c>
      <c r="E144" s="15" t="s">
        <v>30</v>
      </c>
      <c r="F144" s="42" t="s">
        <v>87</v>
      </c>
      <c r="G144" s="16">
        <v>7000</v>
      </c>
      <c r="H144" s="21"/>
      <c r="I144" s="19"/>
      <c r="J144" s="26"/>
    </row>
    <row r="145" spans="1:10" x14ac:dyDescent="0.25">
      <c r="A145" s="1"/>
      <c r="B145" s="1"/>
      <c r="C145" s="3"/>
      <c r="D145" s="1" t="s">
        <v>108</v>
      </c>
      <c r="E145" s="15" t="s">
        <v>30</v>
      </c>
      <c r="F145" s="44" t="s">
        <v>19</v>
      </c>
      <c r="G145" s="16">
        <v>114550</v>
      </c>
      <c r="H145" s="21"/>
      <c r="I145" s="19"/>
      <c r="J145" s="26"/>
    </row>
    <row r="146" spans="1:10" x14ac:dyDescent="0.25">
      <c r="A146" s="1"/>
      <c r="B146" s="1"/>
      <c r="C146" s="3"/>
      <c r="D146" s="1"/>
      <c r="E146" s="15"/>
      <c r="F146" s="42"/>
      <c r="G146" s="16"/>
      <c r="H146" s="21"/>
      <c r="I146" s="19"/>
      <c r="J146" s="26"/>
    </row>
    <row r="147" spans="1:10" x14ac:dyDescent="0.25">
      <c r="A147" s="1"/>
      <c r="B147" s="1"/>
      <c r="C147" s="3"/>
      <c r="D147" s="1"/>
      <c r="E147" s="15"/>
      <c r="F147" s="42"/>
      <c r="G147" s="16"/>
      <c r="H147" s="21"/>
      <c r="I147" s="19"/>
      <c r="J147" s="26"/>
    </row>
    <row r="148" spans="1:10" x14ac:dyDescent="0.25">
      <c r="A148" s="1"/>
      <c r="B148" s="1"/>
      <c r="C148" s="3"/>
      <c r="D148" s="1"/>
      <c r="E148" s="15"/>
      <c r="F148" s="42"/>
      <c r="G148" s="16"/>
      <c r="H148" s="21"/>
      <c r="I148" s="19"/>
      <c r="J148" s="26"/>
    </row>
    <row r="149" spans="1:10" x14ac:dyDescent="0.25">
      <c r="A149" s="1"/>
      <c r="B149" s="1"/>
      <c r="C149" s="3"/>
      <c r="D149" s="1"/>
      <c r="E149" s="15"/>
      <c r="F149" s="42"/>
      <c r="G149" s="16"/>
      <c r="H149" s="21"/>
      <c r="I149" s="19"/>
      <c r="J149" s="26"/>
    </row>
    <row r="150" spans="1:10" x14ac:dyDescent="0.25">
      <c r="A150" s="1"/>
      <c r="B150" s="1"/>
      <c r="C150" s="3"/>
      <c r="D150" s="1"/>
      <c r="E150" s="15"/>
      <c r="F150" s="42"/>
      <c r="G150" s="16"/>
      <c r="H150" s="21"/>
      <c r="I150" s="19"/>
      <c r="J150" s="26"/>
    </row>
    <row r="151" spans="1:10" x14ac:dyDescent="0.25">
      <c r="A151" s="1"/>
      <c r="B151" s="1"/>
      <c r="C151" s="3"/>
      <c r="D151" s="1"/>
      <c r="E151" s="15"/>
      <c r="F151" s="42"/>
      <c r="G151" s="16"/>
      <c r="H151" s="21"/>
      <c r="I151" s="19"/>
      <c r="J151" s="26"/>
    </row>
    <row r="152" spans="1:10" x14ac:dyDescent="0.25">
      <c r="A152" s="1"/>
      <c r="B152" s="1"/>
      <c r="C152" s="3"/>
      <c r="D152" s="1"/>
      <c r="E152" s="15"/>
      <c r="F152" s="42"/>
      <c r="G152" s="16"/>
      <c r="H152" s="21"/>
      <c r="I152" s="19"/>
      <c r="J152" s="26"/>
    </row>
    <row r="153" spans="1:10" x14ac:dyDescent="0.25">
      <c r="A153" s="1"/>
      <c r="B153" s="1"/>
      <c r="C153" s="3"/>
      <c r="D153" s="1"/>
      <c r="E153" s="15"/>
      <c r="F153" s="42"/>
      <c r="G153" s="16"/>
      <c r="H153" s="21"/>
      <c r="I153" s="19"/>
      <c r="J153" s="26"/>
    </row>
    <row r="154" spans="1:10" x14ac:dyDescent="0.25">
      <c r="A154" s="1"/>
      <c r="B154" s="1"/>
      <c r="C154" s="3"/>
      <c r="D154" s="1"/>
      <c r="E154" s="15"/>
      <c r="F154" s="42"/>
      <c r="G154" s="16"/>
      <c r="H154" s="21"/>
      <c r="I154" s="19"/>
      <c r="J154" s="26"/>
    </row>
    <row r="155" spans="1:10" x14ac:dyDescent="0.25">
      <c r="A155" s="1"/>
      <c r="B155" s="1"/>
      <c r="C155" s="3"/>
      <c r="D155" s="1"/>
      <c r="E155" s="15"/>
      <c r="F155" s="42"/>
      <c r="G155" s="16"/>
      <c r="H155" s="21"/>
      <c r="I155" s="19"/>
      <c r="J155" s="26"/>
    </row>
    <row r="156" spans="1:10" x14ac:dyDescent="0.25">
      <c r="A156" s="1"/>
      <c r="B156" s="1"/>
      <c r="C156" s="3"/>
      <c r="D156" s="1"/>
      <c r="E156" s="15"/>
      <c r="F156" s="42"/>
      <c r="G156" s="16"/>
      <c r="H156" s="21"/>
      <c r="I156" s="19"/>
      <c r="J156" s="26"/>
    </row>
    <row r="157" spans="1:10" x14ac:dyDescent="0.25">
      <c r="A157" s="1"/>
      <c r="B157" s="1"/>
      <c r="C157" s="3"/>
      <c r="D157" s="1"/>
      <c r="E157" s="15"/>
      <c r="F157" s="42"/>
      <c r="G157" s="16"/>
      <c r="H157" s="21"/>
      <c r="I157" s="19"/>
      <c r="J157" s="26"/>
    </row>
    <row r="158" spans="1:10" x14ac:dyDescent="0.25">
      <c r="A158" s="1"/>
      <c r="B158" s="1"/>
      <c r="C158" s="3"/>
      <c r="D158" s="1"/>
      <c r="E158" s="15"/>
      <c r="F158" s="42"/>
      <c r="G158" s="16"/>
      <c r="H158" s="21"/>
      <c r="I158" s="19"/>
      <c r="J158" s="26"/>
    </row>
    <row r="159" spans="1:10" x14ac:dyDescent="0.25">
      <c r="A159" s="1"/>
      <c r="B159" s="1"/>
      <c r="C159" s="3"/>
      <c r="D159" s="1"/>
      <c r="E159" s="15"/>
      <c r="F159" s="42"/>
      <c r="G159" s="16"/>
      <c r="H159" s="21"/>
      <c r="I159" s="19"/>
      <c r="J159" s="26"/>
    </row>
    <row r="160" spans="1:10" x14ac:dyDescent="0.25">
      <c r="A160" s="1"/>
      <c r="B160" s="1"/>
      <c r="C160" s="3"/>
      <c r="D160" s="1"/>
      <c r="E160" s="15"/>
      <c r="F160" s="42"/>
      <c r="G160" s="16"/>
      <c r="H160" s="21"/>
      <c r="I160" s="19"/>
      <c r="J160" s="26"/>
    </row>
    <row r="161" spans="1:12" x14ac:dyDescent="0.25">
      <c r="A161" s="1"/>
      <c r="B161" s="1"/>
      <c r="C161" s="3"/>
      <c r="D161" s="1"/>
      <c r="E161" s="15"/>
      <c r="F161" s="42"/>
      <c r="G161" s="16"/>
      <c r="H161" s="21"/>
      <c r="I161" s="19"/>
      <c r="J161" s="26"/>
    </row>
    <row r="162" spans="1:12" x14ac:dyDescent="0.25">
      <c r="A162" s="1"/>
      <c r="B162" s="1"/>
      <c r="C162" s="3"/>
      <c r="D162" s="1"/>
      <c r="E162" s="15"/>
      <c r="F162" s="42"/>
      <c r="G162" s="16"/>
      <c r="H162" s="21"/>
      <c r="I162" s="19"/>
      <c r="J162" s="26"/>
    </row>
    <row r="163" spans="1:12" x14ac:dyDescent="0.25">
      <c r="A163" s="1"/>
      <c r="B163" s="1"/>
      <c r="C163" s="3"/>
      <c r="D163" s="1"/>
      <c r="E163" s="15"/>
      <c r="F163" s="42"/>
      <c r="G163" s="16"/>
      <c r="H163" s="21"/>
      <c r="I163" s="19"/>
      <c r="J163" s="26"/>
    </row>
    <row r="164" spans="1:12" x14ac:dyDescent="0.25">
      <c r="A164" s="1"/>
      <c r="B164" s="1"/>
      <c r="C164" s="3"/>
      <c r="D164" s="1"/>
      <c r="E164" s="15"/>
      <c r="F164" s="42"/>
      <c r="G164" s="16"/>
      <c r="H164" s="21"/>
      <c r="I164" s="19"/>
      <c r="J164" s="26"/>
    </row>
    <row r="165" spans="1:12" x14ac:dyDescent="0.25">
      <c r="A165" s="1"/>
      <c r="B165" s="1"/>
      <c r="C165" s="3"/>
      <c r="D165" s="1"/>
      <c r="E165" s="15"/>
      <c r="F165" s="42"/>
      <c r="G165" s="16"/>
      <c r="H165" s="21"/>
      <c r="I165" s="19"/>
      <c r="J165" s="26"/>
    </row>
    <row r="166" spans="1:12" x14ac:dyDescent="0.25">
      <c r="A166" s="1"/>
      <c r="B166" s="1"/>
      <c r="C166" s="3"/>
      <c r="D166" s="1"/>
      <c r="E166" s="15"/>
      <c r="F166" s="42"/>
      <c r="G166" s="16"/>
      <c r="H166" s="21"/>
      <c r="I166" s="19"/>
      <c r="J166" s="26"/>
    </row>
    <row r="167" spans="1:12" x14ac:dyDescent="0.25">
      <c r="A167" s="1"/>
      <c r="B167" s="1"/>
      <c r="C167" s="3"/>
      <c r="D167" s="1"/>
      <c r="E167" s="15"/>
      <c r="F167" s="42"/>
      <c r="G167" s="16"/>
      <c r="H167" s="21"/>
      <c r="I167" s="19"/>
      <c r="J167" s="26"/>
    </row>
    <row r="168" spans="1:12" x14ac:dyDescent="0.25">
      <c r="A168" s="1"/>
      <c r="B168" s="1"/>
      <c r="C168" s="3"/>
      <c r="D168" s="1"/>
      <c r="E168" s="15"/>
      <c r="F168" s="42"/>
      <c r="G168" s="16"/>
      <c r="H168" s="21"/>
      <c r="I168" s="19"/>
      <c r="J168" s="26"/>
    </row>
    <row r="169" spans="1:12" x14ac:dyDescent="0.25">
      <c r="A169" s="1"/>
      <c r="B169" s="1"/>
      <c r="C169" s="3"/>
      <c r="D169" s="1"/>
      <c r="E169" s="15"/>
      <c r="F169" s="42"/>
      <c r="G169" s="16"/>
      <c r="H169" s="21"/>
      <c r="I169" s="19"/>
      <c r="J169" s="26"/>
    </row>
    <row r="170" spans="1:12" x14ac:dyDescent="0.25">
      <c r="A170" s="1"/>
      <c r="B170" s="1"/>
      <c r="C170" s="3"/>
      <c r="D170" s="1"/>
      <c r="E170" s="15"/>
      <c r="F170" s="42"/>
      <c r="G170" s="16"/>
      <c r="H170" s="21"/>
      <c r="I170" s="19"/>
      <c r="J170" s="26"/>
    </row>
    <row r="171" spans="1:12" x14ac:dyDescent="0.25">
      <c r="A171" s="1"/>
      <c r="B171" s="1"/>
      <c r="C171" s="3"/>
      <c r="D171" s="1"/>
      <c r="E171" s="15"/>
      <c r="F171" s="42"/>
      <c r="G171" s="16"/>
      <c r="H171" s="21"/>
      <c r="I171" s="19"/>
      <c r="J171" s="26"/>
    </row>
    <row r="172" spans="1:12" x14ac:dyDescent="0.25">
      <c r="A172" s="1"/>
      <c r="B172" s="1"/>
      <c r="C172" s="3"/>
      <c r="D172" s="1"/>
      <c r="E172" s="15"/>
      <c r="F172" s="42"/>
      <c r="G172" s="16"/>
      <c r="H172" s="21"/>
      <c r="I172" s="19"/>
      <c r="J172" s="26"/>
    </row>
    <row r="173" spans="1:12" x14ac:dyDescent="0.25">
      <c r="A173" s="1"/>
      <c r="B173" s="1"/>
      <c r="C173" s="3"/>
      <c r="D173" s="1"/>
      <c r="E173" s="19"/>
      <c r="F173" s="37"/>
      <c r="G173" s="22"/>
      <c r="H173" s="21"/>
      <c r="I173" s="19"/>
      <c r="J173" s="26"/>
    </row>
    <row r="174" spans="1:12" x14ac:dyDescent="0.25">
      <c r="A174" s="6"/>
      <c r="B174" s="6"/>
      <c r="C174" s="6"/>
      <c r="D174" s="6" t="s">
        <v>17</v>
      </c>
      <c r="E174" s="6"/>
      <c r="F174" s="6"/>
      <c r="G174" s="7">
        <f>SUM(G7:G37,G40:G58,G72:G73,G83:G92,G97,G100:G101,G127:G136,G139:G143,G117)</f>
        <v>4456056.99</v>
      </c>
      <c r="H174" s="7"/>
      <c r="I174" s="7">
        <f>SUM(I7:I92)</f>
        <v>0</v>
      </c>
      <c r="J174" s="7">
        <f>SUM(J7:J145)</f>
        <v>4456056.99</v>
      </c>
      <c r="L174" s="52"/>
    </row>
    <row r="175" spans="1:12" x14ac:dyDescent="0.25">
      <c r="A175" s="2"/>
      <c r="B175" s="2"/>
      <c r="C175" s="2"/>
      <c r="D175" s="2"/>
      <c r="E175" s="2"/>
      <c r="F175" s="2"/>
      <c r="G175" s="2"/>
      <c r="J175" s="52">
        <f>G174-I174</f>
        <v>4456056.99</v>
      </c>
    </row>
    <row r="176" spans="1:12" x14ac:dyDescent="0.25">
      <c r="A176" s="8"/>
      <c r="B176" s="2"/>
      <c r="C176" s="2"/>
      <c r="D176" s="54"/>
      <c r="E176" s="55"/>
      <c r="F176" s="55"/>
      <c r="G176" s="13"/>
      <c r="H176" s="13"/>
      <c r="I176" s="13"/>
      <c r="J176" s="13"/>
    </row>
    <row r="177" spans="1:7" x14ac:dyDescent="0.25">
      <c r="A177" s="2"/>
      <c r="B177" s="2"/>
      <c r="C177" s="2"/>
      <c r="F177" s="55"/>
      <c r="G177" s="2"/>
    </row>
    <row r="178" spans="1:7" x14ac:dyDescent="0.25">
      <c r="A178" s="2"/>
      <c r="F178" s="56"/>
    </row>
    <row r="179" spans="1:7" x14ac:dyDescent="0.25">
      <c r="A179" s="2"/>
    </row>
    <row r="180" spans="1:7" x14ac:dyDescent="0.25">
      <c r="A180" s="2"/>
    </row>
    <row r="181" spans="1:7" x14ac:dyDescent="0.25">
      <c r="A181" s="2"/>
      <c r="B181" s="2"/>
      <c r="C181" s="2"/>
      <c r="F181" s="2"/>
      <c r="G181" s="2"/>
    </row>
    <row r="182" spans="1:7" x14ac:dyDescent="0.25">
      <c r="A182" s="2"/>
      <c r="B182" s="2"/>
      <c r="C182" s="2"/>
      <c r="F182" s="2"/>
      <c r="G182" s="2"/>
    </row>
    <row r="183" spans="1:7" x14ac:dyDescent="0.25">
      <c r="A183" s="2"/>
      <c r="B183" s="2"/>
      <c r="C183" s="2"/>
      <c r="F183" s="2"/>
      <c r="G183" s="2"/>
    </row>
    <row r="184" spans="1:7" x14ac:dyDescent="0.25">
      <c r="A184" s="2"/>
      <c r="B184" s="2"/>
      <c r="C184" s="2"/>
      <c r="F184" s="2"/>
      <c r="G184" s="2"/>
    </row>
    <row r="185" spans="1:7" x14ac:dyDescent="0.25">
      <c r="A185" s="2"/>
      <c r="B185" s="2"/>
      <c r="C185" s="2"/>
      <c r="F185" s="2"/>
      <c r="G185" s="2"/>
    </row>
    <row r="186" spans="1:7" x14ac:dyDescent="0.25">
      <c r="A186" s="2"/>
      <c r="B186" s="2"/>
      <c r="C186" s="2"/>
      <c r="F186" s="2"/>
      <c r="G186" s="2"/>
    </row>
    <row r="187" spans="1:7" x14ac:dyDescent="0.25">
      <c r="A187" s="2"/>
      <c r="B187" s="2"/>
      <c r="C187" s="2"/>
      <c r="F187" s="2"/>
      <c r="G187" s="2"/>
    </row>
    <row r="188" spans="1:7" x14ac:dyDescent="0.25">
      <c r="A188" s="2"/>
      <c r="B188" s="2"/>
      <c r="C188" s="2"/>
      <c r="F188" s="2"/>
      <c r="G188" s="2"/>
    </row>
    <row r="189" spans="1:7" x14ac:dyDescent="0.25">
      <c r="A189" s="2"/>
      <c r="B189" s="2"/>
      <c r="C189" s="2"/>
      <c r="F189" s="2"/>
      <c r="G189" s="2"/>
    </row>
    <row r="190" spans="1:7" x14ac:dyDescent="0.25">
      <c r="A190" s="2"/>
      <c r="B190" s="2"/>
      <c r="C190" s="2"/>
      <c r="F190" s="2"/>
      <c r="G190" s="2"/>
    </row>
    <row r="191" spans="1:7" x14ac:dyDescent="0.25">
      <c r="A191" s="2"/>
      <c r="B191" s="2"/>
      <c r="C191" s="2"/>
      <c r="F191" s="2"/>
      <c r="G191" s="2"/>
    </row>
    <row r="192" spans="1:7" x14ac:dyDescent="0.25">
      <c r="A192" s="2"/>
      <c r="B192" s="2"/>
      <c r="C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</sheetData>
  <autoFilter ref="A5:J175"/>
  <mergeCells count="7">
    <mergeCell ref="G5:G6"/>
    <mergeCell ref="A5:A6"/>
    <mergeCell ref="B5:B6"/>
    <mergeCell ref="C5:C6"/>
    <mergeCell ref="D5:D6"/>
    <mergeCell ref="E5:E6"/>
    <mergeCell ref="F5:F6"/>
  </mergeCells>
  <pageMargins left="0.31496062992125984" right="0.11811023622047245" top="0.35433070866141736" bottom="0.15748031496062992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июль</vt:lpstr>
      <vt:lpstr>авг</vt:lpstr>
      <vt:lpstr>Лист1</vt:lpstr>
      <vt:lpstr>сент</vt:lpstr>
      <vt:lpstr>окт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Васюкова</dc:creator>
  <cp:lastModifiedBy>Игорь Никитушкин</cp:lastModifiedBy>
  <cp:lastPrinted>2014-10-27T07:09:16Z</cp:lastPrinted>
  <dcterms:created xsi:type="dcterms:W3CDTF">2014-03-13T04:14:06Z</dcterms:created>
  <dcterms:modified xsi:type="dcterms:W3CDTF">2014-11-18T06:12:44Z</dcterms:modified>
</cp:coreProperties>
</file>