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3"/>
  </bookViews>
  <sheets>
    <sheet name="Клиенты" sheetId="1" r:id="rId1"/>
    <sheet name="Товары" sheetId="2" r:id="rId2"/>
    <sheet name="Заказы" sheetId="3" r:id="rId3"/>
    <sheet name="Бланк" sheetId="4" r:id="rId4"/>
  </sheets>
  <definedNames>
    <definedName name="Дата">Заказы!$B:$B</definedName>
    <definedName name="Заказ">Заказы!$C:$C</definedName>
    <definedName name="Код">Клиенты!$B:$B</definedName>
    <definedName name="Код2">Заказы!$H:$H</definedName>
    <definedName name="Количество">Заказы!$F:$F</definedName>
    <definedName name="КОШЕЛЬ">Заказы!$12:$12</definedName>
    <definedName name="Номер">Товары!$A:$A</definedName>
    <definedName name="Номер2">Заказы!$D:$D</definedName>
    <definedName name="Оплата">Заказы!$L:$L</definedName>
    <definedName name="Скидка">Клиенты!$I:$I</definedName>
    <definedName name="Скидка2">Заказы!$K:$K</definedName>
    <definedName name="СП">Заказы!$13:$13</definedName>
    <definedName name="Сумма">Заказы!$J:$J</definedName>
    <definedName name="Товар">Товары!$B:$B</definedName>
    <definedName name="Товар2">Заказы!$E:$E</definedName>
    <definedName name="Фирма">Клиенты!$A:$A</definedName>
    <definedName name="Фирма2">Заказы!$I:$I</definedName>
    <definedName name="Цена">Товары!$C:$C</definedName>
    <definedName name="Цена2">Заказы!$G:$G</definedName>
  </definedNames>
  <calcPr calcId="125725"/>
</workbook>
</file>

<file path=xl/calcChain.xml><?xml version="1.0" encoding="utf-8"?>
<calcChain xmlns="http://schemas.openxmlformats.org/spreadsheetml/2006/main">
  <c r="E11" i="3"/>
  <c r="E9" i="4" l="1"/>
  <c r="E10"/>
  <c r="I8" l="1"/>
  <c r="I7"/>
  <c r="I5" l="1"/>
  <c r="K13" i="3" l="1"/>
  <c r="K14"/>
  <c r="I13"/>
  <c r="I14"/>
  <c r="G13"/>
  <c r="G14"/>
  <c r="J14" s="1"/>
  <c r="E13"/>
  <c r="E14"/>
  <c r="E12"/>
  <c r="L14" l="1"/>
  <c r="J13"/>
  <c r="I12"/>
  <c r="E3"/>
  <c r="E2"/>
  <c r="L13" l="1"/>
  <c r="G3" i="4"/>
  <c r="I5" i="3" l="1"/>
  <c r="I10"/>
  <c r="K3"/>
  <c r="K4"/>
  <c r="K5"/>
  <c r="K6"/>
  <c r="K7"/>
  <c r="K8"/>
  <c r="K9"/>
  <c r="K10"/>
  <c r="K11"/>
  <c r="K12"/>
  <c r="I3"/>
  <c r="I4"/>
  <c r="I6"/>
  <c r="I7"/>
  <c r="I8"/>
  <c r="I9"/>
  <c r="I11"/>
  <c r="G3"/>
  <c r="J3" s="1"/>
  <c r="G4"/>
  <c r="J4" s="1"/>
  <c r="G5"/>
  <c r="G6"/>
  <c r="J6" s="1"/>
  <c r="G7"/>
  <c r="J7" s="1"/>
  <c r="G8"/>
  <c r="G9"/>
  <c r="G10"/>
  <c r="J10" s="1"/>
  <c r="G11"/>
  <c r="G12"/>
  <c r="J12" s="1"/>
  <c r="E4"/>
  <c r="E5"/>
  <c r="E6"/>
  <c r="E7"/>
  <c r="E8"/>
  <c r="E8" i="4" s="1"/>
  <c r="E9" i="3"/>
  <c r="E7" i="4" s="1"/>
  <c r="E10" i="3"/>
  <c r="K2"/>
  <c r="I2"/>
  <c r="G2"/>
  <c r="J2" s="1"/>
  <c r="I11" i="4" l="1"/>
  <c r="J8" i="3"/>
  <c r="G10" i="4"/>
  <c r="J9" i="3"/>
  <c r="G9" i="4"/>
  <c r="E5"/>
  <c r="J5" i="3"/>
  <c r="E11" i="4" s="1"/>
  <c r="J11" i="3"/>
  <c r="L2"/>
  <c r="L9"/>
  <c r="L5"/>
  <c r="L12"/>
  <c r="L8"/>
  <c r="L6"/>
  <c r="L4"/>
  <c r="L11"/>
  <c r="L10"/>
  <c r="L7"/>
  <c r="L3"/>
  <c r="D13" i="4" l="1"/>
</calcChain>
</file>

<file path=xl/sharedStrings.xml><?xml version="1.0" encoding="utf-8"?>
<sst xmlns="http://schemas.openxmlformats.org/spreadsheetml/2006/main" count="87" uniqueCount="68">
  <si>
    <t>Название фирмы</t>
  </si>
  <si>
    <t>Код</t>
  </si>
  <si>
    <t>Контактная персона</t>
  </si>
  <si>
    <t>Индекс</t>
  </si>
  <si>
    <t>Город</t>
  </si>
  <si>
    <t>Улица</t>
  </si>
  <si>
    <t>Телефакс</t>
  </si>
  <si>
    <t>Телефон</t>
  </si>
  <si>
    <t>Скидка (%)</t>
  </si>
  <si>
    <t>Русский холод</t>
  </si>
  <si>
    <t>Владивосток</t>
  </si>
  <si>
    <t>Номер</t>
  </si>
  <si>
    <t>Наименование товара</t>
  </si>
  <si>
    <t xml:space="preserve">Цена </t>
  </si>
  <si>
    <t>Майка мужская</t>
  </si>
  <si>
    <t>Футболка с длинными рукавами</t>
  </si>
  <si>
    <t>Толстовка женская</t>
  </si>
  <si>
    <t>Толстовка мужская</t>
  </si>
  <si>
    <t>Ремень</t>
  </si>
  <si>
    <t>Юбка</t>
  </si>
  <si>
    <t>Месяц</t>
  </si>
  <si>
    <t>Дата</t>
  </si>
  <si>
    <t>Номер заказа</t>
  </si>
  <si>
    <t>Номер товара</t>
  </si>
  <si>
    <t>Количество</t>
  </si>
  <si>
    <t>Цена за ед.</t>
  </si>
  <si>
    <t>Код заказчика</t>
  </si>
  <si>
    <t>Сумма заказа</t>
  </si>
  <si>
    <t>Скидка</t>
  </si>
  <si>
    <t>Уплачено</t>
  </si>
  <si>
    <t>Январь</t>
  </si>
  <si>
    <t>Февраль</t>
  </si>
  <si>
    <t>Март</t>
  </si>
  <si>
    <t>Бланк заказа</t>
  </si>
  <si>
    <t>Заказ№</t>
  </si>
  <si>
    <t>от</t>
  </si>
  <si>
    <t>Название фирмы заказчика</t>
  </si>
  <si>
    <t>Заказываемое количество</t>
  </si>
  <si>
    <t>К оплате</t>
  </si>
  <si>
    <t>№</t>
  </si>
  <si>
    <t>ед.по цене</t>
  </si>
  <si>
    <t>Общая стоимость заказа</t>
  </si>
  <si>
    <t>Оформил</t>
  </si>
  <si>
    <t>Апрель</t>
  </si>
  <si>
    <t>Ящик Печенья</t>
  </si>
  <si>
    <t>Бочка Варенья</t>
  </si>
  <si>
    <t>Мальчиш-Плохиш</t>
  </si>
  <si>
    <t>Империя</t>
  </si>
  <si>
    <t>Статус</t>
  </si>
  <si>
    <t>Щедрая Душа</t>
  </si>
  <si>
    <t>Сказка</t>
  </si>
  <si>
    <t>Улыбка</t>
  </si>
  <si>
    <t>Иван Иванов</t>
  </si>
  <si>
    <t>Петр Петров</t>
  </si>
  <si>
    <t>Дмитрий Уланин</t>
  </si>
  <si>
    <t>Сергей Сидоров</t>
  </si>
  <si>
    <t>Василий Кузнецов</t>
  </si>
  <si>
    <t>Некрасовская 88</t>
  </si>
  <si>
    <t>Гоголя, 94</t>
  </si>
  <si>
    <t>Светланская 19</t>
  </si>
  <si>
    <t>Алеутская 56</t>
  </si>
  <si>
    <t>Верченко 19</t>
  </si>
  <si>
    <t>Гоголя 44</t>
  </si>
  <si>
    <t>Футболка женская</t>
  </si>
  <si>
    <t>Толстовка детская</t>
  </si>
  <si>
    <t>Сумка женская</t>
  </si>
  <si>
    <t>Жакет</t>
  </si>
  <si>
    <t>Брюки</t>
  </si>
</sst>
</file>

<file path=xl/styles.xml><?xml version="1.0" encoding="utf-8"?>
<styleSheet xmlns="http://schemas.openxmlformats.org/spreadsheetml/2006/main">
  <numFmts count="2">
    <numFmt numFmtId="164" formatCode="_-* #,##0.00\ &quot;р.&quot;_-;\-* #,##0.00\ &quot;р.&quot;_-;_-* &quot;-&quot;??\ &quot;р.&quot;_-;_-@_-"/>
    <numFmt numFmtId="165" formatCode="#,##0.00&quot;р.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9" fontId="0" fillId="0" borderId="0" xfId="1" applyFont="1"/>
    <xf numFmtId="0" fontId="0" fillId="2" borderId="0" xfId="0" applyFill="1"/>
    <xf numFmtId="9" fontId="0" fillId="2" borderId="0" xfId="1" applyFont="1" applyFill="1"/>
    <xf numFmtId="165" fontId="0" fillId="2" borderId="0" xfId="0" applyNumberFormat="1" applyFill="1"/>
    <xf numFmtId="165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/>
    <xf numFmtId="165" fontId="0" fillId="2" borderId="0" xfId="0" applyNumberFormat="1" applyFill="1" applyAlignment="1">
      <alignment horizontal="center"/>
    </xf>
    <xf numFmtId="9" fontId="0" fillId="2" borderId="0" xfId="1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7" xfId="2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9" fontId="0" fillId="0" borderId="5" xfId="1" applyFont="1" applyBorder="1" applyAlignment="1">
      <alignment horizontal="left"/>
    </xf>
    <xf numFmtId="164" fontId="0" fillId="0" borderId="0" xfId="2" applyFont="1" applyBorder="1"/>
    <xf numFmtId="0" fontId="0" fillId="0" borderId="0" xfId="0" applyAlignment="1"/>
    <xf numFmtId="0" fontId="0" fillId="0" borderId="9" xfId="0" applyBorder="1"/>
    <xf numFmtId="165" fontId="0" fillId="0" borderId="9" xfId="0" applyNumberFormat="1" applyBorder="1"/>
    <xf numFmtId="0" fontId="0" fillId="0" borderId="9" xfId="0" applyBorder="1" applyAlignment="1">
      <alignment wrapText="1"/>
    </xf>
    <xf numFmtId="14" fontId="0" fillId="0" borderId="9" xfId="0" applyNumberFormat="1" applyBorder="1"/>
    <xf numFmtId="9" fontId="0" fillId="0" borderId="9" xfId="1" applyFont="1" applyBorder="1"/>
    <xf numFmtId="0" fontId="0" fillId="0" borderId="9" xfId="0" applyBorder="1" applyAlignment="1"/>
    <xf numFmtId="14" fontId="0" fillId="0" borderId="9" xfId="0" applyNumberFormat="1" applyBorder="1" applyAlignment="1"/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O9" sqref="O9"/>
    </sheetView>
  </sheetViews>
  <sheetFormatPr defaultRowHeight="15"/>
  <cols>
    <col min="1" max="1" width="16.7109375" customWidth="1"/>
    <col min="3" max="3" width="19.7109375" customWidth="1"/>
    <col min="5" max="5" width="12.42578125" customWidth="1"/>
    <col min="6" max="6" width="15.85546875" customWidth="1"/>
    <col min="7" max="7" width="10.28515625" customWidth="1"/>
    <col min="8" max="8" width="10" customWidth="1"/>
    <col min="9" max="9" width="10.85546875" style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>
      <c r="A2" s="29" t="s">
        <v>47</v>
      </c>
      <c r="B2" s="29">
        <v>1</v>
      </c>
      <c r="C2" s="29" t="s">
        <v>52</v>
      </c>
      <c r="D2" s="29">
        <v>690056</v>
      </c>
      <c r="E2" s="29" t="s">
        <v>10</v>
      </c>
      <c r="F2" s="29" t="s">
        <v>59</v>
      </c>
      <c r="G2" s="29">
        <v>203674</v>
      </c>
      <c r="H2" s="29">
        <v>456915</v>
      </c>
      <c r="I2" s="33">
        <v>0.08</v>
      </c>
    </row>
    <row r="3" spans="1:9">
      <c r="A3" s="29" t="s">
        <v>51</v>
      </c>
      <c r="B3" s="29">
        <v>2</v>
      </c>
      <c r="C3" s="29" t="s">
        <v>53</v>
      </c>
      <c r="D3" s="29">
        <v>690451</v>
      </c>
      <c r="E3" s="29" t="s">
        <v>10</v>
      </c>
      <c r="F3" s="29" t="s">
        <v>60</v>
      </c>
      <c r="G3" s="29">
        <v>560239</v>
      </c>
      <c r="H3" s="29">
        <v>345690</v>
      </c>
      <c r="I3" s="33">
        <v>0.09</v>
      </c>
    </row>
    <row r="4" spans="1:9">
      <c r="A4" s="29" t="s">
        <v>9</v>
      </c>
      <c r="B4" s="29">
        <v>3</v>
      </c>
      <c r="C4" s="29" t="s">
        <v>54</v>
      </c>
      <c r="D4" s="29">
        <v>690784</v>
      </c>
      <c r="E4" s="29" t="s">
        <v>10</v>
      </c>
      <c r="F4" s="29" t="s">
        <v>61</v>
      </c>
      <c r="G4" s="29">
        <v>501149</v>
      </c>
      <c r="H4" s="29">
        <v>452100</v>
      </c>
      <c r="I4" s="33">
        <v>0.1</v>
      </c>
    </row>
    <row r="5" spans="1:9">
      <c r="A5" s="29" t="s">
        <v>48</v>
      </c>
      <c r="B5" s="29">
        <v>4</v>
      </c>
      <c r="C5" s="29" t="s">
        <v>55</v>
      </c>
      <c r="D5" s="29">
        <v>690788</v>
      </c>
      <c r="E5" s="29" t="s">
        <v>10</v>
      </c>
      <c r="F5" s="29" t="s">
        <v>62</v>
      </c>
      <c r="G5" s="29">
        <v>449125</v>
      </c>
      <c r="H5" s="29">
        <v>140029</v>
      </c>
      <c r="I5" s="33">
        <v>0.11</v>
      </c>
    </row>
    <row r="6" spans="1:9">
      <c r="A6" s="29" t="s">
        <v>49</v>
      </c>
      <c r="B6" s="29">
        <v>5</v>
      </c>
      <c r="C6" s="29" t="s">
        <v>56</v>
      </c>
      <c r="D6" s="29">
        <v>690741</v>
      </c>
      <c r="E6" s="29" t="s">
        <v>10</v>
      </c>
      <c r="F6" s="29" t="s">
        <v>57</v>
      </c>
      <c r="G6" s="29">
        <v>553418</v>
      </c>
      <c r="H6" s="29">
        <v>954123</v>
      </c>
      <c r="I6" s="33">
        <v>0.13</v>
      </c>
    </row>
    <row r="7" spans="1:9">
      <c r="A7" s="29" t="s">
        <v>50</v>
      </c>
      <c r="B7" s="29">
        <v>6</v>
      </c>
      <c r="C7" s="29" t="s">
        <v>46</v>
      </c>
      <c r="D7" s="29">
        <v>690123</v>
      </c>
      <c r="E7" s="29" t="s">
        <v>10</v>
      </c>
      <c r="F7" s="29" t="s">
        <v>58</v>
      </c>
      <c r="G7" s="29">
        <v>648200</v>
      </c>
      <c r="H7" s="29">
        <v>745961</v>
      </c>
      <c r="I7" s="33">
        <v>7.0000000000000007E-2</v>
      </c>
    </row>
  </sheetData>
  <sortState ref="A2:I6">
    <sortCondition ref="A2:A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K9" sqref="K9"/>
    </sheetView>
  </sheetViews>
  <sheetFormatPr defaultRowHeight="15"/>
  <cols>
    <col min="2" max="2" width="21.28515625" customWidth="1"/>
    <col min="3" max="3" width="9.7109375" style="5" bestFit="1" customWidth="1"/>
  </cols>
  <sheetData>
    <row r="1" spans="1:3">
      <c r="A1" s="2" t="s">
        <v>11</v>
      </c>
      <c r="B1" s="2" t="s">
        <v>12</v>
      </c>
      <c r="C1" s="4" t="s">
        <v>13</v>
      </c>
    </row>
    <row r="2" spans="1:3">
      <c r="A2" s="29">
        <v>1</v>
      </c>
      <c r="B2" s="29" t="s">
        <v>63</v>
      </c>
      <c r="C2" s="30">
        <v>450</v>
      </c>
    </row>
    <row r="3" spans="1:3">
      <c r="A3" s="29">
        <v>2</v>
      </c>
      <c r="B3" s="29" t="s">
        <v>14</v>
      </c>
      <c r="C3" s="30">
        <v>510</v>
      </c>
    </row>
    <row r="4" spans="1:3" ht="29.25" customHeight="1">
      <c r="A4" s="29">
        <v>3</v>
      </c>
      <c r="B4" s="31" t="s">
        <v>15</v>
      </c>
      <c r="C4" s="30">
        <v>710</v>
      </c>
    </row>
    <row r="5" spans="1:3">
      <c r="A5" s="29">
        <v>4</v>
      </c>
      <c r="B5" s="29" t="s">
        <v>64</v>
      </c>
      <c r="C5" s="30">
        <v>980</v>
      </c>
    </row>
    <row r="6" spans="1:3">
      <c r="A6" s="29">
        <v>5</v>
      </c>
      <c r="B6" s="29" t="s">
        <v>17</v>
      </c>
      <c r="C6" s="30">
        <v>780</v>
      </c>
    </row>
    <row r="7" spans="1:3">
      <c r="A7" s="29">
        <v>6</v>
      </c>
      <c r="B7" s="29" t="s">
        <v>16</v>
      </c>
      <c r="C7" s="30">
        <v>900</v>
      </c>
    </row>
    <row r="8" spans="1:3">
      <c r="A8" s="29">
        <v>7</v>
      </c>
      <c r="B8" s="29" t="s">
        <v>65</v>
      </c>
      <c r="C8" s="30">
        <v>740</v>
      </c>
    </row>
    <row r="9" spans="1:3">
      <c r="A9" s="29">
        <v>8</v>
      </c>
      <c r="B9" s="29" t="s">
        <v>66</v>
      </c>
      <c r="C9" s="30">
        <v>450</v>
      </c>
    </row>
    <row r="10" spans="1:3">
      <c r="A10" s="29">
        <v>9</v>
      </c>
      <c r="B10" s="29" t="s">
        <v>18</v>
      </c>
      <c r="C10" s="30">
        <v>490</v>
      </c>
    </row>
    <row r="11" spans="1:3">
      <c r="A11" s="29">
        <v>10</v>
      </c>
      <c r="B11" s="29" t="s">
        <v>67</v>
      </c>
      <c r="C11" s="30">
        <v>900</v>
      </c>
    </row>
    <row r="12" spans="1:3">
      <c r="A12" s="29">
        <v>11</v>
      </c>
      <c r="B12" s="29" t="s">
        <v>19</v>
      </c>
      <c r="C12" s="30">
        <v>850</v>
      </c>
    </row>
    <row r="13" spans="1:3">
      <c r="A13" s="29">
        <v>12</v>
      </c>
      <c r="B13" s="29" t="s">
        <v>44</v>
      </c>
      <c r="C13" s="30">
        <v>2000</v>
      </c>
    </row>
    <row r="14" spans="1:3">
      <c r="A14" s="29">
        <v>13</v>
      </c>
      <c r="B14" s="29" t="s">
        <v>45</v>
      </c>
      <c r="C14" s="30">
        <v>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F6" sqref="F6"/>
    </sheetView>
  </sheetViews>
  <sheetFormatPr defaultRowHeight="15"/>
  <cols>
    <col min="2" max="2" width="10.140625" style="9" bestFit="1" customWidth="1"/>
    <col min="3" max="3" width="13.42578125" customWidth="1"/>
    <col min="4" max="4" width="13.5703125" customWidth="1"/>
    <col min="5" max="5" width="21.42578125" customWidth="1"/>
    <col min="6" max="6" width="11.42578125" customWidth="1"/>
    <col min="7" max="7" width="11" style="5" customWidth="1"/>
    <col min="8" max="8" width="14.140625" customWidth="1"/>
    <col min="9" max="9" width="18" customWidth="1"/>
    <col min="10" max="10" width="14.28515625" style="5" customWidth="1"/>
    <col min="11" max="11" width="9.140625" style="1"/>
    <col min="12" max="12" width="12.7109375" style="5" customWidth="1"/>
  </cols>
  <sheetData>
    <row r="1" spans="1:12" s="6" customFormat="1">
      <c r="A1" s="7" t="s">
        <v>20</v>
      </c>
      <c r="B1" s="8" t="s">
        <v>21</v>
      </c>
      <c r="C1" s="7" t="s">
        <v>22</v>
      </c>
      <c r="D1" s="7" t="s">
        <v>23</v>
      </c>
      <c r="E1" s="7" t="s">
        <v>12</v>
      </c>
      <c r="F1" s="7" t="s">
        <v>24</v>
      </c>
      <c r="G1" s="10" t="s">
        <v>25</v>
      </c>
      <c r="H1" s="7" t="s">
        <v>26</v>
      </c>
      <c r="I1" s="7" t="s">
        <v>0</v>
      </c>
      <c r="J1" s="10" t="s">
        <v>27</v>
      </c>
      <c r="K1" s="11" t="s">
        <v>28</v>
      </c>
      <c r="L1" s="10" t="s">
        <v>29</v>
      </c>
    </row>
    <row r="2" spans="1:12">
      <c r="A2" s="29" t="s">
        <v>30</v>
      </c>
      <c r="B2" s="32">
        <v>41641</v>
      </c>
      <c r="C2" s="29">
        <v>1</v>
      </c>
      <c r="D2" s="29">
        <v>2</v>
      </c>
      <c r="E2" s="29" t="str">
        <f t="shared" ref="E2:E14" si="0">IF($D2="","",LOOKUP($D2,Номер,Товар))</f>
        <v>Майка мужская</v>
      </c>
      <c r="F2" s="29">
        <v>6</v>
      </c>
      <c r="G2" s="30">
        <f t="shared" ref="G2:G14" si="1">IF($D2="","",LOOKUP($D2,Номер,Цена))</f>
        <v>510</v>
      </c>
      <c r="H2" s="29">
        <v>2</v>
      </c>
      <c r="I2" s="29" t="str">
        <f t="shared" ref="I2:I14" si="2">IF($H2="","",LOOKUP($H2,Код,Фирма))</f>
        <v>Улыбка</v>
      </c>
      <c r="J2" s="30">
        <f t="shared" ref="J2:J14" si="3">IF(F2="","",F2*G2)</f>
        <v>3060</v>
      </c>
      <c r="K2" s="33">
        <f t="shared" ref="K2:K14" si="4">IF($H2="","",LOOKUP($H2,Код,Скидка))</f>
        <v>0.09</v>
      </c>
      <c r="L2" s="30">
        <f t="shared" ref="L2:L14" si="5">IF(J2="","",J2-J2*K2)</f>
        <v>2784.6</v>
      </c>
    </row>
    <row r="3" spans="1:12">
      <c r="A3" s="29" t="s">
        <v>30</v>
      </c>
      <c r="B3" s="32">
        <v>41648</v>
      </c>
      <c r="C3" s="29">
        <v>2</v>
      </c>
      <c r="D3" s="29">
        <v>1</v>
      </c>
      <c r="E3" s="29" t="str">
        <f t="shared" si="0"/>
        <v>Футболка женская</v>
      </c>
      <c r="F3" s="29">
        <v>5</v>
      </c>
      <c r="G3" s="30">
        <f t="shared" si="1"/>
        <v>450</v>
      </c>
      <c r="H3" s="29">
        <v>3</v>
      </c>
      <c r="I3" s="29" t="str">
        <f t="shared" si="2"/>
        <v>Русский холод</v>
      </c>
      <c r="J3" s="30">
        <f t="shared" si="3"/>
        <v>2250</v>
      </c>
      <c r="K3" s="33">
        <f t="shared" si="4"/>
        <v>0.1</v>
      </c>
      <c r="L3" s="30">
        <f t="shared" si="5"/>
        <v>2025</v>
      </c>
    </row>
    <row r="4" spans="1:12">
      <c r="A4" s="29" t="s">
        <v>30</v>
      </c>
      <c r="B4" s="32">
        <v>41655</v>
      </c>
      <c r="C4" s="29">
        <v>3</v>
      </c>
      <c r="D4" s="29">
        <v>9</v>
      </c>
      <c r="E4" s="29" t="str">
        <f t="shared" si="0"/>
        <v>Ремень</v>
      </c>
      <c r="F4" s="29">
        <v>7</v>
      </c>
      <c r="G4" s="30">
        <f t="shared" si="1"/>
        <v>490</v>
      </c>
      <c r="H4" s="29">
        <v>1</v>
      </c>
      <c r="I4" s="29" t="str">
        <f t="shared" si="2"/>
        <v>Империя</v>
      </c>
      <c r="J4" s="30">
        <f t="shared" si="3"/>
        <v>3430</v>
      </c>
      <c r="K4" s="33">
        <f t="shared" si="4"/>
        <v>0.08</v>
      </c>
      <c r="L4" s="30">
        <f t="shared" si="5"/>
        <v>3155.6</v>
      </c>
    </row>
    <row r="5" spans="1:12">
      <c r="A5" s="29" t="s">
        <v>30</v>
      </c>
      <c r="B5" s="32">
        <v>41668</v>
      </c>
      <c r="C5" s="29">
        <v>4</v>
      </c>
      <c r="D5" s="29">
        <v>11</v>
      </c>
      <c r="E5" s="29" t="str">
        <f t="shared" si="0"/>
        <v>Юбка</v>
      </c>
      <c r="F5" s="29">
        <v>9</v>
      </c>
      <c r="G5" s="30">
        <f t="shared" si="1"/>
        <v>850</v>
      </c>
      <c r="H5" s="29">
        <v>5</v>
      </c>
      <c r="I5" s="29" t="str">
        <f t="shared" si="2"/>
        <v>Щедрая Душа</v>
      </c>
      <c r="J5" s="30">
        <f t="shared" si="3"/>
        <v>7650</v>
      </c>
      <c r="K5" s="33">
        <f t="shared" si="4"/>
        <v>0.13</v>
      </c>
      <c r="L5" s="30">
        <f t="shared" si="5"/>
        <v>6655.5</v>
      </c>
    </row>
    <row r="6" spans="1:12">
      <c r="A6" s="29" t="s">
        <v>31</v>
      </c>
      <c r="B6" s="32">
        <v>41674</v>
      </c>
      <c r="C6" s="29">
        <v>5</v>
      </c>
      <c r="D6" s="29">
        <v>7</v>
      </c>
      <c r="E6" s="29" t="str">
        <f t="shared" si="0"/>
        <v>Сумка женская</v>
      </c>
      <c r="F6" s="29">
        <v>12</v>
      </c>
      <c r="G6" s="30">
        <f t="shared" si="1"/>
        <v>740</v>
      </c>
      <c r="H6" s="29">
        <v>3</v>
      </c>
      <c r="I6" s="29" t="str">
        <f t="shared" si="2"/>
        <v>Русский холод</v>
      </c>
      <c r="J6" s="30">
        <f t="shared" si="3"/>
        <v>8880</v>
      </c>
      <c r="K6" s="33">
        <f t="shared" si="4"/>
        <v>0.1</v>
      </c>
      <c r="L6" s="30">
        <f t="shared" si="5"/>
        <v>7992</v>
      </c>
    </row>
    <row r="7" spans="1:12">
      <c r="A7" s="29" t="s">
        <v>31</v>
      </c>
      <c r="B7" s="32">
        <v>41683</v>
      </c>
      <c r="C7" s="29">
        <v>6</v>
      </c>
      <c r="D7" s="29">
        <v>5</v>
      </c>
      <c r="E7" s="29" t="str">
        <f t="shared" si="0"/>
        <v>Толстовка мужская</v>
      </c>
      <c r="F7" s="29">
        <v>6</v>
      </c>
      <c r="G7" s="30">
        <f t="shared" si="1"/>
        <v>780</v>
      </c>
      <c r="H7" s="29">
        <v>4</v>
      </c>
      <c r="I7" s="29" t="str">
        <f t="shared" si="2"/>
        <v>Статус</v>
      </c>
      <c r="J7" s="30">
        <f t="shared" si="3"/>
        <v>4680</v>
      </c>
      <c r="K7" s="33">
        <f t="shared" si="4"/>
        <v>0.11</v>
      </c>
      <c r="L7" s="30">
        <f t="shared" si="5"/>
        <v>4165.2</v>
      </c>
    </row>
    <row r="8" spans="1:12">
      <c r="A8" s="29" t="s">
        <v>31</v>
      </c>
      <c r="B8" s="32">
        <v>41694</v>
      </c>
      <c r="C8" s="29">
        <v>7</v>
      </c>
      <c r="D8" s="29">
        <v>8</v>
      </c>
      <c r="E8" s="29" t="str">
        <f t="shared" si="0"/>
        <v>Жакет</v>
      </c>
      <c r="F8" s="29">
        <v>3</v>
      </c>
      <c r="G8" s="30">
        <f t="shared" si="1"/>
        <v>450</v>
      </c>
      <c r="H8" s="29">
        <v>4</v>
      </c>
      <c r="I8" s="29" t="str">
        <f t="shared" si="2"/>
        <v>Статус</v>
      </c>
      <c r="J8" s="30">
        <f t="shared" si="3"/>
        <v>1350</v>
      </c>
      <c r="K8" s="33">
        <f t="shared" si="4"/>
        <v>0.11</v>
      </c>
      <c r="L8" s="30">
        <f t="shared" si="5"/>
        <v>1201.5</v>
      </c>
    </row>
    <row r="9" spans="1:12" ht="29.25" customHeight="1">
      <c r="A9" s="29" t="s">
        <v>32</v>
      </c>
      <c r="B9" s="32">
        <v>41699</v>
      </c>
      <c r="C9" s="29">
        <v>7</v>
      </c>
      <c r="D9" s="29">
        <v>3</v>
      </c>
      <c r="E9" s="31" t="str">
        <f t="shared" si="0"/>
        <v>Футболка с длинными рукавами</v>
      </c>
      <c r="F9" s="29">
        <v>9</v>
      </c>
      <c r="G9" s="30">
        <f t="shared" si="1"/>
        <v>710</v>
      </c>
      <c r="H9" s="29">
        <v>1</v>
      </c>
      <c r="I9" s="29" t="str">
        <f t="shared" si="2"/>
        <v>Империя</v>
      </c>
      <c r="J9" s="30">
        <f t="shared" si="3"/>
        <v>6390</v>
      </c>
      <c r="K9" s="33">
        <f t="shared" si="4"/>
        <v>0.08</v>
      </c>
      <c r="L9" s="30">
        <f t="shared" si="5"/>
        <v>5878.8</v>
      </c>
    </row>
    <row r="10" spans="1:12">
      <c r="A10" s="29" t="s">
        <v>32</v>
      </c>
      <c r="B10" s="32">
        <v>41707</v>
      </c>
      <c r="C10" s="29">
        <v>9</v>
      </c>
      <c r="D10" s="29">
        <v>6</v>
      </c>
      <c r="E10" s="29" t="str">
        <f t="shared" si="0"/>
        <v>Толстовка женская</v>
      </c>
      <c r="F10" s="29">
        <v>4</v>
      </c>
      <c r="G10" s="30">
        <f t="shared" si="1"/>
        <v>900</v>
      </c>
      <c r="H10" s="29">
        <v>3</v>
      </c>
      <c r="I10" s="29" t="str">
        <f t="shared" si="2"/>
        <v>Русский холод</v>
      </c>
      <c r="J10" s="30">
        <f t="shared" si="3"/>
        <v>3600</v>
      </c>
      <c r="K10" s="33">
        <f t="shared" si="4"/>
        <v>0.1</v>
      </c>
      <c r="L10" s="30">
        <f t="shared" si="5"/>
        <v>3240</v>
      </c>
    </row>
    <row r="11" spans="1:12">
      <c r="A11" s="29" t="s">
        <v>32</v>
      </c>
      <c r="B11" s="32">
        <v>41716</v>
      </c>
      <c r="C11" s="34">
        <v>10</v>
      </c>
      <c r="D11" s="29">
        <v>4</v>
      </c>
      <c r="E11" s="29" t="str">
        <f>IF($D11="","",LOOKUP($D11,Номер,Товар))</f>
        <v>Толстовка детская</v>
      </c>
      <c r="F11" s="29">
        <v>3</v>
      </c>
      <c r="G11" s="30">
        <f t="shared" si="1"/>
        <v>980</v>
      </c>
      <c r="H11" s="29">
        <v>5</v>
      </c>
      <c r="I11" s="29" t="str">
        <f t="shared" si="2"/>
        <v>Щедрая Душа</v>
      </c>
      <c r="J11" s="30">
        <f t="shared" si="3"/>
        <v>2940</v>
      </c>
      <c r="K11" s="33">
        <f t="shared" si="4"/>
        <v>0.13</v>
      </c>
      <c r="L11" s="30">
        <f t="shared" si="5"/>
        <v>2557.8000000000002</v>
      </c>
    </row>
    <row r="12" spans="1:12">
      <c r="A12" s="29" t="s">
        <v>32</v>
      </c>
      <c r="B12" s="35">
        <v>41723</v>
      </c>
      <c r="C12" s="34">
        <v>11</v>
      </c>
      <c r="D12" s="29">
        <v>10</v>
      </c>
      <c r="E12" s="29" t="str">
        <f t="shared" si="0"/>
        <v>Брюки</v>
      </c>
      <c r="F12" s="29">
        <v>10</v>
      </c>
      <c r="G12" s="30">
        <f t="shared" si="1"/>
        <v>900</v>
      </c>
      <c r="H12" s="29">
        <v>2</v>
      </c>
      <c r="I12" s="29" t="str">
        <f t="shared" si="2"/>
        <v>Улыбка</v>
      </c>
      <c r="J12" s="30">
        <f t="shared" si="3"/>
        <v>9000</v>
      </c>
      <c r="K12" s="33">
        <f t="shared" si="4"/>
        <v>0.09</v>
      </c>
      <c r="L12" s="30">
        <f t="shared" si="5"/>
        <v>8190</v>
      </c>
    </row>
    <row r="13" spans="1:12">
      <c r="A13" s="34" t="s">
        <v>43</v>
      </c>
      <c r="B13" s="35">
        <v>41910</v>
      </c>
      <c r="C13" s="34">
        <v>12</v>
      </c>
      <c r="D13" s="29">
        <v>12</v>
      </c>
      <c r="E13" s="29" t="str">
        <f t="shared" si="0"/>
        <v>Ящик Печенья</v>
      </c>
      <c r="F13" s="29">
        <v>2</v>
      </c>
      <c r="G13" s="30">
        <f t="shared" si="1"/>
        <v>2000</v>
      </c>
      <c r="H13" s="29">
        <v>6</v>
      </c>
      <c r="I13" s="29" t="str">
        <f t="shared" si="2"/>
        <v>Сказка</v>
      </c>
      <c r="J13" s="30">
        <f t="shared" si="3"/>
        <v>4000</v>
      </c>
      <c r="K13" s="33">
        <f t="shared" si="4"/>
        <v>7.0000000000000007E-2</v>
      </c>
      <c r="L13" s="30">
        <f t="shared" si="5"/>
        <v>3720</v>
      </c>
    </row>
    <row r="14" spans="1:12">
      <c r="A14" s="34" t="s">
        <v>43</v>
      </c>
      <c r="B14" s="32">
        <v>41910</v>
      </c>
      <c r="C14" s="34">
        <v>12</v>
      </c>
      <c r="D14" s="29">
        <v>13</v>
      </c>
      <c r="E14" s="29" t="str">
        <f t="shared" si="0"/>
        <v>Бочка Варенья</v>
      </c>
      <c r="F14" s="29">
        <v>2</v>
      </c>
      <c r="G14" s="30">
        <f t="shared" si="1"/>
        <v>5000</v>
      </c>
      <c r="H14" s="29">
        <v>6</v>
      </c>
      <c r="I14" s="29" t="str">
        <f t="shared" si="2"/>
        <v>Сказка</v>
      </c>
      <c r="J14" s="30">
        <f t="shared" si="3"/>
        <v>10000</v>
      </c>
      <c r="K14" s="33">
        <f t="shared" si="4"/>
        <v>7.0000000000000007E-2</v>
      </c>
      <c r="L14" s="30">
        <f t="shared" si="5"/>
        <v>9300</v>
      </c>
    </row>
    <row r="15" spans="1:12">
      <c r="C15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I13"/>
  <sheetViews>
    <sheetView tabSelected="1" workbookViewId="0">
      <selection activeCell="H13" sqref="H13"/>
    </sheetView>
  </sheetViews>
  <sheetFormatPr defaultRowHeight="15"/>
  <cols>
    <col min="2" max="2" width="10.28515625" bestFit="1" customWidth="1"/>
    <col min="4" max="4" width="11.28515625" customWidth="1"/>
    <col min="5" max="5" width="14.7109375" customWidth="1"/>
    <col min="6" max="6" width="11.5703125" customWidth="1"/>
    <col min="7" max="7" width="12.5703125" customWidth="1"/>
    <col min="8" max="8" width="4.42578125" customWidth="1"/>
    <col min="9" max="9" width="14" customWidth="1"/>
    <col min="11" max="11" width="10.28515625" bestFit="1" customWidth="1"/>
  </cols>
  <sheetData>
    <row r="1" spans="2:9">
      <c r="E1" t="s">
        <v>33</v>
      </c>
    </row>
    <row r="2" spans="2:9">
      <c r="B2" s="12"/>
      <c r="C2" s="13"/>
      <c r="D2" s="13"/>
      <c r="E2" s="13"/>
      <c r="F2" s="13"/>
      <c r="G2" s="13"/>
      <c r="H2" s="13"/>
      <c r="I2" s="14"/>
    </row>
    <row r="3" spans="2:9">
      <c r="B3" s="15"/>
      <c r="C3" s="16"/>
      <c r="D3" s="22" t="s">
        <v>34</v>
      </c>
      <c r="E3" s="23">
        <v>1</v>
      </c>
      <c r="F3" s="22" t="s">
        <v>35</v>
      </c>
      <c r="G3" s="24">
        <f>IF($E$3="","",LOOKUP($E$3,Заказ,Дата))</f>
        <v>41641</v>
      </c>
      <c r="H3" s="16"/>
      <c r="I3" s="17"/>
    </row>
    <row r="4" spans="2:9">
      <c r="B4" s="15"/>
      <c r="C4" s="16"/>
      <c r="D4" s="16"/>
      <c r="E4" s="16"/>
      <c r="F4" s="16"/>
      <c r="G4" s="16"/>
      <c r="H4" s="16"/>
      <c r="I4" s="17"/>
    </row>
    <row r="5" spans="2:9">
      <c r="B5" s="15" t="s">
        <v>36</v>
      </c>
      <c r="C5" s="16"/>
      <c r="D5" s="16"/>
      <c r="E5" t="str">
        <f>IF($E$3="","",LOOKUP($E$3,Заказ,Фирма2))</f>
        <v>Улыбка</v>
      </c>
      <c r="F5" s="16"/>
      <c r="G5" s="16"/>
      <c r="H5" s="22" t="s">
        <v>1</v>
      </c>
      <c r="I5" s="25">
        <f>IF($E$3="","",LOOKUP($E$3,Заказ,Код2))</f>
        <v>2</v>
      </c>
    </row>
    <row r="6" spans="2:9">
      <c r="B6" s="15"/>
      <c r="C6" s="16"/>
      <c r="D6" s="16"/>
      <c r="F6" s="16"/>
      <c r="G6" s="16"/>
      <c r="H6" s="16"/>
      <c r="I6" s="17"/>
    </row>
    <row r="7" spans="2:9">
      <c r="B7" s="15" t="s">
        <v>12</v>
      </c>
      <c r="C7" s="16"/>
      <c r="D7" s="16"/>
      <c r="E7" t="str">
        <f>IF((COUNTIF(Заказ,Бланк!$E$3))=1,LOOKUP($E$3,Заказ,Товар2),LOOKUP($E$3,Заказ,Товар2))</f>
        <v>Майка мужская</v>
      </c>
      <c r="F7" s="16"/>
      <c r="G7" s="16"/>
      <c r="H7" s="22" t="s">
        <v>39</v>
      </c>
      <c r="I7" s="25">
        <f>IF((COUNTIF(Заказ,Бланк!$E$3))=1,LOOKUP($E$3,Заказ,Номер2),LOOKUP($E$3,Заказ,Номер2))</f>
        <v>2</v>
      </c>
    </row>
    <row r="8" spans="2:9">
      <c r="B8" s="15"/>
      <c r="C8" s="16"/>
      <c r="D8" s="16"/>
      <c r="E8" s="16" t="str">
        <f>IF((COUNTIF(Заказ,Бланк!$E$3))=1,"",INDEX(Товар2,MATCH(E3,[0]!Заказ,0)))</f>
        <v/>
      </c>
      <c r="F8" s="16"/>
      <c r="G8" s="16"/>
      <c r="H8" s="16"/>
      <c r="I8" s="25" t="str">
        <f>IF((COUNTIF(Заказ,Бланк!$E$3))=1,"",INDEX(Номер2,MATCH(E3,[0]!Заказ,0)))</f>
        <v/>
      </c>
    </row>
    <row r="9" spans="2:9">
      <c r="B9" s="15" t="s">
        <v>37</v>
      </c>
      <c r="C9" s="16"/>
      <c r="D9" s="16"/>
      <c r="E9" s="23">
        <f>IF((COUNTIF(Заказ,Бланк!$E$3))=1,LOOKUP($E$3,Заказ,Количество),LOOKUP($E$3,Заказ,Количество))</f>
        <v>6</v>
      </c>
      <c r="F9" s="16" t="s">
        <v>40</v>
      </c>
      <c r="G9" s="16">
        <f>IF((COUNTIF(Заказ,Бланк!$E$3))=1,LOOKUP($E$3,Заказ,Цена2),LOOKUP($E$3,Заказ,Цена2))</f>
        <v>510</v>
      </c>
      <c r="H9" s="16"/>
      <c r="I9" s="25"/>
    </row>
    <row r="10" spans="2:9">
      <c r="B10" s="15"/>
      <c r="C10" s="16"/>
      <c r="D10" s="16"/>
      <c r="E10" s="23" t="str">
        <f>IF((COUNTIF(Заказ,Бланк!$E$3))=1,"",INDEX(Количество,MATCH(E3,[0]!Заказ,0)))</f>
        <v/>
      </c>
      <c r="F10" s="16"/>
      <c r="G10" s="16" t="str">
        <f>IF((COUNTIF(Заказ,Бланк!$E$3))=1,"",INDEX(Цена2,MATCH(E3,[0]!Заказ,0)))</f>
        <v/>
      </c>
      <c r="H10" s="16"/>
      <c r="I10" s="17"/>
    </row>
    <row r="11" spans="2:9">
      <c r="B11" s="15" t="s">
        <v>41</v>
      </c>
      <c r="C11" s="16"/>
      <c r="D11" s="16"/>
      <c r="E11" s="27">
        <f>IF((COUNTIF(Заказ,Бланк!$E$3))=1,LOOKUP($E$3,Заказ,Сумма),LOOKUP($E$3,Заказ,Сумма+INDEX(Сумма,MATCH(E3,[0]!Заказ,0))))</f>
        <v>3060</v>
      </c>
      <c r="F11" s="16" t="s">
        <v>8</v>
      </c>
      <c r="G11" s="16"/>
      <c r="H11" s="16"/>
      <c r="I11" s="26">
        <f>IF($E$3="","",LOOKUP($E$3,Заказ,Скидка2))</f>
        <v>0.09</v>
      </c>
    </row>
    <row r="12" spans="2:9">
      <c r="B12" s="15"/>
      <c r="C12" s="16"/>
      <c r="D12" s="16"/>
      <c r="E12" s="16"/>
      <c r="F12" s="16"/>
      <c r="G12" s="16"/>
      <c r="H12" s="16"/>
      <c r="I12" s="17"/>
    </row>
    <row r="13" spans="2:9">
      <c r="B13" s="18" t="s">
        <v>38</v>
      </c>
      <c r="C13" s="19"/>
      <c r="D13" s="21">
        <f>IF((COUNTIF(Заказ,Бланк!$E$3))=1,LOOKUP($E$3,Заказ,Оплата),LOOKUP($E$3,Заказ,Оплата+INDEX(Оплата,MATCH(E3,[0]!Заказ,0))))</f>
        <v>2784.6</v>
      </c>
      <c r="E13" s="19"/>
      <c r="F13" s="19" t="s">
        <v>42</v>
      </c>
      <c r="G13" s="19"/>
      <c r="H13" s="19"/>
      <c r="I1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19</vt:i4>
      </vt:variant>
    </vt:vector>
  </HeadingPairs>
  <TitlesOfParts>
    <vt:vector size="23" baseType="lpstr">
      <vt:lpstr>Клиенты</vt:lpstr>
      <vt:lpstr>Товары</vt:lpstr>
      <vt:lpstr>Заказы</vt:lpstr>
      <vt:lpstr>Бланк</vt:lpstr>
      <vt:lpstr>Дата</vt:lpstr>
      <vt:lpstr>Заказ</vt:lpstr>
      <vt:lpstr>Код</vt:lpstr>
      <vt:lpstr>Код2</vt:lpstr>
      <vt:lpstr>Количество</vt:lpstr>
      <vt:lpstr>КОШЕЛЬ</vt:lpstr>
      <vt:lpstr>Номер</vt:lpstr>
      <vt:lpstr>Номер2</vt:lpstr>
      <vt:lpstr>Оплата</vt:lpstr>
      <vt:lpstr>Скидка</vt:lpstr>
      <vt:lpstr>Скидка2</vt:lpstr>
      <vt:lpstr>СП</vt:lpstr>
      <vt:lpstr>Сумма</vt:lpstr>
      <vt:lpstr>Товар</vt:lpstr>
      <vt:lpstr>Товар2</vt:lpstr>
      <vt:lpstr>Фирма</vt:lpstr>
      <vt:lpstr>Фирма2</vt:lpstr>
      <vt:lpstr>Цена</vt:lpstr>
      <vt:lpstr>Цена2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2014-12-25T10:24:12Z</dcterms:modified>
</cp:coreProperties>
</file>