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480" yWindow="75" windowWidth="18195" windowHeight="1182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I7" i="1" l="1"/>
  <c r="G7" i="1"/>
  <c r="H7" i="1"/>
  <c r="J7" i="1"/>
  <c r="K7" i="1"/>
  <c r="L7" i="1"/>
  <c r="M7" i="1"/>
  <c r="N7" i="1"/>
  <c r="H8" i="1" a="1"/>
  <c r="H8" i="1" s="1"/>
  <c r="I8" i="1" a="1"/>
  <c r="I8" i="1" s="1"/>
  <c r="J8" i="1" a="1"/>
  <c r="J8" i="1" s="1"/>
  <c r="K8" i="1" a="1"/>
  <c r="K8" i="1" s="1"/>
  <c r="L8" i="1" a="1"/>
  <c r="L8" i="1" s="1"/>
  <c r="M8" i="1" a="1"/>
  <c r="M8" i="1" s="1"/>
  <c r="N8" i="1" a="1"/>
  <c r="N8" i="1" s="1"/>
  <c r="G8" i="1"/>
  <c r="K14" i="1" a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J14" i="1" a="1"/>
  <c r="J14" i="1" s="1"/>
  <c r="J15" i="1"/>
  <c r="J17" i="1"/>
  <c r="J19" i="1"/>
  <c r="J21" i="1"/>
  <c r="J23" i="1"/>
  <c r="J25" i="1"/>
  <c r="J27" i="1"/>
  <c r="G6" i="1"/>
  <c r="G9" i="1"/>
  <c r="G10" i="1" s="1" a="1"/>
  <c r="G37" i="1" s="1"/>
  <c r="E16" i="1"/>
  <c r="E15" i="1"/>
  <c r="E14" i="1"/>
  <c r="E13" i="1"/>
  <c r="E12" i="1"/>
  <c r="E11" i="1"/>
  <c r="E10" i="1"/>
  <c r="E9" i="1"/>
  <c r="E8" i="1"/>
  <c r="E7" i="1"/>
  <c r="E6" i="1"/>
  <c r="N5" i="1"/>
  <c r="M5" i="1"/>
  <c r="L5" i="1"/>
  <c r="K5" i="1"/>
  <c r="J5" i="1"/>
  <c r="I5" i="1"/>
  <c r="H5" i="1"/>
  <c r="E5" i="1"/>
  <c r="E4" i="1"/>
  <c r="E3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  <c r="B2" i="2"/>
  <c r="C2" i="2"/>
  <c r="D2" i="2"/>
  <c r="E2" i="2"/>
  <c r="F2" i="2"/>
  <c r="E1" i="2"/>
  <c r="C1" i="2"/>
  <c r="F3" i="2"/>
  <c r="D1" i="2"/>
  <c r="B1" i="2"/>
  <c r="J28" i="1" l="1"/>
  <c r="J26" i="1"/>
  <c r="J24" i="1"/>
  <c r="J22" i="1"/>
  <c r="J20" i="1"/>
  <c r="J18" i="1"/>
  <c r="J16" i="1"/>
  <c r="G14" i="1"/>
  <c r="G22" i="1"/>
  <c r="G30" i="1"/>
  <c r="G10" i="1"/>
  <c r="G18" i="1"/>
  <c r="G26" i="1"/>
  <c r="G34" i="1"/>
  <c r="G12" i="1"/>
  <c r="G16" i="1"/>
  <c r="G20" i="1"/>
  <c r="G24" i="1"/>
  <c r="G28" i="1"/>
  <c r="G32" i="1"/>
  <c r="G36" i="1"/>
  <c r="G11" i="1"/>
  <c r="G13" i="1"/>
  <c r="G15" i="1"/>
  <c r="G17" i="1"/>
  <c r="G19" i="1"/>
  <c r="G21" i="1"/>
  <c r="G23" i="1"/>
  <c r="G25" i="1"/>
  <c r="G27" i="1"/>
  <c r="G29" i="1"/>
  <c r="G31" i="1"/>
  <c r="G33" i="1"/>
  <c r="G35" i="1"/>
  <c r="N6" i="1"/>
  <c r="M6" i="1"/>
  <c r="H6" i="1"/>
  <c r="L6" i="1"/>
  <c r="I6" i="1"/>
  <c r="K6" i="1"/>
  <c r="J6" i="1"/>
  <c r="B3" i="2"/>
  <c r="D3" i="2"/>
  <c r="C3" i="2"/>
  <c r="E3" i="2"/>
  <c r="H14" i="1" l="1" a="1"/>
  <c r="H10" i="1"/>
  <c r="J13" i="1" s="1"/>
  <c r="H15" i="1" l="1"/>
  <c r="H17" i="1"/>
  <c r="H19" i="1"/>
  <c r="H21" i="1"/>
  <c r="H23" i="1"/>
  <c r="H25" i="1"/>
  <c r="H27" i="1"/>
  <c r="H14" i="1"/>
  <c r="H16" i="1"/>
  <c r="H18" i="1"/>
  <c r="H20" i="1"/>
  <c r="H22" i="1"/>
  <c r="H24" i="1"/>
  <c r="H26" i="1"/>
  <c r="H28" i="1"/>
  <c r="J11" i="1"/>
  <c r="H12" i="1"/>
  <c r="K12" i="1" s="1"/>
  <c r="H11" i="1"/>
  <c r="I11" i="1" s="1"/>
  <c r="K11" i="1" s="1"/>
  <c r="H13" i="1"/>
  <c r="I14" i="1" l="1" a="1"/>
  <c r="I13" i="1"/>
  <c r="K13" i="1" s="1"/>
  <c r="I15" i="1" l="1"/>
  <c r="I17" i="1"/>
  <c r="I19" i="1"/>
  <c r="I21" i="1"/>
  <c r="I23" i="1"/>
  <c r="I25" i="1"/>
  <c r="I27" i="1"/>
  <c r="I14" i="1"/>
  <c r="I16" i="1"/>
  <c r="I18" i="1"/>
  <c r="I20" i="1"/>
  <c r="I22" i="1"/>
  <c r="I24" i="1"/>
  <c r="I26" i="1"/>
  <c r="I28" i="1"/>
  <c r="K29" i="1" l="1" a="1"/>
  <c r="K29" i="1" s="1"/>
  <c r="K9" i="1" s="1"/>
</calcChain>
</file>

<file path=xl/comments1.xml><?xml version="1.0" encoding="utf-8"?>
<comments xmlns="http://schemas.openxmlformats.org/spreadsheetml/2006/main">
  <authors>
    <author>Автор</author>
  </authors>
  <commentList>
    <comment ref="G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1 </t>
        </r>
        <r>
          <rPr>
            <sz val="8"/>
            <color indexed="81"/>
            <rFont val="Tahoma"/>
            <family val="2"/>
            <charset val="204"/>
          </rPr>
          <t>последняя пятница прошлого года (от даты в I8)</t>
        </r>
      </text>
    </comment>
    <comment ref="J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0 </t>
        </r>
        <r>
          <rPr>
            <sz val="8"/>
            <color indexed="81"/>
            <rFont val="Tahoma"/>
            <family val="2"/>
            <charset val="204"/>
          </rPr>
          <t>месяц и год берутся отсюда</t>
        </r>
      </text>
    </comment>
    <comment ref="K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11 </t>
        </r>
        <r>
          <rPr>
            <sz val="8"/>
            <color indexed="81"/>
            <rFont val="Tahoma"/>
            <family val="2"/>
            <charset val="204"/>
          </rPr>
          <t>окончательный расчет месячной суммы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2 </t>
        </r>
        <r>
          <rPr>
            <sz val="8"/>
            <color indexed="81"/>
            <rFont val="Tahoma"/>
            <family val="2"/>
            <charset val="204"/>
          </rPr>
          <t>массив всех дат выплат начиная от последней пятницы прошлого года до второй пятницы следующего года (год берется из ячейки I8)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  <charset val="204"/>
          </rPr>
          <t>3</t>
        </r>
        <r>
          <rPr>
            <sz val="8"/>
            <color indexed="81"/>
            <rFont val="Tahoma"/>
            <family val="2"/>
            <charset val="204"/>
          </rPr>
          <t xml:space="preserve"> последняя выплата перед месяцм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  <charset val="204"/>
          </rPr>
          <t>4</t>
        </r>
        <r>
          <rPr>
            <sz val="8"/>
            <color indexed="81"/>
            <rFont val="Tahoma"/>
            <family val="2"/>
            <charset val="204"/>
          </rPr>
          <t xml:space="preserve"> первый день выплаты в месяце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5 </t>
        </r>
        <r>
          <rPr>
            <sz val="8"/>
            <color indexed="81"/>
            <rFont val="Tahoma"/>
            <family val="2"/>
            <charset val="204"/>
          </rPr>
          <t>сумма первой выплаты в месяце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6 </t>
        </r>
        <r>
          <rPr>
            <sz val="8"/>
            <color indexed="81"/>
            <rFont val="Tahoma"/>
            <family val="2"/>
            <charset val="204"/>
          </rPr>
          <t>количество дней месяца, оплаченных в дату в H10</t>
        </r>
      </text>
    </comment>
    <comment ref="K11" authorId="0" shapeId="0">
      <text>
        <r>
          <rPr>
            <sz val="8"/>
            <color indexed="81"/>
            <rFont val="Tahoma"/>
            <family val="2"/>
            <charset val="204"/>
          </rPr>
          <t>1 часть суммы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7 </t>
        </r>
        <r>
          <rPr>
            <sz val="8"/>
            <color indexed="81"/>
            <rFont val="Tahoma"/>
            <family val="2"/>
            <charset val="204"/>
          </rPr>
          <t>второй день выплаты в месяце</t>
        </r>
      </text>
    </comment>
    <comment ref="I12" authorId="0" shapeId="0">
      <text>
        <r>
          <rPr>
            <sz val="8"/>
            <color indexed="81"/>
            <rFont val="Tahoma"/>
            <family val="2"/>
            <charset val="204"/>
          </rPr>
          <t>=K11</t>
        </r>
      </text>
    </comment>
    <comment ref="J12" authorId="0" shapeId="0">
      <text>
        <r>
          <rPr>
            <sz val="8"/>
            <color indexed="81"/>
            <rFont val="Tahoma"/>
            <family val="2"/>
            <charset val="204"/>
          </rPr>
          <t>=14</t>
        </r>
      </text>
    </comment>
    <comment ref="K12" authorId="0" shapeId="0">
      <text>
        <r>
          <rPr>
            <sz val="8"/>
            <color indexed="81"/>
            <rFont val="Tahoma"/>
            <family val="2"/>
            <charset val="204"/>
          </rPr>
          <t>2 часть суммы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8 </t>
        </r>
        <r>
          <rPr>
            <sz val="8"/>
            <color indexed="81"/>
            <rFont val="Tahoma"/>
            <family val="2"/>
            <charset val="204"/>
          </rPr>
          <t>дата последней выплаты захватывающей месяц</t>
        </r>
      </text>
    </comment>
    <comment ref="I13" authorId="0" shapeId="0">
      <text>
        <r>
          <rPr>
            <b/>
            <sz val="8"/>
            <color indexed="81"/>
            <rFont val="Tahoma"/>
            <family val="2"/>
            <charset val="204"/>
          </rPr>
          <t>9</t>
        </r>
        <r>
          <rPr>
            <sz val="8"/>
            <color indexed="81"/>
            <rFont val="Tahoma"/>
            <family val="2"/>
            <charset val="204"/>
          </rPr>
          <t xml:space="preserve"> сумма выплаты в дату в из H16</t>
        </r>
      </text>
    </comment>
    <comment ref="J13" authorId="0" shapeId="0">
      <text>
        <r>
          <rPr>
            <b/>
            <sz val="8"/>
            <color indexed="81"/>
            <rFont val="Tahoma"/>
            <family val="2"/>
            <charset val="204"/>
          </rPr>
          <t>10</t>
        </r>
        <r>
          <rPr>
            <b/>
            <sz val="10"/>
            <color indexed="81"/>
            <rFont val="Tahoma"/>
            <family val="2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>количество дней месяца, оплаченных в дату в H16</t>
        </r>
      </text>
    </comment>
    <comment ref="K13" authorId="0" shapeId="0">
      <text>
        <r>
          <rPr>
            <sz val="8"/>
            <color indexed="81"/>
            <rFont val="Tahoma"/>
            <family val="2"/>
            <charset val="204"/>
          </rPr>
          <t>3 часть суммы</t>
        </r>
      </text>
    </comment>
  </commentList>
</comments>
</file>

<file path=xl/sharedStrings.xml><?xml version="1.0" encoding="utf-8"?>
<sst xmlns="http://schemas.openxmlformats.org/spreadsheetml/2006/main" count="16" uniqueCount="3">
  <si>
    <t>ps</t>
  </si>
  <si>
    <t>%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</si>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</sst>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,\ 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164" fontId="2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NumberFormat="1"/>
    <xf numFmtId="14" fontId="0" fillId="2" borderId="0" xfId="0" applyNumberFormat="1" applyFill="1"/>
    <xf numFmtId="2" fontId="0" fillId="3" borderId="0" xfId="0" applyNumberFormat="1" applyFill="1"/>
    <xf numFmtId="2" fontId="0" fillId="2" borderId="0" xfId="0" applyNumberFormat="1" applyFill="1"/>
    <xf numFmtId="14" fontId="0" fillId="0" borderId="2" xfId="0" applyNumberFormat="1" applyBorder="1"/>
    <xf numFmtId="14" fontId="0" fillId="0" borderId="3" xfId="0" applyNumberFormat="1" applyBorder="1"/>
    <xf numFmtId="14" fontId="0" fillId="0" borderId="4" xfId="0" applyNumberFormat="1" applyBorder="1"/>
    <xf numFmtId="14" fontId="0" fillId="0" borderId="1" xfId="0" applyNumberFormat="1" applyBorder="1"/>
    <xf numFmtId="17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0" fillId="0" borderId="1" xfId="0" applyNumberFormat="1" applyBorder="1"/>
    <xf numFmtId="17" fontId="0" fillId="0" borderId="0" xfId="0" applyNumberFormat="1"/>
    <xf numFmtId="2" fontId="0" fillId="4" borderId="0" xfId="0" applyNumberFormat="1" applyFill="1"/>
    <xf numFmtId="2" fontId="0" fillId="5" borderId="0" xfId="0" applyNumberFormat="1" applyFill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P37"/>
  <sheetViews>
    <sheetView tabSelected="1" workbookViewId="0">
      <selection activeCell="I7" sqref="I7"/>
    </sheetView>
  </sheetViews>
  <sheetFormatPr defaultRowHeight="15" x14ac:dyDescent="0.25"/>
  <cols>
    <col min="1" max="1" width="10.7109375" bestFit="1" customWidth="1"/>
    <col min="4" max="5" width="11.42578125" customWidth="1"/>
    <col min="6" max="6" width="9.7109375" customWidth="1"/>
    <col min="7" max="13" width="9.85546875" customWidth="1"/>
    <col min="16" max="16" width="10.140625" style="4" bestFit="1" customWidth="1"/>
  </cols>
  <sheetData>
    <row r="2" spans="1:16" x14ac:dyDescent="0.25">
      <c r="A2" s="1">
        <v>42027</v>
      </c>
      <c r="B2">
        <v>1000</v>
      </c>
      <c r="C2" t="s">
        <v>0</v>
      </c>
      <c r="D2" s="5">
        <f>MAX(A2-12,EOMONTH(A2,-1))</f>
        <v>42015</v>
      </c>
      <c r="E2" s="5">
        <f>MIN(A2+2,EOMONTH(A2,0))</f>
        <v>42029</v>
      </c>
    </row>
    <row r="3" spans="1:16" x14ac:dyDescent="0.25">
      <c r="A3" s="1">
        <v>42013</v>
      </c>
      <c r="B3">
        <v>1000</v>
      </c>
      <c r="C3" t="s">
        <v>0</v>
      </c>
      <c r="D3" s="5">
        <f t="shared" ref="D3:D16" si="0">MAX(A3-12,EOMONTH(A3,-1))</f>
        <v>42004</v>
      </c>
      <c r="E3" s="5">
        <f t="shared" ref="E3:E16" si="1">MIN(A3+2,EOMONTH(A3,0))</f>
        <v>42015</v>
      </c>
      <c r="G3" s="2">
        <v>42036</v>
      </c>
      <c r="H3" s="2">
        <v>42005</v>
      </c>
      <c r="I3" s="2">
        <v>41974</v>
      </c>
      <c r="J3" s="2">
        <v>41944</v>
      </c>
      <c r="K3" s="2">
        <v>41913</v>
      </c>
      <c r="L3" s="2">
        <v>41883</v>
      </c>
      <c r="M3" s="2">
        <v>41852</v>
      </c>
      <c r="N3" s="2">
        <v>41821</v>
      </c>
    </row>
    <row r="4" spans="1:16" x14ac:dyDescent="0.25">
      <c r="A4" s="1">
        <v>42004</v>
      </c>
      <c r="B4">
        <v>3</v>
      </c>
      <c r="C4" t="s">
        <v>1</v>
      </c>
      <c r="D4" s="5">
        <f t="shared" si="0"/>
        <v>41992</v>
      </c>
      <c r="E4" s="5">
        <f t="shared" si="1"/>
        <v>42004</v>
      </c>
      <c r="H4" s="3">
        <v>1785.7142857142858</v>
      </c>
      <c r="I4" s="3">
        <v>2214.2857142857142</v>
      </c>
      <c r="J4" s="3">
        <v>2142.8571428571431</v>
      </c>
      <c r="K4" s="3">
        <v>2214.2857142857142</v>
      </c>
      <c r="L4" s="3">
        <v>2142.8571428571431</v>
      </c>
    </row>
    <row r="5" spans="1:16" x14ac:dyDescent="0.25">
      <c r="A5" s="1">
        <v>41999</v>
      </c>
      <c r="B5">
        <v>1000</v>
      </c>
      <c r="C5" t="s">
        <v>0</v>
      </c>
      <c r="D5" s="5">
        <f t="shared" si="0"/>
        <v>41987</v>
      </c>
      <c r="E5" s="5">
        <f t="shared" si="1"/>
        <v>42001</v>
      </c>
      <c r="H5" s="6">
        <f t="shared" ref="H5:N5" si="2">SUMPRODUCT((MONTH($A$2:$A$16)=MONTH(H3))*($C$2:$C$16="ps")*(EOMONTH(H3,0)-TEXT(EOMONTH(H3,0)-$A$2:$A$16-2,"0;\0")-(TEXT($A$2:$A$16-11-H3,"0;\0")+H3-1))/14*$B$2:$B$16)+SUMPRODUCT((MONTH($A$2:$A$16)=MONTH(G3))*($C$2:$C$16="ps")*(DAY($A$2:$A$16)&lt;12)*(12-DAY($A$2:$A$16))/14*$B$2:$B$16)+SUMPRODUCT((MONTH($A$2:$A$16)=MONTH(I3))*($C$2:$C$16="ps")*(MONTH($A$2:$A$16+2)=MONTH(H3))*(2+$A$2:$A$16-(H3-1))/14*$B$2:$B$16)</f>
        <v>1785.7142857142858</v>
      </c>
      <c r="I5" s="6">
        <f t="shared" si="2"/>
        <v>2214.2857142857142</v>
      </c>
      <c r="J5" s="6">
        <f t="shared" si="2"/>
        <v>2142.8571428571427</v>
      </c>
      <c r="K5" s="6">
        <f t="shared" si="2"/>
        <v>2214.2857142857142</v>
      </c>
      <c r="L5" s="6">
        <f t="shared" si="2"/>
        <v>2142.8571428571431</v>
      </c>
      <c r="M5" s="6">
        <f t="shared" si="2"/>
        <v>1500</v>
      </c>
      <c r="N5" s="6">
        <f t="shared" si="2"/>
        <v>0</v>
      </c>
    </row>
    <row r="6" spans="1:16" x14ac:dyDescent="0.25">
      <c r="A6" s="1">
        <v>41985</v>
      </c>
      <c r="B6">
        <v>1000</v>
      </c>
      <c r="C6" t="s">
        <v>0</v>
      </c>
      <c r="D6" s="5">
        <f t="shared" si="0"/>
        <v>41973</v>
      </c>
      <c r="E6" s="5">
        <f t="shared" si="1"/>
        <v>41987</v>
      </c>
      <c r="G6" s="7">
        <f>SUMPRODUCT((MONTH($A$2:$A$16)=MONTH(G3))*($C$2:$C$16="ps")*($E$2:$E$16-$D$2:$D$16)/14*$B$2:$B$16)+SUMPRODUCT((MONTH($A$2:$A$16)=MONTH(F3))*($C$2:$C$16="ps")*(12-$A$2:$A$16+$D$2:$D$16)/14*$B$2:$B$16)+SUMPRODUCT((MONTH($A$2:$A$16)=MONTH(H3))*($C$2:$C$16="ps")*(2+$A$2:$A$16-$E$2:$E$16)/14*$B$2:$B$16)</f>
        <v>214.28571428571428</v>
      </c>
      <c r="H6" s="7">
        <f>SUMPRODUCT((MONTH($A$2:$A$16)=MONTH(H3))*($C$2:$C$16="ps")*($E$2:$E$16-$D$2:$D$16)/14*$B$2:$B$16)+SUMPRODUCT((MONTH($A$2:$A$16)=MONTH(G3))*($C$2:$C$16="ps")*(12-$A$2:$A$16+$D$2:$D$16)/14*$B$2:$B$16)+SUMPRODUCT((MONTH($A$2:$A$16)=MONTH(I3))*($C$2:$C$16="ps")*(2+$A$2:$A$16-$E$2:$E$16)/14*$B$2:$B$16)</f>
        <v>1785.7142857142858</v>
      </c>
      <c r="I6" s="7">
        <f>SUMPRODUCT((MONTH($A$2:$A$16)=MONTH(I3))*($C$2:$C$16="ps")*($E$2:$E$16-$D$2:$D$16)/14*$B$2:$B$16)+SUMPRODUCT((MONTH($A$2:$A$16)=MONTH(H3))*($C$2:$C$16="ps")*(12-$A$2:$A$16+$D$2:$D$16)/14*$B$2:$B$16)+SUMPRODUCT((MONTH($A$2:$A$16)=MONTH(J3))*($C$2:$C$16="ps")*(2+$A$2:$A$16-$E$2:$E$16)/14*$B$2:$B$16)</f>
        <v>2214.2857142857142</v>
      </c>
      <c r="J6" s="7">
        <f>SUMPRODUCT((MONTH($A$2:$A$16)=MONTH(J3))*($C$2:$C$16="ps")*($E$2:$E$16-$D$2:$D$16)/14*$B$2:$B$16)+SUMPRODUCT((MONTH($A$2:$A$16)=MONTH(I3))*($C$2:$C$16="ps")*(12-$A$2:$A$16+$D$2:$D$16)/14*$B$2:$B$16)+SUMPRODUCT((MONTH($A$2:$A$16)=MONTH(K3))*($C$2:$C$16="ps")*(2+$A$2:$A$16-$E$2:$E$16)/14*$B$2:$B$16)</f>
        <v>2142.8571428571427</v>
      </c>
      <c r="K6" s="7">
        <f>SUMPRODUCT((MONTH($A$2:$A$16)=MONTH(K3))*($C$2:$C$16="ps")*($E$2:$E$16-$D$2:$D$16)/14*$B$2:$B$16)+SUMPRODUCT((MONTH($A$2:$A$16)=MONTH(J3))*($C$2:$C$16="ps")*(12-$A$2:$A$16+$D$2:$D$16)/14*$B$2:$B$16)+SUMPRODUCT((MONTH($A$2:$A$16)=MONTH(L3))*($C$2:$C$16="ps")*(2+$A$2:$A$16-$E$2:$E$16)/14*$B$2:$B$16)</f>
        <v>2214.2857142857142</v>
      </c>
      <c r="L6" s="7">
        <f>SUMPRODUCT((MONTH($A$2:$A$16)=MONTH(L3))*($C$2:$C$16="ps")*($E$2:$E$16-$D$2:$D$16)/14*$B$2:$B$16)+SUMPRODUCT((MONTH($A$2:$A$16)=MONTH(K3))*($C$2:$C$16="ps")*(12-$A$2:$A$16+$D$2:$D$16)/14*$B$2:$B$16)+SUMPRODUCT((MONTH($A$2:$A$16)=MONTH(M3))*($C$2:$C$16="ps")*(2+$A$2:$A$16-$E$2:$E$16)/14*$B$2:$B$16)</f>
        <v>2142.8571428571431</v>
      </c>
      <c r="M6" s="7">
        <f>SUMPRODUCT((MONTH($A$2:$A$16)=MONTH(M3))*($C$2:$C$16="ps")*($E$2:$E$16-$D$2:$D$16)/14*$B$2:$B$16)+SUMPRODUCT((MONTH($A$2:$A$16)=MONTH(L3))*($C$2:$C$16="ps")*(12-$A$2:$A$16+$D$2:$D$16)/14*$B$2:$B$16)+SUMPRODUCT((MONTH($A$2:$A$16)=MONTH(N3))*($C$2:$C$16="ps")*(2+$A$2:$A$16-$E$2:$E$16)/14*$B$2:$B$16)</f>
        <v>1500</v>
      </c>
      <c r="N6" s="7">
        <f>SUMPRODUCT((MONTH($A$2:$A$16)=MONTH(N3))*($C$2:$C$16="ps")*($E$2:$E$16-$D$2:$D$16)/14*$B$2:$B$16)+SUMPRODUCT((MONTH($A$2:$A$16)=MONTH(M3))*($C$2:$C$16="ps")*(12-$A$2:$A$16+$D$2:$D$16)/14*$B$2:$B$16)+SUMPRODUCT((MONTH($A$2:$A$16)=MONTH(O3))*($C$2:$C$16="ps")*(2+$A$2:$A$16-$E$2:$E$16)/14*$B$2:$B$16)</f>
        <v>0</v>
      </c>
    </row>
    <row r="7" spans="1:16" x14ac:dyDescent="0.25">
      <c r="A7" s="1">
        <v>41976</v>
      </c>
      <c r="B7">
        <v>1500</v>
      </c>
      <c r="C7" t="s">
        <v>2</v>
      </c>
      <c r="D7" s="5">
        <f t="shared" si="0"/>
        <v>41973</v>
      </c>
      <c r="E7" s="5">
        <f t="shared" si="1"/>
        <v>41978</v>
      </c>
      <c r="G7" s="17" t="str">
        <f>IFERROR(SUM((IFERROR(VLOOKUP(LOOKUP(G$3,INT(DATEDIF(6,EOMONTH(EDATE(G$3,-MONTH(G$3)),0),"d")/7)*7+6+14*(ROW($1:$28)-1))+14,$A$2:$B$16,2,)*(17-G$3+LOOKUP(G$3,INT(DATEDIF(6,EOMONTH(EDATE(G$3,-MONTH(G$3)),0),"d")/7)*7+6+14*(ROW($1:$28)-1)))/14,)+IFERROR(VLOOKUP(LOOKUP(G$3,INT(DATEDIF(6,EOMONTH(EDATE(G$3,-MONTH(G$3)),0),"d")/7)*7+6+14*(ROW($1:$28)-1))+28,$A$2:$B$16,2,),)+IFERROR(VLOOKUP(LOOKUP(G$3,INT(DATEDIF(6,EOMONTH(EDATE(G$3,-MONTH(G$3)),0),"d")/7)*7+6+14*(ROW($1:$28)-1))+42,$A$2:$B$16,2,)*(EOMONTH(G$3,0)-30-LOOKUP(G$3,INT(DATEDIF(6,EOMONTH(EDATE(G$3,-MONTH(G$3)),0),"d")/7)*7+6+14*(ROW($1:$28)-1)))/14,))^{0,1})-1,"нет данных")</f>
        <v>нет данных</v>
      </c>
      <c r="H7" s="17">
        <f>IFERROR(SUM((IFERROR(VLOOKUP(LOOKUP(H$3,INT(DATEDIF(6,EOMONTH(EDATE(H$3,-MONTH(H$3)),0),"d")/7)*7+6+14*(ROW($1:$28)-1))+14,$A$2:$B$16,2,)*(17-H$3+LOOKUP(H$3,INT(DATEDIF(6,EOMONTH(EDATE(H$3,-MONTH(H$3)),0),"d")/7)*7+6+14*(ROW($1:$28)-1)))/14,)+IFERROR(VLOOKUP(LOOKUP(H$3,INT(DATEDIF(6,EOMONTH(EDATE(H$3,-MONTH(H$3)),0),"d")/7)*7+6+14*(ROW($1:$28)-1))+28,$A$2:$B$16,2,),)+IFERROR(VLOOKUP(LOOKUP(H$3,INT(DATEDIF(6,EOMONTH(EDATE(H$3,-MONTH(H$3)),0),"d")/7)*7+6+14*(ROW($1:$28)-1))+42,$A$2:$B$16,2,)*(EOMONTH(H$3,0)-30-LOOKUP(H$3,INT(DATEDIF(6,EOMONTH(EDATE(H$3,-MONTH(H$3)),0),"d")/7)*7+6+14*(ROW($1:$28)-1)))/14,))^{0,1})-1,"нет данных")</f>
        <v>1785.7142857142858</v>
      </c>
      <c r="I7" s="17">
        <f>IFERROR(SUM((IFERROR(VLOOKUP(LOOKUP(I$3,INT(DATEDIF(6,EOMONTH(EDATE(I$3,-MONTH(I$3)),0),"d")/7)*7+6+14*(ROW($1:$28)-1))+14,$A$2:$B$16,2,)*(17-I$3+LOOKUP(I$3,INT(DATEDIF(6,EOMONTH(EDATE(I$3,-MONTH(I$3)),0),"d")/7)*7+6+14*(ROW($1:$28)-1)))/14,)+IFERROR(VLOOKUP(LOOKUP(I$3,INT(DATEDIF(6,EOMONTH(EDATE(I$3,-MONTH(I$3)),0),"d")/7)*7+6+14*(ROW($1:$28)-1))+28,$A$2:$B$16,2,),)+IFERROR(VLOOKUP(LOOKUP(I$3,INT(DATEDIF(6,EOMONTH(EDATE(I$3,-MONTH(I$3)),0),"d")/7)*7+6+14*(ROW($1:$28)-1))+42,$A$2:$B$16,2,)*(EOMONTH(I$3,0)-30-LOOKUP(I$3,INT(DATEDIF(6,EOMONTH(EDATE(I$3,-MONTH(I$3)),0),"d")/7)*7+6+14*(ROW($1:$28)-1)))/14,)+SUM((IF(ISNA(MATCH($A$2:$A$16,INT(DATEDIF(6,EOMONTH(EDATE(I$3,-MONTH(I$3)),0),"d")/7)*7+6+14*(ROW($1:$28)-1),))*((WEEKDAY($A$2:$A$16)&lt;&gt;6)+(ISODD(WEEKNUM(--$A$2:$A$16)))),$A$2:$A$16,)&gt;=I$3)*(IF(ISNA(MATCH($A$2:$A$16,INT(DATEDIF(6,EOMONTH(EDATE(I$3,-MONTH(I$3)),0),"d")/7)*7+6+14*(ROW($1:$28)-1),))*((WEEKDAY($A$2:$A$16)&lt;&gt;6)+(ISODD(WEEKNUM(--$A$2:$A$16)))),$A$2:$A$16,)&lt;=EOMONTH(I$3,0))*(($C$2:$C$16="%")*$B$3:$B$17*$B$2:$B$16%+($C$2:$C$16="bonus")*$B$2:$B$16)))^{0,1})-1,"нет данных")</f>
        <v>3714.2857142857142</v>
      </c>
      <c r="J7" s="17">
        <f>IFERROR(SUM((IFERROR(VLOOKUP(LOOKUP(J$3,INT(DATEDIF(6,EOMONTH(EDATE(J$3,-MONTH(J$3)),0),"d")/7)*7+6+14*(ROW($1:$28)-1))+14,$A$2:$B$16,2,)*(17-J$3+LOOKUP(J$3,INT(DATEDIF(6,EOMONTH(EDATE(J$3,-MONTH(J$3)),0),"d")/7)*7+6+14*(ROW($1:$28)-1)))/14,)+IFERROR(VLOOKUP(LOOKUP(J$3,INT(DATEDIF(6,EOMONTH(EDATE(J$3,-MONTH(J$3)),0),"d")/7)*7+6+14*(ROW($1:$28)-1))+28,$A$2:$B$16,2,),)+IFERROR(VLOOKUP(LOOKUP(J$3,INT(DATEDIF(6,EOMONTH(EDATE(J$3,-MONTH(J$3)),0),"d")/7)*7+6+14*(ROW($1:$28)-1))+42,$A$2:$B$16,2,)*(EOMONTH(J$3,0)-30-LOOKUP(J$3,INT(DATEDIF(6,EOMONTH(EDATE(J$3,-MONTH(J$3)),0),"d")/7)*7+6+14*(ROW($1:$28)-1)))/14,))^{0,1})-1,"нет данных")</f>
        <v>2142.8571428571431</v>
      </c>
      <c r="K7" s="17">
        <f>IFERROR(SUM((IFERROR(VLOOKUP(LOOKUP(K$3,INT(DATEDIF(6,EOMONTH(EDATE(K$3,-MONTH(K$3)),0),"d")/7)*7+6+14*(ROW($1:$28)-1))+14,$A$2:$B$16,2,)*(17-K$3+LOOKUP(K$3,INT(DATEDIF(6,EOMONTH(EDATE(K$3,-MONTH(K$3)),0),"d")/7)*7+6+14*(ROW($1:$28)-1)))/14,)+IFERROR(VLOOKUP(LOOKUP(K$3,INT(DATEDIF(6,EOMONTH(EDATE(K$3,-MONTH(K$3)),0),"d")/7)*7+6+14*(ROW($1:$28)-1))+28,$A$2:$B$16,2,),)+IFERROR(VLOOKUP(LOOKUP(K$3,INT(DATEDIF(6,EOMONTH(EDATE(K$3,-MONTH(K$3)),0),"d")/7)*7+6+14*(ROW($1:$28)-1))+42,$A$2:$B$16,2,)*(EOMONTH(K$3,0)-30-LOOKUP(K$3,INT(DATEDIF(6,EOMONTH(EDATE(K$3,-MONTH(K$3)),0),"d")/7)*7+6+14*(ROW($1:$28)-1)))/14,))^{0,1})-1,"нет данных")</f>
        <v>2214.2857142857142</v>
      </c>
      <c r="L7" s="17">
        <f>IFERROR(SUM((IFERROR(VLOOKUP(LOOKUP(L$3,INT(DATEDIF(6,EOMONTH(EDATE(L$3,-MONTH(L$3)),0),"d")/7)*7+6+14*(ROW($1:$28)-1))+14,$A$2:$B$16,2,)*(17-L$3+LOOKUP(L$3,INT(DATEDIF(6,EOMONTH(EDATE(L$3,-MONTH(L$3)),0),"d")/7)*7+6+14*(ROW($1:$28)-1)))/14,)+IFERROR(VLOOKUP(LOOKUP(L$3,INT(DATEDIF(6,EOMONTH(EDATE(L$3,-MONTH(L$3)),0),"d")/7)*7+6+14*(ROW($1:$28)-1))+28,$A$2:$B$16,2,),)+IFERROR(VLOOKUP(LOOKUP(L$3,INT(DATEDIF(6,EOMONTH(EDATE(L$3,-MONTH(L$3)),0),"d")/7)*7+6+14*(ROW($1:$28)-1))+42,$A$2:$B$16,2,)*(EOMONTH(L$3,0)-30-LOOKUP(L$3,INT(DATEDIF(6,EOMONTH(EDATE(L$3,-MONTH(L$3)),0),"d")/7)*7+6+14*(ROW($1:$28)-1)))/14,))^{0,1})-1,"нет данных")</f>
        <v>2142.8571428571431</v>
      </c>
      <c r="M7" s="17">
        <f>IFERROR(SUM((IFERROR(VLOOKUP(LOOKUP(M$3,INT(DATEDIF(6,EOMONTH(EDATE(M$3,-MONTH(M$3)),0),"d")/7)*7+6+14*(ROW($1:$28)-1))+14,$A$2:$B$16,2,)*(17-M$3+LOOKUP(M$3,INT(DATEDIF(6,EOMONTH(EDATE(M$3,-MONTH(M$3)),0),"d")/7)*7+6+14*(ROW($1:$28)-1)))/14,)+IFERROR(VLOOKUP(LOOKUP(M$3,INT(DATEDIF(6,EOMONTH(EDATE(M$3,-MONTH(M$3)),0),"d")/7)*7+6+14*(ROW($1:$28)-1))+28,$A$2:$B$16,2,),)+IFERROR(VLOOKUP(LOOKUP(M$3,INT(DATEDIF(6,EOMONTH(EDATE(M$3,-MONTH(M$3)),0),"d")/7)*7+6+14*(ROW($1:$28)-1))+42,$A$2:$B$16,2,)*(EOMONTH(M$3,0)-30-LOOKUP(M$3,INT(DATEDIF(6,EOMONTH(EDATE(M$3,-MONTH(M$3)),0),"d")/7)*7+6+14*(ROW($1:$28)-1)))/14,))^{0,1})-1,"нет данных")</f>
        <v>1500</v>
      </c>
      <c r="N7" s="17" t="str">
        <f>IFERROR(SUM((IFERROR(VLOOKUP(LOOKUP(N$3,INT(DATEDIF(6,EOMONTH(EDATE(N$3,-MONTH(N$3)),0),"d")/7)*7+6+14*(ROW($1:$28)-1))+14,$A$2:$B$16,2,)*(17-N$3+LOOKUP(N$3,INT(DATEDIF(6,EOMONTH(EDATE(N$3,-MONTH(N$3)),0),"d")/7)*7+6+14*(ROW($1:$28)-1)))/14,)+IFERROR(VLOOKUP(LOOKUP(N$3,INT(DATEDIF(6,EOMONTH(EDATE(N$3,-MONTH(N$3)),0),"d")/7)*7+6+14*(ROW($1:$28)-1))+28,$A$2:$B$16,2,),)+IFERROR(VLOOKUP(LOOKUP(N$3,INT(DATEDIF(6,EOMONTH(EDATE(N$3,-MONTH(N$3)),0),"d")/7)*7+6+14*(ROW($1:$28)-1))+42,$A$2:$B$16,2,)*(EOMONTH(N$3,0)-30-LOOKUP(N$3,INT(DATEDIF(6,EOMONTH(EDATE(N$3,-MONTH(N$3)),0),"d")/7)*7+6+14*(ROW($1:$28)-1)))/14,))^{0,1})-1,"нет данных")</f>
        <v>нет данных</v>
      </c>
    </row>
    <row r="8" spans="1:16" ht="15.75" thickBot="1" x14ac:dyDescent="0.3">
      <c r="A8" s="1">
        <v>41971</v>
      </c>
      <c r="B8">
        <v>1000</v>
      </c>
      <c r="C8" t="s">
        <v>0</v>
      </c>
      <c r="D8" s="5">
        <f t="shared" si="0"/>
        <v>41959</v>
      </c>
      <c r="E8" s="5">
        <f t="shared" si="1"/>
        <v>41973</v>
      </c>
      <c r="G8" s="18" t="str">
        <f>IFERROR(SUM(SUMPRODUCT((IF(ISNA(MATCH($A$2:$A$16,INT(DATEDIF(6,EOMONTH(EDATE(G$3,-MONTH(G$3)),0),"d")/7)*7+6+14*(ROW($1:$28)-1),))*((WEEKDAY($A$2:$A$16)&lt;&gt;6)+(ISODD(WEEKNUM(--$A$2:$A$16)))),$A$2:$A$16,)&gt;=G$3)*(IF(ISNA(MATCH($A$2:$A$16,INT(DATEDIF(6,EOMONTH(EDATE(G$3,-MONTH(G$3)),0),"d")/7)*7+6+14*(ROW($1:$28)-1),))*((WEEKDAY($A$2:$A$16)&lt;&gt;6)+(ISODD(WEEKNUM(--$A$2:$A$16)))),$A$2:$A$16,)&lt;=EOMONTH(G$3,0))*(($C$2:$C$16="%")*$B$3:$B$17*$B$2:$B$16%+($C$2:$C$16="bonus")*$B$2:$B$16))^{0,1})-1,"")</f>
        <v/>
      </c>
      <c r="H8" s="18" t="str">
        <f t="array" ref="H8">IFERROR(SUM(SUM((IF(ISNA(MATCH($A$2:$A$16,INT(DATEDIF(6,EOMONTH(EDATE(H$3,-MONTH(H$3)),0),"d")/7)*7+6+14*(ROW($1:$28)-1),))*((WEEKDAY($A$2:$A$16)&lt;&gt;6)+(ISODD(WEEKNUM(--$A$2:$A$16)))),$A$2:$A$16,)&gt;=H$3)*(IF(ISNA(MATCH($A$2:$A$16,INT(DATEDIF(6,EOMONTH(EDATE(H$3,-MONTH(H$3)),0),"d")/7)*7+6+14*(ROW($1:$28)-1),))*((WEEKDAY($A$2:$A$16)&lt;&gt;6)+(ISODD(WEEKNUM(--$A$2:$A$16)))),$A$2:$A$16,)&lt;=EOMONTH(H$3,0))*(($C$2:$C$16="%")*$B$3:$B$17*$B$2:$B$16%+($C$2:$C$16="bonus")*$B$2:$B$16))^{0,1})-1,"")</f>
        <v/>
      </c>
      <c r="I8" s="18">
        <f t="array" ref="I8">IFERROR(SUM(SUM((IF(ISNA(MATCH($A$2:$A$16,INT(DATEDIF(6,EOMONTH(EDATE(I$3,-MONTH(I$3)),0),"d")/7)*7+6+14*(ROW($1:$28)-1),))*((WEEKDAY($A$2:$A$16)&lt;&gt;6)+(ISODD(WEEKNUM(--$A$2:$A$16)))),$A$2:$A$16,)&gt;=I$3)*(IF(ISNA(MATCH($A$2:$A$16,INT(DATEDIF(6,EOMONTH(EDATE(I$3,-MONTH(I$3)),0),"d")/7)*7+6+14*(ROW($1:$28)-1),))*((WEEKDAY($A$2:$A$16)&lt;&gt;6)+(ISODD(WEEKNUM(--$A$2:$A$16)))),$A$2:$A$16,)&lt;=EOMONTH(I$3,0))*(($C$2:$C$16="%")*$B$3:$B$17*$B$2:$B$16%+($C$2:$C$16="bonus")*$B$2:$B$16))^{0,1})-1,"")</f>
        <v>1530</v>
      </c>
      <c r="J8" s="18" t="str">
        <f t="array" ref="J8">IFERROR(SUM(SUM((IF(ISNA(MATCH($A$2:$A$16,INT(DATEDIF(6,EOMONTH(EDATE(J$3,-MONTH(J$3)),0),"d")/7)*7+6+14*(ROW($1:$28)-1),))*((WEEKDAY($A$2:$A$16)&lt;&gt;6)+(ISODD(WEEKNUM(--$A$2:$A$16)))),$A$2:$A$16,)&gt;=J$3)*(IF(ISNA(MATCH($A$2:$A$16,INT(DATEDIF(6,EOMONTH(EDATE(J$3,-MONTH(J$3)),0),"d")/7)*7+6+14*(ROW($1:$28)-1),))*((WEEKDAY($A$2:$A$16)&lt;&gt;6)+(ISODD(WEEKNUM(--$A$2:$A$16)))),$A$2:$A$16,)&lt;=EOMONTH(J$3,0))*(($C$2:$C$16="%")*$B$3:$B$17*$B$2:$B$16%+($C$2:$C$16="bonus")*$B$2:$B$16))^{0,1})-1,"")</f>
        <v/>
      </c>
      <c r="K8" s="18" t="str">
        <f t="array" ref="K8">IFERROR(SUM(SUM((IF(ISNA(MATCH($A$2:$A$16,INT(DATEDIF(6,EOMONTH(EDATE(K$3,-MONTH(K$3)),0),"d")/7)*7+6+14*(ROW($1:$28)-1),))*((WEEKDAY($A$2:$A$16)&lt;&gt;6)+(ISODD(WEEKNUM(--$A$2:$A$16)))),$A$2:$A$16,)&gt;=K$3)*(IF(ISNA(MATCH($A$2:$A$16,INT(DATEDIF(6,EOMONTH(EDATE(K$3,-MONTH(K$3)),0),"d")/7)*7+6+14*(ROW($1:$28)-1),))*((WEEKDAY($A$2:$A$16)&lt;&gt;6)+(ISODD(WEEKNUM(--$A$2:$A$16)))),$A$2:$A$16,)&lt;=EOMONTH(K$3,0))*(($C$2:$C$16="%")*$B$3:$B$17*$B$2:$B$16%+($C$2:$C$16="bonus")*$B$2:$B$16))^{0,1})-1,"")</f>
        <v/>
      </c>
      <c r="L8" s="18">
        <f t="array" ref="L8">IFERROR(SUM(SUM((IF(ISNA(MATCH($A$2:$A$16,INT(DATEDIF(6,EOMONTH(EDATE(L$3,-MONTH(L$3)),0),"d")/7)*7+6+14*(ROW($1:$28)-1),))*((WEEKDAY($A$2:$A$16)&lt;&gt;6)+(ISODD(WEEKNUM(--$A$2:$A$16)))),$A$2:$A$16,)&gt;=L$3)*(IF(ISNA(MATCH($A$2:$A$16,INT(DATEDIF(6,EOMONTH(EDATE(L$3,-MONTH(L$3)),0),"d")/7)*7+6+14*(ROW($1:$28)-1),))*((WEEKDAY($A$2:$A$16)&lt;&gt;6)+(ISODD(WEEKNUM(--$A$2:$A$16)))),$A$2:$A$16,)&lt;=EOMONTH(L$3,0))*(($C$2:$C$16="%")*$B$3:$B$17*$B$2:$B$16%+($C$2:$C$16="bonus")*$B$2:$B$16))^{0,1})-1,"")</f>
        <v>30</v>
      </c>
      <c r="M8" s="18" t="str">
        <f t="array" ref="M8">IFERROR(SUM(SUM((IF(ISNA(MATCH($A$2:$A$16,INT(DATEDIF(6,EOMONTH(EDATE(M$3,-MONTH(M$3)),0),"d")/7)*7+6+14*(ROW($1:$28)-1),))*((WEEKDAY($A$2:$A$16)&lt;&gt;6)+(ISODD(WEEKNUM(--$A$2:$A$16)))),$A$2:$A$16,)&gt;=M$3)*(IF(ISNA(MATCH($A$2:$A$16,INT(DATEDIF(6,EOMONTH(EDATE(M$3,-MONTH(M$3)),0),"d")/7)*7+6+14*(ROW($1:$28)-1),))*((WEEKDAY($A$2:$A$16)&lt;&gt;6)+(ISODD(WEEKNUM(--$A$2:$A$16)))),$A$2:$A$16,)&lt;=EOMONTH(M$3,0))*(($C$2:$C$16="%")*$B$3:$B$17*$B$2:$B$16%+($C$2:$C$16="bonus")*$B$2:$B$16))^{0,1})-1,"")</f>
        <v/>
      </c>
      <c r="N8" s="18" t="str">
        <f t="array" ref="N8">IFERROR(SUM(SUM((IF(ISNA(MATCH($A$2:$A$16,INT(DATEDIF(6,EOMONTH(EDATE(N$3,-MONTH(N$3)),0),"d")/7)*7+6+14*(ROW($1:$28)-1),))*((WEEKDAY($A$2:$A$16)&lt;&gt;6)+(ISODD(WEEKNUM(--$A$2:$A$16)))),$A$2:$A$16,)&gt;=N$3)*(IF(ISNA(MATCH($A$2:$A$16,INT(DATEDIF(6,EOMONTH(EDATE(N$3,-MONTH(N$3)),0),"d")/7)*7+6+14*(ROW($1:$28)-1),))*((WEEKDAY($A$2:$A$16)&lt;&gt;6)+(ISODD(WEEKNUM(--$A$2:$A$16)))),$A$2:$A$16,)&lt;=EOMONTH(N$3,0))*(($C$2:$C$16="%")*$B$3:$B$17*$B$2:$B$16%+($C$2:$C$16="bonus")*$B$2:$B$16))^{0,1})-1,"")</f>
        <v/>
      </c>
    </row>
    <row r="9" spans="1:16" ht="15.75" thickBot="1" x14ac:dyDescent="0.3">
      <c r="A9" s="1">
        <v>41957</v>
      </c>
      <c r="B9">
        <v>1000</v>
      </c>
      <c r="C9" t="s">
        <v>0</v>
      </c>
      <c r="D9" s="5">
        <f t="shared" si="0"/>
        <v>41945</v>
      </c>
      <c r="E9" s="5">
        <f t="shared" si="1"/>
        <v>41959</v>
      </c>
      <c r="G9" s="11">
        <f>INT(DATEDIF(6,EOMONTH(EDATE($J$9,-MONTH($J$9)),0),"d")/7)*7+6</f>
        <v>41635</v>
      </c>
      <c r="J9" s="12">
        <v>41974</v>
      </c>
      <c r="K9" s="13">
        <f>IFERROR(SUM((K11+K12+K13+K29)^{0,1})-1,"нет данных")</f>
        <v>3744.2857142857142</v>
      </c>
    </row>
    <row r="10" spans="1:16" ht="15.75" thickBot="1" x14ac:dyDescent="0.3">
      <c r="A10" s="1">
        <v>41943</v>
      </c>
      <c r="B10">
        <v>1000</v>
      </c>
      <c r="C10" t="s">
        <v>0</v>
      </c>
      <c r="D10" s="5">
        <f t="shared" si="0"/>
        <v>41931</v>
      </c>
      <c r="E10" s="5">
        <f t="shared" si="1"/>
        <v>41943</v>
      </c>
      <c r="G10" s="8">
        <f t="array" ref="G10:G37">$G$9+14*(ROW($1:$28)-1)</f>
        <v>41635</v>
      </c>
      <c r="H10" s="11">
        <f>LOOKUP($J$9,$G$10:$G$37)</f>
        <v>41971</v>
      </c>
      <c r="L10" s="4"/>
      <c r="P10"/>
    </row>
    <row r="11" spans="1:16" ht="15.75" thickBot="1" x14ac:dyDescent="0.3">
      <c r="A11" s="1">
        <v>41929</v>
      </c>
      <c r="B11">
        <v>1000</v>
      </c>
      <c r="C11" t="s">
        <v>0</v>
      </c>
      <c r="D11" s="5">
        <f t="shared" si="0"/>
        <v>41917</v>
      </c>
      <c r="E11" s="5">
        <f t="shared" si="1"/>
        <v>41931</v>
      </c>
      <c r="G11" s="9">
        <v>41649</v>
      </c>
      <c r="H11" s="11">
        <f>$H$10+14</f>
        <v>41985</v>
      </c>
      <c r="I11" s="14">
        <f>VLOOKUP($H$11,$A$2:$B$16,2,)</f>
        <v>1000</v>
      </c>
      <c r="J11" s="15">
        <f>17-$J$9+$H$10</f>
        <v>14</v>
      </c>
      <c r="K11" s="13">
        <f>IFERROR($J$11*$I$11/14,)</f>
        <v>1000</v>
      </c>
      <c r="P11"/>
    </row>
    <row r="12" spans="1:16" ht="15.75" thickBot="1" x14ac:dyDescent="0.3">
      <c r="A12" s="1">
        <v>41915</v>
      </c>
      <c r="B12">
        <v>1000</v>
      </c>
      <c r="C12" t="s">
        <v>0</v>
      </c>
      <c r="D12" s="5">
        <f t="shared" si="0"/>
        <v>41912</v>
      </c>
      <c r="E12" s="5">
        <f t="shared" si="1"/>
        <v>41917</v>
      </c>
      <c r="G12" s="9">
        <v>41663</v>
      </c>
      <c r="H12" s="11">
        <f>$H$10+28</f>
        <v>41999</v>
      </c>
      <c r="J12" s="13"/>
      <c r="K12" s="13">
        <f>IFERROR(VLOOKUP($H$12,$A$2:$B$16,2,),)</f>
        <v>1000</v>
      </c>
      <c r="L12" s="4"/>
      <c r="P12"/>
    </row>
    <row r="13" spans="1:16" ht="15.75" thickBot="1" x14ac:dyDescent="0.3">
      <c r="A13" s="1">
        <v>41912</v>
      </c>
      <c r="B13">
        <v>3</v>
      </c>
      <c r="C13" t="s">
        <v>1</v>
      </c>
      <c r="D13" s="5">
        <f t="shared" si="0"/>
        <v>41900</v>
      </c>
      <c r="E13" s="5">
        <f t="shared" si="1"/>
        <v>41912</v>
      </c>
      <c r="G13" s="9">
        <v>41677</v>
      </c>
      <c r="H13" s="11">
        <f>$H$10+42</f>
        <v>42013</v>
      </c>
      <c r="I13" s="13">
        <f>VLOOKUP($H$13,$A$2:$B$16,2,)</f>
        <v>1000</v>
      </c>
      <c r="J13" s="11">
        <f>EOMONTH($J$9,0)-30-$H$10</f>
        <v>3</v>
      </c>
      <c r="K13" s="13">
        <f>IFERROR($I$13*$J$13/14,)</f>
        <v>214.28571428571428</v>
      </c>
      <c r="L13" s="4"/>
      <c r="P13"/>
    </row>
    <row r="14" spans="1:16" x14ac:dyDescent="0.25">
      <c r="A14" s="1">
        <v>41901</v>
      </c>
      <c r="B14">
        <v>1000</v>
      </c>
      <c r="C14" t="s">
        <v>0</v>
      </c>
      <c r="D14" s="5">
        <f t="shared" si="0"/>
        <v>41889</v>
      </c>
      <c r="E14" s="5">
        <f t="shared" si="1"/>
        <v>41903</v>
      </c>
      <c r="G14" s="9">
        <v>41691</v>
      </c>
      <c r="H14" s="19">
        <f t="array" ref="H14:H28">(IF(ISNA(MATCH($A$2:$A$16,G10:G37,))*((WEEKDAY($A$2:$A$16)&lt;&gt;6)+(ISODD(WEEKNUM(--$A$2:$A$16)))),$A$2:$A$16))</f>
        <v>0</v>
      </c>
      <c r="I14" s="22">
        <f t="array" ref="I14:I28">($H$14:$H$28&gt;=J9)*($H$14:$H$28&lt;=EOMONTH(J9,0))</f>
        <v>0</v>
      </c>
      <c r="J14" s="22">
        <f t="array" ref="J14:J28">($C$2:$C$16="%")*$B$3:$B$17*$B$2:$B$16%</f>
        <v>0</v>
      </c>
      <c r="K14" s="22">
        <f t="array" ref="K14:K28">($C$2:$C$16="bonus")*$B$2:$B$16</f>
        <v>0</v>
      </c>
      <c r="L14" s="16"/>
      <c r="P14"/>
    </row>
    <row r="15" spans="1:16" x14ac:dyDescent="0.25">
      <c r="A15" s="1">
        <v>41887</v>
      </c>
      <c r="B15">
        <v>1000</v>
      </c>
      <c r="C15" t="s">
        <v>0</v>
      </c>
      <c r="D15" s="5">
        <f t="shared" si="0"/>
        <v>41882</v>
      </c>
      <c r="E15" s="5">
        <f t="shared" si="1"/>
        <v>41889</v>
      </c>
      <c r="G15" s="9">
        <v>41705</v>
      </c>
      <c r="H15" s="20">
        <v>0</v>
      </c>
      <c r="I15" s="20">
        <v>0</v>
      </c>
      <c r="J15" s="23">
        <v>0</v>
      </c>
      <c r="K15" s="23">
        <v>0</v>
      </c>
      <c r="P15"/>
    </row>
    <row r="16" spans="1:16" x14ac:dyDescent="0.25">
      <c r="A16" s="1">
        <v>41873</v>
      </c>
      <c r="B16">
        <v>1000</v>
      </c>
      <c r="C16" t="s">
        <v>0</v>
      </c>
      <c r="D16" s="5">
        <f t="shared" si="0"/>
        <v>41861</v>
      </c>
      <c r="E16" s="5">
        <f t="shared" si="1"/>
        <v>41875</v>
      </c>
      <c r="G16" s="9">
        <v>41719</v>
      </c>
      <c r="H16" s="20">
        <v>42004</v>
      </c>
      <c r="I16" s="20">
        <v>1</v>
      </c>
      <c r="J16" s="23">
        <v>30</v>
      </c>
      <c r="K16" s="23">
        <v>0</v>
      </c>
      <c r="M16" s="4"/>
      <c r="P16"/>
    </row>
    <row r="17" spans="7:16" x14ac:dyDescent="0.25">
      <c r="G17" s="9">
        <v>41733</v>
      </c>
      <c r="H17" s="20">
        <v>0</v>
      </c>
      <c r="I17" s="20">
        <v>0</v>
      </c>
      <c r="J17" s="23">
        <v>0</v>
      </c>
      <c r="K17" s="23">
        <v>0</v>
      </c>
      <c r="M17" s="4"/>
      <c r="P17"/>
    </row>
    <row r="18" spans="7:16" x14ac:dyDescent="0.25">
      <c r="G18" s="9">
        <v>41747</v>
      </c>
      <c r="H18" s="20">
        <v>0</v>
      </c>
      <c r="I18" s="20">
        <v>0</v>
      </c>
      <c r="J18" s="23">
        <v>0</v>
      </c>
      <c r="K18" s="23">
        <v>0</v>
      </c>
      <c r="M18" s="4"/>
      <c r="P18"/>
    </row>
    <row r="19" spans="7:16" x14ac:dyDescent="0.25">
      <c r="G19" s="9">
        <v>41761</v>
      </c>
      <c r="H19" s="20">
        <v>41976</v>
      </c>
      <c r="I19" s="20">
        <v>1</v>
      </c>
      <c r="J19" s="23">
        <v>0</v>
      </c>
      <c r="K19" s="23">
        <v>1500</v>
      </c>
      <c r="M19" s="4"/>
      <c r="P19"/>
    </row>
    <row r="20" spans="7:16" x14ac:dyDescent="0.25">
      <c r="G20" s="9">
        <v>41775</v>
      </c>
      <c r="H20" s="20">
        <v>0</v>
      </c>
      <c r="I20" s="20">
        <v>0</v>
      </c>
      <c r="J20" s="23">
        <v>0</v>
      </c>
      <c r="K20" s="23">
        <v>0</v>
      </c>
      <c r="M20" s="4"/>
      <c r="P20"/>
    </row>
    <row r="21" spans="7:16" x14ac:dyDescent="0.25">
      <c r="G21" s="9">
        <v>41789</v>
      </c>
      <c r="H21" s="20">
        <v>0</v>
      </c>
      <c r="I21" s="20">
        <v>0</v>
      </c>
      <c r="J21" s="23">
        <v>0</v>
      </c>
      <c r="K21" s="23">
        <v>0</v>
      </c>
      <c r="M21" s="4"/>
      <c r="P21"/>
    </row>
    <row r="22" spans="7:16" x14ac:dyDescent="0.25">
      <c r="G22" s="9">
        <v>41803</v>
      </c>
      <c r="H22" s="20">
        <v>0</v>
      </c>
      <c r="I22" s="20">
        <v>0</v>
      </c>
      <c r="J22" s="23">
        <v>0</v>
      </c>
      <c r="K22" s="23">
        <v>0</v>
      </c>
      <c r="M22" s="4"/>
      <c r="P22"/>
    </row>
    <row r="23" spans="7:16" x14ac:dyDescent="0.25">
      <c r="G23" s="9">
        <v>41817</v>
      </c>
      <c r="H23" s="20">
        <v>0</v>
      </c>
      <c r="I23" s="20">
        <v>0</v>
      </c>
      <c r="J23" s="23">
        <v>0</v>
      </c>
      <c r="K23" s="23">
        <v>0</v>
      </c>
      <c r="M23" s="4"/>
      <c r="P23"/>
    </row>
    <row r="24" spans="7:16" x14ac:dyDescent="0.25">
      <c r="G24" s="9">
        <v>41831</v>
      </c>
      <c r="H24" s="20">
        <v>0</v>
      </c>
      <c r="I24" s="20">
        <v>0</v>
      </c>
      <c r="J24" s="23">
        <v>0</v>
      </c>
      <c r="K24" s="23">
        <v>0</v>
      </c>
      <c r="M24" s="4"/>
      <c r="P24"/>
    </row>
    <row r="25" spans="7:16" x14ac:dyDescent="0.25">
      <c r="G25" s="9">
        <v>41845</v>
      </c>
      <c r="H25" s="20">
        <v>41912</v>
      </c>
      <c r="I25" s="20">
        <v>0</v>
      </c>
      <c r="J25" s="23">
        <v>30</v>
      </c>
      <c r="K25" s="23">
        <v>0</v>
      </c>
    </row>
    <row r="26" spans="7:16" x14ac:dyDescent="0.25">
      <c r="G26" s="9">
        <v>41859</v>
      </c>
      <c r="H26" s="20">
        <v>0</v>
      </c>
      <c r="I26" s="20">
        <v>0</v>
      </c>
      <c r="J26" s="23">
        <v>0</v>
      </c>
      <c r="K26" s="23">
        <v>0</v>
      </c>
    </row>
    <row r="27" spans="7:16" x14ac:dyDescent="0.25">
      <c r="G27" s="9">
        <v>41873</v>
      </c>
      <c r="H27" s="20">
        <v>0</v>
      </c>
      <c r="I27" s="20">
        <v>0</v>
      </c>
      <c r="J27" s="23">
        <v>0</v>
      </c>
      <c r="K27" s="23">
        <v>0</v>
      </c>
    </row>
    <row r="28" spans="7:16" ht="15.75" thickBot="1" x14ac:dyDescent="0.3">
      <c r="G28" s="9">
        <v>41887</v>
      </c>
      <c r="H28" s="21">
        <v>0</v>
      </c>
      <c r="I28" s="21">
        <v>0</v>
      </c>
      <c r="J28" s="24">
        <v>0</v>
      </c>
      <c r="K28" s="24">
        <v>0</v>
      </c>
    </row>
    <row r="29" spans="7:16" ht="15.75" thickBot="1" x14ac:dyDescent="0.3">
      <c r="G29" s="9">
        <v>41901</v>
      </c>
      <c r="K29" s="13">
        <f t="array" ref="K29">SUM($I$14:$I$28*($J$14:$J$28+$K$14:$K$28))</f>
        <v>1530</v>
      </c>
    </row>
    <row r="30" spans="7:16" x14ac:dyDescent="0.25">
      <c r="G30" s="9">
        <v>41915</v>
      </c>
    </row>
    <row r="31" spans="7:16" x14ac:dyDescent="0.25">
      <c r="G31" s="9">
        <v>41929</v>
      </c>
    </row>
    <row r="32" spans="7:16" x14ac:dyDescent="0.25">
      <c r="G32" s="9">
        <v>41943</v>
      </c>
      <c r="J32" s="4"/>
    </row>
    <row r="33" spans="7:10" x14ac:dyDescent="0.25">
      <c r="G33" s="9">
        <v>41957</v>
      </c>
      <c r="J33" s="4"/>
    </row>
    <row r="34" spans="7:10" x14ac:dyDescent="0.25">
      <c r="G34" s="9">
        <v>41971</v>
      </c>
      <c r="J34" s="4"/>
    </row>
    <row r="35" spans="7:10" x14ac:dyDescent="0.25">
      <c r="G35" s="9">
        <v>41985</v>
      </c>
      <c r="J35" s="4"/>
    </row>
    <row r="36" spans="7:10" x14ac:dyDescent="0.25">
      <c r="G36" s="9">
        <v>41999</v>
      </c>
      <c r="J36" s="4"/>
    </row>
    <row r="37" spans="7:10" ht="15.75" thickBot="1" x14ac:dyDescent="0.3">
      <c r="G37" s="10">
        <v>42013</v>
      </c>
      <c r="J37" s="4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"/>
  <sheetViews>
    <sheetView workbookViewId="0">
      <selection activeCell="B2" sqref="B2"/>
    </sheetView>
  </sheetViews>
  <sheetFormatPr defaultRowHeight="15" x14ac:dyDescent="0.25"/>
  <cols>
    <col min="2" max="2" width="9.140625" customWidth="1"/>
  </cols>
  <sheetData>
    <row r="1" spans="1:6" x14ac:dyDescent="0.25">
      <c r="B1" s="2" t="e">
        <f ca="1">ДАТАМЕС(C1,1)</f>
        <v>#NAME?</v>
      </c>
      <c r="C1" s="2" t="e">
        <f ca="1">ДАТАМЕС(D1,1)</f>
        <v>#NAME?</v>
      </c>
      <c r="D1" s="2" t="e">
        <f ca="1">ДАТАМЕС(E1,1)</f>
        <v>#NAME?</v>
      </c>
      <c r="E1" s="2" t="e">
        <f ca="1">ДАТАМЕС(F1,1)</f>
        <v>#NAME?</v>
      </c>
      <c r="F1" s="2">
        <v>41883</v>
      </c>
    </row>
    <row r="2" spans="1:6" x14ac:dyDescent="0.25">
      <c r="B2" s="3">
        <f>11/14*Sheet1!B3+Sheet1!B2</f>
        <v>1785.7142857142858</v>
      </c>
      <c r="C2" s="3">
        <f>Sheet1!B6+Sheet1!B5+3/14*Sheet1!B3</f>
        <v>2214.2857142857142</v>
      </c>
      <c r="D2" s="3">
        <f>2/14*Sheet1!B10+Sheet1!B9+Sheet1!B8</f>
        <v>2142.8571428571431</v>
      </c>
      <c r="E2" s="3">
        <f>5/14*Sheet1!B12+Sheet1!B11+12/14*Sheet1!B10</f>
        <v>2214.2857142857142</v>
      </c>
      <c r="F2" s="3">
        <f>7/14*Sheet1!B15+Sheet1!B14+9/14*Sheet1!B12</f>
        <v>2142.8571428571431</v>
      </c>
    </row>
    <row r="3" spans="1:6" x14ac:dyDescent="0.25">
      <c r="A3" t="s">
        <v>0</v>
      </c>
      <c r="B3">
        <f ca="1">SUMIFS(Sheet1!$B:$B,Sheet1!$A:$A,"&gt;="&amp;B$1,Sheet1!$A:$A,"&lt;="&amp;КОНМЕСЯЦА(B$1,0),Sheet1!$C:$C,"="&amp;$A3)</f>
        <v>0</v>
      </c>
      <c r="C3">
        <f ca="1">SUMIFS(Sheet1!$B:$B,Sheet1!$A:$A,"&gt;="&amp;C$1,Sheet1!$A:$A,"&lt;="&amp;КОНМЕСЯЦА(C$1,0),Sheet1!$C:$C,"="&amp;$A3)</f>
        <v>0</v>
      </c>
      <c r="D3">
        <f ca="1">SUMIFS(Sheet1!$B:$B,Sheet1!$A:$A,"&gt;="&amp;D$1,Sheet1!$A:$A,"&lt;="&amp;КОНМЕСЯЦА(D$1,0),Sheet1!$C:$C,"="&amp;$A3)</f>
        <v>0</v>
      </c>
      <c r="E3">
        <f ca="1">SUMIFS(Sheet1!$B:$B,Sheet1!$A:$A,"&gt;="&amp;E$1,Sheet1!$A:$A,"&lt;="&amp;КОНМЕСЯЦА(E$1,0),Sheet1!$C:$C,"="&amp;$A3)</f>
        <v>0</v>
      </c>
      <c r="F3">
        <f ca="1">SUMIFS(Sheet1!$B:$B,Sheet1!$A:$A,"&gt;="&amp;F$1,Sheet1!$A:$A,"&lt;="&amp;КОНМЕСЯЦА(F$1,0),Sheet1!$C:$C,"="&amp;$A3)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2015-01-29T14:13:12Z</dcterms:created>
  <dcterms:modified xsi:type="dcterms:W3CDTF">2015-01-30T22:17:57Z</dcterms:modified>
</cp:coreProperties>
</file>