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15" windowWidth="20115" windowHeight="6255" tabRatio="860"/>
  </bookViews>
  <sheets>
    <sheet name="расчет" sheetId="31" r:id="rId1"/>
    <sheet name="база" sheetId="30" r:id="rId2"/>
    <sheet name="569-09" sheetId="17" r:id="rId3"/>
    <sheet name="569-10" sheetId="18" r:id="rId4"/>
    <sheet name="569-11" sheetId="19" r:id="rId5"/>
    <sheet name="569-12" sheetId="20" r:id="rId6"/>
    <sheet name="569-13" sheetId="21" r:id="rId7"/>
    <sheet name="569-14" sheetId="16" r:id="rId8"/>
  </sheets>
  <externalReferences>
    <externalReference r:id="rId9"/>
  </externalReferences>
  <definedNames>
    <definedName name="Грязевик569_09_50_16">'569-09'!$C$5:$I$18</definedName>
    <definedName name="Грязевик569_10_65_16">'569-10'!$C$5:$I$18</definedName>
  </definedNames>
  <calcPr calcId="144525"/>
</workbook>
</file>

<file path=xl/calcChain.xml><?xml version="1.0" encoding="utf-8"?>
<calcChain xmlns="http://schemas.openxmlformats.org/spreadsheetml/2006/main">
  <c r="E4" i="31" l="1"/>
  <c r="E3" i="31"/>
  <c r="E5" i="31" l="1"/>
  <c r="E6" i="31"/>
  <c r="E7" i="31"/>
  <c r="E8" i="31"/>
  <c r="E9" i="31"/>
  <c r="E10" i="31"/>
  <c r="E11" i="31"/>
  <c r="E12" i="31"/>
  <c r="E13" i="31"/>
  <c r="E14" i="31"/>
  <c r="E2" i="31"/>
  <c r="D96" i="20" l="1"/>
  <c r="D97" i="20" s="1"/>
  <c r="I92" i="20"/>
  <c r="H92" i="20"/>
  <c r="I91" i="20"/>
  <c r="H91" i="20"/>
  <c r="I90" i="20"/>
  <c r="H90" i="20"/>
  <c r="I89" i="20"/>
  <c r="H89" i="20"/>
  <c r="I88" i="20"/>
  <c r="H88" i="20"/>
  <c r="I87" i="20"/>
  <c r="H87" i="20"/>
  <c r="I86" i="20"/>
  <c r="H86" i="20"/>
  <c r="I85" i="20"/>
  <c r="H85" i="20"/>
  <c r="I84" i="20"/>
  <c r="H84" i="20"/>
  <c r="I83" i="20"/>
  <c r="H83" i="20"/>
  <c r="I82" i="20"/>
  <c r="H82" i="20"/>
  <c r="I81" i="20"/>
  <c r="H81" i="20"/>
  <c r="I80" i="20"/>
  <c r="H80" i="20"/>
  <c r="I79" i="20"/>
  <c r="I93" i="20" s="1"/>
  <c r="H79" i="20"/>
  <c r="H93" i="20" s="1"/>
  <c r="D99" i="20" s="1"/>
  <c r="D101" i="20" s="1"/>
  <c r="D21" i="16" l="1"/>
  <c r="D20" i="16"/>
  <c r="D21" i="21"/>
  <c r="D21" i="19"/>
  <c r="D21" i="18"/>
  <c r="D21" i="17"/>
  <c r="D20" i="21"/>
  <c r="D20" i="20"/>
  <c r="D21" i="20" s="1"/>
  <c r="D20" i="17"/>
  <c r="D20" i="18"/>
  <c r="D20" i="19"/>
  <c r="H74" i="17" l="1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D29" i="17"/>
  <c r="F29" i="17"/>
  <c r="G29" i="17"/>
  <c r="H29" i="17"/>
  <c r="I29" i="17"/>
  <c r="D31" i="17"/>
  <c r="D32" i="17"/>
  <c r="D33" i="17"/>
  <c r="D37" i="17"/>
  <c r="D41" i="17"/>
  <c r="E41" i="17"/>
  <c r="G43" i="17"/>
  <c r="C17" i="16" l="1"/>
  <c r="D17" i="16"/>
  <c r="E17" i="16"/>
  <c r="F17" i="16"/>
  <c r="G17" i="16"/>
  <c r="C16" i="16"/>
  <c r="D16" i="16"/>
  <c r="E16" i="16"/>
  <c r="F16" i="16"/>
  <c r="G16" i="16"/>
  <c r="C17" i="21" l="1"/>
  <c r="D17" i="21"/>
  <c r="I17" i="21" s="1"/>
  <c r="E17" i="21"/>
  <c r="F17" i="21"/>
  <c r="H17" i="21" s="1"/>
  <c r="C16" i="21"/>
  <c r="D16" i="21"/>
  <c r="E16" i="21"/>
  <c r="F16" i="21"/>
  <c r="G16" i="21"/>
  <c r="H16" i="21"/>
  <c r="C9" i="21"/>
  <c r="D9" i="21"/>
  <c r="E9" i="21"/>
  <c r="F9" i="21"/>
  <c r="G9" i="21"/>
  <c r="H9" i="21"/>
  <c r="C7" i="21"/>
  <c r="E7" i="21"/>
  <c r="F7" i="21"/>
  <c r="G7" i="21"/>
  <c r="H7" i="21"/>
  <c r="I7" i="21"/>
  <c r="G15" i="21"/>
  <c r="I15" i="21" s="1"/>
  <c r="F15" i="21"/>
  <c r="H15" i="21" s="1"/>
  <c r="C15" i="21"/>
  <c r="G14" i="21"/>
  <c r="F14" i="21"/>
  <c r="E14" i="21"/>
  <c r="D14" i="21"/>
  <c r="H14" i="21" s="1"/>
  <c r="C14" i="21"/>
  <c r="G13" i="21"/>
  <c r="F13" i="21"/>
  <c r="E13" i="21"/>
  <c r="D13" i="21"/>
  <c r="C13" i="21"/>
  <c r="G12" i="21"/>
  <c r="F12" i="21"/>
  <c r="E12" i="21"/>
  <c r="D12" i="21"/>
  <c r="H12" i="21" s="1"/>
  <c r="C12" i="21"/>
  <c r="G11" i="21"/>
  <c r="I11" i="21" s="1"/>
  <c r="F11" i="21"/>
  <c r="H11" i="21" s="1"/>
  <c r="E11" i="21"/>
  <c r="C11" i="21"/>
  <c r="G10" i="21"/>
  <c r="F10" i="21"/>
  <c r="E10" i="21"/>
  <c r="D10" i="21"/>
  <c r="C10" i="21"/>
  <c r="G8" i="21"/>
  <c r="F8" i="21"/>
  <c r="E8" i="21"/>
  <c r="D8" i="21"/>
  <c r="H8" i="21" s="1"/>
  <c r="C8" i="21"/>
  <c r="G6" i="21"/>
  <c r="I6" i="21" s="1"/>
  <c r="F6" i="21"/>
  <c r="H6" i="21" s="1"/>
  <c r="E6" i="21"/>
  <c r="C6" i="21"/>
  <c r="G5" i="21"/>
  <c r="I5" i="21" s="1"/>
  <c r="F5" i="21"/>
  <c r="H5" i="21" s="1"/>
  <c r="E5" i="21"/>
  <c r="C5" i="21"/>
  <c r="C17" i="20"/>
  <c r="D17" i="20"/>
  <c r="I17" i="20" s="1"/>
  <c r="E17" i="20"/>
  <c r="F17" i="20"/>
  <c r="C16" i="20"/>
  <c r="D16" i="20"/>
  <c r="E16" i="20"/>
  <c r="F16" i="20"/>
  <c r="H16" i="20" s="1"/>
  <c r="G16" i="20"/>
  <c r="C17" i="19"/>
  <c r="D17" i="19"/>
  <c r="I17" i="19" s="1"/>
  <c r="E17" i="19"/>
  <c r="F17" i="19"/>
  <c r="C16" i="19"/>
  <c r="D16" i="19"/>
  <c r="E16" i="19"/>
  <c r="F16" i="19"/>
  <c r="G16" i="19"/>
  <c r="H16" i="19"/>
  <c r="C11" i="20"/>
  <c r="E11" i="20"/>
  <c r="F11" i="20"/>
  <c r="G11" i="20"/>
  <c r="H11" i="20"/>
  <c r="I11" i="20"/>
  <c r="C10" i="20"/>
  <c r="D10" i="20"/>
  <c r="E10" i="20"/>
  <c r="F10" i="20"/>
  <c r="G10" i="20"/>
  <c r="H10" i="20"/>
  <c r="C9" i="20"/>
  <c r="D9" i="20"/>
  <c r="E9" i="20"/>
  <c r="F9" i="20"/>
  <c r="G9" i="20"/>
  <c r="H9" i="20"/>
  <c r="C7" i="20"/>
  <c r="E7" i="20"/>
  <c r="F7" i="20"/>
  <c r="H7" i="20" s="1"/>
  <c r="G7" i="20"/>
  <c r="I7" i="20" s="1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C5" i="20"/>
  <c r="E5" i="20"/>
  <c r="F5" i="20"/>
  <c r="G5" i="20"/>
  <c r="H5" i="20"/>
  <c r="I5" i="20"/>
  <c r="G15" i="20"/>
  <c r="I15" i="20" s="1"/>
  <c r="F15" i="20"/>
  <c r="H15" i="20" s="1"/>
  <c r="C15" i="20"/>
  <c r="G14" i="20"/>
  <c r="F14" i="20"/>
  <c r="E14" i="20"/>
  <c r="D14" i="20"/>
  <c r="C14" i="20"/>
  <c r="G13" i="20"/>
  <c r="F13" i="20"/>
  <c r="E13" i="20"/>
  <c r="D13" i="20"/>
  <c r="H13" i="20" s="1"/>
  <c r="C13" i="20"/>
  <c r="G12" i="20"/>
  <c r="F12" i="20"/>
  <c r="E12" i="20"/>
  <c r="D12" i="20"/>
  <c r="C12" i="20"/>
  <c r="G8" i="20"/>
  <c r="F8" i="20"/>
  <c r="E8" i="20"/>
  <c r="D8" i="20"/>
  <c r="C8" i="20"/>
  <c r="G6" i="20"/>
  <c r="I6" i="20" s="1"/>
  <c r="F6" i="20"/>
  <c r="H6" i="20" s="1"/>
  <c r="E6" i="20"/>
  <c r="C6" i="20"/>
  <c r="C9" i="19"/>
  <c r="D9" i="19"/>
  <c r="E9" i="19"/>
  <c r="F9" i="19"/>
  <c r="G9" i="19"/>
  <c r="H9" i="19"/>
  <c r="C7" i="19"/>
  <c r="E7" i="19"/>
  <c r="F7" i="19"/>
  <c r="G7" i="19"/>
  <c r="H7" i="19"/>
  <c r="I7" i="19"/>
  <c r="G15" i="19"/>
  <c r="I15" i="19" s="1"/>
  <c r="F15" i="19"/>
  <c r="H15" i="19" s="1"/>
  <c r="C15" i="19"/>
  <c r="G14" i="19"/>
  <c r="F14" i="19"/>
  <c r="E14" i="19"/>
  <c r="D14" i="19"/>
  <c r="C14" i="19"/>
  <c r="G13" i="19"/>
  <c r="F13" i="19"/>
  <c r="E13" i="19"/>
  <c r="D13" i="19"/>
  <c r="H13" i="19" s="1"/>
  <c r="C13" i="19"/>
  <c r="G12" i="19"/>
  <c r="F12" i="19"/>
  <c r="E12" i="19"/>
  <c r="D12" i="19"/>
  <c r="C12" i="19"/>
  <c r="G11" i="19"/>
  <c r="I11" i="19" s="1"/>
  <c r="F11" i="19"/>
  <c r="H11" i="19" s="1"/>
  <c r="E11" i="19"/>
  <c r="C11" i="19"/>
  <c r="G10" i="19"/>
  <c r="F10" i="19"/>
  <c r="E10" i="19"/>
  <c r="D10" i="19"/>
  <c r="H10" i="19" s="1"/>
  <c r="C10" i="19"/>
  <c r="G8" i="19"/>
  <c r="F8" i="19"/>
  <c r="E8" i="19"/>
  <c r="D8" i="19"/>
  <c r="C8" i="19"/>
  <c r="G6" i="19"/>
  <c r="I6" i="19" s="1"/>
  <c r="F6" i="19"/>
  <c r="H6" i="19" s="1"/>
  <c r="E6" i="19"/>
  <c r="C6" i="19"/>
  <c r="G5" i="19"/>
  <c r="I5" i="19" s="1"/>
  <c r="F5" i="19"/>
  <c r="H5" i="19" s="1"/>
  <c r="E5" i="19"/>
  <c r="C5" i="19"/>
  <c r="C17" i="18"/>
  <c r="D17" i="18"/>
  <c r="I17" i="18" s="1"/>
  <c r="E17" i="18"/>
  <c r="F17" i="18"/>
  <c r="C16" i="18"/>
  <c r="D16" i="18"/>
  <c r="E16" i="18"/>
  <c r="F16" i="18"/>
  <c r="G16" i="18"/>
  <c r="H16" i="18"/>
  <c r="C10" i="18"/>
  <c r="D10" i="18"/>
  <c r="E10" i="18"/>
  <c r="F10" i="18"/>
  <c r="G10" i="18"/>
  <c r="C9" i="18"/>
  <c r="D9" i="18"/>
  <c r="E9" i="18"/>
  <c r="F9" i="18"/>
  <c r="G9" i="18"/>
  <c r="H9" i="18"/>
  <c r="C7" i="18"/>
  <c r="E7" i="18"/>
  <c r="F7" i="18"/>
  <c r="G7" i="18"/>
  <c r="H7" i="18"/>
  <c r="I7" i="18"/>
  <c r="C5" i="18"/>
  <c r="E5" i="18"/>
  <c r="F5" i="18"/>
  <c r="G5" i="18"/>
  <c r="H5" i="18"/>
  <c r="I5" i="18"/>
  <c r="G15" i="18"/>
  <c r="I15" i="18" s="1"/>
  <c r="F15" i="18"/>
  <c r="H15" i="18" s="1"/>
  <c r="C15" i="18"/>
  <c r="G14" i="18"/>
  <c r="F14" i="18"/>
  <c r="E14" i="18"/>
  <c r="D14" i="18"/>
  <c r="H14" i="18" s="1"/>
  <c r="C14" i="18"/>
  <c r="G13" i="18"/>
  <c r="F13" i="18"/>
  <c r="E13" i="18"/>
  <c r="D13" i="18"/>
  <c r="C13" i="18"/>
  <c r="G12" i="18"/>
  <c r="F12" i="18"/>
  <c r="E12" i="18"/>
  <c r="D12" i="18"/>
  <c r="H12" i="18" s="1"/>
  <c r="C12" i="18"/>
  <c r="G11" i="18"/>
  <c r="I11" i="18" s="1"/>
  <c r="F11" i="18"/>
  <c r="H11" i="18" s="1"/>
  <c r="E11" i="18"/>
  <c r="C11" i="18"/>
  <c r="G8" i="18"/>
  <c r="F8" i="18"/>
  <c r="E8" i="18"/>
  <c r="D8" i="18"/>
  <c r="H8" i="18" s="1"/>
  <c r="C8" i="18"/>
  <c r="G6" i="18"/>
  <c r="I6" i="18" s="1"/>
  <c r="F6" i="18"/>
  <c r="H6" i="18" s="1"/>
  <c r="E6" i="18"/>
  <c r="C6" i="18"/>
  <c r="C16" i="17"/>
  <c r="D16" i="17"/>
  <c r="D42" i="17" s="1"/>
  <c r="E16" i="17"/>
  <c r="E42" i="17" s="1"/>
  <c r="F16" i="17"/>
  <c r="H16" i="17" s="1"/>
  <c r="G16" i="17"/>
  <c r="G42" i="17" s="1"/>
  <c r="C42" i="17" l="1"/>
  <c r="D13" i="31"/>
  <c r="I10" i="21"/>
  <c r="I13" i="21"/>
  <c r="I9" i="19"/>
  <c r="I12" i="19"/>
  <c r="I14" i="19"/>
  <c r="I16" i="19"/>
  <c r="I8" i="19"/>
  <c r="I8" i="20"/>
  <c r="I8" i="21"/>
  <c r="I10" i="18"/>
  <c r="H10" i="18"/>
  <c r="I9" i="18"/>
  <c r="I12" i="21"/>
  <c r="H17" i="19"/>
  <c r="H17" i="18"/>
  <c r="I10" i="19"/>
  <c r="I13" i="19"/>
  <c r="I16" i="20"/>
  <c r="I14" i="21"/>
  <c r="I16" i="17"/>
  <c r="I42" i="17" s="1"/>
  <c r="I8" i="18"/>
  <c r="I16" i="18"/>
  <c r="I9" i="20"/>
  <c r="I10" i="20"/>
  <c r="H17" i="20"/>
  <c r="I12" i="18"/>
  <c r="I13" i="18"/>
  <c r="I14" i="18"/>
  <c r="I12" i="20"/>
  <c r="I13" i="20"/>
  <c r="I14" i="20"/>
  <c r="I9" i="21"/>
  <c r="I16" i="21"/>
  <c r="H10" i="21"/>
  <c r="H13" i="21"/>
  <c r="H67" i="20"/>
  <c r="H12" i="20"/>
  <c r="H14" i="20"/>
  <c r="H8" i="20"/>
  <c r="H8" i="19"/>
  <c r="H12" i="19"/>
  <c r="H14" i="19"/>
  <c r="H13" i="18"/>
  <c r="H18" i="18" s="1"/>
  <c r="C17" i="17"/>
  <c r="D17" i="17"/>
  <c r="D43" i="17" s="1"/>
  <c r="E17" i="17"/>
  <c r="E43" i="17" s="1"/>
  <c r="F17" i="17"/>
  <c r="C43" i="17" l="1"/>
  <c r="D14" i="31"/>
  <c r="H18" i="21"/>
  <c r="D23" i="21" s="1"/>
  <c r="I18" i="21"/>
  <c r="I18" i="18"/>
  <c r="I18" i="19"/>
  <c r="I18" i="20"/>
  <c r="H18" i="20"/>
  <c r="H18" i="19"/>
  <c r="C9" i="17"/>
  <c r="D6" i="31" s="1"/>
  <c r="D9" i="17"/>
  <c r="D35" i="17" s="1"/>
  <c r="E9" i="17"/>
  <c r="E35" i="17" s="1"/>
  <c r="F9" i="17"/>
  <c r="G9" i="17"/>
  <c r="G35" i="17" s="1"/>
  <c r="H9" i="17"/>
  <c r="C7" i="17"/>
  <c r="D4" i="31" s="1"/>
  <c r="E7" i="17"/>
  <c r="E33" i="17" s="1"/>
  <c r="F7" i="17"/>
  <c r="G7" i="17"/>
  <c r="G33" i="17" s="1"/>
  <c r="H7" i="17"/>
  <c r="I7" i="17"/>
  <c r="I33" i="17" s="1"/>
  <c r="I17" i="17"/>
  <c r="I43" i="17" s="1"/>
  <c r="H17" i="17"/>
  <c r="G15" i="17"/>
  <c r="F15" i="17"/>
  <c r="H15" i="17" s="1"/>
  <c r="C15" i="17"/>
  <c r="G14" i="17"/>
  <c r="G40" i="17" s="1"/>
  <c r="F14" i="17"/>
  <c r="E14" i="17"/>
  <c r="E40" i="17" s="1"/>
  <c r="D14" i="17"/>
  <c r="C14" i="17"/>
  <c r="G13" i="17"/>
  <c r="G39" i="17" s="1"/>
  <c r="F13" i="17"/>
  <c r="E13" i="17"/>
  <c r="E39" i="17" s="1"/>
  <c r="D13" i="17"/>
  <c r="D39" i="17" s="1"/>
  <c r="C13" i="17"/>
  <c r="G12" i="17"/>
  <c r="G38" i="17" s="1"/>
  <c r="F12" i="17"/>
  <c r="E12" i="17"/>
  <c r="E38" i="17" s="1"/>
  <c r="D12" i="17"/>
  <c r="C12" i="17"/>
  <c r="G11" i="17"/>
  <c r="F11" i="17"/>
  <c r="H11" i="17" s="1"/>
  <c r="E11" i="17"/>
  <c r="E37" i="17" s="1"/>
  <c r="C11" i="17"/>
  <c r="G10" i="17"/>
  <c r="G36" i="17" s="1"/>
  <c r="F10" i="17"/>
  <c r="E10" i="17"/>
  <c r="E36" i="17" s="1"/>
  <c r="D10" i="17"/>
  <c r="D36" i="17" s="1"/>
  <c r="C10" i="17"/>
  <c r="D7" i="31" s="1"/>
  <c r="G8" i="17"/>
  <c r="G34" i="17" s="1"/>
  <c r="F8" i="17"/>
  <c r="E8" i="17"/>
  <c r="E34" i="17" s="1"/>
  <c r="D8" i="17"/>
  <c r="C8" i="17"/>
  <c r="D5" i="31" s="1"/>
  <c r="G6" i="17"/>
  <c r="F6" i="17"/>
  <c r="H6" i="17" s="1"/>
  <c r="E6" i="17"/>
  <c r="E32" i="17" s="1"/>
  <c r="C6" i="17"/>
  <c r="D3" i="31" s="1"/>
  <c r="G5" i="17"/>
  <c r="F5" i="17"/>
  <c r="E5" i="17"/>
  <c r="C5" i="17"/>
  <c r="D2" i="31" s="1"/>
  <c r="C37" i="17" l="1"/>
  <c r="D8" i="31"/>
  <c r="C38" i="17"/>
  <c r="D9" i="31"/>
  <c r="C40" i="17"/>
  <c r="D11" i="31"/>
  <c r="H5" i="17"/>
  <c r="G4" i="31"/>
  <c r="G5" i="31"/>
  <c r="G6" i="31"/>
  <c r="G7" i="31"/>
  <c r="G8" i="31"/>
  <c r="G9" i="31"/>
  <c r="G10" i="31"/>
  <c r="G11" i="31"/>
  <c r="G12" i="31"/>
  <c r="G13" i="31"/>
  <c r="G14" i="31"/>
  <c r="G3" i="31"/>
  <c r="G2" i="31"/>
  <c r="E31" i="17"/>
  <c r="F3" i="31"/>
  <c r="F2" i="31"/>
  <c r="F4" i="31"/>
  <c r="F5" i="31"/>
  <c r="F6" i="31"/>
  <c r="F7" i="31"/>
  <c r="F8" i="31"/>
  <c r="F9" i="31"/>
  <c r="F10" i="31"/>
  <c r="F11" i="31"/>
  <c r="F12" i="31"/>
  <c r="F13" i="31"/>
  <c r="F14" i="31"/>
  <c r="H3" i="31"/>
  <c r="H2" i="31"/>
  <c r="H4" i="31"/>
  <c r="H5" i="31"/>
  <c r="H6" i="31"/>
  <c r="H7" i="31"/>
  <c r="H8" i="31"/>
  <c r="H9" i="31"/>
  <c r="H10" i="31"/>
  <c r="H11" i="31"/>
  <c r="H12" i="31"/>
  <c r="H13" i="31"/>
  <c r="H14" i="31"/>
  <c r="C39" i="17"/>
  <c r="D10" i="31"/>
  <c r="C41" i="17"/>
  <c r="D12" i="31"/>
  <c r="I5" i="17"/>
  <c r="G31" i="17"/>
  <c r="I6" i="17"/>
  <c r="I32" i="17" s="1"/>
  <c r="G32" i="17"/>
  <c r="H8" i="17"/>
  <c r="D34" i="17"/>
  <c r="I11" i="17"/>
  <c r="I37" i="17" s="1"/>
  <c r="G37" i="17"/>
  <c r="H12" i="17"/>
  <c r="D38" i="17"/>
  <c r="H14" i="17"/>
  <c r="D40" i="17"/>
  <c r="I15" i="17"/>
  <c r="I41" i="17" s="1"/>
  <c r="G41" i="17"/>
  <c r="I10" i="17"/>
  <c r="I36" i="17" s="1"/>
  <c r="I9" i="17"/>
  <c r="I35" i="17" s="1"/>
  <c r="I13" i="17"/>
  <c r="I39" i="17" s="1"/>
  <c r="I8" i="17"/>
  <c r="I34" i="17" s="1"/>
  <c r="I12" i="17"/>
  <c r="I38" i="17" s="1"/>
  <c r="I14" i="17"/>
  <c r="I40" i="17" s="1"/>
  <c r="H10" i="17"/>
  <c r="H13" i="17"/>
  <c r="I31" i="17" l="1"/>
  <c r="J3" i="31"/>
  <c r="J2" i="31"/>
  <c r="J4" i="31"/>
  <c r="J5" i="31"/>
  <c r="J6" i="31"/>
  <c r="J7" i="31"/>
  <c r="J8" i="31"/>
  <c r="J9" i="31"/>
  <c r="J10" i="31"/>
  <c r="J11" i="31"/>
  <c r="J12" i="31"/>
  <c r="J13" i="31"/>
  <c r="J14" i="31"/>
  <c r="I4" i="31"/>
  <c r="I5" i="31"/>
  <c r="I6" i="31"/>
  <c r="I7" i="31"/>
  <c r="I8" i="31"/>
  <c r="I9" i="31"/>
  <c r="I10" i="31"/>
  <c r="I11" i="31"/>
  <c r="I12" i="31"/>
  <c r="I13" i="31"/>
  <c r="I14" i="31"/>
  <c r="I3" i="31"/>
  <c r="I2" i="31"/>
  <c r="I18" i="17"/>
  <c r="H18" i="17"/>
  <c r="D23" i="17" s="1"/>
  <c r="D25" i="17" s="1"/>
  <c r="H16" i="16" l="1"/>
  <c r="I16" i="16"/>
  <c r="H17" i="16"/>
  <c r="I17" i="16"/>
  <c r="C15" i="16"/>
  <c r="F15" i="16"/>
  <c r="H15" i="16" s="1"/>
  <c r="G15" i="16"/>
  <c r="I15" i="16" s="1"/>
  <c r="C11" i="16"/>
  <c r="E11" i="16"/>
  <c r="F11" i="16"/>
  <c r="H11" i="16" s="1"/>
  <c r="G11" i="16"/>
  <c r="I11" i="16" s="1"/>
  <c r="C12" i="16"/>
  <c r="D12" i="16"/>
  <c r="E12" i="16"/>
  <c r="F12" i="16"/>
  <c r="G12" i="16"/>
  <c r="C13" i="16"/>
  <c r="D13" i="16"/>
  <c r="E13" i="16"/>
  <c r="F13" i="16"/>
  <c r="G13" i="16"/>
  <c r="C14" i="16"/>
  <c r="D14" i="16"/>
  <c r="E14" i="16"/>
  <c r="F14" i="16"/>
  <c r="G14" i="16"/>
  <c r="C10" i="16"/>
  <c r="D10" i="16"/>
  <c r="E10" i="16"/>
  <c r="F10" i="16"/>
  <c r="G10" i="16"/>
  <c r="C7" i="16"/>
  <c r="E7" i="16"/>
  <c r="F7" i="16"/>
  <c r="G7" i="16"/>
  <c r="H7" i="16"/>
  <c r="I7" i="16"/>
  <c r="C6" i="16"/>
  <c r="E6" i="16"/>
  <c r="F6" i="16"/>
  <c r="H6" i="16" s="1"/>
  <c r="G6" i="16"/>
  <c r="I6" i="16" s="1"/>
  <c r="E5" i="16"/>
  <c r="C5" i="16"/>
  <c r="C9" i="16"/>
  <c r="D9" i="16"/>
  <c r="E9" i="16"/>
  <c r="F9" i="16"/>
  <c r="G9" i="16"/>
  <c r="H9" i="16"/>
  <c r="I13" i="16" l="1"/>
  <c r="I9" i="16"/>
  <c r="I14" i="16"/>
  <c r="I12" i="16"/>
  <c r="H14" i="16"/>
  <c r="H13" i="16"/>
  <c r="H12" i="16"/>
  <c r="H10" i="16"/>
  <c r="I10" i="16"/>
  <c r="G5" i="16"/>
  <c r="F5" i="16"/>
  <c r="C8" i="16"/>
  <c r="D8" i="16"/>
  <c r="E8" i="16"/>
  <c r="F8" i="16"/>
  <c r="H8" i="16" s="1"/>
  <c r="G8" i="16"/>
  <c r="I8" i="16" l="1"/>
  <c r="I5" i="16"/>
  <c r="H5" i="16"/>
  <c r="H18" i="16" s="1"/>
  <c r="D23" i="16" s="1"/>
  <c r="D25" i="16" s="1"/>
  <c r="I18" i="16" l="1"/>
  <c r="D23" i="20" l="1"/>
  <c r="D25" i="20" s="1"/>
  <c r="D23" i="19"/>
  <c r="D25" i="19" s="1"/>
  <c r="D25" i="21"/>
  <c r="D23" i="18" l="1"/>
  <c r="D25" i="18" s="1"/>
</calcChain>
</file>

<file path=xl/sharedStrings.xml><?xml version="1.0" encoding="utf-8"?>
<sst xmlns="http://schemas.openxmlformats.org/spreadsheetml/2006/main" count="364" uniqueCount="115">
  <si>
    <t>Грязевик 569-08 (40/16)</t>
  </si>
  <si>
    <t>Труба 57</t>
  </si>
  <si>
    <t>Сетка 1,6</t>
  </si>
  <si>
    <t>муфта 32</t>
  </si>
  <si>
    <t>пробка 32</t>
  </si>
  <si>
    <t>лист 14 (для днища верхнего)</t>
  </si>
  <si>
    <t>днище эллиптическое 159 09Г2С</t>
  </si>
  <si>
    <t>Труба 159 09Г2С</t>
  </si>
  <si>
    <t>кол-во</t>
  </si>
  <si>
    <t xml:space="preserve">Фланец 09 Г2С 12820-80 Ду-50, Ру-1,6 МПа </t>
  </si>
  <si>
    <t>Прокладка паронитновая Ду-50</t>
  </si>
  <si>
    <t>Болт М16х80</t>
  </si>
  <si>
    <t>Гайка М16</t>
  </si>
  <si>
    <t>Шайба М16</t>
  </si>
  <si>
    <t>кг</t>
  </si>
  <si>
    <t>п.м.</t>
  </si>
  <si>
    <t>м2</t>
  </si>
  <si>
    <t>Грязевик 569-09 (50/16)</t>
  </si>
  <si>
    <t xml:space="preserve">Фланец 09 Г2С 12820-80 Ду-65, Ру-1,6 МПа </t>
  </si>
  <si>
    <t>Труба 76</t>
  </si>
  <si>
    <t>диск-50</t>
  </si>
  <si>
    <t>кольцо-50</t>
  </si>
  <si>
    <t>Прокладка паронитновая Ду-65</t>
  </si>
  <si>
    <t>Грязевик 569-10 (65/16)</t>
  </si>
  <si>
    <t>Труба 89</t>
  </si>
  <si>
    <t>диск-65</t>
  </si>
  <si>
    <t>кольцо-65</t>
  </si>
  <si>
    <t xml:space="preserve">Фланец 09Г2С 12820-80 Ду-65, Ру-1,6 МПа </t>
  </si>
  <si>
    <t xml:space="preserve">Фланец 09Г2С 12820-80 Ду-80, Ру-1,6 МПа </t>
  </si>
  <si>
    <t>Труба 219 09Г2С</t>
  </si>
  <si>
    <t>днище эллиптическое 219 09Г2С</t>
  </si>
  <si>
    <t>Прокладка паронитновая Ду-80</t>
  </si>
  <si>
    <t>Грязевик 569-08 (50/16) 09Г2С с ответными фланцами</t>
  </si>
  <si>
    <t>Грязевик 569-08 (65/16) 09Г2С с ответными фланцами</t>
  </si>
  <si>
    <t xml:space="preserve">Фланец 12820-80 Ду-100, Ру-1,6 МПа </t>
  </si>
  <si>
    <t xml:space="preserve">Фланец 09Г2С 12820-80 Ду-100, Ру-1,6 МПа </t>
  </si>
  <si>
    <t>Труба 108</t>
  </si>
  <si>
    <t>диск-80</t>
  </si>
  <si>
    <t>кольцо-80</t>
  </si>
  <si>
    <t>Прокладка паронитновая Ду-100</t>
  </si>
  <si>
    <t xml:space="preserve">Фланец 12820-80 Ду-125, Ру-1,6 МПа </t>
  </si>
  <si>
    <t>Труба 325</t>
  </si>
  <si>
    <t xml:space="preserve">Фланец 09Г2С 12820-80 Ду-125, Ру-1,6 МПа </t>
  </si>
  <si>
    <t>Труба 325 09Г2С</t>
  </si>
  <si>
    <t>днище эллиптическое 325 09Г2С</t>
  </si>
  <si>
    <t>днище эллиптическое 325</t>
  </si>
  <si>
    <t>Труба 133</t>
  </si>
  <si>
    <t>диск-100</t>
  </si>
  <si>
    <t>кольцо-100</t>
  </si>
  <si>
    <t>Прокладка паронитновая Ду-125</t>
  </si>
  <si>
    <t>сварка - 3500</t>
  </si>
  <si>
    <t>резка - 1000</t>
  </si>
  <si>
    <t>лист 20 (для днища верхнего)</t>
  </si>
  <si>
    <t>Грязевик 569-04 (100/25)</t>
  </si>
  <si>
    <t>Грязевик 569-11 (80/16)</t>
  </si>
  <si>
    <t>Грязевик 569-11 (80/16) 09Г2С с ответными фланцами</t>
  </si>
  <si>
    <t>Грязевик 569-12 (100/16)</t>
  </si>
  <si>
    <t>Грязевик 569-12 (100/16) 09Г2С с ответными фланцами</t>
  </si>
  <si>
    <t>шт.</t>
  </si>
  <si>
    <t>Грязевик 569-05 (125/25)</t>
  </si>
  <si>
    <t xml:space="preserve">шт. </t>
  </si>
  <si>
    <t>Грязевик 569-15 (200/16)</t>
  </si>
  <si>
    <t>Грязевик 569-15 (200/16) равнопроходной</t>
  </si>
  <si>
    <t>Грязевик 569-12 равнопроходной (100/16) в 273 корпусе</t>
  </si>
  <si>
    <t>днище эллиптическое 273</t>
  </si>
  <si>
    <t>Труба 273</t>
  </si>
  <si>
    <t>Грязевик 569-03 (80/25)</t>
  </si>
  <si>
    <t>муфта 15</t>
  </si>
  <si>
    <t>муфта15</t>
  </si>
  <si>
    <t>Грязевик 569-00 (40/25)</t>
  </si>
  <si>
    <t>цена ед.</t>
  </si>
  <si>
    <t>масса ед.</t>
  </si>
  <si>
    <t>сумма</t>
  </si>
  <si>
    <t>вес</t>
  </si>
  <si>
    <t xml:space="preserve">Сварка </t>
  </si>
  <si>
    <t>Резка + зачистка + окраска</t>
  </si>
  <si>
    <t>Итого</t>
  </si>
  <si>
    <t>Продажа</t>
  </si>
  <si>
    <t>Грязевик 569-14 (150/16)</t>
  </si>
  <si>
    <t>Грязевик 569-13 (125/16)</t>
  </si>
  <si>
    <t>Труба 57 09Г2С</t>
  </si>
  <si>
    <t>Труба 76 09Г2С</t>
  </si>
  <si>
    <t>Грязевик 569-09 50/16 из 09Г2С с ответными фланцами.</t>
  </si>
  <si>
    <t>Лист стальной 14 мм</t>
  </si>
  <si>
    <t>Фитинг стальной муфта 15 мм</t>
  </si>
  <si>
    <t>Фитинг стальной муфта 32 мм</t>
  </si>
  <si>
    <t>Фитинг стальной пробка 32 мм</t>
  </si>
  <si>
    <t>сетка нж 1,6</t>
  </si>
  <si>
    <t xml:space="preserve">Корпус грязевика 569-09 50/16 из 09Г2С с КОФ </t>
  </si>
  <si>
    <t>Труба 530х8 ГОСТ 10705-91</t>
  </si>
  <si>
    <t>Труба 219х5 ГОСТ 10704-91</t>
  </si>
  <si>
    <t>Днище эллиптическое 530</t>
  </si>
  <si>
    <t>Диск 200</t>
  </si>
  <si>
    <t>Болт М24х100</t>
  </si>
  <si>
    <t>Гайка М24</t>
  </si>
  <si>
    <t>Шайба М24</t>
  </si>
  <si>
    <t>Грязевик 569-11 (80/16) равнопроходной</t>
  </si>
  <si>
    <t>Труба 89х3 ГОСТ 10704-91</t>
  </si>
  <si>
    <t>Труба 76х3 ГОСТ 10704-91</t>
  </si>
  <si>
    <t xml:space="preserve">Фланец 12820-80 Ду-80, Ру-1,6 МПа </t>
  </si>
  <si>
    <t>Днище эллиптическое 219</t>
  </si>
  <si>
    <t>Диск 65</t>
  </si>
  <si>
    <t>Кольцо 65</t>
  </si>
  <si>
    <t>Грязевик Ду-100, Ру-10 с нижним фланцевым разъемом</t>
  </si>
  <si>
    <t>Труба 108х3,5 ГОСТ 10704-91</t>
  </si>
  <si>
    <t xml:space="preserve">Фланец 12820-80 Ду-100, Ру-1,0 МПа </t>
  </si>
  <si>
    <t xml:space="preserve">Фланец 12820-80 Ду-500, Ру-1,0 МПа </t>
  </si>
  <si>
    <t xml:space="preserve">Заглушка АТК Ду-500, Ру-1,0 МПа </t>
  </si>
  <si>
    <t>Прокладка паронитовая 500</t>
  </si>
  <si>
    <t>Фитинг стальной муфта 25 мм</t>
  </si>
  <si>
    <t>сетка нж 2,0</t>
  </si>
  <si>
    <t>Грязевик 569-07 (200/25)</t>
  </si>
  <si>
    <t>Грязевик 569-06 (150/25)</t>
  </si>
  <si>
    <t>Грязевик 569-02 (65/25)</t>
  </si>
  <si>
    <t>Грязевик 569-01 (50/25)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</si>
</sst>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3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27F31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88;&#1072;&#1073;&#1086;&#1090;&#1072;\&#1044;&#1072;&#1085;&#1085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убы"/>
      <sheetName val="Днища"/>
      <sheetName val="Фланцы"/>
      <sheetName val="Крепеж"/>
      <sheetName val="Прокладки"/>
      <sheetName val="АТК"/>
      <sheetName val="Прочее"/>
      <sheetName val="Переход"/>
      <sheetName val="Отвод"/>
    </sheetNames>
    <sheetDataSet>
      <sheetData sheetId="0">
        <row r="11">
          <cell r="B11" t="str">
            <v>Труба 57х3 ГОСТ 10704-91</v>
          </cell>
          <cell r="D11" t="str">
            <v>п.м.</v>
          </cell>
          <cell r="E11">
            <v>165</v>
          </cell>
          <cell r="F11">
            <v>4</v>
          </cell>
        </row>
        <row r="12">
          <cell r="B12" t="str">
            <v>Труба 76х3 ГОСТ 10704-91</v>
          </cell>
          <cell r="D12" t="str">
            <v>п.м.</v>
          </cell>
          <cell r="E12">
            <v>225</v>
          </cell>
          <cell r="F12">
            <v>5.5</v>
          </cell>
        </row>
        <row r="13">
          <cell r="B13" t="str">
            <v>Труба 89х3 ГОСТ 10704-91</v>
          </cell>
          <cell r="D13" t="str">
            <v>п.м.</v>
          </cell>
          <cell r="E13">
            <v>300</v>
          </cell>
          <cell r="F13">
            <v>7.4</v>
          </cell>
        </row>
        <row r="14">
          <cell r="B14" t="str">
            <v>Труба 108х3,5 ГОСТ 10704-91</v>
          </cell>
          <cell r="D14" t="str">
            <v>п.м.</v>
          </cell>
          <cell r="E14">
            <v>400</v>
          </cell>
          <cell r="F14">
            <v>9.1</v>
          </cell>
        </row>
        <row r="15">
          <cell r="B15" t="str">
            <v>Труба 133х4 ГОСТ 10704-91</v>
          </cell>
          <cell r="D15" t="str">
            <v>п.м.</v>
          </cell>
          <cell r="E15">
            <v>565</v>
          </cell>
          <cell r="F15">
            <v>12.8</v>
          </cell>
        </row>
        <row r="16">
          <cell r="B16" t="str">
            <v>Труба 159х4,5 ГОСТ 10704-91</v>
          </cell>
          <cell r="D16" t="str">
            <v>п.м.</v>
          </cell>
          <cell r="E16">
            <v>750</v>
          </cell>
          <cell r="F16">
            <v>17.2</v>
          </cell>
        </row>
        <row r="17">
          <cell r="B17" t="str">
            <v>Труба 219х5 ГОСТ 10704-91</v>
          </cell>
          <cell r="D17" t="str">
            <v>п.м.</v>
          </cell>
          <cell r="E17">
            <v>1320</v>
          </cell>
          <cell r="F17">
            <v>26.5</v>
          </cell>
        </row>
        <row r="19">
          <cell r="B19" t="str">
            <v>Труба 325х6 ГОСТ 10704-91</v>
          </cell>
          <cell r="D19" t="str">
            <v>п.м.</v>
          </cell>
          <cell r="E19">
            <v>2750</v>
          </cell>
          <cell r="F19">
            <v>47.5</v>
          </cell>
        </row>
        <row r="21">
          <cell r="B21" t="str">
            <v>Труба 426х6 ГОСТ 10705-91</v>
          </cell>
          <cell r="D21" t="str">
            <v>п.м.</v>
          </cell>
          <cell r="E21">
            <v>5125</v>
          </cell>
          <cell r="F21">
            <v>82.6</v>
          </cell>
        </row>
      </sheetData>
      <sheetData sheetId="1">
        <row r="9">
          <cell r="B9" t="str">
            <v>Днище эллиптическое 159</v>
          </cell>
          <cell r="C9">
            <v>1</v>
          </cell>
          <cell r="D9" t="str">
            <v>шт.</v>
          </cell>
          <cell r="E9">
            <v>185</v>
          </cell>
          <cell r="F9">
            <v>1.5</v>
          </cell>
        </row>
        <row r="10">
          <cell r="B10" t="str">
            <v>Днище эллиптическое 219</v>
          </cell>
          <cell r="C10">
            <v>1</v>
          </cell>
          <cell r="D10" t="str">
            <v>шт.</v>
          </cell>
          <cell r="E10">
            <v>360</v>
          </cell>
          <cell r="F10">
            <v>3.1</v>
          </cell>
        </row>
        <row r="12">
          <cell r="B12" t="str">
            <v>Днище эллиптическое 325</v>
          </cell>
          <cell r="C12">
            <v>1</v>
          </cell>
          <cell r="D12" t="str">
            <v>шт.</v>
          </cell>
          <cell r="E12">
            <v>1000</v>
          </cell>
          <cell r="F12">
            <v>6.3</v>
          </cell>
        </row>
        <row r="14">
          <cell r="B14" t="str">
            <v>Днище эллиптическое 426</v>
          </cell>
          <cell r="C14">
            <v>1</v>
          </cell>
          <cell r="D14" t="str">
            <v>шт.</v>
          </cell>
          <cell r="E14">
            <v>2190</v>
          </cell>
          <cell r="F14">
            <v>13.9</v>
          </cell>
        </row>
      </sheetData>
      <sheetData sheetId="2">
        <row r="9">
          <cell r="B9" t="str">
            <v xml:space="preserve">Фланец 12820-80 Ду-50, Ру-1,6 МПа </v>
          </cell>
          <cell r="C9">
            <v>1</v>
          </cell>
          <cell r="D9" t="str">
            <v>шт.</v>
          </cell>
          <cell r="E9">
            <v>286</v>
          </cell>
          <cell r="F9">
            <v>2.2999999999999998</v>
          </cell>
        </row>
        <row r="10">
          <cell r="B10" t="str">
            <v xml:space="preserve">Фланец 12820-80 Ду-65, Ру-1,6 МПа </v>
          </cell>
          <cell r="C10">
            <v>1</v>
          </cell>
          <cell r="D10" t="str">
            <v>шт.</v>
          </cell>
          <cell r="E10">
            <v>379</v>
          </cell>
          <cell r="F10">
            <v>3.2</v>
          </cell>
        </row>
        <row r="11">
          <cell r="B11" t="str">
            <v xml:space="preserve">Фланец 12820-80 Ду-80, Ру-1,6 МПа </v>
          </cell>
          <cell r="C11">
            <v>1</v>
          </cell>
          <cell r="D11" t="str">
            <v>шт.</v>
          </cell>
          <cell r="E11">
            <v>427</v>
          </cell>
          <cell r="F11">
            <v>4.3</v>
          </cell>
        </row>
        <row r="12">
          <cell r="B12" t="str">
            <v xml:space="preserve">Фланец 12820-80 Ду-100, Ру-1,6 МПа </v>
          </cell>
          <cell r="C12">
            <v>1</v>
          </cell>
          <cell r="D12" t="str">
            <v>шт.</v>
          </cell>
          <cell r="E12">
            <v>545</v>
          </cell>
          <cell r="F12">
            <v>4.9000000000000004</v>
          </cell>
        </row>
        <row r="13">
          <cell r="B13" t="str">
            <v xml:space="preserve">Фланец 12820-80 Ду-125, Ру-1,6 МПа </v>
          </cell>
          <cell r="C13">
            <v>1</v>
          </cell>
          <cell r="D13" t="str">
            <v>шт.</v>
          </cell>
          <cell r="E13">
            <v>915</v>
          </cell>
          <cell r="F13">
            <v>6.8</v>
          </cell>
        </row>
        <row r="14">
          <cell r="B14" t="str">
            <v xml:space="preserve">Фланец 12820-80 Ду-150, Ру-1,6 МПа </v>
          </cell>
          <cell r="C14">
            <v>1</v>
          </cell>
          <cell r="D14" t="str">
            <v>шт.</v>
          </cell>
          <cell r="E14">
            <v>829</v>
          </cell>
          <cell r="F14">
            <v>8.3000000000000007</v>
          </cell>
        </row>
        <row r="15">
          <cell r="B15" t="str">
            <v xml:space="preserve">Фланец 12820-80 Ду-200, Ру-1,6 МПа </v>
          </cell>
          <cell r="C15">
            <v>1</v>
          </cell>
          <cell r="D15" t="str">
            <v>шт.</v>
          </cell>
          <cell r="E15">
            <v>1096</v>
          </cell>
          <cell r="F15">
            <v>11.8</v>
          </cell>
        </row>
      </sheetData>
      <sheetData sheetId="3"/>
      <sheetData sheetId="4"/>
      <sheetData sheetId="5"/>
      <sheetData sheetId="6">
        <row r="6">
          <cell r="B6" t="str">
            <v>Лист стальной 14 мм</v>
          </cell>
          <cell r="D6" t="str">
            <v>кг</v>
          </cell>
          <cell r="E6">
            <v>45</v>
          </cell>
          <cell r="F6">
            <v>1</v>
          </cell>
        </row>
        <row r="7">
          <cell r="B7" t="str">
            <v>Лист стальной 20 мм</v>
          </cell>
          <cell r="D7" t="str">
            <v>кг</v>
          </cell>
          <cell r="E7">
            <v>45</v>
          </cell>
          <cell r="F7">
            <v>1</v>
          </cell>
        </row>
        <row r="10">
          <cell r="B10" t="str">
            <v>Фитинг стальной муфта 15 мм</v>
          </cell>
          <cell r="C10">
            <v>1</v>
          </cell>
          <cell r="D10" t="str">
            <v>шт.</v>
          </cell>
          <cell r="E10">
            <v>10</v>
          </cell>
          <cell r="F10">
            <v>0.1</v>
          </cell>
        </row>
        <row r="13">
          <cell r="B13" t="str">
            <v>Фитинг стальной муфта 32 мм</v>
          </cell>
          <cell r="C13">
            <v>1</v>
          </cell>
          <cell r="D13" t="str">
            <v>шт.</v>
          </cell>
          <cell r="E13">
            <v>33</v>
          </cell>
          <cell r="F13">
            <v>0.2</v>
          </cell>
        </row>
        <row r="24">
          <cell r="B24" t="str">
            <v>Фитинг стальной пробка 32 мм</v>
          </cell>
          <cell r="C24">
            <v>1</v>
          </cell>
          <cell r="D24" t="str">
            <v>шт.</v>
          </cell>
          <cell r="E24">
            <v>50</v>
          </cell>
          <cell r="F24">
            <v>0.2</v>
          </cell>
        </row>
        <row r="27">
          <cell r="B27" t="str">
            <v>сетка нж 1,6</v>
          </cell>
          <cell r="E27">
            <v>2000</v>
          </cell>
          <cell r="F27">
            <v>1.5</v>
          </cell>
        </row>
        <row r="31">
          <cell r="B31" t="str">
            <v>Диск 50</v>
          </cell>
          <cell r="C31">
            <v>1</v>
          </cell>
          <cell r="D31" t="str">
            <v>шт.</v>
          </cell>
          <cell r="E31">
            <v>15</v>
          </cell>
          <cell r="F31">
            <v>0.08</v>
          </cell>
        </row>
        <row r="32">
          <cell r="B32" t="str">
            <v>Диск 65</v>
          </cell>
          <cell r="C32">
            <v>1</v>
          </cell>
          <cell r="D32" t="str">
            <v>шт.</v>
          </cell>
          <cell r="E32">
            <v>20</v>
          </cell>
          <cell r="F32">
            <v>0.15</v>
          </cell>
        </row>
        <row r="33">
          <cell r="B33" t="str">
            <v>Диск 80</v>
          </cell>
          <cell r="C33">
            <v>1</v>
          </cell>
          <cell r="D33" t="str">
            <v>шт.</v>
          </cell>
          <cell r="E33">
            <v>25</v>
          </cell>
          <cell r="F33">
            <v>0.2</v>
          </cell>
        </row>
        <row r="34">
          <cell r="B34" t="str">
            <v>Диск 100</v>
          </cell>
          <cell r="C34">
            <v>1</v>
          </cell>
          <cell r="D34" t="str">
            <v>шт.</v>
          </cell>
          <cell r="E34">
            <v>33</v>
          </cell>
          <cell r="F34">
            <v>0.31</v>
          </cell>
        </row>
        <row r="35">
          <cell r="B35" t="str">
            <v>Диск 125</v>
          </cell>
          <cell r="C35">
            <v>1</v>
          </cell>
          <cell r="D35" t="str">
            <v>шт.</v>
          </cell>
          <cell r="E35">
            <v>38</v>
          </cell>
          <cell r="F35">
            <v>0.48</v>
          </cell>
        </row>
        <row r="36">
          <cell r="B36" t="str">
            <v>Диск 150</v>
          </cell>
          <cell r="C36">
            <v>1</v>
          </cell>
          <cell r="D36" t="str">
            <v>шт.</v>
          </cell>
          <cell r="E36">
            <v>50</v>
          </cell>
          <cell r="F36">
            <v>0.69</v>
          </cell>
        </row>
        <row r="41">
          <cell r="B41" t="str">
            <v>Кольцо 50</v>
          </cell>
          <cell r="C41">
            <v>1</v>
          </cell>
          <cell r="D41" t="str">
            <v>шт.</v>
          </cell>
          <cell r="E41">
            <v>50</v>
          </cell>
        </row>
        <row r="42">
          <cell r="B42" t="str">
            <v>Кольцо 65</v>
          </cell>
          <cell r="C42">
            <v>1</v>
          </cell>
          <cell r="D42" t="str">
            <v>шт.</v>
          </cell>
          <cell r="E42">
            <v>58</v>
          </cell>
        </row>
        <row r="43">
          <cell r="B43" t="str">
            <v>Кольцо 80</v>
          </cell>
          <cell r="C43">
            <v>1</v>
          </cell>
          <cell r="D43" t="str">
            <v>шт.</v>
          </cell>
          <cell r="E43">
            <v>75</v>
          </cell>
        </row>
        <row r="44">
          <cell r="B44" t="str">
            <v>Кольцо 100</v>
          </cell>
          <cell r="C44">
            <v>1</v>
          </cell>
          <cell r="D44" t="str">
            <v>шт.</v>
          </cell>
          <cell r="E44">
            <v>87</v>
          </cell>
        </row>
        <row r="45">
          <cell r="B45" t="str">
            <v>Кольцо 125</v>
          </cell>
          <cell r="C45">
            <v>1</v>
          </cell>
          <cell r="D45" t="str">
            <v>шт.</v>
          </cell>
          <cell r="E45">
            <v>97</v>
          </cell>
        </row>
        <row r="46">
          <cell r="B46" t="str">
            <v>Кольцо 150</v>
          </cell>
          <cell r="C46">
            <v>1</v>
          </cell>
          <cell r="D46" t="str">
            <v>шт.</v>
          </cell>
          <cell r="E46">
            <v>200</v>
          </cell>
          <cell r="F46">
            <v>1.43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tabSelected="1" zoomScale="80" zoomScaleNormal="80" workbookViewId="0">
      <selection activeCell="D24" sqref="D24"/>
    </sheetView>
  </sheetViews>
  <sheetFormatPr defaultRowHeight="15" x14ac:dyDescent="0.25"/>
  <cols>
    <col min="1" max="1" width="6" customWidth="1"/>
    <col min="2" max="2" width="26.140625" customWidth="1"/>
    <col min="3" max="3" width="11.5703125" customWidth="1"/>
    <col min="4" max="4" width="42.42578125" customWidth="1"/>
    <col min="5" max="5" width="8" customWidth="1"/>
    <col min="6" max="6" width="6.28515625" customWidth="1"/>
    <col min="10" max="10" width="10.5703125" bestFit="1" customWidth="1"/>
  </cols>
  <sheetData>
    <row r="1" spans="2:10" s="11" customFormat="1" ht="19.5" customHeight="1" x14ac:dyDescent="0.25">
      <c r="E1" s="10" t="s">
        <v>8</v>
      </c>
      <c r="G1" s="10" t="s">
        <v>70</v>
      </c>
      <c r="H1" s="10" t="s">
        <v>71</v>
      </c>
      <c r="I1" s="10" t="s">
        <v>72</v>
      </c>
      <c r="J1" s="10" t="s">
        <v>73</v>
      </c>
    </row>
    <row r="2" spans="2:10" x14ac:dyDescent="0.25">
      <c r="B2" s="1" t="s">
        <v>17</v>
      </c>
      <c r="D2" t="str">
        <f>IF($B$2='569-09'!$C$3,INDEX(Грязевик569_09_50_16,1,1))</f>
        <v>Труба 159х4,5 ГОСТ 10704-91</v>
      </c>
      <c r="E2">
        <f>IF($B$2='569-09'!$C$3,INDEX(Грязевик569_09_50_16,1,2))</f>
        <v>0.28999999999999998</v>
      </c>
      <c r="F2" s="2" t="str">
        <f>IF($B$2='569-09'!$C$3,INDEX(Грязевик569_09_50_16,1,3))</f>
        <v>п.м.</v>
      </c>
      <c r="G2">
        <f>IF($B$2='569-09'!$C$3,INDEX(Грязевик569_09_50_16,1,4))</f>
        <v>750</v>
      </c>
      <c r="H2">
        <f>IF($B$2='569-09'!$C$3,INDEX(Грязевик569_09_50_16,1,5))</f>
        <v>17.2</v>
      </c>
      <c r="I2">
        <f>IF($B$2='569-09'!$C$3,INDEX(Грязевик569_09_50_16,1,6))</f>
        <v>217.49999999999997</v>
      </c>
      <c r="J2">
        <f>IF($B$2='569-09'!$C$3,INDEX(Грязевик569_09_50_16,1,7))</f>
        <v>4.9879999999999995</v>
      </c>
    </row>
    <row r="3" spans="2:10" x14ac:dyDescent="0.25">
      <c r="D3" t="str">
        <f>IF($B$2='569-09'!$C$3,INDEX(Грязевик569_09_50_16,2,1))</f>
        <v>Труба 57х3 ГОСТ 10704-91</v>
      </c>
      <c r="E3">
        <f>IF($B$2='569-09'!$C$3,INDEX(Грязевик569_09_50_16,2,2))</f>
        <v>0.22</v>
      </c>
      <c r="F3" s="2" t="str">
        <f>IF($B$2='569-09'!$C$3,INDEX(Грязевик569_09_50_16,1,3))</f>
        <v>п.м.</v>
      </c>
      <c r="G3">
        <f>IF($B$2='569-09'!$C$3,INDEX(Грязевик569_09_50_16,1,4))</f>
        <v>750</v>
      </c>
      <c r="H3">
        <f>IF($B$2='569-09'!$C$3,INDEX(Грязевик569_09_50_16,1,5))</f>
        <v>17.2</v>
      </c>
      <c r="I3">
        <f>IF($B$2='569-09'!$C$3,INDEX(Грязевик569_09_50_16,1,6))</f>
        <v>217.49999999999997</v>
      </c>
      <c r="J3">
        <f>IF($B$2='569-09'!$C$3,INDEX(Грязевик569_09_50_16,1,7))</f>
        <v>4.9879999999999995</v>
      </c>
    </row>
    <row r="4" spans="2:10" x14ac:dyDescent="0.25">
      <c r="D4" t="str">
        <f>IF($B$2='569-09'!$C$3,INDEX(Грязевик569_09_50_16,3,1))</f>
        <v>Труба 76х3 ГОСТ 10704-91</v>
      </c>
      <c r="E4">
        <f>IF($B$2='569-09'!$C$3,INDEX(Грязевик569_09_50_16,1,2))</f>
        <v>0.28999999999999998</v>
      </c>
      <c r="F4" s="2" t="str">
        <f>IF($B$2='569-09'!$C$3,INDEX(Грязевик569_09_50_16,1,3))</f>
        <v>п.м.</v>
      </c>
      <c r="G4">
        <f>IF($B$2='569-09'!$C$3,INDEX(Грязевик569_09_50_16,1,4))</f>
        <v>750</v>
      </c>
      <c r="H4">
        <f>IF($B$2='569-09'!$C$3,INDEX(Грязевик569_09_50_16,1,5))</f>
        <v>17.2</v>
      </c>
      <c r="I4">
        <f>IF($B$2='569-09'!$C$3,INDEX(Грязевик569_09_50_16,1,6))</f>
        <v>217.49999999999997</v>
      </c>
      <c r="J4">
        <f>IF($B$2='569-09'!$C$3,INDEX(Грязевик569_09_50_16,1,7))</f>
        <v>4.9879999999999995</v>
      </c>
    </row>
    <row r="5" spans="2:10" x14ac:dyDescent="0.25">
      <c r="D5" t="str">
        <f>IF($B$2='569-09'!$C$3,INDEX(Грязевик569_09_50_16,4,1))</f>
        <v xml:space="preserve">Фланец 12820-80 Ду-50, Ру-1,6 МПа </v>
      </c>
      <c r="E5">
        <f>IF($B$2='569-09'!$C$3,INDEX(Грязевик569_09_50_16,1,2))</f>
        <v>0.28999999999999998</v>
      </c>
      <c r="F5" s="2" t="str">
        <f>IF($B$2='569-09'!$C$3,INDEX(Грязевик569_09_50_16,1,3))</f>
        <v>п.м.</v>
      </c>
      <c r="G5">
        <f>IF($B$2='569-09'!$C$3,INDEX(Грязевик569_09_50_16,1,4))</f>
        <v>750</v>
      </c>
      <c r="H5">
        <f>IF($B$2='569-09'!$C$3,INDEX(Грязевик569_09_50_16,1,5))</f>
        <v>17.2</v>
      </c>
      <c r="I5">
        <f>IF($B$2='569-09'!$C$3,INDEX(Грязевик569_09_50_16,1,6))</f>
        <v>217.49999999999997</v>
      </c>
      <c r="J5">
        <f>IF($B$2='569-09'!$C$3,INDEX(Грязевик569_09_50_16,1,7))</f>
        <v>4.9879999999999995</v>
      </c>
    </row>
    <row r="6" spans="2:10" x14ac:dyDescent="0.25">
      <c r="D6" t="str">
        <f>IF($B$2='569-09'!$C$3,INDEX(Грязевик569_09_50_16,5,1))</f>
        <v xml:space="preserve">Фланец 12820-80 Ду-65, Ру-1,6 МПа </v>
      </c>
      <c r="E6">
        <f>IF($B$2='569-09'!$C$3,INDEX(Грязевик569_09_50_16,1,2))</f>
        <v>0.28999999999999998</v>
      </c>
      <c r="F6" s="2" t="str">
        <f>IF($B$2='569-09'!$C$3,INDEX(Грязевик569_09_50_16,1,3))</f>
        <v>п.м.</v>
      </c>
      <c r="G6">
        <f>IF($B$2='569-09'!$C$3,INDEX(Грязевик569_09_50_16,1,4))</f>
        <v>750</v>
      </c>
      <c r="H6">
        <f>IF($B$2='569-09'!$C$3,INDEX(Грязевик569_09_50_16,1,5))</f>
        <v>17.2</v>
      </c>
      <c r="I6">
        <f>IF($B$2='569-09'!$C$3,INDEX(Грязевик569_09_50_16,1,6))</f>
        <v>217.49999999999997</v>
      </c>
      <c r="J6">
        <f>IF($B$2='569-09'!$C$3,INDEX(Грязевик569_09_50_16,1,7))</f>
        <v>4.9879999999999995</v>
      </c>
    </row>
    <row r="7" spans="2:10" x14ac:dyDescent="0.25">
      <c r="D7" t="str">
        <f>IF($B$2='569-09'!$C$3,INDEX(Грязевик569_09_50_16,6,1))</f>
        <v>Днище эллиптическое 159</v>
      </c>
      <c r="E7">
        <f>IF($B$2='569-09'!$C$3,INDEX(Грязевик569_09_50_16,1,2))</f>
        <v>0.28999999999999998</v>
      </c>
      <c r="F7" s="2" t="str">
        <f>IF($B$2='569-09'!$C$3,INDEX(Грязевик569_09_50_16,1,3))</f>
        <v>п.м.</v>
      </c>
      <c r="G7">
        <f>IF($B$2='569-09'!$C$3,INDEX(Грязевик569_09_50_16,1,4))</f>
        <v>750</v>
      </c>
      <c r="H7">
        <f>IF($B$2='569-09'!$C$3,INDEX(Грязевик569_09_50_16,1,5))</f>
        <v>17.2</v>
      </c>
      <c r="I7">
        <f>IF($B$2='569-09'!$C$3,INDEX(Грязевик569_09_50_16,1,6))</f>
        <v>217.49999999999997</v>
      </c>
      <c r="J7">
        <f>IF($B$2='569-09'!$C$3,INDEX(Грязевик569_09_50_16,1,7))</f>
        <v>4.9879999999999995</v>
      </c>
    </row>
    <row r="8" spans="2:10" x14ac:dyDescent="0.25">
      <c r="D8" t="str">
        <f>IF($B$2='569-09'!$C$3,INDEX(Грязевик569_09_50_16,7,1))</f>
        <v>Лист стальной 14 мм</v>
      </c>
      <c r="E8">
        <f>IF($B$2='569-09'!$C$3,INDEX(Грязевик569_09_50_16,1,2))</f>
        <v>0.28999999999999998</v>
      </c>
      <c r="F8" s="2" t="str">
        <f>IF($B$2='569-09'!$C$3,INDEX(Грязевик569_09_50_16,1,3))</f>
        <v>п.м.</v>
      </c>
      <c r="G8">
        <f>IF($B$2='569-09'!$C$3,INDEX(Грязевик569_09_50_16,1,4))</f>
        <v>750</v>
      </c>
      <c r="H8">
        <f>IF($B$2='569-09'!$C$3,INDEX(Грязевик569_09_50_16,1,5))</f>
        <v>17.2</v>
      </c>
      <c r="I8">
        <f>IF($B$2='569-09'!$C$3,INDEX(Грязевик569_09_50_16,1,6))</f>
        <v>217.49999999999997</v>
      </c>
      <c r="J8">
        <f>IF($B$2='569-09'!$C$3,INDEX(Грязевик569_09_50_16,1,7))</f>
        <v>4.9879999999999995</v>
      </c>
    </row>
    <row r="9" spans="2:10" x14ac:dyDescent="0.25">
      <c r="D9" t="str">
        <f>IF($B$2='569-09'!$C$3,INDEX(Грязевик569_09_50_16,8,1))</f>
        <v>Фитинг стальной муфта 15 мм</v>
      </c>
      <c r="E9">
        <f>IF($B$2='569-09'!$C$3,INDEX(Грязевик569_09_50_16,1,2))</f>
        <v>0.28999999999999998</v>
      </c>
      <c r="F9" s="2" t="str">
        <f>IF($B$2='569-09'!$C$3,INDEX(Грязевик569_09_50_16,1,3))</f>
        <v>п.м.</v>
      </c>
      <c r="G9">
        <f>IF($B$2='569-09'!$C$3,INDEX(Грязевик569_09_50_16,1,4))</f>
        <v>750</v>
      </c>
      <c r="H9">
        <f>IF($B$2='569-09'!$C$3,INDEX(Грязевик569_09_50_16,1,5))</f>
        <v>17.2</v>
      </c>
      <c r="I9">
        <f>IF($B$2='569-09'!$C$3,INDEX(Грязевик569_09_50_16,1,6))</f>
        <v>217.49999999999997</v>
      </c>
      <c r="J9">
        <f>IF($B$2='569-09'!$C$3,INDEX(Грязевик569_09_50_16,1,7))</f>
        <v>4.9879999999999995</v>
      </c>
    </row>
    <row r="10" spans="2:10" x14ac:dyDescent="0.25">
      <c r="D10" t="str">
        <f>IF($B$2='569-09'!$C$3,INDEX(Грязевик569_09_50_16,9,1))</f>
        <v>Фитинг стальной муфта 32 мм</v>
      </c>
      <c r="E10">
        <f>IF($B$2='569-09'!$C$3,INDEX(Грязевик569_09_50_16,1,2))</f>
        <v>0.28999999999999998</v>
      </c>
      <c r="F10" s="2" t="str">
        <f>IF($B$2='569-09'!$C$3,INDEX(Грязевик569_09_50_16,1,3))</f>
        <v>п.м.</v>
      </c>
      <c r="G10">
        <f>IF($B$2='569-09'!$C$3,INDEX(Грязевик569_09_50_16,1,4))</f>
        <v>750</v>
      </c>
      <c r="H10">
        <f>IF($B$2='569-09'!$C$3,INDEX(Грязевик569_09_50_16,1,5))</f>
        <v>17.2</v>
      </c>
      <c r="I10">
        <f>IF($B$2='569-09'!$C$3,INDEX(Грязевик569_09_50_16,1,6))</f>
        <v>217.49999999999997</v>
      </c>
      <c r="J10">
        <f>IF($B$2='569-09'!$C$3,INDEX(Грязевик569_09_50_16,1,7))</f>
        <v>4.9879999999999995</v>
      </c>
    </row>
    <row r="11" spans="2:10" x14ac:dyDescent="0.25">
      <c r="D11" t="str">
        <f>IF($B$2='569-09'!$C$3,INDEX(Грязевик569_09_50_16,10,1))</f>
        <v>Фитинг стальной пробка 32 мм</v>
      </c>
      <c r="E11">
        <f>IF($B$2='569-09'!$C$3,INDEX(Грязевик569_09_50_16,1,2))</f>
        <v>0.28999999999999998</v>
      </c>
      <c r="F11" s="2" t="str">
        <f>IF($B$2='569-09'!$C$3,INDEX(Грязевик569_09_50_16,1,3))</f>
        <v>п.м.</v>
      </c>
      <c r="G11">
        <f>IF($B$2='569-09'!$C$3,INDEX(Грязевик569_09_50_16,1,4))</f>
        <v>750</v>
      </c>
      <c r="H11">
        <f>IF($B$2='569-09'!$C$3,INDEX(Грязевик569_09_50_16,1,5))</f>
        <v>17.2</v>
      </c>
      <c r="I11">
        <f>IF($B$2='569-09'!$C$3,INDEX(Грязевик569_09_50_16,1,6))</f>
        <v>217.49999999999997</v>
      </c>
      <c r="J11">
        <f>IF($B$2='569-09'!$C$3,INDEX(Грязевик569_09_50_16,1,7))</f>
        <v>4.9879999999999995</v>
      </c>
    </row>
    <row r="12" spans="2:10" x14ac:dyDescent="0.25">
      <c r="D12" t="str">
        <f>IF($B$2='569-09'!$C$3,INDEX(Грязевик569_09_50_16,11,1))</f>
        <v>сетка нж 1,6</v>
      </c>
      <c r="E12">
        <f>IF($B$2='569-09'!$C$3,INDEX(Грязевик569_09_50_16,1,2))</f>
        <v>0.28999999999999998</v>
      </c>
      <c r="F12" s="2" t="str">
        <f>IF($B$2='569-09'!$C$3,INDEX(Грязевик569_09_50_16,1,3))</f>
        <v>п.м.</v>
      </c>
      <c r="G12">
        <f>IF($B$2='569-09'!$C$3,INDEX(Грязевик569_09_50_16,1,4))</f>
        <v>750</v>
      </c>
      <c r="H12">
        <f>IF($B$2='569-09'!$C$3,INDEX(Грязевик569_09_50_16,1,5))</f>
        <v>17.2</v>
      </c>
      <c r="I12">
        <f>IF($B$2='569-09'!$C$3,INDEX(Грязевик569_09_50_16,1,6))</f>
        <v>217.49999999999997</v>
      </c>
      <c r="J12">
        <f>IF($B$2='569-09'!$C$3,INDEX(Грязевик569_09_50_16,1,7))</f>
        <v>4.9879999999999995</v>
      </c>
    </row>
    <row r="13" spans="2:10" x14ac:dyDescent="0.25">
      <c r="D13" t="str">
        <f>IF($B$2='569-09'!$C$3,INDEX(Грязевик569_09_50_16,12,1))</f>
        <v>Диск 50</v>
      </c>
      <c r="E13">
        <f>IF($B$2='569-09'!$C$3,INDEX(Грязевик569_09_50_16,1,2))</f>
        <v>0.28999999999999998</v>
      </c>
      <c r="F13" s="2" t="str">
        <f>IF($B$2='569-09'!$C$3,INDEX(Грязевик569_09_50_16,1,3))</f>
        <v>п.м.</v>
      </c>
      <c r="G13">
        <f>IF($B$2='569-09'!$C$3,INDEX(Грязевик569_09_50_16,1,4))</f>
        <v>750</v>
      </c>
      <c r="H13">
        <f>IF($B$2='569-09'!$C$3,INDEX(Грязевик569_09_50_16,1,5))</f>
        <v>17.2</v>
      </c>
      <c r="I13">
        <f>IF($B$2='569-09'!$C$3,INDEX(Грязевик569_09_50_16,1,6))</f>
        <v>217.49999999999997</v>
      </c>
      <c r="J13">
        <f>IF($B$2='569-09'!$C$3,INDEX(Грязевик569_09_50_16,1,7))</f>
        <v>4.9879999999999995</v>
      </c>
    </row>
    <row r="14" spans="2:10" x14ac:dyDescent="0.25">
      <c r="D14" t="str">
        <f>IF($B$2='569-09'!$C$3,INDEX(Грязевик569_09_50_16,13,1))</f>
        <v>Кольцо 50</v>
      </c>
      <c r="E14">
        <f>IF($B$2='569-09'!$C$3,INDEX(Грязевик569_09_50_16,1,2))</f>
        <v>0.28999999999999998</v>
      </c>
      <c r="F14" s="2" t="str">
        <f>IF($B$2='569-09'!$C$3,INDEX(Грязевик569_09_50_16,1,3))</f>
        <v>п.м.</v>
      </c>
      <c r="G14">
        <f>IF($B$2='569-09'!$C$3,INDEX(Грязевик569_09_50_16,1,4))</f>
        <v>750</v>
      </c>
      <c r="H14">
        <f>IF($B$2='569-09'!$C$3,INDEX(Грязевик569_09_50_16,1,5))</f>
        <v>17.2</v>
      </c>
      <c r="I14">
        <f>IF($B$2='569-09'!$C$3,INDEX(Грязевик569_09_50_16,1,6))</f>
        <v>217.49999999999997</v>
      </c>
      <c r="J14">
        <f>IF($B$2='569-09'!$C$3,INDEX(Грязевик569_09_50_16,1,7))</f>
        <v>4.9879999999999995</v>
      </c>
    </row>
    <row r="15" spans="2:10" x14ac:dyDescent="0.25">
      <c r="I15" s="1">
        <v>1429.05</v>
      </c>
      <c r="J15" s="1">
        <v>16.735499999999998</v>
      </c>
    </row>
    <row r="21" spans="2:2" x14ac:dyDescent="0.25">
      <c r="B21" s="1" t="s">
        <v>17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база!$B$2:$B20</xm:f>
          </x14:formula1>
          <xm:sqref>B2 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workbookViewId="0">
      <selection activeCell="B18" sqref="B18"/>
    </sheetView>
  </sheetViews>
  <sheetFormatPr defaultRowHeight="15" x14ac:dyDescent="0.25"/>
  <cols>
    <col min="2" max="2" width="23" customWidth="1"/>
  </cols>
  <sheetData>
    <row r="2" spans="2:2" x14ac:dyDescent="0.25">
      <c r="B2" s="1" t="s">
        <v>69</v>
      </c>
    </row>
    <row r="3" spans="2:2" x14ac:dyDescent="0.25">
      <c r="B3" s="1" t="s">
        <v>114</v>
      </c>
    </row>
    <row r="4" spans="2:2" x14ac:dyDescent="0.25">
      <c r="B4" s="1" t="s">
        <v>113</v>
      </c>
    </row>
    <row r="5" spans="2:2" x14ac:dyDescent="0.25">
      <c r="B5" s="1" t="s">
        <v>66</v>
      </c>
    </row>
    <row r="6" spans="2:2" x14ac:dyDescent="0.25">
      <c r="B6" s="1" t="s">
        <v>53</v>
      </c>
    </row>
    <row r="7" spans="2:2" x14ac:dyDescent="0.25">
      <c r="B7" s="1" t="s">
        <v>59</v>
      </c>
    </row>
    <row r="8" spans="2:2" x14ac:dyDescent="0.25">
      <c r="B8" s="1" t="s">
        <v>112</v>
      </c>
    </row>
    <row r="9" spans="2:2" x14ac:dyDescent="0.25">
      <c r="B9" s="1" t="s">
        <v>111</v>
      </c>
    </row>
    <row r="10" spans="2:2" x14ac:dyDescent="0.25">
      <c r="B10" s="1" t="s">
        <v>0</v>
      </c>
    </row>
    <row r="11" spans="2:2" x14ac:dyDescent="0.25">
      <c r="B11" s="1" t="s">
        <v>17</v>
      </c>
    </row>
    <row r="12" spans="2:2" x14ac:dyDescent="0.25">
      <c r="B12" s="1" t="s">
        <v>23</v>
      </c>
    </row>
    <row r="13" spans="2:2" x14ac:dyDescent="0.25">
      <c r="B13" s="1" t="s">
        <v>54</v>
      </c>
    </row>
    <row r="14" spans="2:2" x14ac:dyDescent="0.25">
      <c r="B14" s="1" t="s">
        <v>56</v>
      </c>
    </row>
    <row r="15" spans="2:2" x14ac:dyDescent="0.25">
      <c r="B15" s="1" t="s">
        <v>79</v>
      </c>
    </row>
    <row r="16" spans="2:2" x14ac:dyDescent="0.25">
      <c r="B16" s="1" t="s">
        <v>78</v>
      </c>
    </row>
    <row r="17" spans="2:2" x14ac:dyDescent="0.25">
      <c r="B17" s="1" t="s">
        <v>61</v>
      </c>
    </row>
    <row r="18" spans="2:2" x14ac:dyDescent="0.25">
      <c r="B18" s="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J93"/>
  <sheetViews>
    <sheetView zoomScale="80" zoomScaleNormal="80" workbookViewId="0">
      <selection activeCell="D5" sqref="D5:I18"/>
    </sheetView>
  </sheetViews>
  <sheetFormatPr defaultRowHeight="15" x14ac:dyDescent="0.25"/>
  <cols>
    <col min="2" max="2" width="6.140625" customWidth="1"/>
    <col min="3" max="3" width="53.85546875" customWidth="1"/>
    <col min="4" max="4" width="13.42578125" customWidth="1"/>
    <col min="5" max="5" width="9.42578125" customWidth="1"/>
  </cols>
  <sheetData>
    <row r="3" spans="3:9" x14ac:dyDescent="0.25">
      <c r="C3" s="1" t="s">
        <v>17</v>
      </c>
      <c r="D3" s="3" t="s">
        <v>8</v>
      </c>
      <c r="E3" s="2"/>
      <c r="F3" s="3" t="s">
        <v>70</v>
      </c>
      <c r="G3" s="3" t="s">
        <v>71</v>
      </c>
      <c r="H3" s="3" t="s">
        <v>72</v>
      </c>
      <c r="I3" s="3" t="s">
        <v>73</v>
      </c>
    </row>
    <row r="4" spans="3:9" x14ac:dyDescent="0.25">
      <c r="E4" s="2"/>
    </row>
    <row r="5" spans="3:9" x14ac:dyDescent="0.25">
      <c r="C5" t="str">
        <f>[1]Трубы!B16</f>
        <v>Труба 159х4,5 ГОСТ 10704-91</v>
      </c>
      <c r="D5" s="2">
        <v>0.28999999999999998</v>
      </c>
      <c r="E5" s="2" t="str">
        <f>[1]Трубы!D16</f>
        <v>п.м.</v>
      </c>
      <c r="F5" s="2">
        <f>[1]Трубы!E16</f>
        <v>750</v>
      </c>
      <c r="G5" s="2">
        <f>[1]Трубы!F16</f>
        <v>17.2</v>
      </c>
      <c r="H5" s="2">
        <f t="shared" ref="H5" si="0">D5*F5</f>
        <v>217.49999999999997</v>
      </c>
      <c r="I5" s="2">
        <f t="shared" ref="I5" si="1">D5*G5</f>
        <v>4.9879999999999995</v>
      </c>
    </row>
    <row r="6" spans="3:9" x14ac:dyDescent="0.25">
      <c r="C6" t="str">
        <f>[1]Трубы!B11</f>
        <v>Труба 57х3 ГОСТ 10704-91</v>
      </c>
      <c r="D6" s="2">
        <v>0.22</v>
      </c>
      <c r="E6" s="2" t="str">
        <f>[1]Трубы!D11</f>
        <v>п.м.</v>
      </c>
      <c r="F6" s="2">
        <f>[1]Трубы!E11</f>
        <v>165</v>
      </c>
      <c r="G6" s="2">
        <f>[1]Трубы!F11</f>
        <v>4</v>
      </c>
      <c r="H6" s="2">
        <f t="shared" ref="H6:H17" si="2">D6*F6</f>
        <v>36.299999999999997</v>
      </c>
      <c r="I6" s="2">
        <f t="shared" ref="I6:I17" si="3">D6*G6</f>
        <v>0.88</v>
      </c>
    </row>
    <row r="7" spans="3:9" x14ac:dyDescent="0.25">
      <c r="C7" t="str">
        <f>[1]Трубы!B12</f>
        <v>Труба 76х3 ГОСТ 10704-91</v>
      </c>
      <c r="D7" s="2">
        <v>0.11</v>
      </c>
      <c r="E7" s="2" t="str">
        <f>[1]Трубы!D12</f>
        <v>п.м.</v>
      </c>
      <c r="F7" s="2">
        <f>[1]Трубы!E12</f>
        <v>225</v>
      </c>
      <c r="G7" s="2">
        <f>[1]Трубы!F12</f>
        <v>5.5</v>
      </c>
      <c r="H7" s="2">
        <f t="shared" si="2"/>
        <v>24.75</v>
      </c>
      <c r="I7" s="2">
        <f t="shared" si="3"/>
        <v>0.60499999999999998</v>
      </c>
    </row>
    <row r="8" spans="3:9" x14ac:dyDescent="0.25">
      <c r="C8" t="str">
        <f>[1]Фланцы!B9</f>
        <v xml:space="preserve">Фланец 12820-80 Ду-50, Ру-1,6 МПа </v>
      </c>
      <c r="D8" s="2">
        <f>[1]Фланцы!C9</f>
        <v>1</v>
      </c>
      <c r="E8" s="2" t="str">
        <f>[1]Фланцы!D9</f>
        <v>шт.</v>
      </c>
      <c r="F8" s="2">
        <f>[1]Фланцы!E9</f>
        <v>286</v>
      </c>
      <c r="G8" s="2">
        <f>[1]Фланцы!F9</f>
        <v>2.2999999999999998</v>
      </c>
      <c r="H8" s="2">
        <f t="shared" si="2"/>
        <v>286</v>
      </c>
      <c r="I8" s="2">
        <f t="shared" si="3"/>
        <v>2.2999999999999998</v>
      </c>
    </row>
    <row r="9" spans="3:9" x14ac:dyDescent="0.25">
      <c r="C9" t="str">
        <f>[1]Фланцы!B10</f>
        <v xml:space="preserve">Фланец 12820-80 Ду-65, Ру-1,6 МПа </v>
      </c>
      <c r="D9" s="2">
        <f>[1]Фланцы!C10</f>
        <v>1</v>
      </c>
      <c r="E9" s="2" t="str">
        <f>[1]Фланцы!D10</f>
        <v>шт.</v>
      </c>
      <c r="F9" s="2">
        <f>[1]Фланцы!E10</f>
        <v>379</v>
      </c>
      <c r="G9" s="2">
        <f>[1]Фланцы!F10</f>
        <v>3.2</v>
      </c>
      <c r="H9" s="2">
        <f t="shared" si="2"/>
        <v>379</v>
      </c>
      <c r="I9" s="2">
        <f t="shared" si="3"/>
        <v>3.2</v>
      </c>
    </row>
    <row r="10" spans="3:9" x14ac:dyDescent="0.25">
      <c r="C10" t="str">
        <f>[1]Днища!B9</f>
        <v>Днище эллиптическое 159</v>
      </c>
      <c r="D10" s="2">
        <f>[1]Днища!C9</f>
        <v>1</v>
      </c>
      <c r="E10" s="2" t="str">
        <f>[1]Днища!D9</f>
        <v>шт.</v>
      </c>
      <c r="F10" s="2">
        <f>[1]Днища!E9</f>
        <v>185</v>
      </c>
      <c r="G10" s="2">
        <f>[1]Днища!F9</f>
        <v>1.5</v>
      </c>
      <c r="H10" s="2">
        <f t="shared" si="2"/>
        <v>185</v>
      </c>
      <c r="I10" s="2">
        <f t="shared" si="3"/>
        <v>1.5</v>
      </c>
    </row>
    <row r="11" spans="3:9" x14ac:dyDescent="0.25">
      <c r="C11" t="str">
        <f>[1]Прочее!B6</f>
        <v>Лист стальной 14 мм</v>
      </c>
      <c r="D11" s="2">
        <v>2.5</v>
      </c>
      <c r="E11" s="2" t="str">
        <f>[1]Прочее!D6</f>
        <v>кг</v>
      </c>
      <c r="F11" s="2">
        <f>[1]Прочее!E6</f>
        <v>45</v>
      </c>
      <c r="G11" s="2">
        <f>[1]Прочее!F6</f>
        <v>1</v>
      </c>
      <c r="H11" s="2">
        <f t="shared" si="2"/>
        <v>112.5</v>
      </c>
      <c r="I11" s="2">
        <f t="shared" si="3"/>
        <v>2.5</v>
      </c>
    </row>
    <row r="12" spans="3:9" x14ac:dyDescent="0.25">
      <c r="C12" t="str">
        <f>[1]Прочее!B10</f>
        <v>Фитинг стальной муфта 15 мм</v>
      </c>
      <c r="D12" s="2">
        <f>[1]Прочее!C10</f>
        <v>1</v>
      </c>
      <c r="E12" s="2" t="str">
        <f>[1]Прочее!D10</f>
        <v>шт.</v>
      </c>
      <c r="F12" s="2">
        <f>[1]Прочее!E10</f>
        <v>10</v>
      </c>
      <c r="G12" s="2">
        <f>[1]Прочее!F10</f>
        <v>0.1</v>
      </c>
      <c r="H12" s="2">
        <f t="shared" si="2"/>
        <v>10</v>
      </c>
      <c r="I12" s="2">
        <f t="shared" si="3"/>
        <v>0.1</v>
      </c>
    </row>
    <row r="13" spans="3:9" x14ac:dyDescent="0.25">
      <c r="C13" t="str">
        <f>[1]Прочее!B13</f>
        <v>Фитинг стальной муфта 32 мм</v>
      </c>
      <c r="D13" s="2">
        <f>[1]Прочее!C13</f>
        <v>1</v>
      </c>
      <c r="E13" s="2" t="str">
        <f>[1]Прочее!D13</f>
        <v>шт.</v>
      </c>
      <c r="F13" s="2">
        <f>[1]Прочее!E13</f>
        <v>33</v>
      </c>
      <c r="G13" s="2">
        <f>[1]Прочее!F13</f>
        <v>0.2</v>
      </c>
      <c r="H13" s="2">
        <f t="shared" si="2"/>
        <v>33</v>
      </c>
      <c r="I13" s="2">
        <f t="shared" si="3"/>
        <v>0.2</v>
      </c>
    </row>
    <row r="14" spans="3:9" x14ac:dyDescent="0.25">
      <c r="C14" t="str">
        <f>[1]Прочее!B24</f>
        <v>Фитинг стальной пробка 32 мм</v>
      </c>
      <c r="D14" s="2">
        <f>[1]Прочее!C24</f>
        <v>1</v>
      </c>
      <c r="E14" s="2" t="str">
        <f>[1]Прочее!D24</f>
        <v>шт.</v>
      </c>
      <c r="F14" s="2">
        <f>[1]Прочее!E24</f>
        <v>50</v>
      </c>
      <c r="G14" s="2">
        <f>[1]Прочее!F24</f>
        <v>0.2</v>
      </c>
      <c r="H14" s="2">
        <f t="shared" si="2"/>
        <v>50</v>
      </c>
      <c r="I14" s="2">
        <f t="shared" si="3"/>
        <v>0.2</v>
      </c>
    </row>
    <row r="15" spans="3:9" x14ac:dyDescent="0.25">
      <c r="C15" t="str">
        <f>[1]Прочее!B27</f>
        <v>сетка нж 1,6</v>
      </c>
      <c r="D15" s="2">
        <v>1.4999999999999999E-2</v>
      </c>
      <c r="E15" s="2" t="s">
        <v>16</v>
      </c>
      <c r="F15" s="2">
        <f>[1]Прочее!E27</f>
        <v>2000</v>
      </c>
      <c r="G15" s="2">
        <f>[1]Прочее!F27</f>
        <v>1.5</v>
      </c>
      <c r="H15" s="2">
        <f t="shared" si="2"/>
        <v>30</v>
      </c>
      <c r="I15" s="2">
        <f t="shared" si="3"/>
        <v>2.2499999999999999E-2</v>
      </c>
    </row>
    <row r="16" spans="3:9" x14ac:dyDescent="0.25">
      <c r="C16" t="str">
        <f>[1]Прочее!B31</f>
        <v>Диск 50</v>
      </c>
      <c r="D16" s="2">
        <f>[1]Прочее!C31</f>
        <v>1</v>
      </c>
      <c r="E16" s="2" t="str">
        <f>[1]Прочее!D31</f>
        <v>шт.</v>
      </c>
      <c r="F16" s="2">
        <f>[1]Прочее!E31</f>
        <v>15</v>
      </c>
      <c r="G16" s="2">
        <f>[1]Прочее!F31</f>
        <v>0.08</v>
      </c>
      <c r="H16" s="2">
        <f>D16*F16</f>
        <v>15</v>
      </c>
      <c r="I16" s="2">
        <f>D16*G16</f>
        <v>0.08</v>
      </c>
    </row>
    <row r="17" spans="3:10" x14ac:dyDescent="0.25">
      <c r="C17" t="str">
        <f>[1]Прочее!B41</f>
        <v>Кольцо 50</v>
      </c>
      <c r="D17" s="2">
        <f>[1]Прочее!C41</f>
        <v>1</v>
      </c>
      <c r="E17" s="2" t="str">
        <f>[1]Прочее!D41</f>
        <v>шт.</v>
      </c>
      <c r="F17" s="2">
        <f>[1]Прочее!E41</f>
        <v>50</v>
      </c>
      <c r="G17" s="2">
        <v>0.16</v>
      </c>
      <c r="H17" s="2">
        <f t="shared" si="2"/>
        <v>50</v>
      </c>
      <c r="I17" s="2">
        <f t="shared" si="3"/>
        <v>0.16</v>
      </c>
    </row>
    <row r="18" spans="3:10" x14ac:dyDescent="0.25">
      <c r="D18" s="2"/>
      <c r="E18" s="2"/>
      <c r="F18" s="2"/>
      <c r="G18" s="2"/>
      <c r="H18" s="4">
        <f>SUM(H5:H17)</f>
        <v>1429.05</v>
      </c>
      <c r="I18" s="4">
        <f>SUM(I5:I17)</f>
        <v>16.735499999999998</v>
      </c>
    </row>
    <row r="19" spans="3:10" x14ac:dyDescent="0.25">
      <c r="D19" s="2"/>
      <c r="E19" s="2"/>
      <c r="F19" s="2"/>
      <c r="G19" s="2"/>
    </row>
    <row r="20" spans="3:10" x14ac:dyDescent="0.25">
      <c r="C20" t="s">
        <v>74</v>
      </c>
      <c r="D20" s="4">
        <f>(159*2+57*5+76*3+20+40)*3.1415</f>
        <v>2799.0765000000001</v>
      </c>
    </row>
    <row r="21" spans="3:10" x14ac:dyDescent="0.25">
      <c r="C21" t="s">
        <v>75</v>
      </c>
      <c r="D21" s="4">
        <f>D20/6</f>
        <v>466.51275000000004</v>
      </c>
      <c r="E21" s="2"/>
      <c r="F21" s="2"/>
      <c r="G21" s="2"/>
    </row>
    <row r="22" spans="3:10" x14ac:dyDescent="0.25">
      <c r="D22" s="4"/>
      <c r="E22" s="2"/>
      <c r="F22" s="2"/>
      <c r="G22" s="2"/>
    </row>
    <row r="23" spans="3:10" x14ac:dyDescent="0.25">
      <c r="C23" t="s">
        <v>76</v>
      </c>
      <c r="D23" s="4">
        <f>H18+D20+D21</f>
        <v>4694.6392500000002</v>
      </c>
      <c r="E23" s="2"/>
      <c r="F23" s="2"/>
      <c r="G23" s="2"/>
    </row>
    <row r="24" spans="3:10" x14ac:dyDescent="0.25">
      <c r="D24" s="4"/>
      <c r="E24" s="2"/>
      <c r="F24" s="2"/>
      <c r="G24" s="2"/>
    </row>
    <row r="25" spans="3:10" x14ac:dyDescent="0.25">
      <c r="C25" t="s">
        <v>77</v>
      </c>
      <c r="D25" s="4">
        <f>ROUNDUP(((D23*1.2)/1.18),-2)*1.18</f>
        <v>5664</v>
      </c>
      <c r="E25" s="2"/>
      <c r="F25" s="2"/>
      <c r="G25" s="2"/>
    </row>
    <row r="27" spans="3:10" x14ac:dyDescent="0.25">
      <c r="D27" s="2"/>
      <c r="E27" s="2"/>
      <c r="F27" s="2"/>
      <c r="G27" s="2"/>
      <c r="H27" s="2"/>
      <c r="I27" s="2"/>
    </row>
    <row r="28" spans="3:10" x14ac:dyDescent="0.25">
      <c r="D28" s="2"/>
      <c r="E28" s="2"/>
      <c r="F28" s="2"/>
      <c r="G28" s="2"/>
      <c r="H28" s="2"/>
      <c r="I28" s="2"/>
    </row>
    <row r="29" spans="3:10" x14ac:dyDescent="0.25">
      <c r="C29" s="1" t="s">
        <v>82</v>
      </c>
      <c r="D29" t="str">
        <f t="shared" ref="C29:I38" si="4">D3</f>
        <v>кол-во</v>
      </c>
      <c r="F29" t="str">
        <f t="shared" si="4"/>
        <v>цена ед.</v>
      </c>
      <c r="G29" t="str">
        <f t="shared" si="4"/>
        <v>масса ед.</v>
      </c>
      <c r="H29" t="str">
        <f t="shared" si="4"/>
        <v>сумма</v>
      </c>
      <c r="I29" t="str">
        <f t="shared" si="4"/>
        <v>вес</v>
      </c>
    </row>
    <row r="31" spans="3:10" x14ac:dyDescent="0.25">
      <c r="C31" t="s">
        <v>7</v>
      </c>
      <c r="D31" s="2">
        <f t="shared" si="4"/>
        <v>0.28999999999999998</v>
      </c>
      <c r="E31" s="2" t="str">
        <f t="shared" si="4"/>
        <v>п.м.</v>
      </c>
      <c r="F31" s="2"/>
      <c r="G31" s="2">
        <f t="shared" si="4"/>
        <v>17.2</v>
      </c>
      <c r="H31" s="2"/>
      <c r="I31" s="2">
        <f t="shared" si="4"/>
        <v>4.9879999999999995</v>
      </c>
      <c r="J31" s="2"/>
    </row>
    <row r="32" spans="3:10" x14ac:dyDescent="0.25">
      <c r="C32" t="s">
        <v>80</v>
      </c>
      <c r="D32" s="2">
        <f t="shared" si="4"/>
        <v>0.22</v>
      </c>
      <c r="E32" s="2" t="str">
        <f t="shared" si="4"/>
        <v>п.м.</v>
      </c>
      <c r="F32" s="2"/>
      <c r="G32" s="2">
        <f t="shared" si="4"/>
        <v>4</v>
      </c>
      <c r="H32" s="2"/>
      <c r="I32" s="2">
        <f t="shared" si="4"/>
        <v>0.88</v>
      </c>
      <c r="J32" s="2"/>
    </row>
    <row r="33" spans="3:10" x14ac:dyDescent="0.25">
      <c r="C33" t="s">
        <v>81</v>
      </c>
      <c r="D33" s="2">
        <f t="shared" si="4"/>
        <v>0.11</v>
      </c>
      <c r="E33" s="2" t="str">
        <f t="shared" si="4"/>
        <v>п.м.</v>
      </c>
      <c r="F33" s="2"/>
      <c r="G33" s="2">
        <f t="shared" si="4"/>
        <v>5.5</v>
      </c>
      <c r="H33" s="2"/>
      <c r="I33" s="2">
        <f t="shared" si="4"/>
        <v>0.60499999999999998</v>
      </c>
      <c r="J33" s="2"/>
    </row>
    <row r="34" spans="3:10" x14ac:dyDescent="0.25">
      <c r="C34" t="s">
        <v>9</v>
      </c>
      <c r="D34" s="2">
        <f t="shared" si="4"/>
        <v>1</v>
      </c>
      <c r="E34" s="2" t="str">
        <f t="shared" si="4"/>
        <v>шт.</v>
      </c>
      <c r="F34" s="2"/>
      <c r="G34" s="2">
        <f t="shared" si="4"/>
        <v>2.2999999999999998</v>
      </c>
      <c r="H34" s="2"/>
      <c r="I34" s="2">
        <f t="shared" si="4"/>
        <v>2.2999999999999998</v>
      </c>
      <c r="J34" s="2"/>
    </row>
    <row r="35" spans="3:10" x14ac:dyDescent="0.25">
      <c r="C35" t="s">
        <v>18</v>
      </c>
      <c r="D35" s="2">
        <f t="shared" si="4"/>
        <v>1</v>
      </c>
      <c r="E35" s="2" t="str">
        <f t="shared" si="4"/>
        <v>шт.</v>
      </c>
      <c r="F35" s="2"/>
      <c r="G35" s="2">
        <f t="shared" si="4"/>
        <v>3.2</v>
      </c>
      <c r="H35" s="2"/>
      <c r="I35" s="2">
        <f t="shared" si="4"/>
        <v>3.2</v>
      </c>
      <c r="J35" s="2"/>
    </row>
    <row r="36" spans="3:10" x14ac:dyDescent="0.25">
      <c r="C36" t="s">
        <v>6</v>
      </c>
      <c r="D36" s="2">
        <f t="shared" si="4"/>
        <v>1</v>
      </c>
      <c r="E36" s="2" t="str">
        <f t="shared" si="4"/>
        <v>шт.</v>
      </c>
      <c r="F36" s="2"/>
      <c r="G36" s="2">
        <f t="shared" si="4"/>
        <v>1.5</v>
      </c>
      <c r="H36" s="2"/>
      <c r="I36" s="2">
        <f t="shared" si="4"/>
        <v>1.5</v>
      </c>
      <c r="J36" s="2"/>
    </row>
    <row r="37" spans="3:10" x14ac:dyDescent="0.25">
      <c r="C37" t="str">
        <f t="shared" si="4"/>
        <v>Лист стальной 14 мм</v>
      </c>
      <c r="D37" s="2">
        <f t="shared" si="4"/>
        <v>2.5</v>
      </c>
      <c r="E37" s="2" t="str">
        <f t="shared" si="4"/>
        <v>кг</v>
      </c>
      <c r="F37" s="2"/>
      <c r="G37" s="2">
        <f t="shared" si="4"/>
        <v>1</v>
      </c>
      <c r="H37" s="2"/>
      <c r="I37" s="2">
        <f t="shared" si="4"/>
        <v>2.5</v>
      </c>
      <c r="J37" s="2"/>
    </row>
    <row r="38" spans="3:10" x14ac:dyDescent="0.25">
      <c r="C38" t="str">
        <f t="shared" si="4"/>
        <v>Фитинг стальной муфта 15 мм</v>
      </c>
      <c r="D38" s="2">
        <f t="shared" si="4"/>
        <v>1</v>
      </c>
      <c r="E38" s="2" t="str">
        <f t="shared" si="4"/>
        <v>шт.</v>
      </c>
      <c r="F38" s="2"/>
      <c r="G38" s="2">
        <f t="shared" si="4"/>
        <v>0.1</v>
      </c>
      <c r="H38" s="2"/>
      <c r="I38" s="2">
        <f t="shared" si="4"/>
        <v>0.1</v>
      </c>
      <c r="J38" s="2"/>
    </row>
    <row r="39" spans="3:10" x14ac:dyDescent="0.25">
      <c r="C39" t="str">
        <f t="shared" ref="C39:I43" si="5">C13</f>
        <v>Фитинг стальной муфта 32 мм</v>
      </c>
      <c r="D39" s="2">
        <f t="shared" si="5"/>
        <v>1</v>
      </c>
      <c r="E39" s="2" t="str">
        <f t="shared" si="5"/>
        <v>шт.</v>
      </c>
      <c r="F39" s="2"/>
      <c r="G39" s="2">
        <f t="shared" si="5"/>
        <v>0.2</v>
      </c>
      <c r="H39" s="2"/>
      <c r="I39" s="2">
        <f t="shared" si="5"/>
        <v>0.2</v>
      </c>
      <c r="J39" s="2"/>
    </row>
    <row r="40" spans="3:10" x14ac:dyDescent="0.25">
      <c r="C40" t="str">
        <f t="shared" si="5"/>
        <v>Фитинг стальной пробка 32 мм</v>
      </c>
      <c r="D40" s="2">
        <f t="shared" si="5"/>
        <v>1</v>
      </c>
      <c r="E40" s="2" t="str">
        <f t="shared" si="5"/>
        <v>шт.</v>
      </c>
      <c r="F40" s="2"/>
      <c r="G40" s="2">
        <f t="shared" si="5"/>
        <v>0.2</v>
      </c>
      <c r="H40" s="2"/>
      <c r="I40" s="2">
        <f t="shared" si="5"/>
        <v>0.2</v>
      </c>
      <c r="J40" s="2"/>
    </row>
    <row r="41" spans="3:10" x14ac:dyDescent="0.25">
      <c r="C41" t="str">
        <f t="shared" si="5"/>
        <v>сетка нж 1,6</v>
      </c>
      <c r="D41" s="2">
        <f t="shared" si="5"/>
        <v>1.4999999999999999E-2</v>
      </c>
      <c r="E41" s="2" t="str">
        <f t="shared" si="5"/>
        <v>м2</v>
      </c>
      <c r="F41" s="2"/>
      <c r="G41" s="2">
        <f t="shared" si="5"/>
        <v>1.5</v>
      </c>
      <c r="H41" s="2"/>
      <c r="I41" s="2">
        <f t="shared" si="5"/>
        <v>2.2499999999999999E-2</v>
      </c>
      <c r="J41" s="2"/>
    </row>
    <row r="42" spans="3:10" x14ac:dyDescent="0.25">
      <c r="C42" t="str">
        <f t="shared" si="5"/>
        <v>Диск 50</v>
      </c>
      <c r="D42" s="2">
        <f t="shared" si="5"/>
        <v>1</v>
      </c>
      <c r="E42" s="2" t="str">
        <f t="shared" si="5"/>
        <v>шт.</v>
      </c>
      <c r="F42" s="2"/>
      <c r="G42" s="2">
        <f t="shared" si="5"/>
        <v>0.08</v>
      </c>
      <c r="H42" s="2"/>
      <c r="I42" s="2">
        <f t="shared" si="5"/>
        <v>0.08</v>
      </c>
      <c r="J42" s="2"/>
    </row>
    <row r="43" spans="3:10" x14ac:dyDescent="0.25">
      <c r="C43" t="str">
        <f t="shared" si="5"/>
        <v>Кольцо 50</v>
      </c>
      <c r="D43" s="2">
        <f t="shared" si="5"/>
        <v>1</v>
      </c>
      <c r="E43" s="2" t="str">
        <f t="shared" si="5"/>
        <v>шт.</v>
      </c>
      <c r="F43" s="2"/>
      <c r="G43" s="2">
        <f t="shared" si="5"/>
        <v>0.16</v>
      </c>
      <c r="H43" s="2"/>
      <c r="I43" s="2">
        <f t="shared" si="5"/>
        <v>0.16</v>
      </c>
      <c r="J43" s="2"/>
    </row>
    <row r="44" spans="3:10" x14ac:dyDescent="0.25">
      <c r="C44" t="s">
        <v>10</v>
      </c>
      <c r="D44" s="2">
        <v>1</v>
      </c>
      <c r="E44" s="2" t="s">
        <v>58</v>
      </c>
      <c r="F44" s="2"/>
      <c r="G44" s="2"/>
      <c r="H44" s="2"/>
      <c r="I44" s="2"/>
      <c r="J44" s="2"/>
    </row>
    <row r="45" spans="3:10" x14ac:dyDescent="0.25">
      <c r="C45" t="s">
        <v>22</v>
      </c>
      <c r="D45" s="2">
        <v>1</v>
      </c>
      <c r="E45" s="2" t="s">
        <v>58</v>
      </c>
      <c r="F45" s="2"/>
      <c r="G45" s="2"/>
      <c r="H45" s="2"/>
      <c r="I45" s="2"/>
      <c r="J45" s="2"/>
    </row>
    <row r="46" spans="3:10" x14ac:dyDescent="0.25">
      <c r="C46" t="s">
        <v>11</v>
      </c>
      <c r="D46" s="2">
        <v>8</v>
      </c>
      <c r="E46" s="2" t="s">
        <v>58</v>
      </c>
      <c r="F46" s="2"/>
      <c r="G46" s="2"/>
      <c r="H46" s="2"/>
      <c r="I46" s="2"/>
      <c r="J46" s="2"/>
    </row>
    <row r="47" spans="3:10" x14ac:dyDescent="0.25">
      <c r="C47" t="s">
        <v>12</v>
      </c>
      <c r="D47" s="2">
        <v>8</v>
      </c>
      <c r="E47" s="2" t="s">
        <v>58</v>
      </c>
      <c r="F47" s="2"/>
      <c r="G47" s="2"/>
      <c r="H47" s="2"/>
      <c r="I47" s="2"/>
      <c r="J47" s="2"/>
    </row>
    <row r="48" spans="3:10" x14ac:dyDescent="0.25">
      <c r="C48" t="s">
        <v>13</v>
      </c>
      <c r="D48" s="2">
        <v>8</v>
      </c>
      <c r="E48" s="2" t="s">
        <v>58</v>
      </c>
      <c r="F48" s="2"/>
      <c r="G48" s="2"/>
      <c r="H48" s="2"/>
      <c r="I48" s="2"/>
      <c r="J48" s="2"/>
    </row>
    <row r="51" spans="3:9" x14ac:dyDescent="0.25">
      <c r="C51" s="1" t="s">
        <v>88</v>
      </c>
      <c r="D51" t="s">
        <v>8</v>
      </c>
      <c r="F51" t="s">
        <v>70</v>
      </c>
      <c r="G51" t="s">
        <v>71</v>
      </c>
      <c r="H51" t="s">
        <v>72</v>
      </c>
      <c r="I51" t="s">
        <v>73</v>
      </c>
    </row>
    <row r="53" spans="3:9" x14ac:dyDescent="0.25">
      <c r="C53" t="s">
        <v>7</v>
      </c>
      <c r="D53" s="2">
        <v>0.28999999999999998</v>
      </c>
      <c r="E53" s="2" t="s">
        <v>15</v>
      </c>
      <c r="F53" s="2"/>
      <c r="G53" s="2">
        <v>17.2</v>
      </c>
      <c r="H53" s="2"/>
      <c r="I53" s="2">
        <v>4.9879999999999995</v>
      </c>
    </row>
    <row r="54" spans="3:9" x14ac:dyDescent="0.25">
      <c r="C54" t="s">
        <v>80</v>
      </c>
      <c r="D54" s="2">
        <v>0.11</v>
      </c>
      <c r="E54" s="2" t="s">
        <v>15</v>
      </c>
      <c r="F54" s="2"/>
      <c r="G54" s="2">
        <v>4</v>
      </c>
      <c r="H54" s="2"/>
      <c r="I54" s="2">
        <v>0.88</v>
      </c>
    </row>
    <row r="55" spans="3:9" x14ac:dyDescent="0.25">
      <c r="C55" t="s">
        <v>81</v>
      </c>
      <c r="D55" s="2">
        <v>0.11</v>
      </c>
      <c r="E55" s="2" t="s">
        <v>15</v>
      </c>
      <c r="F55" s="2"/>
      <c r="G55" s="2">
        <v>5.5</v>
      </c>
      <c r="H55" s="2"/>
      <c r="I55" s="2">
        <v>0.60499999999999998</v>
      </c>
    </row>
    <row r="56" spans="3:9" x14ac:dyDescent="0.25">
      <c r="C56" t="s">
        <v>9</v>
      </c>
      <c r="D56" s="2">
        <v>1</v>
      </c>
      <c r="E56" s="2" t="s">
        <v>58</v>
      </c>
      <c r="F56" s="2"/>
      <c r="G56" s="2">
        <v>2.2999999999999998</v>
      </c>
      <c r="H56" s="2"/>
      <c r="I56" s="2">
        <v>2.2999999999999998</v>
      </c>
    </row>
    <row r="57" spans="3:9" x14ac:dyDescent="0.25">
      <c r="C57" t="s">
        <v>18</v>
      </c>
      <c r="D57" s="2">
        <v>1</v>
      </c>
      <c r="E57" s="2" t="s">
        <v>58</v>
      </c>
      <c r="F57" s="2"/>
      <c r="G57" s="2">
        <v>3.2</v>
      </c>
      <c r="H57" s="2"/>
      <c r="I57" s="2">
        <v>3.2</v>
      </c>
    </row>
    <row r="58" spans="3:9" x14ac:dyDescent="0.25">
      <c r="C58" t="s">
        <v>6</v>
      </c>
      <c r="D58" s="2">
        <v>1</v>
      </c>
      <c r="E58" s="2" t="s">
        <v>58</v>
      </c>
      <c r="F58" s="2"/>
      <c r="G58" s="2">
        <v>1.5</v>
      </c>
      <c r="H58" s="2"/>
      <c r="I58" s="2">
        <v>1.5</v>
      </c>
    </row>
    <row r="59" spans="3:9" x14ac:dyDescent="0.25">
      <c r="C59" t="s">
        <v>83</v>
      </c>
      <c r="D59" s="2">
        <v>2.5</v>
      </c>
      <c r="E59" s="2" t="s">
        <v>14</v>
      </c>
      <c r="F59" s="2"/>
      <c r="G59" s="2">
        <v>1</v>
      </c>
      <c r="H59" s="2"/>
      <c r="I59" s="2">
        <v>2.5</v>
      </c>
    </row>
    <row r="60" spans="3:9" x14ac:dyDescent="0.25">
      <c r="C60" t="s">
        <v>84</v>
      </c>
      <c r="D60" s="2">
        <v>1</v>
      </c>
      <c r="E60" s="2" t="s">
        <v>58</v>
      </c>
      <c r="F60" s="2"/>
      <c r="G60" s="2">
        <v>0.1</v>
      </c>
      <c r="H60" s="2"/>
      <c r="I60" s="2">
        <v>0.1</v>
      </c>
    </row>
    <row r="61" spans="3:9" x14ac:dyDescent="0.25">
      <c r="C61" t="s">
        <v>85</v>
      </c>
      <c r="D61" s="2">
        <v>1</v>
      </c>
      <c r="E61" s="2" t="s">
        <v>58</v>
      </c>
      <c r="F61" s="2"/>
      <c r="G61" s="2">
        <v>0.2</v>
      </c>
      <c r="H61" s="2"/>
      <c r="I61" s="2">
        <v>0.2</v>
      </c>
    </row>
    <row r="62" spans="3:9" x14ac:dyDescent="0.25">
      <c r="C62" t="s">
        <v>86</v>
      </c>
      <c r="D62" s="2">
        <v>1</v>
      </c>
      <c r="E62" s="2" t="s">
        <v>58</v>
      </c>
      <c r="F62" s="2"/>
      <c r="G62" s="2">
        <v>0.2</v>
      </c>
      <c r="H62" s="2"/>
      <c r="I62" s="2">
        <v>0.2</v>
      </c>
    </row>
    <row r="63" spans="3:9" x14ac:dyDescent="0.25">
      <c r="C63" t="s">
        <v>10</v>
      </c>
      <c r="D63" s="2">
        <v>1</v>
      </c>
      <c r="E63" s="2" t="s">
        <v>58</v>
      </c>
      <c r="F63" s="2"/>
      <c r="G63" s="2"/>
      <c r="H63" s="2"/>
      <c r="I63" s="2"/>
    </row>
    <row r="64" spans="3:9" x14ac:dyDescent="0.25">
      <c r="C64" t="s">
        <v>22</v>
      </c>
      <c r="D64" s="2">
        <v>1</v>
      </c>
      <c r="E64" s="2" t="s">
        <v>58</v>
      </c>
      <c r="F64" s="2"/>
      <c r="G64" s="2"/>
      <c r="H64" s="2"/>
      <c r="I64" s="2"/>
    </row>
    <row r="65" spans="3:9" x14ac:dyDescent="0.25">
      <c r="C65" t="s">
        <v>11</v>
      </c>
      <c r="D65" s="2">
        <v>8</v>
      </c>
      <c r="E65" s="2" t="s">
        <v>58</v>
      </c>
      <c r="F65" s="2"/>
      <c r="G65" s="2"/>
      <c r="H65" s="2"/>
      <c r="I65" s="2"/>
    </row>
    <row r="66" spans="3:9" x14ac:dyDescent="0.25">
      <c r="C66" t="s">
        <v>12</v>
      </c>
      <c r="D66" s="2">
        <v>8</v>
      </c>
      <c r="E66" s="2" t="s">
        <v>58</v>
      </c>
      <c r="F66" s="2"/>
      <c r="G66" s="2"/>
      <c r="H66" s="2"/>
      <c r="I66" s="2"/>
    </row>
    <row r="67" spans="3:9" x14ac:dyDescent="0.25">
      <c r="C67" t="s">
        <v>13</v>
      </c>
      <c r="D67" s="2">
        <v>8</v>
      </c>
      <c r="E67" s="2" t="s">
        <v>58</v>
      </c>
      <c r="F67" s="2"/>
      <c r="G67" s="2"/>
      <c r="H67" s="2"/>
      <c r="I67" s="2"/>
    </row>
    <row r="68" spans="3:9" x14ac:dyDescent="0.25">
      <c r="F68" s="2"/>
      <c r="G68" s="2"/>
      <c r="H68" s="2"/>
      <c r="I68" s="2"/>
    </row>
    <row r="69" spans="3:9" x14ac:dyDescent="0.25">
      <c r="F69" s="2"/>
      <c r="G69" s="2"/>
      <c r="H69" s="2"/>
      <c r="I69" s="2"/>
    </row>
    <row r="70" spans="3:9" x14ac:dyDescent="0.25">
      <c r="F70" s="2"/>
      <c r="G70" s="2"/>
      <c r="H70" s="2"/>
      <c r="I70" s="2"/>
    </row>
    <row r="72" spans="3:9" x14ac:dyDescent="0.25">
      <c r="C72" s="1" t="s">
        <v>32</v>
      </c>
      <c r="E72" s="2"/>
    </row>
    <row r="73" spans="3:9" x14ac:dyDescent="0.25">
      <c r="E73" s="3"/>
    </row>
    <row r="74" spans="3:9" x14ac:dyDescent="0.25">
      <c r="C74" t="s">
        <v>9</v>
      </c>
      <c r="D74" s="2">
        <v>2</v>
      </c>
      <c r="E74" s="2"/>
      <c r="G74">
        <v>250</v>
      </c>
      <c r="H74" s="2">
        <f>G74*D74</f>
        <v>500</v>
      </c>
    </row>
    <row r="75" spans="3:9" x14ac:dyDescent="0.25">
      <c r="C75" t="s">
        <v>18</v>
      </c>
      <c r="D75" s="2">
        <v>2</v>
      </c>
      <c r="E75" s="2"/>
      <c r="G75">
        <v>330</v>
      </c>
      <c r="H75" s="2">
        <f t="shared" ref="H75:H82" si="6">G75*D75</f>
        <v>660</v>
      </c>
    </row>
    <row r="76" spans="3:9" x14ac:dyDescent="0.25">
      <c r="C76" t="s">
        <v>6</v>
      </c>
      <c r="D76" s="2">
        <v>1</v>
      </c>
      <c r="G76">
        <v>386</v>
      </c>
      <c r="H76" s="2">
        <f t="shared" si="6"/>
        <v>386</v>
      </c>
    </row>
    <row r="77" spans="3:9" x14ac:dyDescent="0.25">
      <c r="C77" t="s">
        <v>10</v>
      </c>
      <c r="D77" s="2">
        <v>1</v>
      </c>
      <c r="G77">
        <v>6</v>
      </c>
      <c r="H77" s="2">
        <f>G77*D77</f>
        <v>6</v>
      </c>
    </row>
    <row r="78" spans="3:9" x14ac:dyDescent="0.25">
      <c r="C78" t="s">
        <v>22</v>
      </c>
      <c r="D78" s="2">
        <v>1</v>
      </c>
      <c r="G78">
        <v>9</v>
      </c>
      <c r="H78" s="2">
        <f>G78*D78</f>
        <v>9</v>
      </c>
    </row>
    <row r="79" spans="3:9" x14ac:dyDescent="0.25">
      <c r="C79" t="s">
        <v>11</v>
      </c>
      <c r="D79" s="2">
        <v>8</v>
      </c>
      <c r="G79">
        <v>20</v>
      </c>
      <c r="H79" s="2">
        <f>G79*D79</f>
        <v>160</v>
      </c>
    </row>
    <row r="80" spans="3:9" x14ac:dyDescent="0.25">
      <c r="C80" t="s">
        <v>12</v>
      </c>
      <c r="D80" s="2">
        <v>8</v>
      </c>
      <c r="G80">
        <v>5</v>
      </c>
      <c r="H80" s="2">
        <f>G80*D80</f>
        <v>40</v>
      </c>
    </row>
    <row r="81" spans="3:8" x14ac:dyDescent="0.25">
      <c r="C81" t="s">
        <v>13</v>
      </c>
      <c r="D81" s="2">
        <v>8</v>
      </c>
      <c r="G81">
        <v>4</v>
      </c>
      <c r="H81" s="2">
        <f>G81*D81</f>
        <v>32</v>
      </c>
    </row>
    <row r="82" spans="3:8" x14ac:dyDescent="0.25">
      <c r="H82" s="2">
        <f t="shared" si="6"/>
        <v>0</v>
      </c>
    </row>
    <row r="83" spans="3:8" x14ac:dyDescent="0.25">
      <c r="C83" t="s">
        <v>7</v>
      </c>
      <c r="D83" s="2">
        <v>0.28999999999999998</v>
      </c>
      <c r="E83" s="2" t="s">
        <v>15</v>
      </c>
      <c r="G83">
        <v>350</v>
      </c>
      <c r="H83" s="2">
        <f>1*G83</f>
        <v>350</v>
      </c>
    </row>
    <row r="84" spans="3:8" x14ac:dyDescent="0.25">
      <c r="C84" t="s">
        <v>20</v>
      </c>
      <c r="D84" s="2">
        <v>1</v>
      </c>
      <c r="G84">
        <v>10</v>
      </c>
      <c r="H84" s="2">
        <f t="shared" ref="H84:H92" si="7">1*G84</f>
        <v>10</v>
      </c>
    </row>
    <row r="85" spans="3:8" x14ac:dyDescent="0.25">
      <c r="C85" t="s">
        <v>21</v>
      </c>
      <c r="D85" s="2">
        <v>1</v>
      </c>
      <c r="G85">
        <v>41</v>
      </c>
      <c r="H85" s="2">
        <f t="shared" si="7"/>
        <v>41</v>
      </c>
    </row>
    <row r="86" spans="3:8" x14ac:dyDescent="0.25">
      <c r="C86" t="s">
        <v>5</v>
      </c>
      <c r="D86" s="2">
        <v>2.5</v>
      </c>
      <c r="E86" s="2" t="s">
        <v>14</v>
      </c>
      <c r="G86">
        <v>86</v>
      </c>
      <c r="H86" s="2">
        <f t="shared" si="7"/>
        <v>86</v>
      </c>
    </row>
    <row r="87" spans="3:8" x14ac:dyDescent="0.25">
      <c r="C87" t="s">
        <v>1</v>
      </c>
      <c r="D87" s="2">
        <v>0.3</v>
      </c>
      <c r="E87" s="2" t="s">
        <v>15</v>
      </c>
      <c r="G87">
        <v>100</v>
      </c>
      <c r="H87" s="2">
        <f t="shared" si="7"/>
        <v>100</v>
      </c>
    </row>
    <row r="88" spans="3:8" x14ac:dyDescent="0.25">
      <c r="C88" t="s">
        <v>19</v>
      </c>
      <c r="D88" s="2">
        <v>0.15</v>
      </c>
      <c r="E88" s="2" t="s">
        <v>15</v>
      </c>
      <c r="G88">
        <v>100</v>
      </c>
      <c r="H88" s="2">
        <f t="shared" si="7"/>
        <v>100</v>
      </c>
    </row>
    <row r="89" spans="3:8" x14ac:dyDescent="0.25">
      <c r="C89" t="s">
        <v>2</v>
      </c>
      <c r="D89" s="2">
        <v>1.4999999999999999E-2</v>
      </c>
      <c r="E89" s="2" t="s">
        <v>16</v>
      </c>
      <c r="G89">
        <v>100</v>
      </c>
      <c r="H89" s="2">
        <f t="shared" si="7"/>
        <v>100</v>
      </c>
    </row>
    <row r="90" spans="3:8" x14ac:dyDescent="0.25">
      <c r="C90" t="s">
        <v>68</v>
      </c>
      <c r="D90" s="2">
        <v>1</v>
      </c>
      <c r="E90" s="2"/>
      <c r="G90">
        <v>20</v>
      </c>
      <c r="H90" s="2">
        <f t="shared" si="7"/>
        <v>20</v>
      </c>
    </row>
    <row r="91" spans="3:8" x14ac:dyDescent="0.25">
      <c r="C91" t="s">
        <v>3</v>
      </c>
      <c r="D91" s="2">
        <v>1</v>
      </c>
      <c r="E91" s="2"/>
      <c r="G91">
        <v>20</v>
      </c>
      <c r="H91" s="2">
        <f t="shared" si="7"/>
        <v>20</v>
      </c>
    </row>
    <row r="92" spans="3:8" x14ac:dyDescent="0.25">
      <c r="C92" t="s">
        <v>4</v>
      </c>
      <c r="D92" s="2">
        <v>1</v>
      </c>
      <c r="E92" s="2"/>
      <c r="G92">
        <v>50</v>
      </c>
      <c r="H92" s="2">
        <f t="shared" si="7"/>
        <v>50</v>
      </c>
    </row>
    <row r="93" spans="3:8" x14ac:dyDescent="0.25">
      <c r="H93" s="3">
        <f>SUM(H74:H92)</f>
        <v>2670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77"/>
  <sheetViews>
    <sheetView zoomScale="80" zoomScaleNormal="80" workbookViewId="0">
      <selection activeCell="D3" sqref="D3:I3"/>
    </sheetView>
  </sheetViews>
  <sheetFormatPr defaultRowHeight="15" x14ac:dyDescent="0.25"/>
  <cols>
    <col min="2" max="2" width="6.140625" customWidth="1"/>
    <col min="3" max="3" width="53.85546875" customWidth="1"/>
    <col min="4" max="4" width="13.42578125" customWidth="1"/>
    <col min="5" max="5" width="9.42578125" customWidth="1"/>
  </cols>
  <sheetData>
    <row r="3" spans="3:9" x14ac:dyDescent="0.25">
      <c r="C3" s="1" t="s">
        <v>23</v>
      </c>
      <c r="D3" s="3" t="s">
        <v>8</v>
      </c>
      <c r="E3" s="2"/>
      <c r="F3" s="3" t="s">
        <v>70</v>
      </c>
      <c r="G3" s="3" t="s">
        <v>71</v>
      </c>
      <c r="H3" s="3" t="s">
        <v>72</v>
      </c>
      <c r="I3" s="3" t="s">
        <v>73</v>
      </c>
    </row>
    <row r="4" spans="3:9" x14ac:dyDescent="0.25">
      <c r="E4" s="2"/>
    </row>
    <row r="5" spans="3:9" x14ac:dyDescent="0.25">
      <c r="C5" t="str">
        <f>[1]Трубы!B17</f>
        <v>Труба 219х5 ГОСТ 10704-91</v>
      </c>
      <c r="D5" s="2">
        <v>0.34</v>
      </c>
      <c r="E5" s="2" t="str">
        <f>[1]Трубы!D17</f>
        <v>п.м.</v>
      </c>
      <c r="F5" s="2">
        <f>[1]Трубы!E17</f>
        <v>1320</v>
      </c>
      <c r="G5" s="2">
        <f>[1]Трубы!F17</f>
        <v>26.5</v>
      </c>
      <c r="H5" s="2">
        <f t="shared" ref="H5:H10" si="0">D5*F5</f>
        <v>448.8</v>
      </c>
      <c r="I5" s="2">
        <f t="shared" ref="I5:I10" si="1">D5*G5</f>
        <v>9.01</v>
      </c>
    </row>
    <row r="6" spans="3:9" x14ac:dyDescent="0.25">
      <c r="C6" t="str">
        <f>[1]Трубы!B12</f>
        <v>Труба 76х3 ГОСТ 10704-91</v>
      </c>
      <c r="D6" s="2">
        <v>0.36</v>
      </c>
      <c r="E6" s="2" t="str">
        <f>[1]Трубы!D12</f>
        <v>п.м.</v>
      </c>
      <c r="F6" s="2">
        <f>[1]Трубы!E12</f>
        <v>225</v>
      </c>
      <c r="G6" s="2">
        <f>[1]Трубы!F12</f>
        <v>5.5</v>
      </c>
      <c r="H6" s="2">
        <f t="shared" si="0"/>
        <v>81</v>
      </c>
      <c r="I6" s="2">
        <f t="shared" si="1"/>
        <v>1.98</v>
      </c>
    </row>
    <row r="7" spans="3:9" x14ac:dyDescent="0.25">
      <c r="C7" t="str">
        <f>[1]Трубы!B13</f>
        <v>Труба 89х3 ГОСТ 10704-91</v>
      </c>
      <c r="D7" s="2">
        <v>0.12</v>
      </c>
      <c r="E7" s="2" t="str">
        <f>[1]Трубы!D13</f>
        <v>п.м.</v>
      </c>
      <c r="F7" s="2">
        <f>[1]Трубы!E13</f>
        <v>300</v>
      </c>
      <c r="G7" s="2">
        <f>[1]Трубы!F13</f>
        <v>7.4</v>
      </c>
      <c r="H7" s="2">
        <f t="shared" si="0"/>
        <v>36</v>
      </c>
      <c r="I7" s="2">
        <f t="shared" si="1"/>
        <v>0.88800000000000001</v>
      </c>
    </row>
    <row r="8" spans="3:9" x14ac:dyDescent="0.25">
      <c r="C8" t="str">
        <f>[1]Фланцы!B10</f>
        <v xml:space="preserve">Фланец 12820-80 Ду-65, Ру-1,6 МПа </v>
      </c>
      <c r="D8" s="2">
        <f>[1]Фланцы!C10</f>
        <v>1</v>
      </c>
      <c r="E8" s="2" t="str">
        <f>[1]Фланцы!D10</f>
        <v>шт.</v>
      </c>
      <c r="F8" s="2">
        <f>[1]Фланцы!E10</f>
        <v>379</v>
      </c>
      <c r="G8" s="2">
        <f>[1]Фланцы!F10</f>
        <v>3.2</v>
      </c>
      <c r="H8" s="2">
        <f t="shared" si="0"/>
        <v>379</v>
      </c>
      <c r="I8" s="2">
        <f t="shared" si="1"/>
        <v>3.2</v>
      </c>
    </row>
    <row r="9" spans="3:9" x14ac:dyDescent="0.25">
      <c r="C9" t="str">
        <f>[1]Фланцы!B11</f>
        <v xml:space="preserve">Фланец 12820-80 Ду-80, Ру-1,6 МПа </v>
      </c>
      <c r="D9" s="2">
        <f>[1]Фланцы!C11</f>
        <v>1</v>
      </c>
      <c r="E9" s="2" t="str">
        <f>[1]Фланцы!D11</f>
        <v>шт.</v>
      </c>
      <c r="F9" s="2">
        <f>[1]Фланцы!E11</f>
        <v>427</v>
      </c>
      <c r="G9" s="2">
        <f>[1]Фланцы!F11</f>
        <v>4.3</v>
      </c>
      <c r="H9" s="2">
        <f t="shared" si="0"/>
        <v>427</v>
      </c>
      <c r="I9" s="2">
        <f t="shared" si="1"/>
        <v>4.3</v>
      </c>
    </row>
    <row r="10" spans="3:9" x14ac:dyDescent="0.25">
      <c r="C10" t="str">
        <f>[1]Днища!B10</f>
        <v>Днище эллиптическое 219</v>
      </c>
      <c r="D10" s="2">
        <f>[1]Днища!C10</f>
        <v>1</v>
      </c>
      <c r="E10" s="2" t="str">
        <f>[1]Днища!D10</f>
        <v>шт.</v>
      </c>
      <c r="F10" s="2">
        <f>[1]Днища!E10</f>
        <v>360</v>
      </c>
      <c r="G10" s="2">
        <f>[1]Днища!F10</f>
        <v>3.1</v>
      </c>
      <c r="H10" s="2">
        <f t="shared" si="0"/>
        <v>360</v>
      </c>
      <c r="I10" s="2">
        <f t="shared" si="1"/>
        <v>3.1</v>
      </c>
    </row>
    <row r="11" spans="3:9" x14ac:dyDescent="0.25">
      <c r="C11" t="str">
        <f>[1]Прочее!B6</f>
        <v>Лист стальной 14 мм</v>
      </c>
      <c r="D11" s="2">
        <v>4.8</v>
      </c>
      <c r="E11" s="2" t="str">
        <f>[1]Прочее!D6</f>
        <v>кг</v>
      </c>
      <c r="F11" s="2">
        <f>[1]Прочее!E6</f>
        <v>45</v>
      </c>
      <c r="G11" s="2">
        <f>[1]Прочее!F6</f>
        <v>1</v>
      </c>
      <c r="H11" s="2">
        <f t="shared" ref="H11:H15" si="2">D11*F11</f>
        <v>216</v>
      </c>
      <c r="I11" s="2">
        <f t="shared" ref="I11:I15" si="3">D11*G11</f>
        <v>4.8</v>
      </c>
    </row>
    <row r="12" spans="3:9" x14ac:dyDescent="0.25">
      <c r="C12" t="str">
        <f>[1]Прочее!B10</f>
        <v>Фитинг стальной муфта 15 мм</v>
      </c>
      <c r="D12" s="2">
        <f>[1]Прочее!C10</f>
        <v>1</v>
      </c>
      <c r="E12" s="2" t="str">
        <f>[1]Прочее!D10</f>
        <v>шт.</v>
      </c>
      <c r="F12" s="2">
        <f>[1]Прочее!E10</f>
        <v>10</v>
      </c>
      <c r="G12" s="2">
        <f>[1]Прочее!F10</f>
        <v>0.1</v>
      </c>
      <c r="H12" s="2">
        <f t="shared" si="2"/>
        <v>10</v>
      </c>
      <c r="I12" s="2">
        <f t="shared" si="3"/>
        <v>0.1</v>
      </c>
    </row>
    <row r="13" spans="3:9" x14ac:dyDescent="0.25">
      <c r="C13" t="str">
        <f>[1]Прочее!B13</f>
        <v>Фитинг стальной муфта 32 мм</v>
      </c>
      <c r="D13" s="2">
        <f>[1]Прочее!C13</f>
        <v>1</v>
      </c>
      <c r="E13" s="2" t="str">
        <f>[1]Прочее!D13</f>
        <v>шт.</v>
      </c>
      <c r="F13" s="2">
        <f>[1]Прочее!E13</f>
        <v>33</v>
      </c>
      <c r="G13" s="2">
        <f>[1]Прочее!F13</f>
        <v>0.2</v>
      </c>
      <c r="H13" s="2">
        <f t="shared" si="2"/>
        <v>33</v>
      </c>
      <c r="I13" s="2">
        <f t="shared" si="3"/>
        <v>0.2</v>
      </c>
    </row>
    <row r="14" spans="3:9" x14ac:dyDescent="0.25">
      <c r="C14" t="str">
        <f>[1]Прочее!B24</f>
        <v>Фитинг стальной пробка 32 мм</v>
      </c>
      <c r="D14" s="2">
        <f>[1]Прочее!C24</f>
        <v>1</v>
      </c>
      <c r="E14" s="2" t="str">
        <f>[1]Прочее!D24</f>
        <v>шт.</v>
      </c>
      <c r="F14" s="2">
        <f>[1]Прочее!E24</f>
        <v>50</v>
      </c>
      <c r="G14" s="2">
        <f>[1]Прочее!F24</f>
        <v>0.2</v>
      </c>
      <c r="H14" s="2">
        <f t="shared" si="2"/>
        <v>50</v>
      </c>
      <c r="I14" s="2">
        <f t="shared" si="3"/>
        <v>0.2</v>
      </c>
    </row>
    <row r="15" spans="3:9" x14ac:dyDescent="0.25">
      <c r="C15" t="str">
        <f>[1]Прочее!B27</f>
        <v>сетка нж 1,6</v>
      </c>
      <c r="D15" s="2">
        <v>2.7E-2</v>
      </c>
      <c r="E15" s="2" t="s">
        <v>16</v>
      </c>
      <c r="F15" s="2">
        <f>[1]Прочее!E27</f>
        <v>2000</v>
      </c>
      <c r="G15" s="2">
        <f>[1]Прочее!F27</f>
        <v>1.5</v>
      </c>
      <c r="H15" s="2">
        <f t="shared" si="2"/>
        <v>54</v>
      </c>
      <c r="I15" s="2">
        <f t="shared" si="3"/>
        <v>4.0500000000000001E-2</v>
      </c>
    </row>
    <row r="16" spans="3:9" x14ac:dyDescent="0.25">
      <c r="C16" t="str">
        <f>[1]Прочее!B32</f>
        <v>Диск 65</v>
      </c>
      <c r="D16" s="2">
        <f>[1]Прочее!C32</f>
        <v>1</v>
      </c>
      <c r="E16" s="2" t="str">
        <f>[1]Прочее!D32</f>
        <v>шт.</v>
      </c>
      <c r="F16" s="2">
        <f>[1]Прочее!E32</f>
        <v>20</v>
      </c>
      <c r="G16" s="2">
        <f>[1]Прочее!F32</f>
        <v>0.15</v>
      </c>
      <c r="H16" s="2">
        <f>D16*F16</f>
        <v>20</v>
      </c>
      <c r="I16" s="2">
        <f>D16*G16</f>
        <v>0.15</v>
      </c>
    </row>
    <row r="17" spans="3:9" x14ac:dyDescent="0.25">
      <c r="C17" t="str">
        <f>[1]Прочее!B42</f>
        <v>Кольцо 65</v>
      </c>
      <c r="D17" s="2">
        <f>[1]Прочее!C42</f>
        <v>1</v>
      </c>
      <c r="E17" s="2" t="str">
        <f>[1]Прочее!D42</f>
        <v>шт.</v>
      </c>
      <c r="F17" s="2">
        <f>[1]Прочее!E42</f>
        <v>58</v>
      </c>
      <c r="G17" s="2">
        <v>0.26</v>
      </c>
      <c r="H17" s="2">
        <f>D17*F17</f>
        <v>58</v>
      </c>
      <c r="I17" s="2">
        <f>D17*G17</f>
        <v>0.26</v>
      </c>
    </row>
    <row r="18" spans="3:9" x14ac:dyDescent="0.25">
      <c r="D18" s="2"/>
      <c r="E18" s="2"/>
      <c r="F18" s="2"/>
      <c r="G18" s="2"/>
      <c r="H18" s="4">
        <f>SUM(H5:H17)</f>
        <v>2172.8000000000002</v>
      </c>
      <c r="I18" s="4">
        <f>SUM(I5:I17)</f>
        <v>28.228500000000004</v>
      </c>
    </row>
    <row r="19" spans="3:9" x14ac:dyDescent="0.25">
      <c r="D19" s="2"/>
      <c r="E19" s="2"/>
      <c r="F19" s="2"/>
      <c r="G19" s="2"/>
    </row>
    <row r="20" spans="3:9" x14ac:dyDescent="0.25">
      <c r="C20" t="s">
        <v>74</v>
      </c>
      <c r="D20" s="4">
        <f>(219*2+76*5+89*3+20+40)*3.1415</f>
        <v>3597.0175000000004</v>
      </c>
    </row>
    <row r="21" spans="3:9" x14ac:dyDescent="0.25">
      <c r="C21" t="s">
        <v>75</v>
      </c>
      <c r="D21" s="4">
        <f>D20/6</f>
        <v>599.50291666666669</v>
      </c>
      <c r="E21" s="2"/>
      <c r="F21" s="2"/>
      <c r="G21" s="2"/>
    </row>
    <row r="22" spans="3:9" x14ac:dyDescent="0.25">
      <c r="D22" s="4"/>
      <c r="E22" s="2"/>
      <c r="F22" s="2"/>
      <c r="G22" s="2"/>
    </row>
    <row r="23" spans="3:9" x14ac:dyDescent="0.25">
      <c r="C23" t="s">
        <v>76</v>
      </c>
      <c r="D23" s="4">
        <f>H18+D20+D21</f>
        <v>6369.3204166666674</v>
      </c>
      <c r="E23" s="2"/>
      <c r="F23" s="2"/>
      <c r="G23" s="2"/>
    </row>
    <row r="24" spans="3:9" x14ac:dyDescent="0.25">
      <c r="D24" s="4"/>
      <c r="E24" s="2"/>
      <c r="F24" s="2"/>
      <c r="G24" s="2"/>
    </row>
    <row r="25" spans="3:9" x14ac:dyDescent="0.25">
      <c r="C25" t="s">
        <v>77</v>
      </c>
      <c r="D25" s="4">
        <f>ROUNDUP(((D23*1.4)/1.18),-2)*1.18</f>
        <v>8968</v>
      </c>
      <c r="E25" s="2"/>
      <c r="F25" s="2"/>
      <c r="G25" s="2"/>
    </row>
    <row r="27" spans="3:9" x14ac:dyDescent="0.25">
      <c r="D27" s="2"/>
      <c r="E27" s="2"/>
      <c r="F27" s="2"/>
      <c r="G27" s="2"/>
      <c r="H27" s="2"/>
      <c r="I27" s="2"/>
    </row>
    <row r="29" spans="3:9" x14ac:dyDescent="0.25">
      <c r="D29" s="2"/>
      <c r="E29" s="2"/>
      <c r="F29" s="2"/>
      <c r="G29" s="2"/>
      <c r="H29" s="2"/>
      <c r="I29" s="2"/>
    </row>
    <row r="30" spans="3:9" x14ac:dyDescent="0.25">
      <c r="C30" s="1" t="s">
        <v>33</v>
      </c>
      <c r="E30" s="2"/>
    </row>
    <row r="31" spans="3:9" x14ac:dyDescent="0.25">
      <c r="E31" s="3"/>
    </row>
    <row r="32" spans="3:9" x14ac:dyDescent="0.25">
      <c r="C32" t="s">
        <v>27</v>
      </c>
      <c r="D32" s="2">
        <v>2</v>
      </c>
      <c r="E32" s="2"/>
      <c r="I32" s="2"/>
    </row>
    <row r="33" spans="3:9" x14ac:dyDescent="0.25">
      <c r="C33" t="s">
        <v>28</v>
      </c>
      <c r="D33" s="2">
        <v>2</v>
      </c>
      <c r="E33" s="2"/>
      <c r="I33" s="2"/>
    </row>
    <row r="34" spans="3:9" x14ac:dyDescent="0.25">
      <c r="C34" t="s">
        <v>30</v>
      </c>
      <c r="D34" s="2">
        <v>1</v>
      </c>
      <c r="I34" s="2"/>
    </row>
    <row r="35" spans="3:9" x14ac:dyDescent="0.25">
      <c r="C35" t="s">
        <v>22</v>
      </c>
      <c r="D35" s="2">
        <v>1</v>
      </c>
      <c r="H35" s="2"/>
      <c r="I35" s="2"/>
    </row>
    <row r="36" spans="3:9" x14ac:dyDescent="0.25">
      <c r="C36" t="s">
        <v>31</v>
      </c>
      <c r="D36" s="2">
        <v>1</v>
      </c>
      <c r="H36" s="2"/>
      <c r="I36" s="2"/>
    </row>
    <row r="37" spans="3:9" x14ac:dyDescent="0.25">
      <c r="C37" t="s">
        <v>11</v>
      </c>
      <c r="D37" s="2">
        <v>8</v>
      </c>
      <c r="H37" s="2"/>
      <c r="I37" s="2"/>
    </row>
    <row r="38" spans="3:9" x14ac:dyDescent="0.25">
      <c r="C38" t="s">
        <v>12</v>
      </c>
      <c r="D38" s="2">
        <v>8</v>
      </c>
      <c r="H38" s="2"/>
      <c r="I38" s="2"/>
    </row>
    <row r="39" spans="3:9" x14ac:dyDescent="0.25">
      <c r="C39" t="s">
        <v>13</v>
      </c>
      <c r="D39" s="2">
        <v>8</v>
      </c>
      <c r="H39" s="2"/>
      <c r="I39" s="2"/>
    </row>
    <row r="40" spans="3:9" x14ac:dyDescent="0.25">
      <c r="C40" t="s">
        <v>25</v>
      </c>
      <c r="D40" s="2">
        <v>1</v>
      </c>
      <c r="H40" s="2"/>
    </row>
    <row r="41" spans="3:9" x14ac:dyDescent="0.25">
      <c r="C41" t="s">
        <v>26</v>
      </c>
      <c r="D41" s="2">
        <v>1</v>
      </c>
      <c r="H41" s="2"/>
    </row>
    <row r="42" spans="3:9" x14ac:dyDescent="0.25">
      <c r="C42" t="s">
        <v>29</v>
      </c>
      <c r="D42" s="2">
        <v>0.34</v>
      </c>
      <c r="E42" s="2" t="s">
        <v>15</v>
      </c>
      <c r="H42" s="2"/>
    </row>
    <row r="43" spans="3:9" x14ac:dyDescent="0.25">
      <c r="C43" t="s">
        <v>5</v>
      </c>
      <c r="D43" s="2"/>
      <c r="E43" s="2" t="s">
        <v>14</v>
      </c>
      <c r="H43" s="2"/>
    </row>
    <row r="44" spans="3:9" x14ac:dyDescent="0.25">
      <c r="C44" t="s">
        <v>19</v>
      </c>
      <c r="D44" s="2"/>
      <c r="E44" s="2" t="s">
        <v>15</v>
      </c>
      <c r="H44" s="2"/>
    </row>
    <row r="45" spans="3:9" x14ac:dyDescent="0.25">
      <c r="C45" t="s">
        <v>24</v>
      </c>
      <c r="D45" s="2"/>
      <c r="E45" s="2" t="s">
        <v>15</v>
      </c>
      <c r="H45" s="2"/>
    </row>
    <row r="46" spans="3:9" x14ac:dyDescent="0.25">
      <c r="C46" t="s">
        <v>2</v>
      </c>
      <c r="D46" s="2"/>
      <c r="E46" s="2" t="s">
        <v>16</v>
      </c>
      <c r="H46" s="2"/>
    </row>
    <row r="47" spans="3:9" x14ac:dyDescent="0.25">
      <c r="C47" t="s">
        <v>67</v>
      </c>
      <c r="D47" s="2">
        <v>1</v>
      </c>
      <c r="E47" s="2"/>
      <c r="H47" s="2"/>
    </row>
    <row r="48" spans="3:9" x14ac:dyDescent="0.25">
      <c r="C48" t="s">
        <v>3</v>
      </c>
      <c r="D48" s="2">
        <v>1</v>
      </c>
      <c r="E48" s="2"/>
      <c r="H48" s="2"/>
    </row>
    <row r="49" spans="3:8" x14ac:dyDescent="0.25">
      <c r="C49" t="s">
        <v>4</v>
      </c>
      <c r="D49" s="2">
        <v>1</v>
      </c>
      <c r="E49" s="2"/>
      <c r="H49" s="2"/>
    </row>
    <row r="50" spans="3:8" x14ac:dyDescent="0.25">
      <c r="D50" s="2"/>
      <c r="E50" s="2"/>
      <c r="H50" s="2"/>
    </row>
    <row r="51" spans="3:8" x14ac:dyDescent="0.25">
      <c r="H51" s="2"/>
    </row>
    <row r="52" spans="3:8" x14ac:dyDescent="0.25">
      <c r="H52" s="2"/>
    </row>
    <row r="53" spans="3:8" x14ac:dyDescent="0.25">
      <c r="H53" s="2"/>
    </row>
    <row r="54" spans="3:8" x14ac:dyDescent="0.25">
      <c r="H54" s="3"/>
    </row>
    <row r="55" spans="3:8" x14ac:dyDescent="0.25">
      <c r="C55" s="1" t="s">
        <v>96</v>
      </c>
      <c r="D55" s="3" t="s">
        <v>8</v>
      </c>
      <c r="E55" s="2"/>
    </row>
    <row r="56" spans="3:8" x14ac:dyDescent="0.25">
      <c r="E56" s="2"/>
    </row>
    <row r="57" spans="3:8" x14ac:dyDescent="0.25">
      <c r="C57" t="s">
        <v>90</v>
      </c>
      <c r="D57" s="2">
        <v>0.37</v>
      </c>
      <c r="E57" s="2" t="s">
        <v>15</v>
      </c>
    </row>
    <row r="58" spans="3:8" x14ac:dyDescent="0.25">
      <c r="C58" t="s">
        <v>97</v>
      </c>
      <c r="D58" s="2">
        <v>0.3</v>
      </c>
      <c r="E58" s="2" t="s">
        <v>15</v>
      </c>
    </row>
    <row r="59" spans="3:8" x14ac:dyDescent="0.25">
      <c r="C59" t="s">
        <v>98</v>
      </c>
      <c r="D59" s="2">
        <v>0.24</v>
      </c>
      <c r="E59" s="2" t="s">
        <v>15</v>
      </c>
    </row>
    <row r="60" spans="3:8" x14ac:dyDescent="0.25">
      <c r="C60" t="s">
        <v>99</v>
      </c>
      <c r="D60" s="2">
        <v>2</v>
      </c>
      <c r="E60" s="2" t="s">
        <v>58</v>
      </c>
    </row>
    <row r="61" spans="3:8" x14ac:dyDescent="0.25">
      <c r="C61" t="s">
        <v>100</v>
      </c>
      <c r="D61" s="2">
        <v>1</v>
      </c>
      <c r="E61" t="s">
        <v>58</v>
      </c>
    </row>
    <row r="62" spans="3:8" x14ac:dyDescent="0.25">
      <c r="C62" t="s">
        <v>83</v>
      </c>
      <c r="D62" s="2">
        <v>4.8</v>
      </c>
      <c r="E62" s="2" t="s">
        <v>14</v>
      </c>
    </row>
    <row r="63" spans="3:8" x14ac:dyDescent="0.25">
      <c r="C63" t="s">
        <v>84</v>
      </c>
      <c r="D63" s="2">
        <v>1</v>
      </c>
      <c r="E63" s="2" t="s">
        <v>58</v>
      </c>
    </row>
    <row r="64" spans="3:8" x14ac:dyDescent="0.25">
      <c r="C64" t="s">
        <v>85</v>
      </c>
      <c r="D64" s="2">
        <v>1</v>
      </c>
      <c r="E64" s="2" t="s">
        <v>58</v>
      </c>
    </row>
    <row r="65" spans="3:8" x14ac:dyDescent="0.25">
      <c r="C65" t="s">
        <v>86</v>
      </c>
      <c r="D65" s="2">
        <v>1</v>
      </c>
      <c r="E65" s="2" t="s">
        <v>58</v>
      </c>
    </row>
    <row r="66" spans="3:8" x14ac:dyDescent="0.25">
      <c r="C66" t="s">
        <v>87</v>
      </c>
      <c r="D66" s="2">
        <v>2.7E-2</v>
      </c>
      <c r="E66" s="2" t="s">
        <v>16</v>
      </c>
    </row>
    <row r="67" spans="3:8" x14ac:dyDescent="0.25">
      <c r="C67" t="s">
        <v>101</v>
      </c>
      <c r="D67" s="2">
        <v>1</v>
      </c>
      <c r="E67" s="2" t="s">
        <v>58</v>
      </c>
    </row>
    <row r="68" spans="3:8" x14ac:dyDescent="0.25">
      <c r="C68" t="s">
        <v>102</v>
      </c>
      <c r="D68" s="2">
        <v>1</v>
      </c>
      <c r="E68" s="2" t="s">
        <v>58</v>
      </c>
    </row>
    <row r="74" spans="3:8" x14ac:dyDescent="0.25">
      <c r="H74" s="2"/>
    </row>
    <row r="76" spans="3:8" x14ac:dyDescent="0.25">
      <c r="E76" s="2"/>
    </row>
    <row r="77" spans="3:8" x14ac:dyDescent="0.25">
      <c r="E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77"/>
  <sheetViews>
    <sheetView zoomScale="80" zoomScaleNormal="80" workbookViewId="0">
      <selection activeCell="C3" sqref="C3"/>
    </sheetView>
  </sheetViews>
  <sheetFormatPr defaultRowHeight="15" x14ac:dyDescent="0.25"/>
  <cols>
    <col min="2" max="2" width="6.140625" customWidth="1"/>
    <col min="3" max="3" width="53.85546875" customWidth="1"/>
    <col min="4" max="4" width="13.42578125" customWidth="1"/>
    <col min="5" max="5" width="9.42578125" customWidth="1"/>
  </cols>
  <sheetData>
    <row r="3" spans="3:9" x14ac:dyDescent="0.25">
      <c r="C3" s="1" t="s">
        <v>54</v>
      </c>
      <c r="D3" s="3" t="s">
        <v>8</v>
      </c>
      <c r="E3" s="2"/>
      <c r="F3" s="3" t="s">
        <v>70</v>
      </c>
      <c r="G3" s="3" t="s">
        <v>71</v>
      </c>
      <c r="H3" s="3" t="s">
        <v>72</v>
      </c>
      <c r="I3" s="3" t="s">
        <v>73</v>
      </c>
    </row>
    <row r="4" spans="3:9" x14ac:dyDescent="0.25">
      <c r="E4" s="2"/>
    </row>
    <row r="5" spans="3:9" x14ac:dyDescent="0.25">
      <c r="C5" t="str">
        <f>[1]Трубы!B17</f>
        <v>Труба 219х5 ГОСТ 10704-91</v>
      </c>
      <c r="D5" s="2">
        <v>0.37</v>
      </c>
      <c r="E5" s="2" t="str">
        <f>[1]Трубы!D17</f>
        <v>п.м.</v>
      </c>
      <c r="F5" s="2">
        <f>[1]Трубы!E17</f>
        <v>1320</v>
      </c>
      <c r="G5" s="2">
        <f>[1]Трубы!F17</f>
        <v>26.5</v>
      </c>
      <c r="H5" s="2">
        <f t="shared" ref="H5:H10" si="0">D5*F5</f>
        <v>488.4</v>
      </c>
      <c r="I5" s="2">
        <f t="shared" ref="I5:I10" si="1">D5*G5</f>
        <v>9.8049999999999997</v>
      </c>
    </row>
    <row r="6" spans="3:9" x14ac:dyDescent="0.25">
      <c r="C6" t="str">
        <f>[1]Трубы!B13</f>
        <v>Труба 89х3 ГОСТ 10704-91</v>
      </c>
      <c r="D6" s="2">
        <v>0.27500000000000002</v>
      </c>
      <c r="E6" s="2" t="str">
        <f>[1]Трубы!D13</f>
        <v>п.м.</v>
      </c>
      <c r="F6" s="2">
        <f>[1]Трубы!E13</f>
        <v>300</v>
      </c>
      <c r="G6" s="2">
        <f>[1]Трубы!F13</f>
        <v>7.4</v>
      </c>
      <c r="H6" s="2">
        <f t="shared" si="0"/>
        <v>82.5</v>
      </c>
      <c r="I6" s="2">
        <f t="shared" si="1"/>
        <v>2.0350000000000001</v>
      </c>
    </row>
    <row r="7" spans="3:9" x14ac:dyDescent="0.25">
      <c r="C7" t="str">
        <f>[1]Трубы!B14</f>
        <v>Труба 108х3,5 ГОСТ 10704-91</v>
      </c>
      <c r="D7" s="2">
        <v>0.16</v>
      </c>
      <c r="E7" s="2" t="str">
        <f>[1]Трубы!D14</f>
        <v>п.м.</v>
      </c>
      <c r="F7" s="2">
        <f>[1]Трубы!E14</f>
        <v>400</v>
      </c>
      <c r="G7" s="2">
        <f>[1]Трубы!F14</f>
        <v>9.1</v>
      </c>
      <c r="H7" s="2">
        <f t="shared" si="0"/>
        <v>64</v>
      </c>
      <c r="I7" s="2">
        <f t="shared" si="1"/>
        <v>1.456</v>
      </c>
    </row>
    <row r="8" spans="3:9" x14ac:dyDescent="0.25">
      <c r="C8" t="str">
        <f>[1]Фланцы!B11</f>
        <v xml:space="preserve">Фланец 12820-80 Ду-80, Ру-1,6 МПа </v>
      </c>
      <c r="D8" s="2">
        <f>[1]Фланцы!C11</f>
        <v>1</v>
      </c>
      <c r="E8" s="2" t="str">
        <f>[1]Фланцы!D11</f>
        <v>шт.</v>
      </c>
      <c r="F8" s="2">
        <f>[1]Фланцы!E11</f>
        <v>427</v>
      </c>
      <c r="G8" s="2">
        <f>[1]Фланцы!F11</f>
        <v>4.3</v>
      </c>
      <c r="H8" s="2">
        <f t="shared" si="0"/>
        <v>427</v>
      </c>
      <c r="I8" s="2">
        <f t="shared" si="1"/>
        <v>4.3</v>
      </c>
    </row>
    <row r="9" spans="3:9" x14ac:dyDescent="0.25">
      <c r="C9" t="str">
        <f>[1]Фланцы!B12</f>
        <v xml:space="preserve">Фланец 12820-80 Ду-100, Ру-1,6 МПа </v>
      </c>
      <c r="D9" s="2">
        <f>[1]Фланцы!C12</f>
        <v>1</v>
      </c>
      <c r="E9" s="2" t="str">
        <f>[1]Фланцы!D12</f>
        <v>шт.</v>
      </c>
      <c r="F9" s="2">
        <f>[1]Фланцы!E12</f>
        <v>545</v>
      </c>
      <c r="G9" s="2">
        <f>[1]Фланцы!F12</f>
        <v>4.9000000000000004</v>
      </c>
      <c r="H9" s="2">
        <f t="shared" si="0"/>
        <v>545</v>
      </c>
      <c r="I9" s="2">
        <f t="shared" si="1"/>
        <v>4.9000000000000004</v>
      </c>
    </row>
    <row r="10" spans="3:9" x14ac:dyDescent="0.25">
      <c r="C10" t="str">
        <f>[1]Днища!B10</f>
        <v>Днище эллиптическое 219</v>
      </c>
      <c r="D10" s="2">
        <f>[1]Днища!C10</f>
        <v>1</v>
      </c>
      <c r="E10" s="2" t="str">
        <f>[1]Днища!D10</f>
        <v>шт.</v>
      </c>
      <c r="F10" s="2">
        <f>[1]Днища!E10</f>
        <v>360</v>
      </c>
      <c r="G10" s="2">
        <f>[1]Днища!F10</f>
        <v>3.1</v>
      </c>
      <c r="H10" s="2">
        <f t="shared" si="0"/>
        <v>360</v>
      </c>
      <c r="I10" s="2">
        <f t="shared" si="1"/>
        <v>3.1</v>
      </c>
    </row>
    <row r="11" spans="3:9" x14ac:dyDescent="0.25">
      <c r="C11" t="str">
        <f>[1]Прочее!B6</f>
        <v>Лист стальной 14 мм</v>
      </c>
      <c r="D11" s="2">
        <v>4.8</v>
      </c>
      <c r="E11" s="2" t="str">
        <f>[1]Прочее!D6</f>
        <v>кг</v>
      </c>
      <c r="F11" s="2">
        <f>[1]Прочее!E6</f>
        <v>45</v>
      </c>
      <c r="G11" s="2">
        <f>[1]Прочее!F6</f>
        <v>1</v>
      </c>
      <c r="H11" s="2">
        <f t="shared" ref="H11:H15" si="2">D11*F11</f>
        <v>216</v>
      </c>
      <c r="I11" s="2">
        <f t="shared" ref="I11:I15" si="3">D11*G11</f>
        <v>4.8</v>
      </c>
    </row>
    <row r="12" spans="3:9" x14ac:dyDescent="0.25">
      <c r="C12" t="str">
        <f>[1]Прочее!B10</f>
        <v>Фитинг стальной муфта 15 мм</v>
      </c>
      <c r="D12" s="2">
        <f>[1]Прочее!C10</f>
        <v>1</v>
      </c>
      <c r="E12" s="2" t="str">
        <f>[1]Прочее!D10</f>
        <v>шт.</v>
      </c>
      <c r="F12" s="2">
        <f>[1]Прочее!E10</f>
        <v>10</v>
      </c>
      <c r="G12" s="2">
        <f>[1]Прочее!F10</f>
        <v>0.1</v>
      </c>
      <c r="H12" s="2">
        <f t="shared" si="2"/>
        <v>10</v>
      </c>
      <c r="I12" s="2">
        <f t="shared" si="3"/>
        <v>0.1</v>
      </c>
    </row>
    <row r="13" spans="3:9" x14ac:dyDescent="0.25">
      <c r="C13" t="str">
        <f>[1]Прочее!B13</f>
        <v>Фитинг стальной муфта 32 мм</v>
      </c>
      <c r="D13" s="2">
        <f>[1]Прочее!C13</f>
        <v>1</v>
      </c>
      <c r="E13" s="2" t="str">
        <f>[1]Прочее!D13</f>
        <v>шт.</v>
      </c>
      <c r="F13" s="2">
        <f>[1]Прочее!E13</f>
        <v>33</v>
      </c>
      <c r="G13" s="2">
        <f>[1]Прочее!F13</f>
        <v>0.2</v>
      </c>
      <c r="H13" s="2">
        <f t="shared" si="2"/>
        <v>33</v>
      </c>
      <c r="I13" s="2">
        <f t="shared" si="3"/>
        <v>0.2</v>
      </c>
    </row>
    <row r="14" spans="3:9" x14ac:dyDescent="0.25">
      <c r="C14" t="str">
        <f>[1]Прочее!B24</f>
        <v>Фитинг стальной пробка 32 мм</v>
      </c>
      <c r="D14" s="2">
        <f>[1]Прочее!C24</f>
        <v>1</v>
      </c>
      <c r="E14" s="2" t="str">
        <f>[1]Прочее!D24</f>
        <v>шт.</v>
      </c>
      <c r="F14" s="2">
        <f>[1]Прочее!E24</f>
        <v>50</v>
      </c>
      <c r="G14" s="2">
        <f>[1]Прочее!F24</f>
        <v>0.2</v>
      </c>
      <c r="H14" s="2">
        <f t="shared" si="2"/>
        <v>50</v>
      </c>
      <c r="I14" s="2">
        <f t="shared" si="3"/>
        <v>0.2</v>
      </c>
    </row>
    <row r="15" spans="3:9" x14ac:dyDescent="0.25">
      <c r="C15" t="str">
        <f>[1]Прочее!B27</f>
        <v>сетка нж 1,6</v>
      </c>
      <c r="D15" s="2">
        <v>4.1000000000000002E-2</v>
      </c>
      <c r="E15" s="2" t="s">
        <v>16</v>
      </c>
      <c r="F15" s="2">
        <f>[1]Прочее!E27</f>
        <v>2000</v>
      </c>
      <c r="G15" s="2">
        <f>[1]Прочее!F27</f>
        <v>1.5</v>
      </c>
      <c r="H15" s="2">
        <f t="shared" si="2"/>
        <v>82</v>
      </c>
      <c r="I15" s="2">
        <f t="shared" si="3"/>
        <v>6.1499999999999999E-2</v>
      </c>
    </row>
    <row r="16" spans="3:9" x14ac:dyDescent="0.25">
      <c r="C16" t="str">
        <f>[1]Прочее!B33</f>
        <v>Диск 80</v>
      </c>
      <c r="D16" s="2">
        <f>[1]Прочее!C33</f>
        <v>1</v>
      </c>
      <c r="E16" s="2" t="str">
        <f>[1]Прочее!D33</f>
        <v>шт.</v>
      </c>
      <c r="F16" s="2">
        <f>[1]Прочее!E33</f>
        <v>25</v>
      </c>
      <c r="G16" s="2">
        <f>[1]Прочее!F33</f>
        <v>0.2</v>
      </c>
      <c r="H16" s="2">
        <f>D16*F16</f>
        <v>25</v>
      </c>
      <c r="I16" s="2">
        <f>D16*G16</f>
        <v>0.2</v>
      </c>
    </row>
    <row r="17" spans="3:9" x14ac:dyDescent="0.25">
      <c r="C17" t="str">
        <f>[1]Прочее!B43</f>
        <v>Кольцо 80</v>
      </c>
      <c r="D17" s="2">
        <f>[1]Прочее!C43</f>
        <v>1</v>
      </c>
      <c r="E17" s="2" t="str">
        <f>[1]Прочее!D43</f>
        <v>шт.</v>
      </c>
      <c r="F17" s="2">
        <f>[1]Прочее!E43</f>
        <v>75</v>
      </c>
      <c r="G17" s="2">
        <v>0.4</v>
      </c>
      <c r="H17" s="2">
        <f>D17*F17</f>
        <v>75</v>
      </c>
      <c r="I17" s="2">
        <f>D17*G17</f>
        <v>0.4</v>
      </c>
    </row>
    <row r="18" spans="3:9" x14ac:dyDescent="0.25">
      <c r="D18" s="2"/>
      <c r="E18" s="2"/>
      <c r="F18" s="2"/>
      <c r="G18" s="2"/>
      <c r="H18" s="4">
        <f>SUM(H5:H17)</f>
        <v>2457.9</v>
      </c>
      <c r="I18" s="4">
        <f>SUM(I5:I17)</f>
        <v>31.557500000000001</v>
      </c>
    </row>
    <row r="19" spans="3:9" x14ac:dyDescent="0.25">
      <c r="D19" s="2"/>
      <c r="E19" s="2"/>
      <c r="F19" s="2"/>
      <c r="G19" s="2"/>
    </row>
    <row r="20" spans="3:9" x14ac:dyDescent="0.25">
      <c r="C20" t="s">
        <v>74</v>
      </c>
      <c r="D20" s="4">
        <f>(219*2+89*5+108*3+20+40)*3.1415</f>
        <v>3980.2805000000003</v>
      </c>
    </row>
    <row r="21" spans="3:9" x14ac:dyDescent="0.25">
      <c r="C21" t="s">
        <v>75</v>
      </c>
      <c r="D21" s="4">
        <f>D20/6</f>
        <v>663.38008333333335</v>
      </c>
      <c r="E21" s="2"/>
      <c r="F21" s="2"/>
      <c r="G21" s="2"/>
    </row>
    <row r="22" spans="3:9" x14ac:dyDescent="0.25">
      <c r="D22" s="4"/>
      <c r="E22" s="2"/>
      <c r="F22" s="2"/>
      <c r="G22" s="2"/>
    </row>
    <row r="23" spans="3:9" x14ac:dyDescent="0.25">
      <c r="C23" t="s">
        <v>76</v>
      </c>
      <c r="D23" s="4">
        <f>H18+D20+D21</f>
        <v>7101.5605833333339</v>
      </c>
      <c r="E23" s="2"/>
      <c r="F23" s="2"/>
      <c r="G23" s="2"/>
    </row>
    <row r="24" spans="3:9" x14ac:dyDescent="0.25">
      <c r="D24" s="4"/>
      <c r="E24" s="2"/>
      <c r="F24" s="2"/>
      <c r="G24" s="2"/>
    </row>
    <row r="25" spans="3:9" x14ac:dyDescent="0.25">
      <c r="C25" t="s">
        <v>77</v>
      </c>
      <c r="D25" s="4">
        <f>ROUNDUP(((D23*1.4)/1.18),-2)*1.18</f>
        <v>10030</v>
      </c>
      <c r="E25" s="2"/>
      <c r="F25" s="2"/>
      <c r="G25" s="2"/>
    </row>
    <row r="26" spans="3:9" x14ac:dyDescent="0.25">
      <c r="D26" s="2"/>
      <c r="E26" s="2"/>
      <c r="F26" s="2"/>
      <c r="G26" s="2"/>
      <c r="H26" s="2"/>
      <c r="I26" s="2"/>
    </row>
    <row r="28" spans="3:9" x14ac:dyDescent="0.25">
      <c r="D28" s="2"/>
      <c r="E28" s="2"/>
      <c r="F28" s="2"/>
      <c r="G28" s="2"/>
      <c r="H28" s="2"/>
      <c r="I28" s="2"/>
    </row>
    <row r="30" spans="3:9" x14ac:dyDescent="0.25">
      <c r="C30" s="1"/>
      <c r="E30" s="2"/>
    </row>
    <row r="31" spans="3:9" x14ac:dyDescent="0.25">
      <c r="E31" s="3"/>
    </row>
    <row r="32" spans="3:9" x14ac:dyDescent="0.25">
      <c r="C32" s="1" t="s">
        <v>55</v>
      </c>
      <c r="E32" s="2"/>
      <c r="I32" s="2"/>
    </row>
    <row r="33" spans="3:9" x14ac:dyDescent="0.25">
      <c r="E33" s="3"/>
      <c r="I33" s="2"/>
    </row>
    <row r="34" spans="3:9" x14ac:dyDescent="0.25">
      <c r="C34" t="s">
        <v>28</v>
      </c>
      <c r="D34" s="2">
        <v>2</v>
      </c>
      <c r="E34" s="2" t="s">
        <v>60</v>
      </c>
      <c r="I34" s="2"/>
    </row>
    <row r="35" spans="3:9" x14ac:dyDescent="0.25">
      <c r="C35" t="s">
        <v>35</v>
      </c>
      <c r="D35" s="2">
        <v>2</v>
      </c>
      <c r="E35" s="2" t="s">
        <v>60</v>
      </c>
      <c r="H35" s="2"/>
      <c r="I35" s="2"/>
    </row>
    <row r="36" spans="3:9" x14ac:dyDescent="0.25">
      <c r="C36" t="s">
        <v>30</v>
      </c>
      <c r="D36" s="2">
        <v>1</v>
      </c>
      <c r="E36" s="2" t="s">
        <v>60</v>
      </c>
      <c r="H36" s="2"/>
      <c r="I36" s="2"/>
    </row>
    <row r="37" spans="3:9" x14ac:dyDescent="0.25">
      <c r="C37" t="s">
        <v>31</v>
      </c>
      <c r="D37" s="2">
        <v>1</v>
      </c>
      <c r="E37" s="2" t="s">
        <v>60</v>
      </c>
      <c r="H37" s="2"/>
      <c r="I37" s="2"/>
    </row>
    <row r="38" spans="3:9" x14ac:dyDescent="0.25">
      <c r="C38" t="s">
        <v>39</v>
      </c>
      <c r="D38" s="2">
        <v>1</v>
      </c>
      <c r="E38" s="2" t="s">
        <v>60</v>
      </c>
      <c r="H38" s="2"/>
      <c r="I38" s="2"/>
    </row>
    <row r="39" spans="3:9" x14ac:dyDescent="0.25">
      <c r="C39" t="s">
        <v>11</v>
      </c>
      <c r="D39" s="2">
        <v>12</v>
      </c>
      <c r="E39" s="2" t="s">
        <v>60</v>
      </c>
      <c r="H39" s="2"/>
      <c r="I39" s="2"/>
    </row>
    <row r="40" spans="3:9" x14ac:dyDescent="0.25">
      <c r="C40" t="s">
        <v>12</v>
      </c>
      <c r="D40" s="2">
        <v>12</v>
      </c>
      <c r="E40" s="2" t="s">
        <v>60</v>
      </c>
      <c r="H40" s="2"/>
    </row>
    <row r="41" spans="3:9" x14ac:dyDescent="0.25">
      <c r="C41" t="s">
        <v>13</v>
      </c>
      <c r="D41" s="2">
        <v>12</v>
      </c>
      <c r="E41" s="2" t="s">
        <v>60</v>
      </c>
      <c r="H41" s="2"/>
    </row>
    <row r="42" spans="3:9" x14ac:dyDescent="0.25">
      <c r="C42" t="s">
        <v>37</v>
      </c>
      <c r="D42" s="2">
        <v>1</v>
      </c>
      <c r="E42" s="2" t="s">
        <v>60</v>
      </c>
      <c r="H42" s="2"/>
    </row>
    <row r="43" spans="3:9" x14ac:dyDescent="0.25">
      <c r="C43" t="s">
        <v>38</v>
      </c>
      <c r="D43" s="2">
        <v>1</v>
      </c>
      <c r="E43" s="2" t="s">
        <v>60</v>
      </c>
      <c r="H43" s="2"/>
    </row>
    <row r="44" spans="3:9" x14ac:dyDescent="0.25">
      <c r="C44" t="s">
        <v>29</v>
      </c>
      <c r="D44" s="2">
        <v>0.37</v>
      </c>
      <c r="E44" s="2" t="s">
        <v>15</v>
      </c>
      <c r="H44" s="2"/>
    </row>
    <row r="45" spans="3:9" x14ac:dyDescent="0.25">
      <c r="C45" t="s">
        <v>5</v>
      </c>
      <c r="D45" s="2">
        <v>3.8</v>
      </c>
      <c r="E45" s="2" t="s">
        <v>14</v>
      </c>
      <c r="H45" s="2"/>
    </row>
    <row r="46" spans="3:9" x14ac:dyDescent="0.25">
      <c r="C46" t="s">
        <v>24</v>
      </c>
      <c r="D46" s="2">
        <v>0.27500000000000002</v>
      </c>
      <c r="E46" s="2" t="s">
        <v>15</v>
      </c>
      <c r="H46" s="2"/>
    </row>
    <row r="47" spans="3:9" x14ac:dyDescent="0.25">
      <c r="C47" t="s">
        <v>36</v>
      </c>
      <c r="D47" s="2">
        <v>0.16</v>
      </c>
      <c r="E47" s="2" t="s">
        <v>15</v>
      </c>
      <c r="H47" s="2"/>
    </row>
    <row r="48" spans="3:9" x14ac:dyDescent="0.25">
      <c r="C48" t="s">
        <v>2</v>
      </c>
      <c r="D48" s="2">
        <v>4.1000000000000002E-2</v>
      </c>
      <c r="E48" s="2" t="s">
        <v>16</v>
      </c>
      <c r="H48" s="2"/>
    </row>
    <row r="49" spans="3:8" x14ac:dyDescent="0.25">
      <c r="C49" t="s">
        <v>67</v>
      </c>
      <c r="D49" s="2">
        <v>1</v>
      </c>
      <c r="E49" s="2" t="s">
        <v>60</v>
      </c>
      <c r="H49" s="2"/>
    </row>
    <row r="50" spans="3:8" x14ac:dyDescent="0.25">
      <c r="C50" t="s">
        <v>3</v>
      </c>
      <c r="D50" s="2">
        <v>1</v>
      </c>
      <c r="E50" s="2" t="s">
        <v>60</v>
      </c>
      <c r="H50" s="2"/>
    </row>
    <row r="51" spans="3:8" x14ac:dyDescent="0.25">
      <c r="C51" t="s">
        <v>4</v>
      </c>
      <c r="D51" s="2">
        <v>1</v>
      </c>
      <c r="E51" s="2" t="s">
        <v>60</v>
      </c>
      <c r="H51" s="2"/>
    </row>
    <row r="52" spans="3:8" x14ac:dyDescent="0.25">
      <c r="H52" s="2"/>
    </row>
    <row r="53" spans="3:8" x14ac:dyDescent="0.25">
      <c r="H53" s="2"/>
    </row>
    <row r="54" spans="3:8" x14ac:dyDescent="0.25">
      <c r="H54" s="3"/>
    </row>
    <row r="70" spans="5:8" x14ac:dyDescent="0.25">
      <c r="E70" s="2"/>
    </row>
    <row r="74" spans="5:8" x14ac:dyDescent="0.25">
      <c r="H74" s="2"/>
    </row>
    <row r="76" spans="5:8" x14ac:dyDescent="0.25">
      <c r="E76" s="2"/>
    </row>
    <row r="77" spans="5:8" x14ac:dyDescent="0.25">
      <c r="E77" s="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101"/>
  <sheetViews>
    <sheetView zoomScale="80" zoomScaleNormal="80" workbookViewId="0">
      <selection activeCell="C3" sqref="C3"/>
    </sheetView>
  </sheetViews>
  <sheetFormatPr defaultRowHeight="15" x14ac:dyDescent="0.25"/>
  <cols>
    <col min="2" max="2" width="6.140625" customWidth="1"/>
    <col min="3" max="3" width="53.85546875" customWidth="1"/>
    <col min="4" max="4" width="13.42578125" customWidth="1"/>
    <col min="5" max="5" width="9.42578125" customWidth="1"/>
    <col min="6" max="6" width="9.28515625" bestFit="1" customWidth="1"/>
    <col min="7" max="7" width="10.140625" bestFit="1" customWidth="1"/>
    <col min="8" max="9" width="7.7109375" bestFit="1" customWidth="1"/>
  </cols>
  <sheetData>
    <row r="3" spans="3:9" x14ac:dyDescent="0.25">
      <c r="C3" s="1" t="s">
        <v>56</v>
      </c>
      <c r="D3" s="3" t="s">
        <v>8</v>
      </c>
      <c r="E3" s="2"/>
      <c r="F3" s="3" t="s">
        <v>70</v>
      </c>
      <c r="G3" s="3" t="s">
        <v>71</v>
      </c>
      <c r="H3" s="3" t="s">
        <v>72</v>
      </c>
      <c r="I3" s="3" t="s">
        <v>73</v>
      </c>
    </row>
    <row r="4" spans="3:9" x14ac:dyDescent="0.25">
      <c r="E4" s="2"/>
    </row>
    <row r="5" spans="3:9" x14ac:dyDescent="0.25">
      <c r="C5" t="str">
        <f>[1]Трубы!B19</f>
        <v>Труба 325х6 ГОСТ 10704-91</v>
      </c>
      <c r="D5" s="2">
        <v>0.43</v>
      </c>
      <c r="E5" s="2" t="str">
        <f>[1]Трубы!D19</f>
        <v>п.м.</v>
      </c>
      <c r="F5" s="2">
        <f>[1]Трубы!E19</f>
        <v>2750</v>
      </c>
      <c r="G5" s="2">
        <f>[1]Трубы!F19</f>
        <v>47.5</v>
      </c>
      <c r="H5" s="2">
        <f t="shared" ref="H5:H11" si="0">D5*F5</f>
        <v>1182.5</v>
      </c>
      <c r="I5" s="2">
        <f t="shared" ref="I5:I11" si="1">D5*G5</f>
        <v>20.425000000000001</v>
      </c>
    </row>
    <row r="6" spans="3:9" x14ac:dyDescent="0.25">
      <c r="C6" t="str">
        <f>[1]Трубы!B14</f>
        <v>Труба 108х3,5 ГОСТ 10704-91</v>
      </c>
      <c r="D6" s="2">
        <v>0.3</v>
      </c>
      <c r="E6" s="2" t="str">
        <f>[1]Трубы!D14</f>
        <v>п.м.</v>
      </c>
      <c r="F6" s="2">
        <f>[1]Трубы!E14</f>
        <v>400</v>
      </c>
      <c r="G6" s="2">
        <f>[1]Трубы!F14</f>
        <v>9.1</v>
      </c>
      <c r="H6" s="2">
        <f t="shared" si="0"/>
        <v>120</v>
      </c>
      <c r="I6" s="2">
        <f t="shared" si="1"/>
        <v>2.73</v>
      </c>
    </row>
    <row r="7" spans="3:9" x14ac:dyDescent="0.25">
      <c r="C7" t="str">
        <f>[1]Трубы!B15</f>
        <v>Труба 133х4 ГОСТ 10704-91</v>
      </c>
      <c r="D7" s="2">
        <v>0.16</v>
      </c>
      <c r="E7" s="2" t="str">
        <f>[1]Трубы!D15</f>
        <v>п.м.</v>
      </c>
      <c r="F7" s="2">
        <f>[1]Трубы!E15</f>
        <v>565</v>
      </c>
      <c r="G7" s="2">
        <f>[1]Трубы!F15</f>
        <v>12.8</v>
      </c>
      <c r="H7" s="2">
        <f t="shared" si="0"/>
        <v>90.4</v>
      </c>
      <c r="I7" s="2">
        <f t="shared" si="1"/>
        <v>2.048</v>
      </c>
    </row>
    <row r="8" spans="3:9" x14ac:dyDescent="0.25">
      <c r="C8" t="str">
        <f>[1]Фланцы!B12</f>
        <v xml:space="preserve">Фланец 12820-80 Ду-100, Ру-1,6 МПа </v>
      </c>
      <c r="D8" s="2">
        <f>[1]Фланцы!C12</f>
        <v>1</v>
      </c>
      <c r="E8" s="2" t="str">
        <f>[1]Фланцы!D12</f>
        <v>шт.</v>
      </c>
      <c r="F8" s="2">
        <f>[1]Фланцы!E12</f>
        <v>545</v>
      </c>
      <c r="G8" s="2">
        <f>[1]Фланцы!F12</f>
        <v>4.9000000000000004</v>
      </c>
      <c r="H8" s="2">
        <f t="shared" si="0"/>
        <v>545</v>
      </c>
      <c r="I8" s="2">
        <f t="shared" si="1"/>
        <v>4.9000000000000004</v>
      </c>
    </row>
    <row r="9" spans="3:9" x14ac:dyDescent="0.25">
      <c r="C9" t="str">
        <f>[1]Фланцы!B13</f>
        <v xml:space="preserve">Фланец 12820-80 Ду-125, Ру-1,6 МПа </v>
      </c>
      <c r="D9" s="2">
        <f>[1]Фланцы!C13</f>
        <v>1</v>
      </c>
      <c r="E9" s="2" t="str">
        <f>[1]Фланцы!D13</f>
        <v>шт.</v>
      </c>
      <c r="F9" s="2">
        <f>[1]Фланцы!E13</f>
        <v>915</v>
      </c>
      <c r="G9" s="2">
        <f>[1]Фланцы!F13</f>
        <v>6.8</v>
      </c>
      <c r="H9" s="2">
        <f t="shared" si="0"/>
        <v>915</v>
      </c>
      <c r="I9" s="2">
        <f t="shared" si="1"/>
        <v>6.8</v>
      </c>
    </row>
    <row r="10" spans="3:9" x14ac:dyDescent="0.25">
      <c r="C10" t="str">
        <f>[1]Днища!B12</f>
        <v>Днище эллиптическое 325</v>
      </c>
      <c r="D10" s="2">
        <f>[1]Днища!C12</f>
        <v>1</v>
      </c>
      <c r="E10" s="2" t="str">
        <f>[1]Днища!D12</f>
        <v>шт.</v>
      </c>
      <c r="F10" s="2">
        <f>[1]Днища!E12</f>
        <v>1000</v>
      </c>
      <c r="G10" s="2">
        <f>[1]Днища!F12</f>
        <v>6.3</v>
      </c>
      <c r="H10" s="2">
        <f t="shared" si="0"/>
        <v>1000</v>
      </c>
      <c r="I10" s="2">
        <f t="shared" si="1"/>
        <v>6.3</v>
      </c>
    </row>
    <row r="11" spans="3:9" x14ac:dyDescent="0.25">
      <c r="C11" t="str">
        <f>[1]Прочее!B7</f>
        <v>Лист стальной 20 мм</v>
      </c>
      <c r="D11" s="2">
        <v>16.5</v>
      </c>
      <c r="E11" s="2" t="str">
        <f>[1]Прочее!D7</f>
        <v>кг</v>
      </c>
      <c r="F11" s="2">
        <f>[1]Прочее!E7</f>
        <v>45</v>
      </c>
      <c r="G11" s="2">
        <f>[1]Прочее!F7</f>
        <v>1</v>
      </c>
      <c r="H11" s="2">
        <f t="shared" si="0"/>
        <v>742.5</v>
      </c>
      <c r="I11" s="2">
        <f t="shared" si="1"/>
        <v>16.5</v>
      </c>
    </row>
    <row r="12" spans="3:9" x14ac:dyDescent="0.25">
      <c r="C12" t="str">
        <f>[1]Прочее!B10</f>
        <v>Фитинг стальной муфта 15 мм</v>
      </c>
      <c r="D12" s="2">
        <f>[1]Прочее!C10</f>
        <v>1</v>
      </c>
      <c r="E12" s="2" t="str">
        <f>[1]Прочее!D10</f>
        <v>шт.</v>
      </c>
      <c r="F12" s="2">
        <f>[1]Прочее!E10</f>
        <v>10</v>
      </c>
      <c r="G12" s="2">
        <f>[1]Прочее!F10</f>
        <v>0.1</v>
      </c>
      <c r="H12" s="2">
        <f t="shared" ref="H12:H15" si="2">D12*F12</f>
        <v>10</v>
      </c>
      <c r="I12" s="2">
        <f t="shared" ref="I12:I15" si="3">D12*G12</f>
        <v>0.1</v>
      </c>
    </row>
    <row r="13" spans="3:9" x14ac:dyDescent="0.25">
      <c r="C13" t="str">
        <f>[1]Прочее!B13</f>
        <v>Фитинг стальной муфта 32 мм</v>
      </c>
      <c r="D13" s="2">
        <f>[1]Прочее!C13</f>
        <v>1</v>
      </c>
      <c r="E13" s="2" t="str">
        <f>[1]Прочее!D13</f>
        <v>шт.</v>
      </c>
      <c r="F13" s="2">
        <f>[1]Прочее!E13</f>
        <v>33</v>
      </c>
      <c r="G13" s="2">
        <f>[1]Прочее!F13</f>
        <v>0.2</v>
      </c>
      <c r="H13" s="2">
        <f t="shared" si="2"/>
        <v>33</v>
      </c>
      <c r="I13" s="2">
        <f t="shared" si="3"/>
        <v>0.2</v>
      </c>
    </row>
    <row r="14" spans="3:9" x14ac:dyDescent="0.25">
      <c r="C14" t="str">
        <f>[1]Прочее!B24</f>
        <v>Фитинг стальной пробка 32 мм</v>
      </c>
      <c r="D14" s="2">
        <f>[1]Прочее!C24</f>
        <v>1</v>
      </c>
      <c r="E14" s="2" t="str">
        <f>[1]Прочее!D24</f>
        <v>шт.</v>
      </c>
      <c r="F14" s="2">
        <f>[1]Прочее!E24</f>
        <v>50</v>
      </c>
      <c r="G14" s="2">
        <f>[1]Прочее!F24</f>
        <v>0.2</v>
      </c>
      <c r="H14" s="2">
        <f t="shared" si="2"/>
        <v>50</v>
      </c>
      <c r="I14" s="2">
        <f t="shared" si="3"/>
        <v>0.2</v>
      </c>
    </row>
    <row r="15" spans="3:9" x14ac:dyDescent="0.25">
      <c r="C15" t="str">
        <f>[1]Прочее!B27</f>
        <v>сетка нж 1,6</v>
      </c>
      <c r="D15" s="2">
        <v>0.06</v>
      </c>
      <c r="E15" s="2" t="s">
        <v>16</v>
      </c>
      <c r="F15" s="2">
        <f>[1]Прочее!E27</f>
        <v>2000</v>
      </c>
      <c r="G15" s="2">
        <f>[1]Прочее!F27</f>
        <v>1.5</v>
      </c>
      <c r="H15" s="2">
        <f t="shared" si="2"/>
        <v>120</v>
      </c>
      <c r="I15" s="2">
        <f t="shared" si="3"/>
        <v>0.09</v>
      </c>
    </row>
    <row r="16" spans="3:9" x14ac:dyDescent="0.25">
      <c r="C16" t="str">
        <f>[1]Прочее!B34</f>
        <v>Диск 100</v>
      </c>
      <c r="D16" s="2">
        <f>[1]Прочее!C34</f>
        <v>1</v>
      </c>
      <c r="E16" s="2" t="str">
        <f>[1]Прочее!D34</f>
        <v>шт.</v>
      </c>
      <c r="F16" s="2">
        <f>[1]Прочее!E34</f>
        <v>33</v>
      </c>
      <c r="G16" s="2">
        <f>[1]Прочее!F34</f>
        <v>0.31</v>
      </c>
      <c r="H16" s="2">
        <f>D16*F16</f>
        <v>33</v>
      </c>
      <c r="I16" s="2">
        <f>D16*G16</f>
        <v>0.31</v>
      </c>
    </row>
    <row r="17" spans="3:9" x14ac:dyDescent="0.25">
      <c r="C17" t="str">
        <f>[1]Прочее!B44</f>
        <v>Кольцо 100</v>
      </c>
      <c r="D17" s="2">
        <f>[1]Прочее!C44</f>
        <v>1</v>
      </c>
      <c r="E17" s="2" t="str">
        <f>[1]Прочее!D44</f>
        <v>шт.</v>
      </c>
      <c r="F17" s="2">
        <f>[1]Прочее!E44</f>
        <v>87</v>
      </c>
      <c r="G17" s="2">
        <v>2.2599999999999998</v>
      </c>
      <c r="H17" s="2">
        <f>D17*F17</f>
        <v>87</v>
      </c>
      <c r="I17" s="2">
        <f>D17*G17</f>
        <v>2.2599999999999998</v>
      </c>
    </row>
    <row r="18" spans="3:9" x14ac:dyDescent="0.25">
      <c r="D18" s="2"/>
      <c r="E18" s="2"/>
      <c r="F18" s="2"/>
      <c r="G18" s="2"/>
      <c r="H18" s="4">
        <f>SUM(H5:H17)</f>
        <v>4928.3999999999996</v>
      </c>
      <c r="I18" s="4">
        <f>SUM(I5:I17)</f>
        <v>62.863000000000007</v>
      </c>
    </row>
    <row r="19" spans="3:9" x14ac:dyDescent="0.25">
      <c r="D19" s="2"/>
      <c r="E19" s="2"/>
      <c r="F19" s="2"/>
      <c r="G19" s="2"/>
    </row>
    <row r="20" spans="3:9" x14ac:dyDescent="0.25">
      <c r="C20" t="s">
        <v>74</v>
      </c>
      <c r="D20" s="4">
        <f>(325*2+108*5+133*3+20+40)*3.1415</f>
        <v>5180.3335000000006</v>
      </c>
    </row>
    <row r="21" spans="3:9" x14ac:dyDescent="0.25">
      <c r="C21" t="s">
        <v>75</v>
      </c>
      <c r="D21" s="4">
        <f>D20/6</f>
        <v>863.38891666666677</v>
      </c>
      <c r="E21" s="2"/>
      <c r="F21" s="2"/>
      <c r="G21" s="2"/>
    </row>
    <row r="22" spans="3:9" x14ac:dyDescent="0.25">
      <c r="D22" s="4"/>
      <c r="E22" s="2"/>
      <c r="F22" s="2"/>
      <c r="G22" s="2"/>
    </row>
    <row r="23" spans="3:9" x14ac:dyDescent="0.25">
      <c r="C23" t="s">
        <v>76</v>
      </c>
      <c r="D23" s="4">
        <f>H18+D20+D21</f>
        <v>10972.122416666667</v>
      </c>
      <c r="E23" s="2"/>
      <c r="F23" s="2"/>
      <c r="G23" s="2"/>
    </row>
    <row r="24" spans="3:9" x14ac:dyDescent="0.25">
      <c r="D24" s="4"/>
      <c r="E24" s="2"/>
      <c r="F24" s="2"/>
      <c r="G24" s="2"/>
    </row>
    <row r="25" spans="3:9" x14ac:dyDescent="0.25">
      <c r="C25" t="s">
        <v>77</v>
      </c>
      <c r="D25" s="4">
        <f>ROUNDUP(((D23*1.4)/1.18),-2)*1.18</f>
        <v>15458</v>
      </c>
      <c r="E25" s="2"/>
      <c r="F25" s="2"/>
      <c r="G25" s="2"/>
    </row>
    <row r="26" spans="3:9" x14ac:dyDescent="0.25">
      <c r="D26" s="2"/>
      <c r="E26" s="2"/>
      <c r="F26" s="2"/>
      <c r="G26" s="2"/>
      <c r="H26" s="2"/>
      <c r="I26" s="2"/>
    </row>
    <row r="27" spans="3:9" x14ac:dyDescent="0.25">
      <c r="D27" s="2"/>
      <c r="E27" s="2"/>
      <c r="F27" s="2"/>
      <c r="G27" s="2"/>
      <c r="H27" s="2"/>
      <c r="I27" s="2"/>
    </row>
    <row r="28" spans="3:9" x14ac:dyDescent="0.25">
      <c r="D28" s="2"/>
      <c r="E28" s="2"/>
      <c r="F28" s="2"/>
      <c r="G28" s="2"/>
      <c r="H28" s="2"/>
      <c r="I28" s="2"/>
    </row>
    <row r="29" spans="3:9" x14ac:dyDescent="0.25">
      <c r="D29" s="2"/>
      <c r="E29" s="2"/>
      <c r="F29" s="2"/>
      <c r="G29" s="2"/>
      <c r="H29" s="2"/>
      <c r="I29" s="2"/>
    </row>
    <row r="31" spans="3:9" x14ac:dyDescent="0.25">
      <c r="E31" s="3"/>
    </row>
    <row r="32" spans="3:9" x14ac:dyDescent="0.25">
      <c r="C32" s="1" t="s">
        <v>63</v>
      </c>
      <c r="D32" s="2" t="s">
        <v>8</v>
      </c>
      <c r="E32" s="2"/>
      <c r="I32" s="2"/>
    </row>
    <row r="33" spans="3:9" x14ac:dyDescent="0.25">
      <c r="E33" s="2"/>
      <c r="I33" s="2"/>
    </row>
    <row r="34" spans="3:9" x14ac:dyDescent="0.25">
      <c r="C34" t="s">
        <v>34</v>
      </c>
      <c r="D34" s="2">
        <v>2</v>
      </c>
      <c r="E34" s="2" t="s">
        <v>58</v>
      </c>
      <c r="I34" s="2"/>
    </row>
    <row r="35" spans="3:9" x14ac:dyDescent="0.25">
      <c r="C35" t="s">
        <v>64</v>
      </c>
      <c r="D35" s="2">
        <v>1</v>
      </c>
      <c r="E35" s="2" t="s">
        <v>58</v>
      </c>
      <c r="I35" s="2"/>
    </row>
    <row r="36" spans="3:9" x14ac:dyDescent="0.25">
      <c r="C36" t="s">
        <v>37</v>
      </c>
      <c r="D36" s="2">
        <v>1</v>
      </c>
      <c r="E36" s="2" t="s">
        <v>58</v>
      </c>
      <c r="I36" s="2"/>
    </row>
    <row r="37" spans="3:9" x14ac:dyDescent="0.25">
      <c r="C37" t="s">
        <v>38</v>
      </c>
      <c r="D37" s="2">
        <v>1</v>
      </c>
      <c r="E37" s="2" t="s">
        <v>58</v>
      </c>
      <c r="I37" s="2"/>
    </row>
    <row r="38" spans="3:9" x14ac:dyDescent="0.25">
      <c r="C38" t="s">
        <v>65</v>
      </c>
      <c r="D38" s="2">
        <v>0.45</v>
      </c>
      <c r="E38" s="2" t="s">
        <v>15</v>
      </c>
      <c r="I38" s="2"/>
    </row>
    <row r="39" spans="3:9" x14ac:dyDescent="0.25">
      <c r="C39" t="s">
        <v>52</v>
      </c>
      <c r="D39" s="2">
        <v>11.6</v>
      </c>
      <c r="E39" s="2" t="s">
        <v>14</v>
      </c>
      <c r="I39" s="2"/>
    </row>
    <row r="40" spans="3:9" x14ac:dyDescent="0.25">
      <c r="C40" t="s">
        <v>36</v>
      </c>
      <c r="D40" s="2">
        <v>0.4</v>
      </c>
      <c r="E40" s="2" t="s">
        <v>15</v>
      </c>
    </row>
    <row r="41" spans="3:9" x14ac:dyDescent="0.25">
      <c r="C41" t="s">
        <v>24</v>
      </c>
      <c r="D41" s="2">
        <v>0.3</v>
      </c>
      <c r="E41" s="2" t="s">
        <v>15</v>
      </c>
    </row>
    <row r="42" spans="3:9" x14ac:dyDescent="0.25">
      <c r="C42" t="s">
        <v>2</v>
      </c>
      <c r="D42" s="2">
        <v>0.05</v>
      </c>
      <c r="E42" s="2" t="s">
        <v>16</v>
      </c>
    </row>
    <row r="43" spans="3:9" x14ac:dyDescent="0.25">
      <c r="C43" t="s">
        <v>67</v>
      </c>
      <c r="D43" s="2">
        <v>1</v>
      </c>
      <c r="E43" s="2" t="s">
        <v>58</v>
      </c>
    </row>
    <row r="44" spans="3:9" x14ac:dyDescent="0.25">
      <c r="C44" t="s">
        <v>3</v>
      </c>
      <c r="D44" s="2">
        <v>1</v>
      </c>
      <c r="E44" s="2" t="s">
        <v>58</v>
      </c>
    </row>
    <row r="45" spans="3:9" x14ac:dyDescent="0.25">
      <c r="C45" t="s">
        <v>4</v>
      </c>
      <c r="D45" s="2">
        <v>1</v>
      </c>
      <c r="E45" s="2" t="s">
        <v>58</v>
      </c>
    </row>
    <row r="46" spans="3:9" x14ac:dyDescent="0.25">
      <c r="D46" s="2"/>
      <c r="E46" s="2"/>
    </row>
    <row r="47" spans="3:9" x14ac:dyDescent="0.25">
      <c r="C47" s="1" t="s">
        <v>57</v>
      </c>
      <c r="E47" s="2"/>
    </row>
    <row r="48" spans="3:9" x14ac:dyDescent="0.25">
      <c r="E48" s="3"/>
    </row>
    <row r="49" spans="3:8" x14ac:dyDescent="0.25">
      <c r="C49" t="s">
        <v>35</v>
      </c>
      <c r="D49" s="2">
        <v>2</v>
      </c>
      <c r="E49" s="2"/>
      <c r="G49">
        <v>450</v>
      </c>
      <c r="H49">
        <f>G49*D49</f>
        <v>900</v>
      </c>
    </row>
    <row r="50" spans="3:8" x14ac:dyDescent="0.25">
      <c r="C50" t="s">
        <v>42</v>
      </c>
      <c r="D50" s="2">
        <v>2</v>
      </c>
      <c r="E50" s="2"/>
      <c r="G50">
        <v>610</v>
      </c>
      <c r="H50">
        <f t="shared" ref="H50:H66" si="4">G50*D50</f>
        <v>1220</v>
      </c>
    </row>
    <row r="51" spans="3:8" x14ac:dyDescent="0.25">
      <c r="C51" t="s">
        <v>44</v>
      </c>
      <c r="D51" s="2">
        <v>1</v>
      </c>
      <c r="G51">
        <v>3369</v>
      </c>
      <c r="H51">
        <f t="shared" si="4"/>
        <v>3369</v>
      </c>
    </row>
    <row r="52" spans="3:8" x14ac:dyDescent="0.25">
      <c r="C52" t="s">
        <v>39</v>
      </c>
      <c r="D52" s="2">
        <v>1</v>
      </c>
      <c r="E52" s="2"/>
      <c r="G52">
        <v>20</v>
      </c>
      <c r="H52">
        <f t="shared" si="4"/>
        <v>20</v>
      </c>
    </row>
    <row r="53" spans="3:8" x14ac:dyDescent="0.25">
      <c r="C53" t="s">
        <v>49</v>
      </c>
      <c r="D53" s="2">
        <v>1</v>
      </c>
      <c r="E53" s="2"/>
      <c r="G53">
        <v>30</v>
      </c>
      <c r="H53">
        <f t="shared" si="4"/>
        <v>30</v>
      </c>
    </row>
    <row r="54" spans="3:8" x14ac:dyDescent="0.25">
      <c r="C54" t="s">
        <v>11</v>
      </c>
      <c r="D54" s="2">
        <v>16</v>
      </c>
      <c r="E54" s="2"/>
      <c r="G54">
        <v>20</v>
      </c>
      <c r="H54">
        <f t="shared" si="4"/>
        <v>320</v>
      </c>
    </row>
    <row r="55" spans="3:8" x14ac:dyDescent="0.25">
      <c r="C55" t="s">
        <v>12</v>
      </c>
      <c r="D55" s="2">
        <v>16</v>
      </c>
      <c r="E55" s="2"/>
      <c r="G55">
        <v>5</v>
      </c>
      <c r="H55">
        <f t="shared" si="4"/>
        <v>80</v>
      </c>
    </row>
    <row r="56" spans="3:8" x14ac:dyDescent="0.25">
      <c r="C56" t="s">
        <v>13</v>
      </c>
      <c r="D56" s="2">
        <v>16</v>
      </c>
      <c r="E56" s="2"/>
      <c r="G56">
        <v>4</v>
      </c>
      <c r="H56">
        <f t="shared" si="4"/>
        <v>64</v>
      </c>
    </row>
    <row r="57" spans="3:8" x14ac:dyDescent="0.25">
      <c r="C57" t="s">
        <v>47</v>
      </c>
      <c r="D57" s="2">
        <v>1</v>
      </c>
      <c r="E57" s="2"/>
      <c r="G57">
        <v>25</v>
      </c>
      <c r="H57">
        <f t="shared" si="4"/>
        <v>25</v>
      </c>
    </row>
    <row r="58" spans="3:8" x14ac:dyDescent="0.25">
      <c r="C58" t="s">
        <v>48</v>
      </c>
      <c r="D58" s="2">
        <v>1</v>
      </c>
      <c r="E58" s="2"/>
      <c r="G58">
        <v>80</v>
      </c>
      <c r="H58">
        <f t="shared" si="4"/>
        <v>80</v>
      </c>
    </row>
    <row r="59" spans="3:8" x14ac:dyDescent="0.25">
      <c r="C59" t="s">
        <v>43</v>
      </c>
      <c r="D59" s="2">
        <v>0.43</v>
      </c>
      <c r="E59" s="2" t="s">
        <v>15</v>
      </c>
      <c r="H59">
        <f t="shared" si="4"/>
        <v>0</v>
      </c>
    </row>
    <row r="60" spans="3:8" x14ac:dyDescent="0.25">
      <c r="C60" t="s">
        <v>5</v>
      </c>
      <c r="D60" s="2">
        <v>16.5</v>
      </c>
      <c r="E60" s="2" t="s">
        <v>14</v>
      </c>
      <c r="G60">
        <v>35</v>
      </c>
      <c r="H60">
        <f t="shared" si="4"/>
        <v>577.5</v>
      </c>
    </row>
    <row r="61" spans="3:8" x14ac:dyDescent="0.25">
      <c r="C61" t="s">
        <v>36</v>
      </c>
      <c r="D61" s="2">
        <v>0.5</v>
      </c>
      <c r="E61" s="2" t="s">
        <v>15</v>
      </c>
      <c r="G61">
        <v>300</v>
      </c>
      <c r="H61">
        <f t="shared" si="4"/>
        <v>150</v>
      </c>
    </row>
    <row r="62" spans="3:8" x14ac:dyDescent="0.25">
      <c r="C62" t="s">
        <v>46</v>
      </c>
      <c r="D62" s="2">
        <v>0.2</v>
      </c>
      <c r="E62" s="2" t="s">
        <v>15</v>
      </c>
      <c r="G62">
        <v>150</v>
      </c>
      <c r="H62">
        <f t="shared" si="4"/>
        <v>30</v>
      </c>
    </row>
    <row r="63" spans="3:8" x14ac:dyDescent="0.25">
      <c r="C63" t="s">
        <v>2</v>
      </c>
      <c r="D63" s="2">
        <v>0.06</v>
      </c>
      <c r="E63" s="2" t="s">
        <v>16</v>
      </c>
      <c r="G63">
        <v>100</v>
      </c>
      <c r="H63">
        <f t="shared" si="4"/>
        <v>6</v>
      </c>
    </row>
    <row r="64" spans="3:8" x14ac:dyDescent="0.25">
      <c r="C64" t="s">
        <v>67</v>
      </c>
      <c r="D64" s="2">
        <v>1</v>
      </c>
      <c r="E64" s="2"/>
      <c r="G64">
        <v>20</v>
      </c>
      <c r="H64">
        <f t="shared" si="4"/>
        <v>20</v>
      </c>
    </row>
    <row r="65" spans="3:9" x14ac:dyDescent="0.25">
      <c r="C65" t="s">
        <v>3</v>
      </c>
      <c r="D65" s="2">
        <v>1</v>
      </c>
      <c r="E65" s="2"/>
      <c r="G65">
        <v>20</v>
      </c>
      <c r="H65">
        <f t="shared" si="4"/>
        <v>20</v>
      </c>
    </row>
    <row r="66" spans="3:9" x14ac:dyDescent="0.25">
      <c r="C66" t="s">
        <v>4</v>
      </c>
      <c r="D66" s="2">
        <v>1</v>
      </c>
      <c r="E66" s="2"/>
      <c r="G66">
        <v>50</v>
      </c>
      <c r="H66">
        <f t="shared" si="4"/>
        <v>50</v>
      </c>
    </row>
    <row r="67" spans="3:9" x14ac:dyDescent="0.25">
      <c r="H67" s="1">
        <f>SUM(H49:H66)</f>
        <v>6961.5</v>
      </c>
    </row>
    <row r="70" spans="3:9" x14ac:dyDescent="0.25">
      <c r="C70" t="s">
        <v>50</v>
      </c>
    </row>
    <row r="71" spans="3:9" x14ac:dyDescent="0.25">
      <c r="C71" t="s">
        <v>51</v>
      </c>
    </row>
    <row r="77" spans="3:9" x14ac:dyDescent="0.25">
      <c r="C77" s="7" t="s">
        <v>103</v>
      </c>
      <c r="D77" s="3" t="s">
        <v>8</v>
      </c>
      <c r="E77" s="3"/>
      <c r="F77" s="3" t="s">
        <v>70</v>
      </c>
      <c r="G77" s="3" t="s">
        <v>71</v>
      </c>
      <c r="H77" s="3" t="s">
        <v>72</v>
      </c>
      <c r="I77" s="3" t="s">
        <v>73</v>
      </c>
    </row>
    <row r="79" spans="3:9" x14ac:dyDescent="0.25">
      <c r="C79" t="s">
        <v>89</v>
      </c>
      <c r="D79" s="2">
        <v>0.5</v>
      </c>
      <c r="E79" s="2" t="s">
        <v>15</v>
      </c>
      <c r="F79">
        <v>5900</v>
      </c>
      <c r="G79">
        <v>103.1</v>
      </c>
      <c r="H79">
        <f t="shared" ref="H79:H92" si="5">D79*F79</f>
        <v>2950</v>
      </c>
      <c r="I79">
        <f t="shared" ref="I79:I92" si="6">D79*G79</f>
        <v>51.55</v>
      </c>
    </row>
    <row r="80" spans="3:9" x14ac:dyDescent="0.25">
      <c r="C80" t="s">
        <v>104</v>
      </c>
      <c r="D80" s="2">
        <v>0.65</v>
      </c>
      <c r="E80" s="2" t="s">
        <v>15</v>
      </c>
      <c r="F80">
        <v>320</v>
      </c>
      <c r="G80">
        <v>9.1</v>
      </c>
      <c r="H80">
        <f t="shared" si="5"/>
        <v>208</v>
      </c>
      <c r="I80">
        <f t="shared" si="6"/>
        <v>5.915</v>
      </c>
    </row>
    <row r="81" spans="3:9" x14ac:dyDescent="0.25">
      <c r="C81" t="s">
        <v>105</v>
      </c>
      <c r="D81" s="2">
        <v>2</v>
      </c>
      <c r="E81" s="2" t="s">
        <v>58</v>
      </c>
      <c r="F81">
        <v>325</v>
      </c>
      <c r="G81">
        <v>4.9000000000000004</v>
      </c>
      <c r="H81">
        <f t="shared" si="5"/>
        <v>650</v>
      </c>
      <c r="I81">
        <f t="shared" si="6"/>
        <v>9.8000000000000007</v>
      </c>
    </row>
    <row r="82" spans="3:9" x14ac:dyDescent="0.25">
      <c r="C82" t="s">
        <v>106</v>
      </c>
      <c r="D82" s="2">
        <v>1</v>
      </c>
      <c r="E82" s="2" t="s">
        <v>58</v>
      </c>
      <c r="F82">
        <v>2450</v>
      </c>
      <c r="G82">
        <v>39.200000000000003</v>
      </c>
      <c r="H82">
        <f t="shared" si="5"/>
        <v>2450</v>
      </c>
      <c r="I82">
        <f t="shared" si="6"/>
        <v>39.200000000000003</v>
      </c>
    </row>
    <row r="83" spans="3:9" x14ac:dyDescent="0.25">
      <c r="C83" t="s">
        <v>107</v>
      </c>
      <c r="D83" s="2">
        <v>1</v>
      </c>
      <c r="E83" s="2" t="s">
        <v>58</v>
      </c>
      <c r="F83" s="8">
        <v>7430</v>
      </c>
      <c r="G83" s="8">
        <v>75</v>
      </c>
      <c r="H83">
        <f t="shared" si="5"/>
        <v>7430</v>
      </c>
      <c r="I83">
        <f t="shared" si="6"/>
        <v>75</v>
      </c>
    </row>
    <row r="84" spans="3:9" x14ac:dyDescent="0.25">
      <c r="C84" s="5" t="s">
        <v>93</v>
      </c>
      <c r="D84" s="6">
        <v>20</v>
      </c>
      <c r="E84" s="2" t="s">
        <v>58</v>
      </c>
      <c r="F84" s="8">
        <v>58</v>
      </c>
      <c r="G84" s="8">
        <v>0.48</v>
      </c>
      <c r="H84">
        <f t="shared" si="5"/>
        <v>1160</v>
      </c>
      <c r="I84">
        <f t="shared" si="6"/>
        <v>9.6</v>
      </c>
    </row>
    <row r="85" spans="3:9" x14ac:dyDescent="0.25">
      <c r="C85" s="5" t="s">
        <v>94</v>
      </c>
      <c r="D85" s="6">
        <v>20</v>
      </c>
      <c r="E85" s="2" t="s">
        <v>58</v>
      </c>
      <c r="F85" s="8">
        <v>20</v>
      </c>
      <c r="G85" s="8">
        <v>0.123</v>
      </c>
      <c r="H85">
        <f t="shared" si="5"/>
        <v>400</v>
      </c>
      <c r="I85">
        <f t="shared" si="6"/>
        <v>2.46</v>
      </c>
    </row>
    <row r="86" spans="3:9" x14ac:dyDescent="0.25">
      <c r="C86" s="5" t="s">
        <v>95</v>
      </c>
      <c r="D86" s="6">
        <v>20</v>
      </c>
      <c r="E86" s="2" t="s">
        <v>58</v>
      </c>
      <c r="F86" s="8">
        <v>6</v>
      </c>
      <c r="G86" s="8">
        <v>1.2999999999999999E-2</v>
      </c>
      <c r="H86">
        <f t="shared" si="5"/>
        <v>120</v>
      </c>
      <c r="I86">
        <f t="shared" si="6"/>
        <v>0.26</v>
      </c>
    </row>
    <row r="87" spans="3:9" x14ac:dyDescent="0.25">
      <c r="C87" t="s">
        <v>108</v>
      </c>
      <c r="D87" s="6">
        <v>1</v>
      </c>
      <c r="E87" s="2" t="s">
        <v>58</v>
      </c>
      <c r="F87" s="8">
        <v>240</v>
      </c>
      <c r="G87" s="8">
        <v>1.2</v>
      </c>
      <c r="H87">
        <f t="shared" si="5"/>
        <v>240</v>
      </c>
      <c r="I87">
        <f t="shared" si="6"/>
        <v>1.2</v>
      </c>
    </row>
    <row r="88" spans="3:9" x14ac:dyDescent="0.25">
      <c r="C88" t="s">
        <v>91</v>
      </c>
      <c r="D88" s="2">
        <v>1</v>
      </c>
      <c r="E88" s="2" t="s">
        <v>58</v>
      </c>
      <c r="F88">
        <v>2600</v>
      </c>
      <c r="G88">
        <v>25.9</v>
      </c>
      <c r="H88">
        <f t="shared" si="5"/>
        <v>2600</v>
      </c>
      <c r="I88">
        <f t="shared" si="6"/>
        <v>25.9</v>
      </c>
    </row>
    <row r="89" spans="3:9" x14ac:dyDescent="0.25">
      <c r="C89" t="s">
        <v>84</v>
      </c>
      <c r="D89" s="2">
        <v>1</v>
      </c>
      <c r="E89" s="2" t="s">
        <v>58</v>
      </c>
      <c r="F89">
        <v>8</v>
      </c>
      <c r="G89">
        <v>0.1</v>
      </c>
      <c r="H89">
        <f t="shared" si="5"/>
        <v>8</v>
      </c>
      <c r="I89">
        <f t="shared" si="6"/>
        <v>0.1</v>
      </c>
    </row>
    <row r="90" spans="3:9" x14ac:dyDescent="0.25">
      <c r="C90" t="s">
        <v>109</v>
      </c>
      <c r="D90" s="2">
        <v>1</v>
      </c>
      <c r="E90" s="2" t="s">
        <v>58</v>
      </c>
      <c r="F90">
        <v>26</v>
      </c>
      <c r="G90">
        <v>0.2</v>
      </c>
      <c r="H90">
        <f t="shared" si="5"/>
        <v>26</v>
      </c>
      <c r="I90">
        <f t="shared" si="6"/>
        <v>0.2</v>
      </c>
    </row>
    <row r="91" spans="3:9" x14ac:dyDescent="0.25">
      <c r="C91" t="s">
        <v>110</v>
      </c>
      <c r="D91" s="2">
        <v>0.13</v>
      </c>
      <c r="E91" s="2" t="s">
        <v>16</v>
      </c>
      <c r="F91">
        <v>1200</v>
      </c>
      <c r="G91">
        <v>0.1</v>
      </c>
      <c r="H91">
        <f t="shared" si="5"/>
        <v>156</v>
      </c>
      <c r="I91">
        <f t="shared" si="6"/>
        <v>1.3000000000000001E-2</v>
      </c>
    </row>
    <row r="92" spans="3:9" x14ac:dyDescent="0.25">
      <c r="C92" t="s">
        <v>92</v>
      </c>
      <c r="D92" s="2">
        <v>1</v>
      </c>
      <c r="E92" s="2" t="s">
        <v>58</v>
      </c>
      <c r="F92">
        <v>100</v>
      </c>
      <c r="G92">
        <v>1.8</v>
      </c>
      <c r="H92">
        <f t="shared" si="5"/>
        <v>100</v>
      </c>
      <c r="I92">
        <f t="shared" si="6"/>
        <v>1.8</v>
      </c>
    </row>
    <row r="93" spans="3:9" x14ac:dyDescent="0.25">
      <c r="H93" s="9">
        <f>SUM(H79:H92)</f>
        <v>18498</v>
      </c>
      <c r="I93" s="9">
        <f>SUM(I79:I92)</f>
        <v>222.99799999999999</v>
      </c>
    </row>
    <row r="94" spans="3:9" x14ac:dyDescent="0.25">
      <c r="D94" s="2"/>
      <c r="E94" s="2"/>
    </row>
    <row r="96" spans="3:9" x14ac:dyDescent="0.25">
      <c r="C96" t="s">
        <v>74</v>
      </c>
      <c r="D96" s="9">
        <f>(530*3+108*8+30*2)*3.14152</f>
        <v>7897.7812799999992</v>
      </c>
      <c r="E96" s="2"/>
    </row>
    <row r="97" spans="3:4" x14ac:dyDescent="0.25">
      <c r="C97" t="s">
        <v>75</v>
      </c>
      <c r="D97" s="9">
        <f>D96/4</f>
        <v>1974.4453199999998</v>
      </c>
    </row>
    <row r="98" spans="3:4" x14ac:dyDescent="0.25">
      <c r="D98" s="9"/>
    </row>
    <row r="99" spans="3:4" x14ac:dyDescent="0.25">
      <c r="C99" t="s">
        <v>76</v>
      </c>
      <c r="D99" s="9">
        <f>H93+D96+D97</f>
        <v>28370.226599999998</v>
      </c>
    </row>
    <row r="100" spans="3:4" x14ac:dyDescent="0.25">
      <c r="D100" s="9"/>
    </row>
    <row r="101" spans="3:4" x14ac:dyDescent="0.25">
      <c r="C101" t="s">
        <v>77</v>
      </c>
      <c r="D101" s="9">
        <f>D99*1.3</f>
        <v>36881.294580000002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67"/>
  <sheetViews>
    <sheetView zoomScale="80" zoomScaleNormal="80" workbookViewId="0">
      <selection activeCell="C3" sqref="C3"/>
    </sheetView>
  </sheetViews>
  <sheetFormatPr defaultRowHeight="15" x14ac:dyDescent="0.25"/>
  <cols>
    <col min="2" max="2" width="6.140625" customWidth="1"/>
    <col min="3" max="3" width="53.85546875" customWidth="1"/>
    <col min="4" max="4" width="13.42578125" customWidth="1"/>
    <col min="5" max="5" width="9.42578125" customWidth="1"/>
    <col min="6" max="6" width="9.28515625" bestFit="1" customWidth="1"/>
    <col min="7" max="7" width="10.140625" bestFit="1" customWidth="1"/>
    <col min="8" max="9" width="7.7109375" bestFit="1" customWidth="1"/>
  </cols>
  <sheetData>
    <row r="3" spans="3:9" x14ac:dyDescent="0.25">
      <c r="C3" s="1" t="s">
        <v>79</v>
      </c>
      <c r="D3" s="3" t="s">
        <v>8</v>
      </c>
      <c r="E3" s="2"/>
      <c r="F3" s="3" t="s">
        <v>70</v>
      </c>
      <c r="G3" s="3" t="s">
        <v>71</v>
      </c>
      <c r="H3" s="3" t="s">
        <v>72</v>
      </c>
      <c r="I3" s="3" t="s">
        <v>73</v>
      </c>
    </row>
    <row r="4" spans="3:9" x14ac:dyDescent="0.25">
      <c r="E4" s="2"/>
    </row>
    <row r="5" spans="3:9" x14ac:dyDescent="0.25">
      <c r="C5" t="str">
        <f>[1]Трубы!B19</f>
        <v>Труба 325х6 ГОСТ 10704-91</v>
      </c>
      <c r="D5" s="2">
        <v>0.49</v>
      </c>
      <c r="E5" s="2" t="str">
        <f>[1]Трубы!D19</f>
        <v>п.м.</v>
      </c>
      <c r="F5" s="2">
        <f>[1]Трубы!E19</f>
        <v>2750</v>
      </c>
      <c r="G5" s="2">
        <f>[1]Трубы!F19</f>
        <v>47.5</v>
      </c>
      <c r="H5" s="2">
        <f t="shared" ref="H5:H11" si="0">D5*F5</f>
        <v>1347.5</v>
      </c>
      <c r="I5" s="2">
        <f t="shared" ref="I5:I11" si="1">D5*G5</f>
        <v>23.274999999999999</v>
      </c>
    </row>
    <row r="6" spans="3:9" x14ac:dyDescent="0.25">
      <c r="C6" t="str">
        <f>[1]Трубы!B15</f>
        <v>Труба 133х4 ГОСТ 10704-91</v>
      </c>
      <c r="D6" s="2">
        <v>0.45</v>
      </c>
      <c r="E6" s="2" t="str">
        <f>[1]Трубы!D15</f>
        <v>п.м.</v>
      </c>
      <c r="F6" s="2">
        <f>[1]Трубы!E15</f>
        <v>565</v>
      </c>
      <c r="G6" s="2">
        <f>[1]Трубы!F15</f>
        <v>12.8</v>
      </c>
      <c r="H6" s="2">
        <f t="shared" si="0"/>
        <v>254.25</v>
      </c>
      <c r="I6" s="2">
        <f t="shared" si="1"/>
        <v>5.7600000000000007</v>
      </c>
    </row>
    <row r="7" spans="3:9" x14ac:dyDescent="0.25">
      <c r="C7" t="str">
        <f>[1]Трубы!B16</f>
        <v>Труба 159х4,5 ГОСТ 10704-91</v>
      </c>
      <c r="D7" s="2">
        <v>0.13</v>
      </c>
      <c r="E7" s="2" t="str">
        <f>[1]Трубы!D16</f>
        <v>п.м.</v>
      </c>
      <c r="F7" s="2">
        <f>[1]Трубы!E16</f>
        <v>750</v>
      </c>
      <c r="G7" s="2">
        <f>[1]Трубы!F16</f>
        <v>17.2</v>
      </c>
      <c r="H7" s="2">
        <f t="shared" si="0"/>
        <v>97.5</v>
      </c>
      <c r="I7" s="2">
        <f t="shared" si="1"/>
        <v>2.2359999999999998</v>
      </c>
    </row>
    <row r="8" spans="3:9" x14ac:dyDescent="0.25">
      <c r="C8" t="str">
        <f>[1]Фланцы!B13</f>
        <v xml:space="preserve">Фланец 12820-80 Ду-125, Ру-1,6 МПа </v>
      </c>
      <c r="D8" s="2">
        <f>[1]Фланцы!C13</f>
        <v>1</v>
      </c>
      <c r="E8" s="2" t="str">
        <f>[1]Фланцы!D13</f>
        <v>шт.</v>
      </c>
      <c r="F8" s="2">
        <f>[1]Фланцы!E13</f>
        <v>915</v>
      </c>
      <c r="G8" s="2">
        <f>[1]Фланцы!F13</f>
        <v>6.8</v>
      </c>
      <c r="H8" s="2">
        <f t="shared" si="0"/>
        <v>915</v>
      </c>
      <c r="I8" s="2">
        <f t="shared" si="1"/>
        <v>6.8</v>
      </c>
    </row>
    <row r="9" spans="3:9" x14ac:dyDescent="0.25">
      <c r="C9" t="str">
        <f>[1]Фланцы!B14</f>
        <v xml:space="preserve">Фланец 12820-80 Ду-150, Ру-1,6 МПа </v>
      </c>
      <c r="D9" s="2">
        <f>[1]Фланцы!C14</f>
        <v>1</v>
      </c>
      <c r="E9" s="2" t="str">
        <f>[1]Фланцы!D14</f>
        <v>шт.</v>
      </c>
      <c r="F9" s="2">
        <f>[1]Фланцы!E14</f>
        <v>829</v>
      </c>
      <c r="G9" s="2">
        <f>[1]Фланцы!F14</f>
        <v>8.3000000000000007</v>
      </c>
      <c r="H9" s="2">
        <f t="shared" si="0"/>
        <v>829</v>
      </c>
      <c r="I9" s="2">
        <f t="shared" si="1"/>
        <v>8.3000000000000007</v>
      </c>
    </row>
    <row r="10" spans="3:9" x14ac:dyDescent="0.25">
      <c r="C10" t="str">
        <f>[1]Днища!B12</f>
        <v>Днище эллиптическое 325</v>
      </c>
      <c r="D10" s="2">
        <f>[1]Днища!C12</f>
        <v>1</v>
      </c>
      <c r="E10" s="2" t="str">
        <f>[1]Днища!D12</f>
        <v>шт.</v>
      </c>
      <c r="F10" s="2">
        <f>[1]Днища!E12</f>
        <v>1000</v>
      </c>
      <c r="G10" s="2">
        <f>[1]Днища!F12</f>
        <v>6.3</v>
      </c>
      <c r="H10" s="2">
        <f t="shared" si="0"/>
        <v>1000</v>
      </c>
      <c r="I10" s="2">
        <f t="shared" si="1"/>
        <v>6.3</v>
      </c>
    </row>
    <row r="11" spans="3:9" x14ac:dyDescent="0.25">
      <c r="C11" t="str">
        <f>[1]Прочее!B7</f>
        <v>Лист стальной 20 мм</v>
      </c>
      <c r="D11" s="2">
        <v>16.5</v>
      </c>
      <c r="E11" s="2" t="str">
        <f>[1]Прочее!D7</f>
        <v>кг</v>
      </c>
      <c r="F11" s="2">
        <f>[1]Прочее!E7</f>
        <v>45</v>
      </c>
      <c r="G11" s="2">
        <f>[1]Прочее!F7</f>
        <v>1</v>
      </c>
      <c r="H11" s="2">
        <f t="shared" si="0"/>
        <v>742.5</v>
      </c>
      <c r="I11" s="2">
        <f t="shared" si="1"/>
        <v>16.5</v>
      </c>
    </row>
    <row r="12" spans="3:9" x14ac:dyDescent="0.25">
      <c r="C12" t="str">
        <f>[1]Прочее!B10</f>
        <v>Фитинг стальной муфта 15 мм</v>
      </c>
      <c r="D12" s="2">
        <f>[1]Прочее!C10</f>
        <v>1</v>
      </c>
      <c r="E12" s="2" t="str">
        <f>[1]Прочее!D10</f>
        <v>шт.</v>
      </c>
      <c r="F12" s="2">
        <f>[1]Прочее!E10</f>
        <v>10</v>
      </c>
      <c r="G12" s="2">
        <f>[1]Прочее!F10</f>
        <v>0.1</v>
      </c>
      <c r="H12" s="2">
        <f t="shared" ref="H12:H15" si="2">D12*F12</f>
        <v>10</v>
      </c>
      <c r="I12" s="2">
        <f t="shared" ref="I12:I15" si="3">D12*G12</f>
        <v>0.1</v>
      </c>
    </row>
    <row r="13" spans="3:9" x14ac:dyDescent="0.25">
      <c r="C13" t="str">
        <f>[1]Прочее!B13</f>
        <v>Фитинг стальной муфта 32 мм</v>
      </c>
      <c r="D13" s="2">
        <f>[1]Прочее!C13</f>
        <v>1</v>
      </c>
      <c r="E13" s="2" t="str">
        <f>[1]Прочее!D13</f>
        <v>шт.</v>
      </c>
      <c r="F13" s="2">
        <f>[1]Прочее!E13</f>
        <v>33</v>
      </c>
      <c r="G13" s="2">
        <f>[1]Прочее!F13</f>
        <v>0.2</v>
      </c>
      <c r="H13" s="2">
        <f t="shared" si="2"/>
        <v>33</v>
      </c>
      <c r="I13" s="2">
        <f t="shared" si="3"/>
        <v>0.2</v>
      </c>
    </row>
    <row r="14" spans="3:9" x14ac:dyDescent="0.25">
      <c r="C14" t="str">
        <f>[1]Прочее!B24</f>
        <v>Фитинг стальной пробка 32 мм</v>
      </c>
      <c r="D14" s="2">
        <f>[1]Прочее!C24</f>
        <v>1</v>
      </c>
      <c r="E14" s="2" t="str">
        <f>[1]Прочее!D24</f>
        <v>шт.</v>
      </c>
      <c r="F14" s="2">
        <f>[1]Прочее!E24</f>
        <v>50</v>
      </c>
      <c r="G14" s="2">
        <f>[1]Прочее!F24</f>
        <v>0.2</v>
      </c>
      <c r="H14" s="2">
        <f t="shared" si="2"/>
        <v>50</v>
      </c>
      <c r="I14" s="2">
        <f t="shared" si="3"/>
        <v>0.2</v>
      </c>
    </row>
    <row r="15" spans="3:9" x14ac:dyDescent="0.25">
      <c r="C15" t="str">
        <f>[1]Прочее!B27</f>
        <v>сетка нж 1,6</v>
      </c>
      <c r="D15" s="2">
        <v>0.09</v>
      </c>
      <c r="E15" s="2" t="s">
        <v>16</v>
      </c>
      <c r="F15" s="2">
        <f>[1]Прочее!E27</f>
        <v>2000</v>
      </c>
      <c r="G15" s="2">
        <f>[1]Прочее!F27</f>
        <v>1.5</v>
      </c>
      <c r="H15" s="2">
        <f t="shared" si="2"/>
        <v>180</v>
      </c>
      <c r="I15" s="2">
        <f t="shared" si="3"/>
        <v>0.13500000000000001</v>
      </c>
    </row>
    <row r="16" spans="3:9" x14ac:dyDescent="0.25">
      <c r="C16" t="str">
        <f>[1]Прочее!B35</f>
        <v>Диск 125</v>
      </c>
      <c r="D16" s="2">
        <f>[1]Прочее!C35</f>
        <v>1</v>
      </c>
      <c r="E16" s="2" t="str">
        <f>[1]Прочее!D35</f>
        <v>шт.</v>
      </c>
      <c r="F16" s="2">
        <f>[1]Прочее!E35</f>
        <v>38</v>
      </c>
      <c r="G16" s="2">
        <f>[1]Прочее!F35</f>
        <v>0.48</v>
      </c>
      <c r="H16" s="2">
        <f>D16*F16</f>
        <v>38</v>
      </c>
      <c r="I16" s="2">
        <f>D16*G16</f>
        <v>0.48</v>
      </c>
    </row>
    <row r="17" spans="3:9" x14ac:dyDescent="0.25">
      <c r="C17" t="str">
        <f>[1]Прочее!B45</f>
        <v>Кольцо 125</v>
      </c>
      <c r="D17" s="2">
        <f>[1]Прочее!C45</f>
        <v>1</v>
      </c>
      <c r="E17" s="2" t="str">
        <f>[1]Прочее!D45</f>
        <v>шт.</v>
      </c>
      <c r="F17" s="2">
        <f>[1]Прочее!E45</f>
        <v>97</v>
      </c>
      <c r="G17" s="2">
        <v>3.26</v>
      </c>
      <c r="H17" s="2">
        <f>D17*F17</f>
        <v>97</v>
      </c>
      <c r="I17" s="2">
        <f>D17*G17</f>
        <v>3.26</v>
      </c>
    </row>
    <row r="18" spans="3:9" x14ac:dyDescent="0.25">
      <c r="D18" s="2"/>
      <c r="E18" s="2"/>
      <c r="F18" s="2"/>
      <c r="G18" s="2"/>
      <c r="H18" s="4">
        <f>SUM(H5:H17)</f>
        <v>5593.75</v>
      </c>
      <c r="I18" s="4">
        <f>SUM(I5:I17)</f>
        <v>73.546000000000006</v>
      </c>
    </row>
    <row r="19" spans="3:9" x14ac:dyDescent="0.25">
      <c r="D19" s="2"/>
      <c r="E19" s="2"/>
      <c r="F19" s="2"/>
      <c r="G19" s="2"/>
    </row>
    <row r="20" spans="3:9" x14ac:dyDescent="0.25">
      <c r="C20" t="s">
        <v>74</v>
      </c>
      <c r="D20" s="4">
        <f>(325*2+133*5+159*3+20+40)*3.1415</f>
        <v>5818.058</v>
      </c>
    </row>
    <row r="21" spans="3:9" x14ac:dyDescent="0.25">
      <c r="C21" t="s">
        <v>75</v>
      </c>
      <c r="D21" s="4">
        <f>D20/6</f>
        <v>969.67633333333333</v>
      </c>
      <c r="E21" s="2"/>
      <c r="F21" s="2"/>
      <c r="G21" s="2"/>
    </row>
    <row r="22" spans="3:9" x14ac:dyDescent="0.25">
      <c r="D22" s="4"/>
      <c r="E22" s="2"/>
      <c r="F22" s="2"/>
      <c r="G22" s="2"/>
    </row>
    <row r="23" spans="3:9" x14ac:dyDescent="0.25">
      <c r="C23" t="s">
        <v>76</v>
      </c>
      <c r="D23" s="4">
        <f>H18+D20+D21</f>
        <v>12381.484333333334</v>
      </c>
      <c r="E23" s="2"/>
      <c r="F23" s="2"/>
      <c r="G23" s="2"/>
    </row>
    <row r="24" spans="3:9" x14ac:dyDescent="0.25">
      <c r="D24" s="4"/>
      <c r="E24" s="2"/>
      <c r="F24" s="2"/>
      <c r="G24" s="2"/>
    </row>
    <row r="25" spans="3:9" x14ac:dyDescent="0.25">
      <c r="C25" t="s">
        <v>77</v>
      </c>
      <c r="D25" s="4">
        <f>ROUNDUP(((D23*1.4)/1.18),-2)*1.18</f>
        <v>17346</v>
      </c>
      <c r="E25" s="2"/>
      <c r="F25" s="2"/>
      <c r="G25" s="2"/>
    </row>
    <row r="26" spans="3:9" x14ac:dyDescent="0.25">
      <c r="D26" s="2"/>
      <c r="E26" s="2"/>
      <c r="F26" s="2"/>
      <c r="G26" s="2"/>
      <c r="H26" s="2"/>
      <c r="I26" s="2"/>
    </row>
    <row r="28" spans="3:9" x14ac:dyDescent="0.25">
      <c r="D28" s="2"/>
      <c r="E28" s="2"/>
      <c r="F28" s="2"/>
      <c r="G28" s="2"/>
      <c r="H28" s="2"/>
      <c r="I28" s="2"/>
    </row>
    <row r="31" spans="3:9" x14ac:dyDescent="0.25">
      <c r="D31" s="2"/>
      <c r="E31" s="2"/>
      <c r="F31" s="2"/>
      <c r="G31" s="2"/>
      <c r="H31" s="2"/>
      <c r="I31" s="2"/>
    </row>
    <row r="33" spans="3:9" x14ac:dyDescent="0.25">
      <c r="E33" s="2"/>
      <c r="I33" s="2"/>
    </row>
    <row r="34" spans="3:9" x14ac:dyDescent="0.25">
      <c r="D34" s="2"/>
      <c r="E34" s="2"/>
      <c r="I34" s="2"/>
    </row>
    <row r="35" spans="3:9" x14ac:dyDescent="0.25">
      <c r="D35" s="2"/>
      <c r="E35" s="2"/>
      <c r="I35" s="2"/>
    </row>
    <row r="36" spans="3:9" x14ac:dyDescent="0.25">
      <c r="D36" s="2"/>
      <c r="E36" s="2"/>
      <c r="I36" s="2"/>
    </row>
    <row r="37" spans="3:9" x14ac:dyDescent="0.25">
      <c r="D37" s="2"/>
      <c r="E37" s="2"/>
      <c r="I37" s="2"/>
    </row>
    <row r="38" spans="3:9" x14ac:dyDescent="0.25">
      <c r="D38" s="2"/>
      <c r="E38" s="2"/>
      <c r="I38" s="2"/>
    </row>
    <row r="39" spans="3:9" x14ac:dyDescent="0.25">
      <c r="D39" s="2"/>
      <c r="E39" s="2"/>
      <c r="I39" s="2"/>
    </row>
    <row r="40" spans="3:9" x14ac:dyDescent="0.25">
      <c r="D40" s="2"/>
      <c r="E40" s="2"/>
    </row>
    <row r="41" spans="3:9" x14ac:dyDescent="0.25">
      <c r="D41" s="2"/>
      <c r="E41" s="2"/>
    </row>
    <row r="42" spans="3:9" x14ac:dyDescent="0.25">
      <c r="D42" s="2"/>
      <c r="E42" s="2"/>
    </row>
    <row r="43" spans="3:9" x14ac:dyDescent="0.25">
      <c r="D43" s="2"/>
      <c r="E43" s="2"/>
    </row>
    <row r="44" spans="3:9" x14ac:dyDescent="0.25">
      <c r="D44" s="2"/>
      <c r="E44" s="2"/>
    </row>
    <row r="45" spans="3:9" x14ac:dyDescent="0.25">
      <c r="D45" s="2"/>
      <c r="E45" s="2"/>
    </row>
    <row r="46" spans="3:9" x14ac:dyDescent="0.25">
      <c r="D46" s="2"/>
      <c r="E46" s="2"/>
    </row>
    <row r="47" spans="3:9" x14ac:dyDescent="0.25">
      <c r="C47" s="1"/>
      <c r="E47" s="2"/>
    </row>
    <row r="48" spans="3:9" x14ac:dyDescent="0.25">
      <c r="E48" s="3"/>
    </row>
    <row r="49" spans="4:5" x14ac:dyDescent="0.25">
      <c r="D49" s="2"/>
      <c r="E49" s="2"/>
    </row>
    <row r="50" spans="4:5" x14ac:dyDescent="0.25">
      <c r="D50" s="2"/>
      <c r="E50" s="2"/>
    </row>
    <row r="51" spans="4:5" x14ac:dyDescent="0.25">
      <c r="D51" s="2"/>
    </row>
    <row r="52" spans="4:5" x14ac:dyDescent="0.25">
      <c r="D52" s="2"/>
      <c r="E52" s="2"/>
    </row>
    <row r="53" spans="4:5" x14ac:dyDescent="0.25">
      <c r="D53" s="2"/>
      <c r="E53" s="2"/>
    </row>
    <row r="54" spans="4:5" x14ac:dyDescent="0.25">
      <c r="D54" s="2"/>
      <c r="E54" s="2"/>
    </row>
    <row r="55" spans="4:5" x14ac:dyDescent="0.25">
      <c r="D55" s="2"/>
      <c r="E55" s="2"/>
    </row>
    <row r="56" spans="4:5" x14ac:dyDescent="0.25">
      <c r="D56" s="2"/>
      <c r="E56" s="2"/>
    </row>
    <row r="57" spans="4:5" x14ac:dyDescent="0.25">
      <c r="D57" s="2"/>
      <c r="E57" s="2"/>
    </row>
    <row r="58" spans="4:5" x14ac:dyDescent="0.25">
      <c r="D58" s="2"/>
      <c r="E58" s="2"/>
    </row>
    <row r="59" spans="4:5" x14ac:dyDescent="0.25">
      <c r="D59" s="2"/>
      <c r="E59" s="2"/>
    </row>
    <row r="60" spans="4:5" x14ac:dyDescent="0.25">
      <c r="D60" s="2"/>
      <c r="E60" s="2"/>
    </row>
    <row r="61" spans="4:5" x14ac:dyDescent="0.25">
      <c r="D61" s="2"/>
      <c r="E61" s="2"/>
    </row>
    <row r="62" spans="4:5" x14ac:dyDescent="0.25">
      <c r="D62" s="2"/>
      <c r="E62" s="2"/>
    </row>
    <row r="63" spans="4:5" x14ac:dyDescent="0.25">
      <c r="D63" s="2"/>
      <c r="E63" s="2"/>
    </row>
    <row r="64" spans="4:5" x14ac:dyDescent="0.25">
      <c r="D64" s="2"/>
      <c r="E64" s="2"/>
    </row>
    <row r="65" spans="4:8" x14ac:dyDescent="0.25">
      <c r="D65" s="2"/>
      <c r="E65" s="2"/>
    </row>
    <row r="66" spans="4:8" x14ac:dyDescent="0.25">
      <c r="D66" s="2"/>
      <c r="E66" s="2"/>
    </row>
    <row r="67" spans="4:8" x14ac:dyDescent="0.25">
      <c r="H67" s="1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78"/>
  <sheetViews>
    <sheetView zoomScale="80" zoomScaleNormal="80" workbookViewId="0">
      <selection activeCell="C3" sqref="C3"/>
    </sheetView>
  </sheetViews>
  <sheetFormatPr defaultRowHeight="15" x14ac:dyDescent="0.25"/>
  <cols>
    <col min="2" max="2" width="6.140625" customWidth="1"/>
    <col min="3" max="3" width="53.85546875" customWidth="1"/>
    <col min="4" max="4" width="13.42578125" customWidth="1"/>
    <col min="5" max="5" width="9.42578125" customWidth="1"/>
    <col min="6" max="6" width="9.28515625" customWidth="1"/>
    <col min="7" max="7" width="10.140625" bestFit="1" customWidth="1"/>
    <col min="8" max="8" width="7.42578125" bestFit="1" customWidth="1"/>
    <col min="9" max="9" width="6.5703125" bestFit="1" customWidth="1"/>
  </cols>
  <sheetData>
    <row r="3" spans="3:9" x14ac:dyDescent="0.25">
      <c r="C3" s="1" t="s">
        <v>78</v>
      </c>
      <c r="D3" s="3" t="s">
        <v>8</v>
      </c>
      <c r="E3" s="2"/>
      <c r="F3" s="3" t="s">
        <v>70</v>
      </c>
      <c r="G3" s="3" t="s">
        <v>71</v>
      </c>
      <c r="H3" s="3" t="s">
        <v>72</v>
      </c>
      <c r="I3" s="3" t="s">
        <v>73</v>
      </c>
    </row>
    <row r="4" spans="3:9" x14ac:dyDescent="0.25">
      <c r="E4" s="2"/>
    </row>
    <row r="5" spans="3:9" x14ac:dyDescent="0.25">
      <c r="C5" t="str">
        <f>[1]Трубы!B21</f>
        <v>Труба 426х6 ГОСТ 10705-91</v>
      </c>
      <c r="D5" s="2">
        <v>0.6</v>
      </c>
      <c r="E5" s="2" t="str">
        <f>[1]Трубы!D21</f>
        <v>п.м.</v>
      </c>
      <c r="F5" s="2">
        <f>[1]Трубы!E21</f>
        <v>5125</v>
      </c>
      <c r="G5" s="2">
        <f>[1]Трубы!F21</f>
        <v>82.6</v>
      </c>
      <c r="H5" s="2">
        <f t="shared" ref="H5:H11" si="0">D5*F5</f>
        <v>3075</v>
      </c>
      <c r="I5" s="2">
        <f t="shared" ref="I5:I11" si="1">D5*G5</f>
        <v>49.559999999999995</v>
      </c>
    </row>
    <row r="6" spans="3:9" x14ac:dyDescent="0.25">
      <c r="C6" t="str">
        <f>[1]Трубы!B16</f>
        <v>Труба 159х4,5 ГОСТ 10704-91</v>
      </c>
      <c r="D6" s="2">
        <v>0.5</v>
      </c>
      <c r="E6" s="2" t="str">
        <f>[1]Трубы!D16</f>
        <v>п.м.</v>
      </c>
      <c r="F6" s="2">
        <f>[1]Трубы!E16</f>
        <v>750</v>
      </c>
      <c r="G6" s="2">
        <f>[1]Трубы!F16</f>
        <v>17.2</v>
      </c>
      <c r="H6" s="2">
        <f t="shared" si="0"/>
        <v>375</v>
      </c>
      <c r="I6" s="2">
        <f t="shared" si="1"/>
        <v>8.6</v>
      </c>
    </row>
    <row r="7" spans="3:9" x14ac:dyDescent="0.25">
      <c r="C7" t="str">
        <f>[1]Трубы!B17</f>
        <v>Труба 219х5 ГОСТ 10704-91</v>
      </c>
      <c r="D7" s="2">
        <v>0.2</v>
      </c>
      <c r="E7" s="2" t="str">
        <f>[1]Трубы!D17</f>
        <v>п.м.</v>
      </c>
      <c r="F7" s="2">
        <f>[1]Трубы!E17</f>
        <v>1320</v>
      </c>
      <c r="G7" s="2">
        <f>[1]Трубы!F17</f>
        <v>26.5</v>
      </c>
      <c r="H7" s="2">
        <f t="shared" si="0"/>
        <v>264</v>
      </c>
      <c r="I7" s="2">
        <f t="shared" si="1"/>
        <v>5.3000000000000007</v>
      </c>
    </row>
    <row r="8" spans="3:9" x14ac:dyDescent="0.25">
      <c r="C8" t="str">
        <f>[1]Фланцы!B14</f>
        <v xml:space="preserve">Фланец 12820-80 Ду-150, Ру-1,6 МПа </v>
      </c>
      <c r="D8" s="2">
        <f>[1]Фланцы!C14</f>
        <v>1</v>
      </c>
      <c r="E8" s="2" t="str">
        <f>[1]Фланцы!D14</f>
        <v>шт.</v>
      </c>
      <c r="F8" s="2">
        <f>[1]Фланцы!E14</f>
        <v>829</v>
      </c>
      <c r="G8" s="2">
        <f>[1]Фланцы!F14</f>
        <v>8.3000000000000007</v>
      </c>
      <c r="H8" s="2">
        <f t="shared" si="0"/>
        <v>829</v>
      </c>
      <c r="I8" s="2">
        <f t="shared" si="1"/>
        <v>8.3000000000000007</v>
      </c>
    </row>
    <row r="9" spans="3:9" x14ac:dyDescent="0.25">
      <c r="C9" t="str">
        <f>[1]Фланцы!B15</f>
        <v xml:space="preserve">Фланец 12820-80 Ду-200, Ру-1,6 МПа </v>
      </c>
      <c r="D9" s="2">
        <f>[1]Фланцы!C15</f>
        <v>1</v>
      </c>
      <c r="E9" s="2" t="str">
        <f>[1]Фланцы!D15</f>
        <v>шт.</v>
      </c>
      <c r="F9" s="2">
        <f>[1]Фланцы!E15</f>
        <v>1096</v>
      </c>
      <c r="G9" s="2">
        <f>[1]Фланцы!F15</f>
        <v>11.8</v>
      </c>
      <c r="H9" s="2">
        <f t="shared" si="0"/>
        <v>1096</v>
      </c>
      <c r="I9" s="2">
        <f t="shared" si="1"/>
        <v>11.8</v>
      </c>
    </row>
    <row r="10" spans="3:9" x14ac:dyDescent="0.25">
      <c r="C10" t="str">
        <f>[1]Днища!B14</f>
        <v>Днище эллиптическое 426</v>
      </c>
      <c r="D10" s="2">
        <f>[1]Днища!C14</f>
        <v>1</v>
      </c>
      <c r="E10" s="2" t="str">
        <f>[1]Днища!D14</f>
        <v>шт.</v>
      </c>
      <c r="F10" s="2">
        <f>[1]Днища!E14</f>
        <v>2190</v>
      </c>
      <c r="G10" s="2">
        <f>[1]Днища!F14</f>
        <v>13.9</v>
      </c>
      <c r="H10" s="2">
        <f t="shared" si="0"/>
        <v>2190</v>
      </c>
      <c r="I10" s="2">
        <f t="shared" si="1"/>
        <v>13.9</v>
      </c>
    </row>
    <row r="11" spans="3:9" x14ac:dyDescent="0.25">
      <c r="C11" t="str">
        <f>[1]Прочее!B7</f>
        <v>Лист стальной 20 мм</v>
      </c>
      <c r="D11" s="2">
        <v>27.6</v>
      </c>
      <c r="E11" s="2" t="str">
        <f>[1]Прочее!D7</f>
        <v>кг</v>
      </c>
      <c r="F11" s="2">
        <f>[1]Прочее!E7</f>
        <v>45</v>
      </c>
      <c r="G11" s="2">
        <f>[1]Прочее!F7</f>
        <v>1</v>
      </c>
      <c r="H11" s="2">
        <f t="shared" si="0"/>
        <v>1242</v>
      </c>
      <c r="I11" s="2">
        <f t="shared" si="1"/>
        <v>27.6</v>
      </c>
    </row>
    <row r="12" spans="3:9" x14ac:dyDescent="0.25">
      <c r="C12" t="str">
        <f>[1]Прочее!B10</f>
        <v>Фитинг стальной муфта 15 мм</v>
      </c>
      <c r="D12" s="2">
        <f>[1]Прочее!C10</f>
        <v>1</v>
      </c>
      <c r="E12" s="2" t="str">
        <f>[1]Прочее!D10</f>
        <v>шт.</v>
      </c>
      <c r="F12" s="2">
        <f>[1]Прочее!E10</f>
        <v>10</v>
      </c>
      <c r="G12" s="2">
        <f>[1]Прочее!F10</f>
        <v>0.1</v>
      </c>
      <c r="H12" s="2">
        <f t="shared" ref="H12:H14" si="2">D12*F12</f>
        <v>10</v>
      </c>
      <c r="I12" s="2">
        <f t="shared" ref="I12:I14" si="3">D12*G12</f>
        <v>0.1</v>
      </c>
    </row>
    <row r="13" spans="3:9" x14ac:dyDescent="0.25">
      <c r="C13" t="str">
        <f>[1]Прочее!B13</f>
        <v>Фитинг стальной муфта 32 мм</v>
      </c>
      <c r="D13" s="2">
        <f>[1]Прочее!C13</f>
        <v>1</v>
      </c>
      <c r="E13" s="2" t="str">
        <f>[1]Прочее!D13</f>
        <v>шт.</v>
      </c>
      <c r="F13" s="2">
        <f>[1]Прочее!E13</f>
        <v>33</v>
      </c>
      <c r="G13" s="2">
        <f>[1]Прочее!F13</f>
        <v>0.2</v>
      </c>
      <c r="H13" s="2">
        <f t="shared" si="2"/>
        <v>33</v>
      </c>
      <c r="I13" s="2">
        <f t="shared" si="3"/>
        <v>0.2</v>
      </c>
    </row>
    <row r="14" spans="3:9" x14ac:dyDescent="0.25">
      <c r="C14" t="str">
        <f>[1]Прочее!B24</f>
        <v>Фитинг стальной пробка 32 мм</v>
      </c>
      <c r="D14" s="2">
        <f>[1]Прочее!C24</f>
        <v>1</v>
      </c>
      <c r="E14" s="2" t="str">
        <f>[1]Прочее!D24</f>
        <v>шт.</v>
      </c>
      <c r="F14" s="2">
        <f>[1]Прочее!E24</f>
        <v>50</v>
      </c>
      <c r="G14" s="2">
        <f>[1]Прочее!F24</f>
        <v>0.2</v>
      </c>
      <c r="H14" s="2">
        <f t="shared" si="2"/>
        <v>50</v>
      </c>
      <c r="I14" s="2">
        <f t="shared" si="3"/>
        <v>0.2</v>
      </c>
    </row>
    <row r="15" spans="3:9" x14ac:dyDescent="0.25">
      <c r="C15" t="str">
        <f>[1]Прочее!B27</f>
        <v>сетка нж 1,6</v>
      </c>
      <c r="D15" s="2">
        <v>0.12</v>
      </c>
      <c r="E15" s="2" t="s">
        <v>16</v>
      </c>
      <c r="F15" s="2">
        <f>[1]Прочее!E27</f>
        <v>2000</v>
      </c>
      <c r="G15" s="2">
        <f>[1]Прочее!F27</f>
        <v>1.5</v>
      </c>
      <c r="H15" s="2">
        <f t="shared" ref="H15" si="4">D15*F15</f>
        <v>240</v>
      </c>
      <c r="I15" s="2">
        <f t="shared" ref="I15" si="5">D15*G15</f>
        <v>0.18</v>
      </c>
    </row>
    <row r="16" spans="3:9" x14ac:dyDescent="0.25">
      <c r="C16" t="str">
        <f>[1]Прочее!B46</f>
        <v>Кольцо 150</v>
      </c>
      <c r="D16" s="2">
        <f>[1]Прочее!C46</f>
        <v>1</v>
      </c>
      <c r="E16" s="2" t="str">
        <f>[1]Прочее!D46</f>
        <v>шт.</v>
      </c>
      <c r="F16" s="2">
        <f>[1]Прочее!E46</f>
        <v>200</v>
      </c>
      <c r="G16" s="2">
        <f>[1]Прочее!F46</f>
        <v>1.43</v>
      </c>
      <c r="H16" s="2">
        <f t="shared" ref="H16:H17" si="6">D16*F16</f>
        <v>200</v>
      </c>
      <c r="I16" s="2">
        <f t="shared" ref="I16:I17" si="7">D16*G16</f>
        <v>1.43</v>
      </c>
    </row>
    <row r="17" spans="3:9" x14ac:dyDescent="0.25">
      <c r="C17" t="str">
        <f>[1]Прочее!B36</f>
        <v>Диск 150</v>
      </c>
      <c r="D17" s="2">
        <f>[1]Прочее!C36</f>
        <v>1</v>
      </c>
      <c r="E17" s="2" t="str">
        <f>[1]Прочее!D36</f>
        <v>шт.</v>
      </c>
      <c r="F17" s="2">
        <f>[1]Прочее!E36</f>
        <v>50</v>
      </c>
      <c r="G17" s="2">
        <f>[1]Прочее!F36</f>
        <v>0.69</v>
      </c>
      <c r="H17" s="2">
        <f t="shared" si="6"/>
        <v>50</v>
      </c>
      <c r="I17" s="2">
        <f t="shared" si="7"/>
        <v>0.69</v>
      </c>
    </row>
    <row r="18" spans="3:9" x14ac:dyDescent="0.25">
      <c r="D18" s="2"/>
      <c r="E18" s="2"/>
      <c r="F18" s="2"/>
      <c r="G18" s="2"/>
      <c r="H18" s="4">
        <f>SUM(H5:H17)</f>
        <v>9654</v>
      </c>
      <c r="I18" s="4">
        <f>SUM(I5:I17)</f>
        <v>127.86000000000001</v>
      </c>
    </row>
    <row r="19" spans="3:9" x14ac:dyDescent="0.25">
      <c r="D19" s="2"/>
      <c r="E19" s="2"/>
      <c r="F19" s="2"/>
      <c r="G19" s="2"/>
    </row>
    <row r="20" spans="3:9" x14ac:dyDescent="0.25">
      <c r="C20" t="s">
        <v>74</v>
      </c>
      <c r="D20" s="4">
        <f>(426*2+159*5+219*3+20+40)*3.1415</f>
        <v>7426.5060000000003</v>
      </c>
    </row>
    <row r="21" spans="3:9" x14ac:dyDescent="0.25">
      <c r="C21" t="s">
        <v>75</v>
      </c>
      <c r="D21" s="4">
        <f>D20/6</f>
        <v>1237.751</v>
      </c>
      <c r="E21" s="2"/>
      <c r="F21" s="2"/>
      <c r="G21" s="2"/>
    </row>
    <row r="22" spans="3:9" x14ac:dyDescent="0.25">
      <c r="D22" s="4"/>
      <c r="E22" s="2"/>
      <c r="F22" s="2"/>
      <c r="G22" s="2"/>
    </row>
    <row r="23" spans="3:9" x14ac:dyDescent="0.25">
      <c r="C23" t="s">
        <v>76</v>
      </c>
      <c r="D23" s="4">
        <f>H18+D20+D21</f>
        <v>18318.257000000001</v>
      </c>
      <c r="E23" s="2"/>
      <c r="F23" s="2"/>
      <c r="G23" s="2"/>
    </row>
    <row r="24" spans="3:9" x14ac:dyDescent="0.25">
      <c r="D24" s="4"/>
      <c r="E24" s="2"/>
      <c r="F24" s="2"/>
      <c r="G24" s="2"/>
    </row>
    <row r="25" spans="3:9" x14ac:dyDescent="0.25">
      <c r="C25" t="s">
        <v>77</v>
      </c>
      <c r="D25" s="4">
        <f>ROUNDUP(((D23*1.4)/1.18),-2)*1.18</f>
        <v>25724</v>
      </c>
      <c r="E25" s="2"/>
      <c r="F25" s="2"/>
      <c r="G25" s="2"/>
    </row>
    <row r="26" spans="3:9" x14ac:dyDescent="0.25">
      <c r="D26" s="2"/>
      <c r="E26" s="2"/>
      <c r="F26" s="2"/>
      <c r="G26" s="2"/>
    </row>
    <row r="27" spans="3:9" x14ac:dyDescent="0.25">
      <c r="D27" s="2"/>
      <c r="E27" s="2"/>
      <c r="F27" s="2"/>
      <c r="G27" s="2"/>
    </row>
    <row r="28" spans="3:9" x14ac:dyDescent="0.25">
      <c r="D28" s="2"/>
      <c r="E28" s="2"/>
      <c r="F28" s="2"/>
      <c r="G28" s="2"/>
    </row>
    <row r="29" spans="3:9" x14ac:dyDescent="0.25">
      <c r="D29" s="2"/>
      <c r="E29" s="2"/>
      <c r="F29" s="2"/>
      <c r="G29" s="2"/>
    </row>
    <row r="30" spans="3:9" x14ac:dyDescent="0.25">
      <c r="D30" s="2"/>
      <c r="E30" s="2"/>
      <c r="F30" s="2"/>
      <c r="G30" s="2"/>
    </row>
    <row r="32" spans="3:9" x14ac:dyDescent="0.25">
      <c r="D32" s="2"/>
      <c r="E32" s="2"/>
      <c r="F32" s="2"/>
      <c r="G32" s="2"/>
    </row>
    <row r="33" spans="3:7" x14ac:dyDescent="0.25">
      <c r="C33" s="1" t="s">
        <v>62</v>
      </c>
      <c r="D33" s="2" t="s">
        <v>8</v>
      </c>
      <c r="E33" s="2"/>
      <c r="F33" s="2"/>
      <c r="G33" s="2"/>
    </row>
    <row r="34" spans="3:7" x14ac:dyDescent="0.25">
      <c r="E34" s="2"/>
      <c r="F34" s="2"/>
      <c r="G34" s="2"/>
    </row>
    <row r="35" spans="3:7" x14ac:dyDescent="0.25">
      <c r="C35" t="s">
        <v>34</v>
      </c>
      <c r="D35" s="2">
        <v>1</v>
      </c>
      <c r="E35" s="2"/>
      <c r="F35" s="2"/>
      <c r="G35" s="2"/>
    </row>
    <row r="36" spans="3:7" x14ac:dyDescent="0.25">
      <c r="C36" t="s">
        <v>40</v>
      </c>
      <c r="D36" s="2">
        <v>1</v>
      </c>
      <c r="E36" s="2"/>
      <c r="F36" s="2"/>
      <c r="G36" s="2"/>
    </row>
    <row r="37" spans="3:7" x14ac:dyDescent="0.25">
      <c r="C37" t="s">
        <v>45</v>
      </c>
      <c r="D37" s="2">
        <v>1</v>
      </c>
      <c r="F37" s="2"/>
      <c r="G37" s="2"/>
    </row>
    <row r="38" spans="3:7" x14ac:dyDescent="0.25">
      <c r="C38" t="s">
        <v>47</v>
      </c>
      <c r="D38" s="2">
        <v>1</v>
      </c>
      <c r="F38" s="2"/>
      <c r="G38" s="2"/>
    </row>
    <row r="39" spans="3:7" x14ac:dyDescent="0.25">
      <c r="C39" t="s">
        <v>48</v>
      </c>
      <c r="D39" s="2">
        <v>1</v>
      </c>
      <c r="F39" s="2"/>
      <c r="G39" s="2"/>
    </row>
    <row r="40" spans="3:7" x14ac:dyDescent="0.25">
      <c r="C40" t="s">
        <v>41</v>
      </c>
      <c r="D40" s="2">
        <v>0.43</v>
      </c>
      <c r="E40" s="2" t="s">
        <v>15</v>
      </c>
      <c r="F40" s="2"/>
      <c r="G40" s="2"/>
    </row>
    <row r="41" spans="3:7" x14ac:dyDescent="0.25">
      <c r="C41" t="s">
        <v>5</v>
      </c>
      <c r="D41" s="2">
        <v>16.5</v>
      </c>
      <c r="E41" s="2" t="s">
        <v>14</v>
      </c>
      <c r="F41" s="2"/>
      <c r="G41" s="2"/>
    </row>
    <row r="42" spans="3:7" x14ac:dyDescent="0.25">
      <c r="C42" t="s">
        <v>36</v>
      </c>
      <c r="D42" s="2">
        <v>0.5</v>
      </c>
      <c r="E42" s="2" t="s">
        <v>15</v>
      </c>
      <c r="F42" s="2"/>
      <c r="G42" s="2"/>
    </row>
    <row r="43" spans="3:7" x14ac:dyDescent="0.25">
      <c r="C43" t="s">
        <v>46</v>
      </c>
      <c r="D43" s="2">
        <v>0.2</v>
      </c>
      <c r="E43" s="2" t="s">
        <v>15</v>
      </c>
      <c r="F43" s="2"/>
      <c r="G43" s="2"/>
    </row>
    <row r="44" spans="3:7" x14ac:dyDescent="0.25">
      <c r="C44" t="s">
        <v>2</v>
      </c>
      <c r="D44" s="2">
        <v>0.06</v>
      </c>
      <c r="E44" s="2" t="s">
        <v>16</v>
      </c>
      <c r="F44" s="2"/>
      <c r="G44" s="2"/>
    </row>
    <row r="45" spans="3:7" x14ac:dyDescent="0.25">
      <c r="C45" t="s">
        <v>67</v>
      </c>
      <c r="D45" s="2">
        <v>1</v>
      </c>
      <c r="E45" s="2"/>
      <c r="F45" s="2"/>
      <c r="G45" s="2"/>
    </row>
    <row r="46" spans="3:7" x14ac:dyDescent="0.25">
      <c r="C46" t="s">
        <v>3</v>
      </c>
      <c r="D46" s="2">
        <v>1</v>
      </c>
      <c r="E46" s="2"/>
      <c r="F46" s="2"/>
      <c r="G46" s="2"/>
    </row>
    <row r="47" spans="3:7" x14ac:dyDescent="0.25">
      <c r="C47" t="s">
        <v>4</v>
      </c>
      <c r="D47" s="2">
        <v>1</v>
      </c>
      <c r="E47" s="2"/>
      <c r="F47" s="2"/>
      <c r="G47" s="2"/>
    </row>
    <row r="60" spans="4:8" x14ac:dyDescent="0.25">
      <c r="D60" s="2"/>
      <c r="E60" s="2"/>
      <c r="H60" s="1"/>
    </row>
    <row r="61" spans="4:8" x14ac:dyDescent="0.25">
      <c r="G61" s="1"/>
    </row>
    <row r="78" spans="4:5" x14ac:dyDescent="0.25">
      <c r="D78" s="2"/>
      <c r="E78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расчет</vt:lpstr>
      <vt:lpstr>база</vt:lpstr>
      <vt:lpstr>569-09</vt:lpstr>
      <vt:lpstr>569-10</vt:lpstr>
      <vt:lpstr>569-11</vt:lpstr>
      <vt:lpstr>569-12</vt:lpstr>
      <vt:lpstr>569-13</vt:lpstr>
      <vt:lpstr>569-14</vt:lpstr>
      <vt:lpstr>Грязевик569_09_50_16</vt:lpstr>
      <vt:lpstr>Грязевик569_10_65_16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</dc:creator>
  <cp:lastModifiedBy>юля</cp:lastModifiedBy>
  <dcterms:created xsi:type="dcterms:W3CDTF">2013-03-13T09:19:39Z</dcterms:created>
  <dcterms:modified xsi:type="dcterms:W3CDTF">2015-02-18T21:17:20Z</dcterms:modified>
</cp:coreProperties>
</file>