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365" activeTab="6"/>
  </bookViews>
  <sheets>
    <sheet name="Лист1" sheetId="1" r:id="rId1"/>
    <sheet name="Denys" sheetId="2" r:id="rId2"/>
    <sheet name="Feed_D" sheetId="6" r:id="rId3"/>
    <sheet name="Feed_Diag" sheetId="7" r:id="rId4"/>
    <sheet name="Elena" sheetId="3" r:id="rId5"/>
    <sheet name="Feeding" sheetId="5" r:id="rId6"/>
    <sheet name="графика с выбором" sheetId="8" r:id="rId7"/>
  </sheets>
  <definedNames>
    <definedName name="_xlnm._FilterDatabase" localSheetId="2" hidden="1">Feed_D!$A$3:$EU$42</definedName>
    <definedName name="Whispering_Death">'графика с выбором'!$B$1:$B$50</definedName>
  </definedNames>
  <calcPr calcId="152511"/>
</workbook>
</file>

<file path=xl/calcChain.xml><?xml version="1.0" encoding="utf-8"?>
<calcChain xmlns="http://schemas.openxmlformats.org/spreadsheetml/2006/main">
  <c r="B2" i="8" l="1"/>
  <c r="B3" i="8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1" i="8"/>
  <c r="E5" i="8" l="1"/>
  <c r="F5" i="8"/>
  <c r="G5" i="8"/>
  <c r="H5" i="8"/>
  <c r="I5" i="8"/>
  <c r="E6" i="8"/>
  <c r="F6" i="8"/>
  <c r="G6" i="8"/>
  <c r="H6" i="8"/>
  <c r="I6" i="8"/>
  <c r="E7" i="8"/>
  <c r="F7" i="8"/>
  <c r="G7" i="8"/>
  <c r="H7" i="8"/>
  <c r="I7" i="8"/>
  <c r="E8" i="8"/>
  <c r="F8" i="8"/>
  <c r="G8" i="8"/>
  <c r="H8" i="8"/>
  <c r="I8" i="8"/>
  <c r="E9" i="8"/>
  <c r="F9" i="8"/>
  <c r="G9" i="8"/>
  <c r="H9" i="8"/>
  <c r="I9" i="8"/>
  <c r="E10" i="8"/>
  <c r="F10" i="8"/>
  <c r="G10" i="8"/>
  <c r="H10" i="8"/>
  <c r="I10" i="8"/>
  <c r="E11" i="8"/>
  <c r="F11" i="8"/>
  <c r="G11" i="8"/>
  <c r="H11" i="8"/>
  <c r="I11" i="8"/>
  <c r="E12" i="8"/>
  <c r="F12" i="8"/>
  <c r="G12" i="8"/>
  <c r="H12" i="8"/>
  <c r="I12" i="8"/>
  <c r="E13" i="8"/>
  <c r="F13" i="8"/>
  <c r="G13" i="8"/>
  <c r="H13" i="8"/>
  <c r="I13" i="8"/>
  <c r="E14" i="8"/>
  <c r="F14" i="8"/>
  <c r="G14" i="8"/>
  <c r="H14" i="8"/>
  <c r="I14" i="8"/>
  <c r="E15" i="8"/>
  <c r="F15" i="8"/>
  <c r="G15" i="8"/>
  <c r="H15" i="8"/>
  <c r="I15" i="8"/>
  <c r="E16" i="8"/>
  <c r="F16" i="8"/>
  <c r="G16" i="8"/>
  <c r="H16" i="8"/>
  <c r="I16" i="8"/>
  <c r="E17" i="8"/>
  <c r="F17" i="8"/>
  <c r="G17" i="8"/>
  <c r="H17" i="8"/>
  <c r="I17" i="8"/>
  <c r="E18" i="8"/>
  <c r="F18" i="8"/>
  <c r="G18" i="8"/>
  <c r="H18" i="8"/>
  <c r="I18" i="8"/>
  <c r="E19" i="8"/>
  <c r="F19" i="8"/>
  <c r="G19" i="8"/>
  <c r="H19" i="8"/>
  <c r="I19" i="8"/>
  <c r="E20" i="8"/>
  <c r="F20" i="8"/>
  <c r="G20" i="8"/>
  <c r="H20" i="8"/>
  <c r="I20" i="8"/>
  <c r="E21" i="8"/>
  <c r="F21" i="8"/>
  <c r="G21" i="8"/>
  <c r="H21" i="8"/>
  <c r="I21" i="8"/>
  <c r="E22" i="8"/>
  <c r="F22" i="8"/>
  <c r="G22" i="8"/>
  <c r="H22" i="8"/>
  <c r="I22" i="8"/>
  <c r="E23" i="8"/>
  <c r="F23" i="8"/>
  <c r="G23" i="8"/>
  <c r="H23" i="8"/>
  <c r="I23" i="8"/>
  <c r="E24" i="8"/>
  <c r="F24" i="8"/>
  <c r="G24" i="8"/>
  <c r="H24" i="8"/>
  <c r="I24" i="8"/>
  <c r="E25" i="8"/>
  <c r="F25" i="8"/>
  <c r="G25" i="8"/>
  <c r="H25" i="8"/>
  <c r="I25" i="8"/>
  <c r="E26" i="8"/>
  <c r="F26" i="8"/>
  <c r="G26" i="8"/>
  <c r="H26" i="8"/>
  <c r="I26" i="8"/>
  <c r="E27" i="8"/>
  <c r="F27" i="8"/>
  <c r="G27" i="8"/>
  <c r="H27" i="8"/>
  <c r="I27" i="8"/>
  <c r="E28" i="8"/>
  <c r="F28" i="8"/>
  <c r="G28" i="8"/>
  <c r="H28" i="8"/>
  <c r="I28" i="8"/>
  <c r="E29" i="8"/>
  <c r="F29" i="8"/>
  <c r="G29" i="8"/>
  <c r="H29" i="8"/>
  <c r="I29" i="8"/>
  <c r="E30" i="8"/>
  <c r="F30" i="8"/>
  <c r="G30" i="8"/>
  <c r="H30" i="8"/>
  <c r="I30" i="8"/>
  <c r="E31" i="8"/>
  <c r="F31" i="8"/>
  <c r="G31" i="8"/>
  <c r="H31" i="8"/>
  <c r="I31" i="8"/>
  <c r="E32" i="8"/>
  <c r="F32" i="8"/>
  <c r="G32" i="8"/>
  <c r="H32" i="8"/>
  <c r="I32" i="8"/>
  <c r="E33" i="8"/>
  <c r="F33" i="8"/>
  <c r="G33" i="8"/>
  <c r="H33" i="8"/>
  <c r="I33" i="8"/>
  <c r="E34" i="8"/>
  <c r="F34" i="8"/>
  <c r="G34" i="8"/>
  <c r="H34" i="8"/>
  <c r="I34" i="8"/>
  <c r="E35" i="8"/>
  <c r="F35" i="8"/>
  <c r="G35" i="8"/>
  <c r="H35" i="8"/>
  <c r="I35" i="8"/>
  <c r="E36" i="8"/>
  <c r="F36" i="8"/>
  <c r="G36" i="8"/>
  <c r="H36" i="8"/>
  <c r="I36" i="8"/>
  <c r="E37" i="8"/>
  <c r="F37" i="8"/>
  <c r="G37" i="8"/>
  <c r="H37" i="8"/>
  <c r="I37" i="8"/>
  <c r="E38" i="8"/>
  <c r="F38" i="8"/>
  <c r="G38" i="8"/>
  <c r="H38" i="8"/>
  <c r="I38" i="8"/>
  <c r="E39" i="8"/>
  <c r="F39" i="8"/>
  <c r="G39" i="8"/>
  <c r="H39" i="8"/>
  <c r="I39" i="8"/>
  <c r="E40" i="8"/>
  <c r="F40" i="8"/>
  <c r="G40" i="8"/>
  <c r="H40" i="8"/>
  <c r="I40" i="8"/>
  <c r="E41" i="8"/>
  <c r="F41" i="8"/>
  <c r="G41" i="8"/>
  <c r="H41" i="8"/>
  <c r="I41" i="8"/>
  <c r="E42" i="8"/>
  <c r="F42" i="8"/>
  <c r="G42" i="8"/>
  <c r="H42" i="8"/>
  <c r="I42" i="8"/>
  <c r="F4" i="8"/>
  <c r="G4" i="8"/>
  <c r="H4" i="8"/>
  <c r="I4" i="8"/>
  <c r="E4" i="8"/>
  <c r="EH12" i="6" l="1"/>
  <c r="EH11" i="6"/>
  <c r="EH10" i="6"/>
  <c r="K12" i="2"/>
  <c r="DJ38" i="6"/>
  <c r="DK38" i="6"/>
  <c r="BO39" i="6"/>
  <c r="BN39" i="6"/>
  <c r="BN38" i="6"/>
  <c r="BO38" i="6"/>
  <c r="BO37" i="6"/>
  <c r="BN37" i="6"/>
  <c r="EH9" i="6" l="1"/>
  <c r="EH8" i="6"/>
  <c r="EH7" i="6"/>
  <c r="O24" i="3"/>
  <c r="K24" i="3"/>
  <c r="N24" i="3" s="1"/>
  <c r="K21" i="3"/>
  <c r="O21" i="3"/>
  <c r="K23" i="3"/>
  <c r="EH6" i="6"/>
  <c r="EH5" i="6"/>
  <c r="EI4" i="6"/>
  <c r="EI5" i="6"/>
  <c r="EI6" i="6"/>
  <c r="EI7" i="6"/>
  <c r="EI8" i="6"/>
  <c r="EI9" i="6"/>
  <c r="EI10" i="6"/>
  <c r="EI11" i="6"/>
  <c r="EI12" i="6"/>
  <c r="EI13" i="6"/>
  <c r="EI14" i="6"/>
  <c r="EI15" i="6"/>
  <c r="EI16" i="6"/>
  <c r="EI17" i="6"/>
  <c r="EI18" i="6"/>
  <c r="EH4" i="6"/>
  <c r="BU21" i="6"/>
  <c r="BT21" i="6"/>
  <c r="BU19" i="6"/>
  <c r="BU20" i="6"/>
  <c r="BT20" i="6"/>
  <c r="BT19" i="6"/>
  <c r="K13" i="2"/>
  <c r="F20" i="2"/>
  <c r="W20" i="2" s="1"/>
  <c r="BN36" i="6"/>
  <c r="BN35" i="6"/>
  <c r="BN34" i="6"/>
  <c r="BT18" i="6"/>
  <c r="BT17" i="6"/>
  <c r="BT16" i="6"/>
  <c r="R26" i="6"/>
  <c r="R25" i="6"/>
  <c r="BN33" i="6"/>
  <c r="BN32" i="6"/>
  <c r="BN31" i="6"/>
  <c r="X20" i="2" l="1"/>
  <c r="BN30" i="6"/>
  <c r="BN28" i="6"/>
  <c r="BB41" i="6"/>
  <c r="BT15" i="6"/>
  <c r="BT14" i="6"/>
  <c r="BT13" i="6"/>
  <c r="BB30" i="6"/>
  <c r="BB29" i="6"/>
  <c r="BB28" i="6"/>
  <c r="BN27" i="6"/>
  <c r="BN26" i="6"/>
  <c r="BN25" i="6"/>
  <c r="BN24" i="6" l="1"/>
  <c r="BN23" i="6"/>
  <c r="BN22" i="6"/>
  <c r="BT12" i="6"/>
  <c r="BT11" i="6"/>
  <c r="BT10" i="6"/>
  <c r="BB27" i="6"/>
  <c r="BB26" i="6"/>
  <c r="BB25" i="6"/>
  <c r="BN21" i="6"/>
  <c r="BN20" i="6"/>
  <c r="BN19" i="6"/>
  <c r="K4" i="2"/>
  <c r="EH42" i="6"/>
  <c r="BN18" i="6"/>
  <c r="BN17" i="6"/>
  <c r="BN16" i="6"/>
  <c r="BN15" i="6"/>
  <c r="BN14" i="6"/>
  <c r="BN13" i="6"/>
  <c r="BN12" i="6" l="1"/>
  <c r="BN11" i="6"/>
  <c r="BN10" i="6"/>
  <c r="BN9" i="6"/>
  <c r="BN8" i="6"/>
  <c r="BN7" i="6"/>
  <c r="BN6" i="6"/>
  <c r="BN5" i="6"/>
  <c r="BN4" i="6"/>
  <c r="EI41" i="6"/>
  <c r="F27" i="2"/>
  <c r="X27" i="2" s="1"/>
  <c r="BB40" i="6"/>
  <c r="EI40" i="6"/>
  <c r="EH40" i="6"/>
  <c r="BB39" i="6"/>
  <c r="BB38" i="6"/>
  <c r="W27" i="2" l="1"/>
  <c r="EN22" i="6"/>
  <c r="EI39" i="6"/>
  <c r="EH39" i="6"/>
  <c r="EN21" i="6"/>
  <c r="BB24" i="6"/>
  <c r="BB23" i="6"/>
  <c r="BB22" i="6"/>
  <c r="EH38" i="6"/>
  <c r="EI38" i="6"/>
  <c r="K9" i="2"/>
  <c r="EB25" i="6"/>
  <c r="EH37" i="6"/>
  <c r="K21" i="2" l="1"/>
  <c r="EB24" i="6"/>
  <c r="EB23" i="6"/>
  <c r="EB22" i="6"/>
  <c r="EH36" i="6"/>
  <c r="EH35" i="6"/>
  <c r="EH34" i="6"/>
  <c r="BB14" i="6"/>
  <c r="BB13" i="6"/>
  <c r="BB21" i="6"/>
  <c r="BB20" i="6"/>
  <c r="BB19" i="6"/>
  <c r="K6" i="2" l="1"/>
  <c r="P6" i="2" s="1"/>
  <c r="W6" i="2"/>
  <c r="X6" i="2"/>
  <c r="K5" i="2"/>
  <c r="BH42" i="6"/>
  <c r="BH40" i="6"/>
  <c r="O23" i="3"/>
  <c r="K13" i="3"/>
  <c r="K6" i="3"/>
  <c r="K14" i="3"/>
  <c r="K7" i="3"/>
  <c r="BB18" i="6"/>
  <c r="BB17" i="6"/>
  <c r="BB16" i="6"/>
  <c r="X46" i="2"/>
  <c r="W47" i="2"/>
  <c r="X47" i="2"/>
  <c r="F48" i="2"/>
  <c r="W48" i="2" s="1"/>
  <c r="W49" i="2"/>
  <c r="X49" i="2"/>
  <c r="W50" i="2"/>
  <c r="X50" i="2"/>
  <c r="W51" i="2"/>
  <c r="X51" i="2"/>
  <c r="Y31" i="6"/>
  <c r="X31" i="6"/>
  <c r="EH33" i="6"/>
  <c r="EH32" i="6"/>
  <c r="EH31" i="6"/>
  <c r="O5" i="2" l="1"/>
  <c r="Q5" i="2"/>
  <c r="Q6" i="2"/>
  <c r="O6" i="2"/>
  <c r="N6" i="2"/>
  <c r="X48" i="2"/>
  <c r="BB15" i="6"/>
  <c r="EH30" i="6" l="1"/>
  <c r="EH29" i="6"/>
  <c r="EH28" i="6"/>
  <c r="P21" i="2"/>
  <c r="EB21" i="6"/>
  <c r="EB20" i="6"/>
  <c r="BH34" i="6"/>
  <c r="F53" i="2"/>
  <c r="W53" i="2" s="1"/>
  <c r="BH39" i="6"/>
  <c r="BH38" i="6"/>
  <c r="AW38" i="6"/>
  <c r="EH27" i="6"/>
  <c r="EH26" i="6"/>
  <c r="EH25" i="6"/>
  <c r="EB19" i="6"/>
  <c r="N21" i="2" l="1"/>
  <c r="Q21" i="2"/>
  <c r="O21" i="2"/>
  <c r="X53" i="2"/>
  <c r="Y30" i="6"/>
  <c r="X30" i="6"/>
  <c r="X29" i="6"/>
  <c r="Y29" i="6"/>
  <c r="EB18" i="6"/>
  <c r="EB17" i="6"/>
  <c r="EB16" i="6"/>
  <c r="EH24" i="6"/>
  <c r="EH23" i="6"/>
  <c r="EH22" i="6"/>
  <c r="EB15" i="6"/>
  <c r="EB14" i="6"/>
  <c r="EB13" i="6"/>
  <c r="EB12" i="6"/>
  <c r="EB11" i="6"/>
  <c r="EB10" i="6"/>
  <c r="EB9" i="6"/>
  <c r="EB8" i="6"/>
  <c r="EB7" i="6"/>
  <c r="EB6" i="6"/>
  <c r="EB5" i="6"/>
  <c r="EB4" i="6"/>
  <c r="BB12" i="6"/>
  <c r="EH21" i="6"/>
  <c r="EH20" i="6"/>
  <c r="AP34" i="6"/>
  <c r="EH19" i="6"/>
  <c r="F24" i="2"/>
  <c r="F30" i="2"/>
  <c r="W30" i="2" s="1"/>
  <c r="F33" i="2"/>
  <c r="F21" i="2"/>
  <c r="W21" i="2" s="1"/>
  <c r="F22" i="2"/>
  <c r="F23" i="2"/>
  <c r="F18" i="2"/>
  <c r="F25" i="2"/>
  <c r="F26" i="2"/>
  <c r="F42" i="2"/>
  <c r="F16" i="2"/>
  <c r="F28" i="2"/>
  <c r="K31" i="2"/>
  <c r="F31" i="2"/>
  <c r="K8" i="2"/>
  <c r="K7" i="2"/>
  <c r="X21" i="2" l="1"/>
  <c r="X30" i="2"/>
  <c r="K18" i="2"/>
  <c r="K14" i="2"/>
  <c r="K16" i="2"/>
  <c r="M22" i="6" l="1"/>
  <c r="M21" i="6"/>
  <c r="L21" i="6"/>
  <c r="G25" i="6"/>
  <c r="F25" i="6"/>
  <c r="BB9" i="6"/>
  <c r="BB8" i="6"/>
  <c r="BB7" i="6"/>
  <c r="BB6" i="6"/>
  <c r="BB5" i="6"/>
  <c r="BB4" i="6"/>
  <c r="K3" i="3"/>
  <c r="O7" i="3"/>
  <c r="K5" i="3"/>
  <c r="AV37" i="6"/>
  <c r="AV36" i="6"/>
  <c r="BB37" i="6"/>
  <c r="DP11" i="6" l="1"/>
  <c r="DP10" i="6"/>
  <c r="AV35" i="6"/>
  <c r="M8" i="6"/>
  <c r="L8" i="6"/>
  <c r="M7" i="6"/>
  <c r="L7" i="6"/>
  <c r="BB36" i="6"/>
  <c r="BB35" i="6"/>
  <c r="BH37" i="6"/>
  <c r="BH36" i="6"/>
  <c r="BH35" i="6"/>
  <c r="N21" i="3" l="1"/>
  <c r="M6" i="6"/>
  <c r="L6" i="6"/>
  <c r="M5" i="6"/>
  <c r="L5" i="6"/>
  <c r="AK37" i="6"/>
  <c r="AJ37" i="6"/>
  <c r="AK36" i="6"/>
  <c r="AJ36" i="6"/>
  <c r="AK35" i="6"/>
  <c r="AJ35" i="6"/>
  <c r="BT9" i="6"/>
  <c r="BT8" i="6"/>
  <c r="BT7" i="6"/>
  <c r="BT6" i="6"/>
  <c r="BT5" i="6"/>
  <c r="BT4" i="6"/>
  <c r="K16" i="3"/>
  <c r="N16" i="3" s="1"/>
  <c r="N18" i="3"/>
  <c r="K18" i="3"/>
  <c r="K17" i="3"/>
  <c r="K22" i="3"/>
  <c r="N22" i="3" s="1"/>
  <c r="AP42" i="6"/>
  <c r="BB34" i="6"/>
  <c r="O22" i="3" l="1"/>
  <c r="O16" i="3"/>
  <c r="AP41" i="6"/>
  <c r="AQ41" i="6"/>
  <c r="BZ34" i="6"/>
  <c r="BB33" i="6"/>
  <c r="BH33" i="6"/>
  <c r="BH32" i="6"/>
  <c r="BZ33" i="6"/>
  <c r="BZ32" i="6"/>
  <c r="BH30" i="6"/>
  <c r="BH29" i="6"/>
  <c r="BZ31" i="6"/>
  <c r="AQ40" i="6"/>
  <c r="AP40" i="6"/>
  <c r="BH28" i="6"/>
  <c r="AQ39" i="6"/>
  <c r="CR13" i="6"/>
  <c r="CR12" i="6"/>
  <c r="CR11" i="6"/>
  <c r="DP9" i="6"/>
  <c r="DP8" i="6"/>
  <c r="DP7" i="6"/>
  <c r="DP21" i="6"/>
  <c r="DP6" i="6"/>
  <c r="DP5" i="6"/>
  <c r="DP4" i="6"/>
  <c r="CF24" i="6"/>
  <c r="ET29" i="6"/>
  <c r="ET28" i="6"/>
  <c r="BC39" i="6" l="1"/>
  <c r="BI39" i="6"/>
  <c r="BC40" i="6"/>
  <c r="BI40" i="6"/>
  <c r="BC41" i="6"/>
  <c r="BI41" i="6"/>
  <c r="ET27" i="6"/>
  <c r="ET25" i="6"/>
  <c r="AK34" i="6"/>
  <c r="AJ34" i="6"/>
  <c r="AE37" i="6"/>
  <c r="AW37" i="6" s="1"/>
  <c r="AD37" i="6"/>
  <c r="K15" i="3" l="1"/>
  <c r="K8" i="3"/>
  <c r="CX21" i="6"/>
  <c r="CX20" i="6"/>
  <c r="CX19" i="6"/>
  <c r="AK33" i="6"/>
  <c r="AJ33" i="6"/>
  <c r="CX18" i="6"/>
  <c r="CX17" i="6"/>
  <c r="CX16" i="6"/>
  <c r="AK32" i="6"/>
  <c r="AJ32" i="6"/>
  <c r="W24" i="2"/>
  <c r="AK31" i="6"/>
  <c r="AJ31" i="6"/>
  <c r="AV34" i="6"/>
  <c r="K15" i="2" l="1"/>
  <c r="AK30" i="6"/>
  <c r="AJ30" i="6"/>
  <c r="AJ29" i="6"/>
  <c r="AK29" i="6"/>
  <c r="DE37" i="6"/>
  <c r="EI37" i="6" s="1"/>
  <c r="DD37" i="6"/>
  <c r="CR10" i="6" l="1"/>
  <c r="BZ30" i="6"/>
  <c r="CR9" i="6"/>
  <c r="CR8" i="6"/>
  <c r="CR7" i="6"/>
  <c r="CR6" i="6"/>
  <c r="CR5" i="6"/>
  <c r="CR4" i="6"/>
  <c r="AJ27" i="6"/>
  <c r="DK37" i="6"/>
  <c r="DJ37" i="6"/>
  <c r="BH27" i="6"/>
  <c r="BH26" i="6"/>
  <c r="BH25" i="6"/>
  <c r="DK36" i="6" l="1"/>
  <c r="DJ36" i="6"/>
  <c r="DJ35" i="6"/>
  <c r="DK35" i="6"/>
  <c r="DK34" i="6"/>
  <c r="DJ34" i="6"/>
  <c r="BH22" i="6"/>
  <c r="W29" i="2"/>
  <c r="X29" i="2"/>
  <c r="O18" i="3" l="1"/>
  <c r="R18" i="3"/>
  <c r="Q18" i="3"/>
  <c r="R17" i="3"/>
  <c r="O17" i="3"/>
  <c r="R13" i="3"/>
  <c r="Q13" i="3"/>
  <c r="O13" i="3"/>
  <c r="R16" i="3"/>
  <c r="Q16" i="3"/>
  <c r="R14" i="3"/>
  <c r="Q14" i="3"/>
  <c r="O14" i="3"/>
  <c r="N14" i="3"/>
  <c r="R7" i="3"/>
  <c r="Q7" i="3"/>
  <c r="Q5" i="3"/>
  <c r="N5" i="3"/>
  <c r="N7" i="3"/>
  <c r="W22" i="2"/>
  <c r="X22" i="2"/>
  <c r="BH21" i="6"/>
  <c r="L11" i="2"/>
  <c r="M19" i="2"/>
  <c r="P5" i="2"/>
  <c r="Y28" i="6"/>
  <c r="AK28" i="6" s="1"/>
  <c r="X28" i="6"/>
  <c r="BH15" i="6"/>
  <c r="BH14" i="6"/>
  <c r="AP38" i="6"/>
  <c r="AQ38" i="6"/>
  <c r="AQ37" i="6"/>
  <c r="AP37" i="6"/>
  <c r="BC38" i="6" l="1"/>
  <c r="BI38" i="6"/>
  <c r="BI37" i="6"/>
  <c r="BC37" i="6"/>
  <c r="N13" i="3"/>
  <c r="N5" i="2"/>
  <c r="DE36" i="6"/>
  <c r="EI36" i="6" s="1"/>
  <c r="DD36" i="6"/>
  <c r="AE36" i="6"/>
  <c r="AW36" i="6" s="1"/>
  <c r="BH24" i="6"/>
  <c r="BH23" i="6"/>
  <c r="DK33" i="6" l="1"/>
  <c r="DJ33" i="6"/>
  <c r="Y27" i="6"/>
  <c r="AK27" i="6" s="1"/>
  <c r="X26" i="6"/>
  <c r="Y26" i="6"/>
  <c r="BH20" i="6" l="1"/>
  <c r="BH19" i="6"/>
  <c r="BH18" i="6"/>
  <c r="BH17" i="6"/>
  <c r="BH16" i="6"/>
  <c r="AV33" i="6"/>
  <c r="DJ32" i="6"/>
  <c r="DK32" i="6"/>
  <c r="DK31" i="6"/>
  <c r="BZ23" i="6" l="1"/>
  <c r="BH13" i="6"/>
  <c r="BH12" i="6"/>
  <c r="BH11" i="6"/>
  <c r="BH10" i="6"/>
  <c r="BH9" i="6" l="1"/>
  <c r="BH8" i="6"/>
  <c r="BH7" i="6"/>
  <c r="BH6" i="6" l="1"/>
  <c r="BH5" i="6"/>
  <c r="BH4" i="6"/>
  <c r="W5" i="2"/>
  <c r="X5" i="2"/>
  <c r="W14" i="2"/>
  <c r="X14" i="2"/>
  <c r="CL21" i="6"/>
  <c r="CL20" i="6"/>
  <c r="CL19" i="6"/>
  <c r="F6" i="6"/>
  <c r="F5" i="6"/>
  <c r="F4" i="6"/>
  <c r="CL6" i="6"/>
  <c r="CL5" i="6"/>
  <c r="CL4" i="6"/>
  <c r="DV10" i="6"/>
  <c r="DD35" i="6"/>
  <c r="DE35" i="6"/>
  <c r="EI35" i="6" s="1"/>
  <c r="DV9" i="6"/>
  <c r="DV8" i="6"/>
  <c r="DV7" i="6"/>
  <c r="Y22" i="6"/>
  <c r="Y23" i="6"/>
  <c r="X23" i="6"/>
  <c r="R23" i="6"/>
  <c r="DV6" i="6"/>
  <c r="DV5" i="6"/>
  <c r="DD34" i="6"/>
  <c r="DV4" i="6"/>
  <c r="AD15" i="6"/>
  <c r="AD14" i="6"/>
  <c r="AD13" i="6"/>
  <c r="DD33" i="6"/>
  <c r="DD32" i="6"/>
  <c r="W23" i="2" l="1"/>
  <c r="P14" i="2"/>
  <c r="N14" i="2"/>
  <c r="O14" i="2"/>
  <c r="DD30" i="6"/>
  <c r="DD29" i="6"/>
  <c r="K26" i="2"/>
  <c r="AD6" i="6"/>
  <c r="AD5" i="6"/>
  <c r="AD4" i="6"/>
  <c r="F54" i="2"/>
  <c r="X54" i="2" s="1"/>
  <c r="ET23" i="6"/>
  <c r="ET22" i="6"/>
  <c r="F45" i="2"/>
  <c r="X45" i="2" s="1"/>
  <c r="F44" i="2"/>
  <c r="X44" i="2" s="1"/>
  <c r="AV29" i="6"/>
  <c r="N8" i="3"/>
  <c r="AD36" i="6"/>
  <c r="AV28" i="6"/>
  <c r="DD28" i="6"/>
  <c r="AD35" i="6"/>
  <c r="AE35" i="6"/>
  <c r="AW35" i="6" s="1"/>
  <c r="X23" i="2" l="1"/>
  <c r="Q14" i="2"/>
  <c r="W45" i="2"/>
  <c r="BZ22" i="6"/>
  <c r="AV27" i="6"/>
  <c r="DD27" i="6"/>
  <c r="DD26" i="6"/>
  <c r="AE34" i="6"/>
  <c r="AW34" i="6" s="1"/>
  <c r="AD34" i="6"/>
  <c r="BZ21" i="6"/>
  <c r="CF21" i="6"/>
  <c r="AV26" i="6"/>
  <c r="O15" i="2"/>
  <c r="DD24" i="6"/>
  <c r="DD23" i="6"/>
  <c r="Q15" i="2" l="1"/>
  <c r="AJ26" i="6"/>
  <c r="AJ25" i="6"/>
  <c r="F7" i="6"/>
  <c r="AE33" i="6"/>
  <c r="AW33" i="6" s="1"/>
  <c r="DD21" i="6"/>
  <c r="DD20" i="6"/>
  <c r="DD19" i="6"/>
  <c r="DD18" i="6"/>
  <c r="DD17" i="6"/>
  <c r="DD16" i="6"/>
  <c r="BZ19" i="6"/>
  <c r="AD32" i="6"/>
  <c r="AE32" i="6"/>
  <c r="DD15" i="6"/>
  <c r="DD14" i="6"/>
  <c r="DD13" i="6"/>
  <c r="AJ23" i="6"/>
  <c r="AJ22" i="6"/>
  <c r="BZ18" i="6"/>
  <c r="BZ17" i="6"/>
  <c r="BZ16" i="6"/>
  <c r="CF18" i="6"/>
  <c r="CF17" i="6"/>
  <c r="CF16" i="6"/>
  <c r="CF15" i="6"/>
  <c r="DD12" i="6"/>
  <c r="DD11" i="6"/>
  <c r="DD10" i="6"/>
  <c r="AJ20" i="6"/>
  <c r="AJ19" i="6"/>
  <c r="AE31" i="6"/>
  <c r="AD31" i="6"/>
  <c r="BZ13" i="6" l="1"/>
  <c r="DD9" i="6"/>
  <c r="DD8" i="6"/>
  <c r="DD7" i="6"/>
  <c r="W34" i="2"/>
  <c r="X34" i="2"/>
  <c r="W33" i="2"/>
  <c r="X33" i="2"/>
  <c r="AE30" i="6"/>
  <c r="AD30" i="6"/>
  <c r="DD6" i="6"/>
  <c r="DD5" i="6"/>
  <c r="DD4" i="6"/>
  <c r="CF13" i="6"/>
  <c r="AD29" i="6"/>
  <c r="AE29" i="6"/>
  <c r="AW29" i="6" s="1"/>
  <c r="AE28" i="6"/>
  <c r="AW28" i="6" s="1"/>
  <c r="BZ12" i="6"/>
  <c r="AJ18" i="6"/>
  <c r="AJ17" i="6"/>
  <c r="AJ16" i="6"/>
  <c r="CF11" i="6"/>
  <c r="BZ10" i="6"/>
  <c r="BZ9" i="6"/>
  <c r="CF8" i="6"/>
  <c r="CF7" i="6"/>
  <c r="CF6" i="6"/>
  <c r="CF5" i="6"/>
  <c r="BZ4" i="6"/>
  <c r="CF4" i="6"/>
  <c r="AW32" i="6"/>
  <c r="AV32" i="6"/>
  <c r="CF22" i="6"/>
  <c r="AJ15" i="6"/>
  <c r="AJ14" i="6"/>
  <c r="AJ13" i="6"/>
  <c r="AJ12" i="6"/>
  <c r="AJ11" i="6"/>
  <c r="AJ10" i="6"/>
  <c r="AQ29" i="6"/>
  <c r="AP29" i="6"/>
  <c r="AE27" i="6"/>
  <c r="AW27" i="6" s="1"/>
  <c r="AD27" i="6"/>
  <c r="AW31" i="6"/>
  <c r="AJ9" i="6"/>
  <c r="AJ8" i="6"/>
  <c r="X22" i="6"/>
  <c r="BI29" i="6" l="1"/>
  <c r="BC29" i="6"/>
  <c r="BO29" i="6"/>
  <c r="R24" i="6"/>
  <c r="AQ28" i="6" l="1"/>
  <c r="AP28" i="6"/>
  <c r="W8" i="2"/>
  <c r="X8" i="2"/>
  <c r="N8" i="2"/>
  <c r="K36" i="2"/>
  <c r="N13" i="2"/>
  <c r="AV25" i="6"/>
  <c r="BI28" i="6" l="1"/>
  <c r="BC28" i="6"/>
  <c r="BO28" i="6" s="1"/>
  <c r="P8" i="2"/>
  <c r="O8" i="2"/>
  <c r="Q8" i="2"/>
  <c r="P13" i="2"/>
  <c r="S23" i="6"/>
  <c r="AK23" i="6" s="1"/>
  <c r="S22" i="6"/>
  <c r="AK22" i="6" s="1"/>
  <c r="R22" i="6"/>
  <c r="AQ27" i="6"/>
  <c r="BI27" i="6" s="1"/>
  <c r="AP26" i="6"/>
  <c r="AP25" i="6"/>
  <c r="AD26" i="6"/>
  <c r="AD25" i="6"/>
  <c r="X15" i="2" l="1"/>
  <c r="AD24" i="6"/>
  <c r="AD23" i="6"/>
  <c r="AE23" i="6"/>
  <c r="AE22" i="6"/>
  <c r="AD22" i="6"/>
  <c r="E45" i="1" l="1"/>
  <c r="E43" i="1"/>
  <c r="I43" i="1" s="1"/>
  <c r="I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4" i="1"/>
  <c r="I45" i="1"/>
  <c r="I46" i="1"/>
  <c r="H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4" i="1"/>
  <c r="H45" i="1"/>
  <c r="H46" i="1"/>
  <c r="H43" i="1" l="1"/>
  <c r="AD20" i="6"/>
  <c r="N4" i="3"/>
  <c r="O6" i="3"/>
  <c r="R6" i="3"/>
  <c r="Q6" i="3"/>
  <c r="Q4" i="3"/>
  <c r="R4" i="3"/>
  <c r="DK30" i="6"/>
  <c r="DJ30" i="6"/>
  <c r="DK29" i="6"/>
  <c r="DJ29" i="6"/>
  <c r="O4" i="3" l="1"/>
  <c r="N6" i="3"/>
  <c r="AD18" i="6"/>
  <c r="AD17" i="6"/>
  <c r="DK27" i="6"/>
  <c r="DJ27" i="6"/>
  <c r="DK26" i="6"/>
  <c r="DJ26" i="6"/>
  <c r="AD16" i="6"/>
  <c r="X21" i="6"/>
  <c r="R21" i="6"/>
  <c r="AD12" i="6" l="1"/>
  <c r="AD11" i="6"/>
  <c r="AD10" i="6"/>
  <c r="AD9" i="6"/>
  <c r="AD8" i="6"/>
  <c r="AV24" i="6"/>
  <c r="BZ29" i="6"/>
  <c r="CA29" i="6"/>
  <c r="DE29" i="6" s="1"/>
  <c r="EI29" i="6" s="1"/>
  <c r="EU29" i="6" s="1"/>
  <c r="CA28" i="6"/>
  <c r="DE28" i="6" s="1"/>
  <c r="EI28" i="6" s="1"/>
  <c r="EU28" i="6" s="1"/>
  <c r="BZ28" i="6"/>
  <c r="BB32" i="6"/>
  <c r="AV23" i="6"/>
  <c r="AW23" i="6"/>
  <c r="AW22" i="6"/>
  <c r="X20" i="6" l="1"/>
  <c r="R19" i="6"/>
  <c r="X19" i="6" l="1"/>
  <c r="AQ36" i="6"/>
  <c r="BI36" i="6" l="1"/>
  <c r="BC36" i="6"/>
  <c r="BO36" i="6" s="1"/>
  <c r="DJ24" i="6"/>
  <c r="DJ23" i="6"/>
  <c r="K17" i="2"/>
  <c r="S26" i="6"/>
  <c r="S25" i="6"/>
  <c r="DJ21" i="6"/>
  <c r="DJ20" i="6"/>
  <c r="DJ19" i="6"/>
  <c r="BZ26" i="6"/>
  <c r="BZ25" i="6"/>
  <c r="AV21" i="6"/>
  <c r="DJ18" i="6"/>
  <c r="DJ17" i="6"/>
  <c r="DJ16" i="6"/>
  <c r="AP36" i="6"/>
  <c r="Y25" i="6"/>
  <c r="X25" i="6"/>
  <c r="AP24" i="6"/>
  <c r="DJ15" i="6"/>
  <c r="DJ14" i="6"/>
  <c r="DJ13" i="6"/>
  <c r="Q12" i="2"/>
  <c r="DJ12" i="6"/>
  <c r="DJ11" i="6"/>
  <c r="DJ10" i="6"/>
  <c r="Y18" i="6"/>
  <c r="X18" i="6"/>
  <c r="X17" i="6"/>
  <c r="Y17" i="6"/>
  <c r="Y16" i="6"/>
  <c r="X16" i="6"/>
  <c r="DJ9" i="6"/>
  <c r="DJ8" i="6"/>
  <c r="DJ7" i="6"/>
  <c r="DJ6" i="6"/>
  <c r="DJ5" i="6"/>
  <c r="DJ4" i="6"/>
  <c r="DF2" i="6"/>
  <c r="AP35" i="6"/>
  <c r="AQ35" i="6"/>
  <c r="AQ34" i="6"/>
  <c r="BI35" i="6" l="1"/>
  <c r="BC35" i="6"/>
  <c r="BO35" i="6" s="1"/>
  <c r="AQ25" i="6"/>
  <c r="AK25" i="6"/>
  <c r="BC25" i="6" s="1"/>
  <c r="AE25" i="6"/>
  <c r="BI34" i="6"/>
  <c r="BC34" i="6"/>
  <c r="BO34" i="6" s="1"/>
  <c r="AK26" i="6"/>
  <c r="AE26" i="6"/>
  <c r="O12" i="2"/>
  <c r="S18" i="6"/>
  <c r="R18" i="6"/>
  <c r="BC27" i="6"/>
  <c r="BO27" i="6" s="1"/>
  <c r="CA27" i="6" s="1"/>
  <c r="DE27" i="6" s="1"/>
  <c r="EI27" i="6" s="1"/>
  <c r="EU27" i="6" s="1"/>
  <c r="G24" i="6"/>
  <c r="S24" i="6" s="1"/>
  <c r="AP23" i="6"/>
  <c r="AQ23" i="6"/>
  <c r="AV20" i="6"/>
  <c r="AQ22" i="6"/>
  <c r="AP22" i="6"/>
  <c r="K38" i="2"/>
  <c r="N38" i="2" s="1"/>
  <c r="Q18" i="2"/>
  <c r="P25" i="2"/>
  <c r="AD7" i="6"/>
  <c r="AJ7" i="6"/>
  <c r="AQ33" i="6"/>
  <c r="AP33" i="6"/>
  <c r="AQ32" i="6"/>
  <c r="AP32" i="6"/>
  <c r="Y24" i="6"/>
  <c r="X24" i="6"/>
  <c r="X15" i="6"/>
  <c r="Y15" i="6"/>
  <c r="AJ6" i="6"/>
  <c r="AJ5" i="6"/>
  <c r="AJ4" i="6"/>
  <c r="X18" i="2"/>
  <c r="AQ31" i="6"/>
  <c r="AP31" i="6"/>
  <c r="R17" i="6"/>
  <c r="S17" i="6"/>
  <c r="S16" i="6"/>
  <c r="R16" i="6"/>
  <c r="Y14" i="6"/>
  <c r="X14" i="6"/>
  <c r="Y13" i="6"/>
  <c r="X13" i="6"/>
  <c r="X12" i="2"/>
  <c r="X55" i="2"/>
  <c r="AQ30" i="6"/>
  <c r="AP30" i="6"/>
  <c r="AW30" i="6"/>
  <c r="AV30" i="6"/>
  <c r="AP17" i="6"/>
  <c r="AP16" i="6"/>
  <c r="AP15" i="6"/>
  <c r="AP14" i="6"/>
  <c r="AP13" i="6"/>
  <c r="AP5" i="6"/>
  <c r="AP4" i="6"/>
  <c r="AV19" i="6"/>
  <c r="BI23" i="6" l="1"/>
  <c r="BC23" i="6"/>
  <c r="BO23" i="6" s="1"/>
  <c r="CG23" i="6" s="1"/>
  <c r="DK23" i="6" s="1"/>
  <c r="AK16" i="6"/>
  <c r="AE16" i="6"/>
  <c r="BI31" i="6"/>
  <c r="BC31" i="6"/>
  <c r="BO31" i="6" s="1"/>
  <c r="BI22" i="6"/>
  <c r="CA22" i="6" s="1"/>
  <c r="CM22" i="6" s="1"/>
  <c r="BC22" i="6"/>
  <c r="BO22" i="6" s="1"/>
  <c r="AK18" i="6"/>
  <c r="AE18" i="6"/>
  <c r="AW18" i="6" s="1"/>
  <c r="AK17" i="6"/>
  <c r="AE17" i="6"/>
  <c r="AQ17" i="6" s="1"/>
  <c r="BI17" i="6" s="1"/>
  <c r="BI32" i="6"/>
  <c r="CA32" i="6" s="1"/>
  <c r="DE32" i="6" s="1"/>
  <c r="EI32" i="6" s="1"/>
  <c r="BC32" i="6"/>
  <c r="BO32" i="6" s="1"/>
  <c r="AK24" i="6"/>
  <c r="AE24" i="6"/>
  <c r="AW24" i="6" s="1"/>
  <c r="CA34" i="6"/>
  <c r="DE34" i="6" s="1"/>
  <c r="EI34" i="6" s="1"/>
  <c r="BI30" i="6"/>
  <c r="BC30" i="6"/>
  <c r="BO30" i="6" s="1"/>
  <c r="BI33" i="6"/>
  <c r="BC33" i="6"/>
  <c r="BO33" i="6" s="1"/>
  <c r="AW26" i="6"/>
  <c r="AQ26" i="6"/>
  <c r="BI26" i="6" s="1"/>
  <c r="AW25" i="6"/>
  <c r="BO25" i="6" s="1"/>
  <c r="O18" i="2"/>
  <c r="O38" i="2"/>
  <c r="N25" i="2"/>
  <c r="Q38" i="2"/>
  <c r="P38" i="2"/>
  <c r="AP21" i="6"/>
  <c r="AP12" i="6"/>
  <c r="AP11" i="6"/>
  <c r="AP10" i="6"/>
  <c r="AP9" i="6"/>
  <c r="AP8" i="6"/>
  <c r="AP7" i="6"/>
  <c r="AP19" i="6"/>
  <c r="R15" i="6"/>
  <c r="X12" i="6"/>
  <c r="AP6" i="6"/>
  <c r="AP18" i="6"/>
  <c r="AV18" i="6"/>
  <c r="AQ16" i="6"/>
  <c r="BI16" i="6" s="1"/>
  <c r="S13" i="6"/>
  <c r="S14" i="6"/>
  <c r="S15" i="6"/>
  <c r="C12" i="5"/>
  <c r="C11" i="5"/>
  <c r="AE15" i="6" l="1"/>
  <c r="AQ15" i="6" s="1"/>
  <c r="BI15" i="6" s="1"/>
  <c r="AK15" i="6"/>
  <c r="BC15" i="6" s="1"/>
  <c r="BI25" i="6"/>
  <c r="CA25" i="6" s="1"/>
  <c r="DE25" i="6" s="1"/>
  <c r="BC16" i="6"/>
  <c r="AE14" i="6"/>
  <c r="AQ14" i="6" s="1"/>
  <c r="BI14" i="6" s="1"/>
  <c r="AK14" i="6"/>
  <c r="BC14" i="6" s="1"/>
  <c r="CA33" i="6"/>
  <c r="DE33" i="6" s="1"/>
  <c r="EI33" i="6" s="1"/>
  <c r="AE13" i="6"/>
  <c r="AQ13" i="6" s="1"/>
  <c r="BI13" i="6" s="1"/>
  <c r="AK13" i="6"/>
  <c r="BC13" i="6" s="1"/>
  <c r="AQ18" i="6"/>
  <c r="BI18" i="6" s="1"/>
  <c r="BC17" i="6"/>
  <c r="BC18" i="6"/>
  <c r="BU18" i="6" s="1"/>
  <c r="CA31" i="6"/>
  <c r="DE31" i="6" s="1"/>
  <c r="EI31" i="6" s="1"/>
  <c r="CA23" i="6"/>
  <c r="DE23" i="6" s="1"/>
  <c r="EI23" i="6" s="1"/>
  <c r="DE22" i="6"/>
  <c r="DQ22" i="6" s="1"/>
  <c r="EI22" i="6" s="1"/>
  <c r="BC26" i="6"/>
  <c r="BO26" i="6" s="1"/>
  <c r="CA26" i="6" s="1"/>
  <c r="DE26" i="6" s="1"/>
  <c r="EI26" i="6" s="1"/>
  <c r="EU26" i="6" s="1"/>
  <c r="CA30" i="6"/>
  <c r="DE30" i="6" s="1"/>
  <c r="EI30" i="6" s="1"/>
  <c r="EU30" i="6" s="1"/>
  <c r="CG22" i="6"/>
  <c r="DK22" i="6" s="1"/>
  <c r="AQ24" i="6"/>
  <c r="BI24" i="6" s="1"/>
  <c r="AE6" i="6"/>
  <c r="AQ6" i="6" s="1"/>
  <c r="BI6" i="6" s="1"/>
  <c r="AE5" i="6"/>
  <c r="AQ5" i="6" s="1"/>
  <c r="BI5" i="6" s="1"/>
  <c r="G5" i="6"/>
  <c r="AK5" i="6" s="1"/>
  <c r="G6" i="6"/>
  <c r="AK6" i="6" s="1"/>
  <c r="G7" i="6"/>
  <c r="G8" i="6"/>
  <c r="G9" i="6"/>
  <c r="G10" i="6"/>
  <c r="G11" i="6"/>
  <c r="G12" i="6"/>
  <c r="G19" i="6"/>
  <c r="G20" i="6"/>
  <c r="G21" i="6"/>
  <c r="G4" i="6"/>
  <c r="AK4" i="6" s="1"/>
  <c r="W25" i="2"/>
  <c r="BU13" i="6" l="1"/>
  <c r="BO13" i="6"/>
  <c r="CG13" i="6" s="1"/>
  <c r="BU15" i="6"/>
  <c r="BO15" i="6"/>
  <c r="AK10" i="6"/>
  <c r="AE10" i="6"/>
  <c r="AQ10" i="6" s="1"/>
  <c r="BI10" i="6" s="1"/>
  <c r="CA24" i="6"/>
  <c r="DE24" i="6" s="1"/>
  <c r="EI24" i="6" s="1"/>
  <c r="BC24" i="6"/>
  <c r="BO24" i="6" s="1"/>
  <c r="CG24" i="6" s="1"/>
  <c r="DK24" i="6" s="1"/>
  <c r="CA15" i="6"/>
  <c r="DE15" i="6" s="1"/>
  <c r="AE4" i="6"/>
  <c r="AQ4" i="6" s="1"/>
  <c r="BI4" i="6" s="1"/>
  <c r="S19" i="6"/>
  <c r="Y19" i="6"/>
  <c r="AQ19" i="6" s="1"/>
  <c r="AK9" i="6"/>
  <c r="BC9" i="6" s="1"/>
  <c r="AE9" i="6"/>
  <c r="AQ9" i="6" s="1"/>
  <c r="BI9" i="6" s="1"/>
  <c r="BC5" i="6"/>
  <c r="EC22" i="6"/>
  <c r="EC23" i="6"/>
  <c r="EU23" i="6" s="1"/>
  <c r="BU16" i="6"/>
  <c r="BO16" i="6"/>
  <c r="Y21" i="6"/>
  <c r="S21" i="6"/>
  <c r="AK11" i="6"/>
  <c r="BC11" i="6" s="1"/>
  <c r="AE11" i="6"/>
  <c r="AQ11" i="6" s="1"/>
  <c r="BI11" i="6" s="1"/>
  <c r="AE7" i="6"/>
  <c r="AQ7" i="6" s="1"/>
  <c r="BI7" i="6" s="1"/>
  <c r="AK7" i="6"/>
  <c r="BC7" i="6" s="1"/>
  <c r="BU17" i="6"/>
  <c r="BO17" i="6"/>
  <c r="BU14" i="6"/>
  <c r="BO14" i="6"/>
  <c r="CG14" i="6" s="1"/>
  <c r="DK14" i="6" s="1"/>
  <c r="S20" i="6"/>
  <c r="Y20" i="6"/>
  <c r="BC6" i="6"/>
  <c r="BC4" i="6"/>
  <c r="S12" i="6"/>
  <c r="Y12" i="6"/>
  <c r="AK8" i="6"/>
  <c r="AE8" i="6"/>
  <c r="AQ8" i="6" s="1"/>
  <c r="BI8" i="6" s="1"/>
  <c r="EC25" i="6"/>
  <c r="EI25" i="6"/>
  <c r="BO18" i="6"/>
  <c r="CG18" i="6" s="1"/>
  <c r="CY18" i="6" s="1"/>
  <c r="DK18" i="6" s="1"/>
  <c r="EC18" i="6" s="1"/>
  <c r="C1" i="5"/>
  <c r="E1" i="5"/>
  <c r="F1" i="5"/>
  <c r="G1" i="5"/>
  <c r="H1" i="5"/>
  <c r="J1" i="5"/>
  <c r="K1" i="5"/>
  <c r="L1" i="5"/>
  <c r="M1" i="5"/>
  <c r="N1" i="5"/>
  <c r="O1" i="5"/>
  <c r="P1" i="5"/>
  <c r="D1" i="5"/>
  <c r="I5" i="5"/>
  <c r="I1" i="5" s="1"/>
  <c r="I8" i="5"/>
  <c r="W38" i="2"/>
  <c r="X38" i="2"/>
  <c r="K41" i="2"/>
  <c r="Q41" i="2" s="1"/>
  <c r="K35" i="2"/>
  <c r="P35" i="2" s="1"/>
  <c r="K37" i="2"/>
  <c r="K39" i="2"/>
  <c r="Q39" i="2" s="1"/>
  <c r="K28" i="2"/>
  <c r="K32" i="2"/>
  <c r="AK21" i="6" l="1"/>
  <c r="AE21" i="6"/>
  <c r="AW21" i="6" s="1"/>
  <c r="BO9" i="6"/>
  <c r="CG9" i="6" s="1"/>
  <c r="BU9" i="6"/>
  <c r="EU25" i="6"/>
  <c r="BO6" i="6"/>
  <c r="BU6" i="6"/>
  <c r="EO22" i="6"/>
  <c r="EU22" i="6"/>
  <c r="CA14" i="6"/>
  <c r="DE14" i="6" s="1"/>
  <c r="EC14" i="6" s="1"/>
  <c r="CA18" i="6"/>
  <c r="DE18" i="6" s="1"/>
  <c r="CG17" i="6"/>
  <c r="CY17" i="6" s="1"/>
  <c r="DK17" i="6" s="1"/>
  <c r="EC17" i="6" s="1"/>
  <c r="CA17" i="6"/>
  <c r="DE17" i="6" s="1"/>
  <c r="CG16" i="6"/>
  <c r="CY16" i="6" s="1"/>
  <c r="DK16" i="6" s="1"/>
  <c r="EC16" i="6" s="1"/>
  <c r="CA16" i="6"/>
  <c r="DE16" i="6" s="1"/>
  <c r="BO5" i="6"/>
  <c r="BU5" i="6"/>
  <c r="AK19" i="6"/>
  <c r="CA13" i="6"/>
  <c r="CS13" i="6" s="1"/>
  <c r="BC10" i="6"/>
  <c r="BO4" i="6"/>
  <c r="BU4" i="6"/>
  <c r="CM4" i="6" s="1"/>
  <c r="BO7" i="6"/>
  <c r="CG7" i="6" s="1"/>
  <c r="BU7" i="6"/>
  <c r="BC8" i="6"/>
  <c r="AK12" i="6"/>
  <c r="AE12" i="6"/>
  <c r="AQ12" i="6" s="1"/>
  <c r="BI12" i="6" s="1"/>
  <c r="AK20" i="6"/>
  <c r="AE20" i="6"/>
  <c r="AW20" i="6" s="1"/>
  <c r="BU11" i="6"/>
  <c r="BO11" i="6"/>
  <c r="CG11" i="6" s="1"/>
  <c r="CA4" i="6"/>
  <c r="EC24" i="6"/>
  <c r="EU24" i="6" s="1"/>
  <c r="CG15" i="6"/>
  <c r="DK15" i="6" s="1"/>
  <c r="EC15" i="6" s="1"/>
  <c r="P32" i="2"/>
  <c r="N32" i="2"/>
  <c r="N39" i="2"/>
  <c r="P39" i="2"/>
  <c r="O41" i="2"/>
  <c r="O39" i="2"/>
  <c r="O35" i="2"/>
  <c r="P41" i="2"/>
  <c r="N35" i="2"/>
  <c r="Q35" i="2"/>
  <c r="N41" i="2"/>
  <c r="R8" i="3"/>
  <c r="Q8" i="3"/>
  <c r="R15" i="3"/>
  <c r="Q15" i="3"/>
  <c r="O15" i="3"/>
  <c r="O19" i="3" s="1"/>
  <c r="R3" i="3"/>
  <c r="Q3" i="3"/>
  <c r="N3" i="3"/>
  <c r="N9" i="3" s="1"/>
  <c r="W9" i="2"/>
  <c r="X9" i="2"/>
  <c r="W7" i="2"/>
  <c r="X7" i="2"/>
  <c r="W10" i="2"/>
  <c r="X10" i="2"/>
  <c r="W4" i="2"/>
  <c r="X4" i="2"/>
  <c r="W40" i="2"/>
  <c r="X40" i="2"/>
  <c r="W17" i="2"/>
  <c r="X17" i="2"/>
  <c r="W13" i="2"/>
  <c r="X13" i="2"/>
  <c r="W42" i="2"/>
  <c r="X42" i="2"/>
  <c r="W16" i="2"/>
  <c r="X16" i="2"/>
  <c r="W26" i="2"/>
  <c r="X26" i="2"/>
  <c r="W28" i="2"/>
  <c r="X28" i="2"/>
  <c r="W31" i="2"/>
  <c r="X31" i="2"/>
  <c r="W32" i="2"/>
  <c r="X32" i="2"/>
  <c r="X36" i="2"/>
  <c r="W37" i="2"/>
  <c r="W35" i="2"/>
  <c r="X35" i="2"/>
  <c r="W39" i="2"/>
  <c r="X39" i="2"/>
  <c r="W56" i="2"/>
  <c r="X56" i="2"/>
  <c r="X41" i="2"/>
  <c r="W41" i="2"/>
  <c r="Q36" i="2"/>
  <c r="O36" i="2"/>
  <c r="P28" i="2"/>
  <c r="N28" i="2"/>
  <c r="N26" i="2"/>
  <c r="K42" i="2"/>
  <c r="K40" i="2"/>
  <c r="CG5" i="6" l="1"/>
  <c r="CA5" i="6"/>
  <c r="CS5" i="6" s="1"/>
  <c r="DK5" i="6" s="1"/>
  <c r="CG6" i="6"/>
  <c r="CA6" i="6"/>
  <c r="CS6" i="6" s="1"/>
  <c r="DK6" i="6" s="1"/>
  <c r="BO8" i="6"/>
  <c r="BU8" i="6"/>
  <c r="CG4" i="6"/>
  <c r="BC19" i="6"/>
  <c r="AW19" i="6"/>
  <c r="AQ20" i="6"/>
  <c r="BI20" i="6" s="1"/>
  <c r="AQ21" i="6"/>
  <c r="BI21" i="6" s="1"/>
  <c r="BU10" i="6"/>
  <c r="BO10" i="6"/>
  <c r="BC12" i="6"/>
  <c r="DE13" i="6"/>
  <c r="DK13" i="6"/>
  <c r="EC13" i="6" s="1"/>
  <c r="CS4" i="6"/>
  <c r="DK4" i="6" s="1"/>
  <c r="CA9" i="6"/>
  <c r="CS9" i="6" s="1"/>
  <c r="CA11" i="6"/>
  <c r="CS11" i="6" s="1"/>
  <c r="CA7" i="6"/>
  <c r="CS7" i="6" s="1"/>
  <c r="O3" i="3"/>
  <c r="N15" i="3"/>
  <c r="O26" i="2"/>
  <c r="P26" i="2"/>
  <c r="Q26" i="2"/>
  <c r="Q13" i="2"/>
  <c r="N16" i="2"/>
  <c r="BU12" i="6" l="1"/>
  <c r="BO12" i="6"/>
  <c r="CM5" i="6"/>
  <c r="DE5" i="6" s="1"/>
  <c r="CG10" i="6"/>
  <c r="CA10" i="6"/>
  <c r="CS10" i="6" s="1"/>
  <c r="DE7" i="6"/>
  <c r="DK7" i="6"/>
  <c r="DE9" i="6"/>
  <c r="DK9" i="6"/>
  <c r="BC21" i="6"/>
  <c r="BO21" i="6" s="1"/>
  <c r="CG21" i="6" s="1"/>
  <c r="CM6" i="6"/>
  <c r="DE6" i="6" s="1"/>
  <c r="DE11" i="6"/>
  <c r="DQ11" i="6" s="1"/>
  <c r="DK11" i="6"/>
  <c r="EC11" i="6" s="1"/>
  <c r="BC20" i="6"/>
  <c r="BO20" i="6" s="1"/>
  <c r="CG20" i="6" s="1"/>
  <c r="BO19" i="6"/>
  <c r="CG19" i="6" s="1"/>
  <c r="BI19" i="6"/>
  <c r="CG8" i="6"/>
  <c r="CA8" i="6"/>
  <c r="CS8" i="6" s="1"/>
  <c r="DE4" i="6"/>
  <c r="O13" i="2"/>
  <c r="O16" i="2"/>
  <c r="Q16" i="2"/>
  <c r="P16" i="2"/>
  <c r="N37" i="2"/>
  <c r="N4" i="2"/>
  <c r="Q31" i="2"/>
  <c r="Q10" i="2"/>
  <c r="N10" i="2"/>
  <c r="P10" i="2"/>
  <c r="O10" i="2"/>
  <c r="Q7" i="2"/>
  <c r="N7" i="2"/>
  <c r="P7" i="2"/>
  <c r="O40" i="2"/>
  <c r="P40" i="2"/>
  <c r="O9" i="2"/>
  <c r="Q17" i="2"/>
  <c r="P17" i="2"/>
  <c r="P42" i="2"/>
  <c r="O17" i="2"/>
  <c r="N17" i="2"/>
  <c r="CA21" i="6" l="1"/>
  <c r="CM21" i="6" s="1"/>
  <c r="DE21" i="6" s="1"/>
  <c r="DQ7" i="6"/>
  <c r="EC7" i="6" s="1"/>
  <c r="DW7" i="6"/>
  <c r="DE8" i="6"/>
  <c r="DK8" i="6"/>
  <c r="EC9" i="6"/>
  <c r="DE10" i="6"/>
  <c r="DK10" i="6"/>
  <c r="CG12" i="6"/>
  <c r="CA12" i="6"/>
  <c r="CS12" i="6" s="1"/>
  <c r="CA20" i="6"/>
  <c r="CM20" i="6" s="1"/>
  <c r="DE20" i="6" s="1"/>
  <c r="EI20" i="6" s="1"/>
  <c r="DQ9" i="6"/>
  <c r="DW9" i="6"/>
  <c r="DQ4" i="6"/>
  <c r="EC4" i="6" s="1"/>
  <c r="DW4" i="6"/>
  <c r="CY21" i="6"/>
  <c r="CA19" i="6"/>
  <c r="CM19" i="6" s="1"/>
  <c r="DE19" i="6" s="1"/>
  <c r="EI19" i="6" s="1"/>
  <c r="DQ6" i="6"/>
  <c r="EC6" i="6" s="1"/>
  <c r="DW6" i="6"/>
  <c r="DQ5" i="6"/>
  <c r="EC5" i="6" s="1"/>
  <c r="DW5" i="6"/>
  <c r="Q19" i="2"/>
  <c r="O19" i="2"/>
  <c r="Q4" i="2"/>
  <c r="P37" i="2"/>
  <c r="N9" i="2"/>
  <c r="O31" i="2"/>
  <c r="Q9" i="2"/>
  <c r="N40" i="2"/>
  <c r="P31" i="2"/>
  <c r="O4" i="2"/>
  <c r="O42" i="2"/>
  <c r="Q42" i="2"/>
  <c r="P9" i="2"/>
  <c r="Q40" i="2"/>
  <c r="O7" i="2"/>
  <c r="N31" i="2"/>
  <c r="P4" i="2"/>
  <c r="N42" i="2"/>
  <c r="DQ10" i="6" l="1"/>
  <c r="DW10" i="6"/>
  <c r="DE12" i="6"/>
  <c r="DK12" i="6"/>
  <c r="EC12" i="6" s="1"/>
  <c r="CY20" i="6"/>
  <c r="DK20" i="6" s="1"/>
  <c r="EC20" i="6" s="1"/>
  <c r="DQ21" i="6"/>
  <c r="DK21" i="6"/>
  <c r="EC21" i="6" s="1"/>
  <c r="EO21" i="6" s="1"/>
  <c r="EC10" i="6"/>
  <c r="DQ8" i="6"/>
  <c r="EC8" i="6" s="1"/>
  <c r="DW8" i="6"/>
  <c r="CY19" i="6"/>
  <c r="DK19" i="6" s="1"/>
  <c r="EC19" i="6" s="1"/>
  <c r="P11" i="2"/>
  <c r="N11" i="2"/>
  <c r="EI21" i="6" l="1"/>
</calcChain>
</file>

<file path=xl/sharedStrings.xml><?xml version="1.0" encoding="utf-8"?>
<sst xmlns="http://schemas.openxmlformats.org/spreadsheetml/2006/main" count="552" uniqueCount="100">
  <si>
    <t>Type</t>
  </si>
  <si>
    <t>Name</t>
  </si>
  <si>
    <t>Wood</t>
  </si>
  <si>
    <t>Fish</t>
  </si>
  <si>
    <t>Time</t>
  </si>
  <si>
    <t>Attack</t>
  </si>
  <si>
    <t>Type of Attack</t>
  </si>
  <si>
    <t>Monstrous Nightmare</t>
  </si>
  <si>
    <t>fire</t>
  </si>
  <si>
    <t>Gronckle</t>
  </si>
  <si>
    <t>health</t>
  </si>
  <si>
    <t>Terrible Terror</t>
  </si>
  <si>
    <t>shot</t>
  </si>
  <si>
    <t>Scauldron</t>
  </si>
  <si>
    <t>Smothering Smokebreath</t>
  </si>
  <si>
    <t>Whispering Death</t>
  </si>
  <si>
    <t>Deadly Nadder</t>
  </si>
  <si>
    <t>Hobblegrunt</t>
  </si>
  <si>
    <t>Snaptrapper</t>
  </si>
  <si>
    <t>Changewing</t>
  </si>
  <si>
    <t>Unique</t>
  </si>
  <si>
    <t>Stormfly</t>
  </si>
  <si>
    <t>Timberjack</t>
  </si>
  <si>
    <t>Meatlug</t>
  </si>
  <si>
    <t>Raincutter</t>
  </si>
  <si>
    <t>Battle</t>
  </si>
  <si>
    <t>Exclusive</t>
  </si>
  <si>
    <t>Barf&amp;Belch's Offspring</t>
  </si>
  <si>
    <t>Iggy</t>
  </si>
  <si>
    <t>Sharpshot</t>
  </si>
  <si>
    <t>Sneaky</t>
  </si>
  <si>
    <t>Butt</t>
  </si>
  <si>
    <t>Head</t>
  </si>
  <si>
    <t>Pain</t>
  </si>
  <si>
    <t>Snafflefang</t>
  </si>
  <si>
    <t>Shockjaw</t>
  </si>
  <si>
    <t>Hackatoo</t>
  </si>
  <si>
    <t>Hideous Zippleback</t>
  </si>
  <si>
    <t>Thunderdrum</t>
  </si>
  <si>
    <t>Typhoomerang</t>
  </si>
  <si>
    <t>Bing</t>
  </si>
  <si>
    <t>Bam</t>
  </si>
  <si>
    <t>Boom</t>
  </si>
  <si>
    <t>Hookfang</t>
  </si>
  <si>
    <t>Exotic</t>
  </si>
  <si>
    <t>Barf&amp;Belch's</t>
  </si>
  <si>
    <t>Sliquifier</t>
  </si>
  <si>
    <t>Flightmare</t>
  </si>
  <si>
    <t>Frozen Groncicle</t>
  </si>
  <si>
    <t>Limited Exclusive</t>
  </si>
  <si>
    <t>Thunderpede</t>
  </si>
  <si>
    <t>Hotburple</t>
  </si>
  <si>
    <t>Valka's Seashocker</t>
  </si>
  <si>
    <t>Fish 75</t>
  </si>
  <si>
    <t>Wood 75</t>
  </si>
  <si>
    <t>Time 75</t>
  </si>
  <si>
    <t>Attack 75</t>
  </si>
  <si>
    <t>Level</t>
  </si>
  <si>
    <t>Per Hour</t>
  </si>
  <si>
    <t>Per Full time</t>
  </si>
  <si>
    <t>Per 8 h</t>
  </si>
  <si>
    <t>Stormfly's Offspring</t>
  </si>
  <si>
    <t>Price</t>
  </si>
  <si>
    <t>Per Time</t>
  </si>
  <si>
    <t>Rate</t>
  </si>
  <si>
    <t>LVL</t>
  </si>
  <si>
    <t>Monstr Nightmare</t>
  </si>
  <si>
    <t>Всего</t>
  </si>
  <si>
    <t>Cost F</t>
  </si>
  <si>
    <t>Cost W</t>
  </si>
  <si>
    <t>Torch's Sister</t>
  </si>
  <si>
    <t>Torch's Brother</t>
  </si>
  <si>
    <t>Toothless' Rival</t>
  </si>
  <si>
    <t>Столбец1</t>
  </si>
  <si>
    <t>Столбец2</t>
  </si>
  <si>
    <t>Rare</t>
  </si>
  <si>
    <t>Fireworm Princess</t>
  </si>
  <si>
    <t>Submaripper</t>
  </si>
  <si>
    <t>Fireworm Queen</t>
  </si>
  <si>
    <t>Exotic Shockjaw</t>
  </si>
  <si>
    <t>Fish 80</t>
  </si>
  <si>
    <t>Wood 80</t>
  </si>
  <si>
    <t>Time 80</t>
  </si>
  <si>
    <t>Attack 80</t>
  </si>
  <si>
    <t>Scuttleclaw</t>
  </si>
  <si>
    <t>Dragon</t>
  </si>
  <si>
    <t>Boneknapper</t>
  </si>
  <si>
    <t>Rumblehorn</t>
  </si>
  <si>
    <t>Stormcutter</t>
  </si>
  <si>
    <t>Sand Wraith</t>
  </si>
  <si>
    <t>Lvl 12</t>
  </si>
  <si>
    <t>Lvl 19</t>
  </si>
  <si>
    <t>Lvl 25</t>
  </si>
  <si>
    <t>Exotic Hackatoo</t>
  </si>
  <si>
    <t>Shivertooth</t>
  </si>
  <si>
    <t>ряд1</t>
  </si>
  <si>
    <t>ряд2</t>
  </si>
  <si>
    <t>ряд3</t>
  </si>
  <si>
    <t>ряд4</t>
  </si>
  <si>
    <t>ряд5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</si>
</sst>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rgb="FF002060"/>
      <name val="Calibri"/>
      <family val="2"/>
      <charset val="204"/>
      <scheme val="minor"/>
    </font>
    <font>
      <strike/>
      <sz val="11"/>
      <color theme="1"/>
      <name val="Calibri"/>
      <family val="2"/>
      <charset val="204"/>
      <scheme val="minor"/>
    </font>
    <font>
      <sz val="11"/>
      <color theme="0" tint="-0.34998626667073579"/>
      <name val="Calibri"/>
      <family val="2"/>
      <charset val="204"/>
      <scheme val="minor"/>
    </font>
    <font>
      <b/>
      <sz val="11"/>
      <color rgb="FF00206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theme="0" tint="-0.14999847407452621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theme="0" tint="-0.14999847407452621"/>
      </patternFill>
    </fill>
    <fill>
      <patternFill patternType="solid">
        <fgColor theme="0" tint="-0.249977111117893"/>
        <bgColor theme="0" tint="-0.14999847407452621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39997558519241921"/>
        <bgColor theme="0" tint="-0.14999847407452621"/>
      </patternFill>
    </fill>
    <fill>
      <patternFill patternType="solid">
        <fgColor rgb="FFFF3399"/>
        <bgColor theme="0" tint="-0.14999847407452621"/>
      </patternFill>
    </fill>
    <fill>
      <patternFill patternType="solid">
        <fgColor rgb="FFFF66FF"/>
        <bgColor indexed="64"/>
      </patternFill>
    </fill>
    <fill>
      <patternFill patternType="solid">
        <fgColor rgb="FFFFFF00"/>
        <bgColor theme="0" tint="-0.14999847407452621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/>
  </cellStyleXfs>
  <cellXfs count="17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0" borderId="1" xfId="0" applyFill="1" applyBorder="1"/>
    <xf numFmtId="0" fontId="0" fillId="0" borderId="2" xfId="0" applyBorder="1"/>
    <xf numFmtId="0" fontId="0" fillId="3" borderId="2" xfId="0" applyFill="1" applyBorder="1"/>
    <xf numFmtId="0" fontId="0" fillId="0" borderId="3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8" xfId="0" applyBorder="1" applyAlignment="1"/>
    <xf numFmtId="0" fontId="0" fillId="4" borderId="1" xfId="0" applyFont="1" applyFill="1" applyBorder="1"/>
    <xf numFmtId="0" fontId="0" fillId="4" borderId="1" xfId="0" applyFont="1" applyFill="1" applyBorder="1" applyAlignment="1">
      <alignment horizontal="center"/>
    </xf>
    <xf numFmtId="0" fontId="0" fillId="4" borderId="9" xfId="0" applyFont="1" applyFill="1" applyBorder="1" applyAlignment="1">
      <alignment horizontal="center"/>
    </xf>
    <xf numFmtId="0" fontId="0" fillId="4" borderId="7" xfId="0" applyFont="1" applyFill="1" applyBorder="1" applyAlignment="1">
      <alignment horizontal="center"/>
    </xf>
    <xf numFmtId="2" fontId="0" fillId="4" borderId="7" xfId="0" applyNumberFormat="1" applyFont="1" applyFill="1" applyBorder="1" applyAlignment="1">
      <alignment horizontal="center"/>
    </xf>
    <xf numFmtId="0" fontId="0" fillId="5" borderId="1" xfId="0" applyFont="1" applyFill="1" applyBorder="1"/>
    <xf numFmtId="0" fontId="0" fillId="5" borderId="1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5" borderId="0" xfId="0" applyFill="1"/>
    <xf numFmtId="0" fontId="0" fillId="6" borderId="1" xfId="0" applyFont="1" applyFill="1" applyBorder="1"/>
    <xf numFmtId="0" fontId="0" fillId="7" borderId="1" xfId="0" applyFont="1" applyFill="1" applyBorder="1"/>
    <xf numFmtId="0" fontId="0" fillId="8" borderId="1" xfId="0" applyFont="1" applyFill="1" applyBorder="1"/>
    <xf numFmtId="0" fontId="0" fillId="9" borderId="1" xfId="0" applyFont="1" applyFill="1" applyBorder="1"/>
    <xf numFmtId="0" fontId="0" fillId="5" borderId="1" xfId="0" applyFill="1" applyBorder="1"/>
    <xf numFmtId="0" fontId="0" fillId="7" borderId="1" xfId="0" applyFont="1" applyFill="1" applyBorder="1" applyAlignment="1">
      <alignment horizontal="center"/>
    </xf>
    <xf numFmtId="0" fontId="0" fillId="9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0" fillId="8" borderId="1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3" fontId="0" fillId="0" borderId="0" xfId="0" applyNumberFormat="1"/>
    <xf numFmtId="2" fontId="0" fillId="0" borderId="0" xfId="0" applyNumberFormat="1" applyAlignment="1">
      <alignment horizontal="center"/>
    </xf>
    <xf numFmtId="4" fontId="0" fillId="4" borderId="7" xfId="0" applyNumberFormat="1" applyFont="1" applyFill="1" applyBorder="1" applyAlignment="1">
      <alignment horizontal="center"/>
    </xf>
    <xf numFmtId="4" fontId="0" fillId="4" borderId="9" xfId="0" applyNumberFormat="1" applyFont="1" applyFill="1" applyBorder="1" applyAlignment="1">
      <alignment horizontal="center"/>
    </xf>
    <xf numFmtId="2" fontId="0" fillId="4" borderId="9" xfId="0" applyNumberFormat="1" applyFont="1" applyFill="1" applyBorder="1" applyAlignment="1">
      <alignment horizontal="center"/>
    </xf>
    <xf numFmtId="2" fontId="0" fillId="5" borderId="0" xfId="0" applyNumberFormat="1" applyFill="1"/>
    <xf numFmtId="2" fontId="0" fillId="4" borderId="0" xfId="0" applyNumberFormat="1" applyFont="1" applyFill="1" applyBorder="1" applyAlignment="1">
      <alignment horizontal="center"/>
    </xf>
    <xf numFmtId="0" fontId="0" fillId="0" borderId="10" xfId="0" applyBorder="1"/>
    <xf numFmtId="0" fontId="0" fillId="0" borderId="7" xfId="0" applyBorder="1"/>
    <xf numFmtId="0" fontId="0" fillId="0" borderId="0" xfId="0" applyAlignment="1">
      <alignment horizontal="center" shrinkToFit="1"/>
    </xf>
    <xf numFmtId="0" fontId="0" fillId="0" borderId="0" xfId="0" applyBorder="1" applyAlignment="1">
      <alignment horizontal="center" shrinkToFit="1"/>
    </xf>
    <xf numFmtId="0" fontId="0" fillId="0" borderId="10" xfId="0" applyBorder="1" applyAlignment="1">
      <alignment horizontal="center" shrinkToFit="1"/>
    </xf>
    <xf numFmtId="0" fontId="0" fillId="0" borderId="7" xfId="0" applyBorder="1" applyAlignment="1">
      <alignment horizontal="center" shrinkToFit="1"/>
    </xf>
    <xf numFmtId="0" fontId="0" fillId="0" borderId="0" xfId="0" applyAlignment="1">
      <alignment shrinkToFit="1"/>
    </xf>
    <xf numFmtId="0" fontId="1" fillId="2" borderId="1" xfId="0" applyFont="1" applyFill="1" applyBorder="1" applyAlignment="1">
      <alignment horizontal="center" shrinkToFit="1"/>
    </xf>
    <xf numFmtId="0" fontId="1" fillId="2" borderId="2" xfId="0" applyFont="1" applyFill="1" applyBorder="1" applyAlignment="1">
      <alignment horizontal="center" shrinkToFit="1"/>
    </xf>
    <xf numFmtId="3" fontId="0" fillId="0" borderId="0" xfId="0" applyNumberFormat="1" applyAlignment="1">
      <alignment horizontal="center" shrinkToFit="1"/>
    </xf>
    <xf numFmtId="3" fontId="0" fillId="0" borderId="0" xfId="0" applyNumberFormat="1" applyBorder="1" applyAlignment="1">
      <alignment horizontal="center" shrinkToFit="1"/>
    </xf>
    <xf numFmtId="3" fontId="0" fillId="0" borderId="10" xfId="0" applyNumberFormat="1" applyBorder="1" applyAlignment="1">
      <alignment horizontal="center" shrinkToFit="1"/>
    </xf>
    <xf numFmtId="3" fontId="0" fillId="0" borderId="7" xfId="0" applyNumberFormat="1" applyBorder="1" applyAlignment="1">
      <alignment horizontal="center" shrinkToFit="1"/>
    </xf>
    <xf numFmtId="3" fontId="2" fillId="0" borderId="0" xfId="0" applyNumberFormat="1" applyFont="1" applyBorder="1" applyAlignment="1">
      <alignment horizontal="center" shrinkToFit="1"/>
    </xf>
    <xf numFmtId="3" fontId="2" fillId="0" borderId="10" xfId="0" applyNumberFormat="1" applyFont="1" applyBorder="1" applyAlignment="1">
      <alignment horizontal="center" shrinkToFit="1"/>
    </xf>
    <xf numFmtId="3" fontId="2" fillId="0" borderId="7" xfId="0" applyNumberFormat="1" applyFont="1" applyBorder="1" applyAlignment="1">
      <alignment horizontal="center" shrinkToFit="1"/>
    </xf>
    <xf numFmtId="2" fontId="0" fillId="0" borderId="10" xfId="0" applyNumberFormat="1" applyBorder="1"/>
    <xf numFmtId="2" fontId="0" fillId="0" borderId="0" xfId="0" applyNumberFormat="1" applyAlignment="1">
      <alignment shrinkToFit="1"/>
    </xf>
    <xf numFmtId="0" fontId="0" fillId="0" borderId="0" xfId="0" applyFill="1" applyBorder="1"/>
    <xf numFmtId="2" fontId="0" fillId="0" borderId="0" xfId="0" applyNumberFormat="1" applyBorder="1"/>
    <xf numFmtId="2" fontId="0" fillId="0" borderId="10" xfId="0" applyNumberFormat="1" applyBorder="1" applyAlignment="1">
      <alignment shrinkToFit="1"/>
    </xf>
    <xf numFmtId="0" fontId="0" fillId="0" borderId="0" xfId="0" applyFont="1"/>
    <xf numFmtId="3" fontId="0" fillId="0" borderId="0" xfId="0" applyNumberFormat="1" applyFont="1"/>
    <xf numFmtId="2" fontId="0" fillId="0" borderId="10" xfId="0" applyNumberFormat="1" applyFill="1" applyBorder="1"/>
    <xf numFmtId="2" fontId="0" fillId="0" borderId="0" xfId="0" applyNumberFormat="1" applyFill="1" applyBorder="1"/>
    <xf numFmtId="2" fontId="0" fillId="0" borderId="0" xfId="0" applyNumberFormat="1" applyBorder="1" applyAlignment="1">
      <alignment shrinkToFit="1"/>
    </xf>
    <xf numFmtId="0" fontId="0" fillId="0" borderId="0" xfId="0" applyBorder="1" applyAlignment="1">
      <alignment shrinkToFit="1"/>
    </xf>
    <xf numFmtId="2" fontId="1" fillId="2" borderId="1" xfId="0" applyNumberFormat="1" applyFont="1" applyFill="1" applyBorder="1" applyAlignment="1">
      <alignment horizontal="center" shrinkToFit="1"/>
    </xf>
    <xf numFmtId="0" fontId="3" fillId="0" borderId="0" xfId="0" applyFont="1" applyBorder="1"/>
    <xf numFmtId="0" fontId="3" fillId="0" borderId="0" xfId="0" applyFont="1"/>
    <xf numFmtId="0" fontId="0" fillId="0" borderId="0" xfId="0" applyBorder="1" applyAlignment="1"/>
    <xf numFmtId="2" fontId="0" fillId="4" borderId="1" xfId="0" applyNumberFormat="1" applyFont="1" applyFill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2" fontId="0" fillId="0" borderId="0" xfId="0" applyNumberFormat="1" applyFont="1" applyAlignment="1">
      <alignment horizontal="center"/>
    </xf>
    <xf numFmtId="0" fontId="5" fillId="0" borderId="7" xfId="0" applyFont="1" applyBorder="1"/>
    <xf numFmtId="0" fontId="5" fillId="0" borderId="0" xfId="0" applyFont="1" applyFill="1" applyBorder="1"/>
    <xf numFmtId="0" fontId="5" fillId="0" borderId="0" xfId="0" applyFont="1" applyBorder="1"/>
    <xf numFmtId="2" fontId="5" fillId="0" borderId="0" xfId="0" applyNumberFormat="1" applyFont="1" applyBorder="1"/>
    <xf numFmtId="2" fontId="5" fillId="0" borderId="10" xfId="0" applyNumberFormat="1" applyFont="1" applyBorder="1"/>
    <xf numFmtId="2" fontId="5" fillId="0" borderId="0" xfId="0" applyNumberFormat="1" applyFont="1" applyBorder="1" applyAlignment="1">
      <alignment shrinkToFit="1"/>
    </xf>
    <xf numFmtId="0" fontId="0" fillId="0" borderId="0" xfId="0" applyAlignment="1">
      <alignment horizontal="right"/>
    </xf>
    <xf numFmtId="3" fontId="0" fillId="0" borderId="1" xfId="0" applyNumberFormat="1" applyBorder="1" applyAlignment="1">
      <alignment horizontal="right"/>
    </xf>
    <xf numFmtId="0" fontId="0" fillId="4" borderId="1" xfId="0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4" borderId="1" xfId="0" applyFont="1" applyFill="1" applyBorder="1" applyAlignment="1">
      <alignment horizontal="left"/>
    </xf>
    <xf numFmtId="0" fontId="0" fillId="11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2" fontId="6" fillId="0" borderId="0" xfId="0" applyNumberFormat="1" applyFont="1" applyBorder="1"/>
    <xf numFmtId="2" fontId="6" fillId="0" borderId="10" xfId="0" applyNumberFormat="1" applyFont="1" applyBorder="1"/>
    <xf numFmtId="2" fontId="6" fillId="0" borderId="0" xfId="0" applyNumberFormat="1" applyFont="1" applyBorder="1" applyAlignment="1">
      <alignment shrinkToFit="1"/>
    </xf>
    <xf numFmtId="4" fontId="0" fillId="0" borderId="0" xfId="0" applyNumberFormat="1"/>
    <xf numFmtId="2" fontId="0" fillId="0" borderId="7" xfId="0" applyNumberFormat="1" applyBorder="1"/>
    <xf numFmtId="2" fontId="5" fillId="0" borderId="7" xfId="0" applyNumberFormat="1" applyFont="1" applyBorder="1"/>
    <xf numFmtId="0" fontId="0" fillId="0" borderId="7" xfId="0" applyFill="1" applyBorder="1"/>
    <xf numFmtId="164" fontId="7" fillId="0" borderId="0" xfId="0" applyNumberFormat="1" applyFont="1" applyBorder="1"/>
    <xf numFmtId="0" fontId="1" fillId="2" borderId="3" xfId="0" applyFont="1" applyFill="1" applyBorder="1" applyAlignment="1">
      <alignment horizontal="center" shrinkToFit="1"/>
    </xf>
    <xf numFmtId="2" fontId="0" fillId="0" borderId="7" xfId="0" applyNumberFormat="1" applyFill="1" applyBorder="1"/>
    <xf numFmtId="0" fontId="0" fillId="4" borderId="3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12" borderId="1" xfId="0" applyFont="1" applyFill="1" applyBorder="1"/>
    <xf numFmtId="0" fontId="1" fillId="2" borderId="16" xfId="0" applyFont="1" applyFill="1" applyBorder="1" applyAlignment="1">
      <alignment horizontal="center" shrinkToFit="1"/>
    </xf>
    <xf numFmtId="0" fontId="1" fillId="2" borderId="17" xfId="0" applyFont="1" applyFill="1" applyBorder="1" applyAlignment="1">
      <alignment horizontal="center" shrinkToFit="1"/>
    </xf>
    <xf numFmtId="0" fontId="0" fillId="0" borderId="18" xfId="0" applyBorder="1"/>
    <xf numFmtId="2" fontId="0" fillId="0" borderId="19" xfId="0" applyNumberFormat="1" applyBorder="1"/>
    <xf numFmtId="0" fontId="0" fillId="0" borderId="19" xfId="0" applyBorder="1"/>
    <xf numFmtId="0" fontId="1" fillId="2" borderId="3" xfId="0" applyFont="1" applyFill="1" applyBorder="1" applyAlignment="1">
      <alignment horizontal="center"/>
    </xf>
    <xf numFmtId="0" fontId="5" fillId="0" borderId="18" xfId="0" applyFont="1" applyBorder="1"/>
    <xf numFmtId="2" fontId="0" fillId="0" borderId="19" xfId="0" applyNumberFormat="1" applyFill="1" applyBorder="1"/>
    <xf numFmtId="2" fontId="0" fillId="0" borderId="18" xfId="0" applyNumberFormat="1" applyBorder="1"/>
    <xf numFmtId="2" fontId="5" fillId="0" borderId="18" xfId="0" applyNumberFormat="1" applyFont="1" applyBorder="1"/>
    <xf numFmtId="2" fontId="5" fillId="0" borderId="19" xfId="0" applyNumberFormat="1" applyFont="1" applyBorder="1"/>
    <xf numFmtId="0" fontId="0" fillId="0" borderId="18" xfId="0" applyFill="1" applyBorder="1"/>
    <xf numFmtId="2" fontId="1" fillId="2" borderId="17" xfId="0" applyNumberFormat="1" applyFont="1" applyFill="1" applyBorder="1" applyAlignment="1">
      <alignment horizontal="center" shrinkToFit="1"/>
    </xf>
    <xf numFmtId="2" fontId="6" fillId="0" borderId="19" xfId="0" applyNumberFormat="1" applyFont="1" applyBorder="1"/>
    <xf numFmtId="2" fontId="0" fillId="5" borderId="1" xfId="0" applyNumberFormat="1" applyFont="1" applyFill="1" applyBorder="1" applyAlignment="1">
      <alignment horizontal="center"/>
    </xf>
    <xf numFmtId="0" fontId="0" fillId="14" borderId="1" xfId="0" applyFont="1" applyFill="1" applyBorder="1" applyAlignment="1">
      <alignment horizont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8" fillId="0" borderId="0" xfId="0" applyNumberFormat="1" applyFont="1" applyAlignment="1">
      <alignment shrinkToFit="1"/>
    </xf>
    <xf numFmtId="0" fontId="8" fillId="0" borderId="0" xfId="0" applyFont="1" applyBorder="1"/>
    <xf numFmtId="0" fontId="8" fillId="0" borderId="0" xfId="0" applyFont="1" applyFill="1" applyBorder="1"/>
    <xf numFmtId="2" fontId="8" fillId="0" borderId="0" xfId="0" applyNumberFormat="1" applyFont="1" applyBorder="1"/>
    <xf numFmtId="0" fontId="8" fillId="0" borderId="0" xfId="0" applyFont="1" applyAlignment="1">
      <alignment shrinkToFit="1"/>
    </xf>
    <xf numFmtId="2" fontId="8" fillId="0" borderId="18" xfId="0" applyNumberFormat="1" applyFont="1" applyBorder="1"/>
    <xf numFmtId="2" fontId="8" fillId="0" borderId="0" xfId="0" applyNumberFormat="1" applyFont="1" applyBorder="1" applyAlignment="1">
      <alignment shrinkToFit="1"/>
    </xf>
    <xf numFmtId="0" fontId="8" fillId="0" borderId="18" xfId="0" applyFont="1" applyBorder="1"/>
    <xf numFmtId="2" fontId="8" fillId="0" borderId="0" xfId="0" applyNumberFormat="1" applyFont="1" applyFill="1" applyBorder="1"/>
    <xf numFmtId="0" fontId="8" fillId="0" borderId="0" xfId="0" applyFont="1" applyBorder="1" applyAlignment="1">
      <alignment shrinkToFit="1"/>
    </xf>
    <xf numFmtId="2" fontId="5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0" fillId="11" borderId="1" xfId="0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shrinkToFit="1"/>
    </xf>
    <xf numFmtId="0" fontId="8" fillId="0" borderId="18" xfId="0" applyFont="1" applyFill="1" applyBorder="1"/>
    <xf numFmtId="0" fontId="0" fillId="13" borderId="1" xfId="0" applyFill="1" applyBorder="1"/>
    <xf numFmtId="0" fontId="0" fillId="13" borderId="1" xfId="0" applyFont="1" applyFill="1" applyBorder="1"/>
    <xf numFmtId="0" fontId="0" fillId="13" borderId="1" xfId="0" applyFont="1" applyFill="1" applyBorder="1" applyAlignment="1">
      <alignment horizontal="center"/>
    </xf>
    <xf numFmtId="2" fontId="8" fillId="0" borderId="7" xfId="0" applyNumberFormat="1" applyFont="1" applyBorder="1"/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13" borderId="6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8" xfId="0" applyBorder="1" applyAlignment="1">
      <alignment horizontal="center" shrinkToFit="1"/>
    </xf>
    <xf numFmtId="0" fontId="0" fillId="0" borderId="4" xfId="0" applyBorder="1" applyAlignment="1">
      <alignment horizontal="center" shrinkToFit="1"/>
    </xf>
    <xf numFmtId="0" fontId="0" fillId="13" borderId="14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10" borderId="6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10" borderId="15" xfId="0" applyFill="1" applyBorder="1" applyAlignment="1">
      <alignment horizontal="center"/>
    </xf>
    <xf numFmtId="0" fontId="0" fillId="10" borderId="14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7" borderId="7" xfId="0" applyFill="1" applyBorder="1" applyAlignment="1">
      <alignment horizontal="center" shrinkToFit="1"/>
    </xf>
    <xf numFmtId="0" fontId="0" fillId="7" borderId="10" xfId="0" applyFill="1" applyBorder="1" applyAlignment="1">
      <alignment horizontal="center" shrinkToFit="1"/>
    </xf>
    <xf numFmtId="0" fontId="0" fillId="0" borderId="7" xfId="0" applyBorder="1" applyAlignment="1">
      <alignment horizontal="center" shrinkToFit="1"/>
    </xf>
    <xf numFmtId="0" fontId="0" fillId="0" borderId="10" xfId="0" applyBorder="1" applyAlignment="1">
      <alignment horizontal="center" shrinkToFit="1"/>
    </xf>
    <xf numFmtId="0" fontId="0" fillId="7" borderId="0" xfId="0" applyFill="1" applyBorder="1" applyAlignment="1">
      <alignment horizontal="center" shrinkToFit="1"/>
    </xf>
  </cellXfs>
  <cellStyles count="1">
    <cellStyle name="Обычный" xfId="0" builtinId="0"/>
  </cellStyles>
  <dxfs count="13"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rgb="FF002060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66FF"/>
      <color rgb="FFCCEC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alcChain" Target="calcChain.xml"/><Relationship Id="rId5" Type="http://schemas.openxmlformats.org/officeDocument/2006/relationships/worksheet" Target="worksheets/sheet4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Feed_D!$B$2</c:f>
              <c:strCache>
                <c:ptCount val="1"/>
                <c:pt idx="0">
                  <c:v>Whispering Death</c:v>
                </c:pt>
              </c:strCache>
            </c:strRef>
          </c:tx>
          <c:marker>
            <c:symbol val="none"/>
          </c:marker>
          <c:xVal>
            <c:numRef>
              <c:f>Feed_D!$A$4:$A$30</c:f>
              <c:numCache>
                <c:formatCode>General</c:formatCode>
                <c:ptCount val="27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</c:numCache>
            </c:numRef>
          </c:xVal>
          <c:yVal>
            <c:numRef>
              <c:f>Feed_D!$G$4:$G$30</c:f>
              <c:numCache>
                <c:formatCode>0.00</c:formatCode>
                <c:ptCount val="27"/>
                <c:pt idx="0">
                  <c:v>0.29605263157894735</c:v>
                </c:pt>
                <c:pt idx="1">
                  <c:v>0.27192982456140347</c:v>
                </c:pt>
                <c:pt idx="2">
                  <c:v>0.18660287081339713</c:v>
                </c:pt>
                <c:pt idx="3">
                  <c:v>0.22170900692840645</c:v>
                </c:pt>
                <c:pt idx="4">
                  <c:v>0.23076923076923073</c:v>
                </c:pt>
                <c:pt idx="5">
                  <c:v>0.2139917695473251</c:v>
                </c:pt>
                <c:pt idx="6">
                  <c:v>0.26744186046511631</c:v>
                </c:pt>
                <c:pt idx="7">
                  <c:v>0.37842778793418647</c:v>
                </c:pt>
                <c:pt idx="8">
                  <c:v>0.80843585237258342</c:v>
                </c:pt>
                <c:pt idx="15">
                  <c:v>3.2445141065830727</c:v>
                </c:pt>
                <c:pt idx="16">
                  <c:v>4.1317365269461073</c:v>
                </c:pt>
                <c:pt idx="17">
                  <c:v>6.5902578796561597</c:v>
                </c:pt>
                <c:pt idx="20">
                  <c:v>11.017964071856289</c:v>
                </c:pt>
                <c:pt idx="21">
                  <c:v>10.06993006993007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Feed_D!$Z$2</c:f>
              <c:strCache>
                <c:ptCount val="1"/>
                <c:pt idx="0">
                  <c:v>Thunderdrum</c:v>
                </c:pt>
              </c:strCache>
            </c:strRef>
          </c:tx>
          <c:marker>
            <c:symbol val="none"/>
          </c:marker>
          <c:xVal>
            <c:numRef>
              <c:f>Feed_D!$A$4:$A$30</c:f>
              <c:numCache>
                <c:formatCode>General</c:formatCode>
                <c:ptCount val="27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</c:numCache>
            </c:numRef>
          </c:xVal>
          <c:yVal>
            <c:numRef>
              <c:f>Feed_D!$AE$4:$AE$30</c:f>
              <c:numCache>
                <c:formatCode>0.00</c:formatCode>
                <c:ptCount val="27"/>
                <c:pt idx="0">
                  <c:v>0.3154034229828851</c:v>
                </c:pt>
                <c:pt idx="1">
                  <c:v>0.74347826086956537</c:v>
                </c:pt>
                <c:pt idx="2">
                  <c:v>1.2184724689165187</c:v>
                </c:pt>
                <c:pt idx="3">
                  <c:v>2.2075471698113209</c:v>
                </c:pt>
                <c:pt idx="4">
                  <c:v>4.5732899022801305</c:v>
                </c:pt>
                <c:pt idx="5">
                  <c:v>1.7404580152671756</c:v>
                </c:pt>
                <c:pt idx="6">
                  <c:v>4.2413793103448274</c:v>
                </c:pt>
                <c:pt idx="7">
                  <c:v>4.1519674355495244</c:v>
                </c:pt>
                <c:pt idx="8">
                  <c:v>1.9817470664928289</c:v>
                </c:pt>
                <c:pt idx="9">
                  <c:v>4.0874035989717221</c:v>
                </c:pt>
                <c:pt idx="10">
                  <c:v>4.1497461928934012</c:v>
                </c:pt>
                <c:pt idx="11">
                  <c:v>2.5598991172761667</c:v>
                </c:pt>
                <c:pt idx="12">
                  <c:v>4.2481203007518804</c:v>
                </c:pt>
                <c:pt idx="13">
                  <c:v>4.3337484433374849</c:v>
                </c:pt>
                <c:pt idx="14">
                  <c:v>3.3415841584158414</c:v>
                </c:pt>
                <c:pt idx="16">
                  <c:v>5.333333333333333</c:v>
                </c:pt>
                <c:pt idx="17">
                  <c:v>8.501594048884165</c:v>
                </c:pt>
                <c:pt idx="18">
                  <c:v>6.4705882352941178</c:v>
                </c:pt>
                <c:pt idx="19">
                  <c:v>8.2075471698113205</c:v>
                </c:pt>
                <c:pt idx="20">
                  <c:v>14.159292035398229</c:v>
                </c:pt>
                <c:pt idx="21">
                  <c:v>12.931034482758619</c:v>
                </c:pt>
                <c:pt idx="22">
                  <c:v>14</c:v>
                </c:pt>
                <c:pt idx="23">
                  <c:v>19.35483870967742</c:v>
                </c:pt>
                <c:pt idx="24">
                  <c:v>13.432835820895521</c:v>
                </c:pt>
                <c:pt idx="25">
                  <c:v>18.129496402877699</c:v>
                </c:pt>
                <c:pt idx="26">
                  <c:v>20.833333333333332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Feed_D!$ED$2</c:f>
              <c:strCache>
                <c:ptCount val="1"/>
                <c:pt idx="0">
                  <c:v>Raincutter</c:v>
                </c:pt>
              </c:strCache>
            </c:strRef>
          </c:tx>
          <c:marker>
            <c:symbol val="none"/>
          </c:marker>
          <c:xVal>
            <c:numRef>
              <c:f>Feed_D!$A$4:$A$50</c:f>
              <c:numCache>
                <c:formatCode>General</c:formatCode>
                <c:ptCount val="47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</c:numCache>
            </c:numRef>
          </c:xVal>
          <c:yVal>
            <c:numRef>
              <c:f>Feed_D!$EI$4:$EI$50</c:f>
              <c:numCache>
                <c:formatCode>0.00</c:formatCode>
                <c:ptCount val="47"/>
                <c:pt idx="0">
                  <c:v>0.28925619834710736</c:v>
                </c:pt>
                <c:pt idx="1">
                  <c:v>0.27272727272727276</c:v>
                </c:pt>
                <c:pt idx="2">
                  <c:v>0.17499999999999999</c:v>
                </c:pt>
                <c:pt idx="3">
                  <c:v>0.23300970873786411</c:v>
                </c:pt>
                <c:pt idx="4">
                  <c:v>0.26388888888888884</c:v>
                </c:pt>
                <c:pt idx="5">
                  <c:v>0.65217391304347827</c:v>
                </c:pt>
                <c:pt idx="6">
                  <c:v>0.45609756097560977</c:v>
                </c:pt>
                <c:pt idx="7">
                  <c:v>0.45454545454545459</c:v>
                </c:pt>
                <c:pt idx="8">
                  <c:v>0.73529411764705888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3.1788079470198678</c:v>
                </c:pt>
                <c:pt idx="16">
                  <c:v>3.75</c:v>
                </c:pt>
                <c:pt idx="17">
                  <c:v>6.0240963855421681</c:v>
                </c:pt>
                <c:pt idx="18">
                  <c:v>4.5580110497237563</c:v>
                </c:pt>
                <c:pt idx="19">
                  <c:v>5.7765957446808507</c:v>
                </c:pt>
                <c:pt idx="20">
                  <c:v>10.050251256281408</c:v>
                </c:pt>
                <c:pt idx="21">
                  <c:v>9.3676470588235308</c:v>
                </c:pt>
                <c:pt idx="22">
                  <c:v>12.382075471698114</c:v>
                </c:pt>
                <c:pt idx="23">
                  <c:v>13.698630136986303</c:v>
                </c:pt>
                <c:pt idx="24">
                  <c:v>15.822784810126585</c:v>
                </c:pt>
                <c:pt idx="25">
                  <c:v>18.218623481781375</c:v>
                </c:pt>
                <c:pt idx="26">
                  <c:v>15.686274509803921</c:v>
                </c:pt>
                <c:pt idx="27">
                  <c:v>20.625</c:v>
                </c:pt>
                <c:pt idx="28">
                  <c:v>20.379310344827587</c:v>
                </c:pt>
                <c:pt idx="29">
                  <c:v>16.104294478527606</c:v>
                </c:pt>
                <c:pt idx="30">
                  <c:v>16.62049861495845</c:v>
                </c:pt>
                <c:pt idx="31">
                  <c:v>17.810026385224273</c:v>
                </c:pt>
                <c:pt idx="32">
                  <c:v>14.156171284634761</c:v>
                </c:pt>
                <c:pt idx="33">
                  <c:v>22.004889975550125</c:v>
                </c:pt>
                <c:pt idx="34">
                  <c:v>26.346604215456676</c:v>
                </c:pt>
                <c:pt idx="35">
                  <c:v>15.438202247191013</c:v>
                </c:pt>
                <c:pt idx="36">
                  <c:v>26.695464362850974</c:v>
                </c:pt>
                <c:pt idx="37">
                  <c:v>31.185031185031185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Feed_D!$AL$2</c:f>
              <c:strCache>
                <c:ptCount val="1"/>
                <c:pt idx="0">
                  <c:v>Deadly Nadder</c:v>
                </c:pt>
              </c:strCache>
            </c:strRef>
          </c:tx>
          <c:marker>
            <c:symbol val="none"/>
          </c:marker>
          <c:xVal>
            <c:numRef>
              <c:f>Feed_D!$A$4:$A$100</c:f>
              <c:numCache>
                <c:formatCode>General</c:formatCode>
                <c:ptCount val="97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</c:numCache>
            </c:numRef>
          </c:xVal>
          <c:yVal>
            <c:numRef>
              <c:f>Feed_D!$AQ$4:$AQ$100</c:f>
              <c:numCache>
                <c:formatCode>0.00</c:formatCode>
                <c:ptCount val="97"/>
                <c:pt idx="0">
                  <c:v>0.22159090909090906</c:v>
                </c:pt>
                <c:pt idx="1">
                  <c:v>0.43434343434343431</c:v>
                </c:pt>
                <c:pt idx="2">
                  <c:v>0.40358126721763088</c:v>
                </c:pt>
                <c:pt idx="3">
                  <c:v>0.38297872340425532</c:v>
                </c:pt>
                <c:pt idx="4">
                  <c:v>0.39393939393939398</c:v>
                </c:pt>
                <c:pt idx="5">
                  <c:v>0.46153846153846156</c:v>
                </c:pt>
                <c:pt idx="6">
                  <c:v>0.35412026726057905</c:v>
                </c:pt>
                <c:pt idx="7">
                  <c:v>0.34105263157894739</c:v>
                </c:pt>
                <c:pt idx="8">
                  <c:v>0.5252525252525253</c:v>
                </c:pt>
                <c:pt idx="9">
                  <c:v>0.33300000000000002</c:v>
                </c:pt>
                <c:pt idx="10">
                  <c:v>0.42475247524752474</c:v>
                </c:pt>
                <c:pt idx="11">
                  <c:v>0.95588235294117663</c:v>
                </c:pt>
                <c:pt idx="12">
                  <c:v>0.60582524271844651</c:v>
                </c:pt>
                <c:pt idx="13">
                  <c:v>0.67499999999999993</c:v>
                </c:pt>
                <c:pt idx="14">
                  <c:v>1.6761904761904762</c:v>
                </c:pt>
                <c:pt idx="15">
                  <c:v>2.1081081081081079</c:v>
                </c:pt>
                <c:pt idx="16">
                  <c:v>2.6896551724137936</c:v>
                </c:pt>
                <c:pt idx="17">
                  <c:v>4.2975206611570247</c:v>
                </c:pt>
                <c:pt idx="18">
                  <c:v>3.2500000000000004</c:v>
                </c:pt>
                <c:pt idx="19">
                  <c:v>4.1386861313868613</c:v>
                </c:pt>
                <c:pt idx="20">
                  <c:v>7.1724137931034484</c:v>
                </c:pt>
                <c:pt idx="21">
                  <c:v>6.5436241610738257</c:v>
                </c:pt>
                <c:pt idx="22">
                  <c:v>7.0909090909090899</c:v>
                </c:pt>
                <c:pt idx="23">
                  <c:v>9.75</c:v>
                </c:pt>
                <c:pt idx="24">
                  <c:v>6.7630057803468207</c:v>
                </c:pt>
                <c:pt idx="25">
                  <c:v>9.1</c:v>
                </c:pt>
                <c:pt idx="26">
                  <c:v>10.483870967741936</c:v>
                </c:pt>
                <c:pt idx="27">
                  <c:v>11.818181818181818</c:v>
                </c:pt>
                <c:pt idx="28">
                  <c:v>12.938388625592417</c:v>
                </c:pt>
                <c:pt idx="29">
                  <c:v>10.92436974789916</c:v>
                </c:pt>
                <c:pt idx="30">
                  <c:v>11.908396946564887</c:v>
                </c:pt>
                <c:pt idx="31">
                  <c:v>12.717391304347826</c:v>
                </c:pt>
                <c:pt idx="32">
                  <c:v>9.7923875432525946</c:v>
                </c:pt>
                <c:pt idx="33">
                  <c:v>15.757575757575758</c:v>
                </c:pt>
                <c:pt idx="34" formatCode="General">
                  <c:v>18.870967741935484</c:v>
                </c:pt>
                <c:pt idx="35" formatCode="General">
                  <c:v>11.083591331269352</c:v>
                </c:pt>
                <c:pt idx="36" formatCode="General">
                  <c:v>19.139465875370917</c:v>
                </c:pt>
                <c:pt idx="37" formatCode="General">
                  <c:v>22.285714285714285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Feed_D!$T$2</c:f>
              <c:strCache>
                <c:ptCount val="1"/>
                <c:pt idx="0">
                  <c:v>Hookfang</c:v>
                </c:pt>
              </c:strCache>
            </c:strRef>
          </c:tx>
          <c:marker>
            <c:symbol val="none"/>
          </c:marker>
          <c:xVal>
            <c:numRef>
              <c:f>Feed_D!$A$4:$A$40</c:f>
              <c:numCache>
                <c:formatCode>General</c:formatCode>
                <c:ptCount val="37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</c:numCache>
            </c:numRef>
          </c:xVal>
          <c:yVal>
            <c:numRef>
              <c:f>Feed_D!$Y$4:$Y$40</c:f>
              <c:numCache>
                <c:formatCode>0.00</c:formatCode>
                <c:ptCount val="37"/>
                <c:pt idx="8">
                  <c:v>1.129032258064516</c:v>
                </c:pt>
                <c:pt idx="9">
                  <c:v>0.71115537848605581</c:v>
                </c:pt>
                <c:pt idx="10">
                  <c:v>0.90944881889763796</c:v>
                </c:pt>
                <c:pt idx="11">
                  <c:v>0.5859375</c:v>
                </c:pt>
                <c:pt idx="12">
                  <c:v>1.3073929961089492</c:v>
                </c:pt>
                <c:pt idx="13">
                  <c:v>1.4594594594594594</c:v>
                </c:pt>
                <c:pt idx="14">
                  <c:v>3.6206896551724137</c:v>
                </c:pt>
                <c:pt idx="15">
                  <c:v>4.5487364620938626</c:v>
                </c:pt>
                <c:pt idx="16">
                  <c:v>5.7931034482758621</c:v>
                </c:pt>
                <c:pt idx="17">
                  <c:v>9.2105263157894743</c:v>
                </c:pt>
                <c:pt idx="18">
                  <c:v>7</c:v>
                </c:pt>
                <c:pt idx="19">
                  <c:v>8.9212827988338201</c:v>
                </c:pt>
                <c:pt idx="20">
                  <c:v>15.426997245179063</c:v>
                </c:pt>
                <c:pt idx="21">
                  <c:v>14.075067024128687</c:v>
                </c:pt>
                <c:pt idx="22" formatCode="General">
                  <c:v>15.233160621761657</c:v>
                </c:pt>
                <c:pt idx="23" formatCode="General">
                  <c:v>8.0200501253132845</c:v>
                </c:pt>
                <c:pt idx="24" formatCode="General">
                  <c:v>14.583333333333332</c:v>
                </c:pt>
                <c:pt idx="25" formatCode="General">
                  <c:v>19.599999999999998</c:v>
                </c:pt>
                <c:pt idx="26" formatCode="General">
                  <c:v>22.580645161290324</c:v>
                </c:pt>
                <c:pt idx="27" formatCode="General">
                  <c:v>25.454545454545457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Feed_D!$N$2</c:f>
              <c:strCache>
                <c:ptCount val="1"/>
                <c:pt idx="0">
                  <c:v>Meatlug</c:v>
                </c:pt>
              </c:strCache>
            </c:strRef>
          </c:tx>
          <c:marker>
            <c:symbol val="none"/>
          </c:marker>
          <c:xVal>
            <c:numRef>
              <c:f>Feed_D!$A$4:$A$40</c:f>
              <c:numCache>
                <c:formatCode>General</c:formatCode>
                <c:ptCount val="37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</c:numCache>
            </c:numRef>
          </c:xVal>
          <c:yVal>
            <c:numRef>
              <c:f>Feed_D!$S$4:$S$40</c:f>
              <c:numCache>
                <c:formatCode>0.00</c:formatCode>
                <c:ptCount val="37"/>
                <c:pt idx="8">
                  <c:v>1.129032258064516</c:v>
                </c:pt>
                <c:pt idx="9">
                  <c:v>0.71115537848605581</c:v>
                </c:pt>
                <c:pt idx="10">
                  <c:v>0.90944881889763796</c:v>
                </c:pt>
                <c:pt idx="11">
                  <c:v>0.5859375</c:v>
                </c:pt>
                <c:pt idx="12">
                  <c:v>1.3073929961089492</c:v>
                </c:pt>
                <c:pt idx="13">
                  <c:v>1.4594594594594594</c:v>
                </c:pt>
                <c:pt idx="14">
                  <c:v>3.6206896551724137</c:v>
                </c:pt>
                <c:pt idx="15">
                  <c:v>4.5487364620938626</c:v>
                </c:pt>
                <c:pt idx="16">
                  <c:v>5.7931034482758621</c:v>
                </c:pt>
                <c:pt idx="17">
                  <c:v>3.2894736842105265</c:v>
                </c:pt>
                <c:pt idx="18">
                  <c:v>7</c:v>
                </c:pt>
                <c:pt idx="19">
                  <c:v>8.9212827988338201</c:v>
                </c:pt>
                <c:pt idx="20">
                  <c:v>15.426997245179063</c:v>
                </c:pt>
                <c:pt idx="21">
                  <c:v>14.11290322580645</c:v>
                </c:pt>
                <c:pt idx="22">
                  <c:v>15.193798449612403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Feed_D!$AR$2</c:f>
              <c:strCache>
                <c:ptCount val="1"/>
                <c:pt idx="0">
                  <c:v>Stormfly</c:v>
                </c:pt>
              </c:strCache>
            </c:strRef>
          </c:tx>
          <c:marker>
            <c:symbol val="none"/>
          </c:marker>
          <c:xVal>
            <c:numRef>
              <c:f>Feed_D!$A$4:$A$40</c:f>
              <c:numCache>
                <c:formatCode>General</c:formatCode>
                <c:ptCount val="37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</c:numCache>
            </c:numRef>
          </c:xVal>
          <c:yVal>
            <c:numRef>
              <c:f>Feed_D!$AW$4:$AW$40</c:f>
              <c:numCache>
                <c:formatCode>0.00</c:formatCode>
                <c:ptCount val="37"/>
                <c:pt idx="14">
                  <c:v>3.8571428571428572</c:v>
                </c:pt>
                <c:pt idx="15">
                  <c:v>4.8648648648648649</c:v>
                </c:pt>
                <c:pt idx="16">
                  <c:v>6.2068965517241388</c:v>
                </c:pt>
                <c:pt idx="17">
                  <c:v>7.4380165289256199</c:v>
                </c:pt>
                <c:pt idx="18">
                  <c:v>7.5</c:v>
                </c:pt>
                <c:pt idx="19">
                  <c:v>9.5255474452554747</c:v>
                </c:pt>
                <c:pt idx="20">
                  <c:v>19.310344827586206</c:v>
                </c:pt>
                <c:pt idx="21">
                  <c:v>15.100671140939596</c:v>
                </c:pt>
                <c:pt idx="22">
                  <c:v>16.363636363636363</c:v>
                </c:pt>
                <c:pt idx="23">
                  <c:v>18.75</c:v>
                </c:pt>
                <c:pt idx="24">
                  <c:v>15.60693641618497</c:v>
                </c:pt>
                <c:pt idx="25">
                  <c:v>21</c:v>
                </c:pt>
                <c:pt idx="26">
                  <c:v>24.193548387096776</c:v>
                </c:pt>
                <c:pt idx="27">
                  <c:v>27.272727272727273</c:v>
                </c:pt>
                <c:pt idx="28">
                  <c:v>29.857819905213265</c:v>
                </c:pt>
                <c:pt idx="29">
                  <c:v>25.210084033613445</c:v>
                </c:pt>
                <c:pt idx="30">
                  <c:v>27.376425855513308</c:v>
                </c:pt>
                <c:pt idx="31" formatCode="General">
                  <c:v>29.34782608695652</c:v>
                </c:pt>
                <c:pt idx="32" formatCode="General">
                  <c:v>23.356401384083046</c:v>
                </c:pt>
                <c:pt idx="33" formatCode="General">
                  <c:v>36.363636363636367</c:v>
                </c:pt>
                <c:pt idx="34" formatCode="General">
                  <c:v>43.548387096774192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Feed_D!$DF$2</c:f>
              <c:strCache>
                <c:ptCount val="1"/>
                <c:pt idx="0">
                  <c:v>Torch's Brother</c:v>
                </c:pt>
              </c:strCache>
            </c:strRef>
          </c:tx>
          <c:marker>
            <c:symbol val="none"/>
          </c:marker>
          <c:xVal>
            <c:numRef>
              <c:f>Feed_D!$A$4:$A$40</c:f>
              <c:numCache>
                <c:formatCode>General</c:formatCode>
                <c:ptCount val="37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</c:numCache>
            </c:numRef>
          </c:xVal>
          <c:yVal>
            <c:numRef>
              <c:f>Feed_D!$DK$4:$DK$40</c:f>
              <c:numCache>
                <c:formatCode>0.00</c:formatCode>
                <c:ptCount val="37"/>
                <c:pt idx="0">
                  <c:v>0.13800000000000001</c:v>
                </c:pt>
                <c:pt idx="1">
                  <c:v>0.13008849557522123</c:v>
                </c:pt>
                <c:pt idx="2">
                  <c:v>0.12246376811594203</c:v>
                </c:pt>
                <c:pt idx="3">
                  <c:v>0.11748251748251749</c:v>
                </c:pt>
                <c:pt idx="4">
                  <c:v>0.15</c:v>
                </c:pt>
                <c:pt idx="5">
                  <c:v>0.13975155279503104</c:v>
                </c:pt>
                <c:pt idx="6">
                  <c:v>0.17543859649122806</c:v>
                </c:pt>
                <c:pt idx="7">
                  <c:v>0.24861878453038674</c:v>
                </c:pt>
                <c:pt idx="8">
                  <c:v>0.53191489361702127</c:v>
                </c:pt>
                <c:pt idx="9">
                  <c:v>0.33455497382198945</c:v>
                </c:pt>
                <c:pt idx="10">
                  <c:v>0.42746113989637308</c:v>
                </c:pt>
                <c:pt idx="11">
                  <c:v>0.96907216494845361</c:v>
                </c:pt>
                <c:pt idx="12">
                  <c:v>0.61224489795918358</c:v>
                </c:pt>
                <c:pt idx="13">
                  <c:v>0.68527918781725894</c:v>
                </c:pt>
                <c:pt idx="14">
                  <c:v>1.7070707070707067</c:v>
                </c:pt>
                <c:pt idx="15">
                  <c:v>2.1327014218009479</c:v>
                </c:pt>
                <c:pt idx="16">
                  <c:v>2.7149321266968327</c:v>
                </c:pt>
                <c:pt idx="17">
                  <c:v>4.329004329004329</c:v>
                </c:pt>
                <c:pt idx="18">
                  <c:v>3.286852589641434</c:v>
                </c:pt>
                <c:pt idx="19">
                  <c:v>4.1724137931034475</c:v>
                </c:pt>
                <c:pt idx="20">
                  <c:v>7.2463768115942022</c:v>
                </c:pt>
                <c:pt idx="22">
                  <c:v>7.1672354948805461</c:v>
                </c:pt>
                <c:pt idx="23">
                  <c:v>9.9009900990099009</c:v>
                </c:pt>
                <c:pt idx="25">
                  <c:v>9.2375366568914963</c:v>
                </c:pt>
                <c:pt idx="26">
                  <c:v>10.593220338983052</c:v>
                </c:pt>
                <c:pt idx="27">
                  <c:v>11.968085106382977</c:v>
                </c:pt>
                <c:pt idx="28">
                  <c:v>13.092269326683292</c:v>
                </c:pt>
                <c:pt idx="29">
                  <c:v>11.086474501108647</c:v>
                </c:pt>
                <c:pt idx="30">
                  <c:v>12.024048096192384</c:v>
                </c:pt>
                <c:pt idx="31">
                  <c:v>12.881679389312977</c:v>
                </c:pt>
                <c:pt idx="32">
                  <c:v>10.255009107468124</c:v>
                </c:pt>
                <c:pt idx="33">
                  <c:v>15.957446808510639</c:v>
                </c:pt>
                <c:pt idx="34" formatCode="General">
                  <c:v>19.067796610169491</c:v>
                </c:pt>
              </c:numCache>
            </c:numRef>
          </c:yVal>
          <c:smooth val="1"/>
        </c:ser>
        <c:ser>
          <c:idx val="8"/>
          <c:order val="8"/>
          <c:tx>
            <c:strRef>
              <c:f>Feed_D!$BV$2</c:f>
              <c:strCache>
                <c:ptCount val="1"/>
                <c:pt idx="0">
                  <c:v>Timberjack</c:v>
                </c:pt>
              </c:strCache>
            </c:strRef>
          </c:tx>
          <c:marker>
            <c:symbol val="none"/>
          </c:marker>
          <c:xVal>
            <c:numRef>
              <c:f>Feed_D!$A$4:$A$40</c:f>
              <c:numCache>
                <c:formatCode>General</c:formatCode>
                <c:ptCount val="37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</c:numCache>
            </c:numRef>
          </c:xVal>
          <c:yVal>
            <c:numRef>
              <c:f>Feed_D!$CA$4:$CA$40</c:f>
              <c:numCache>
                <c:formatCode>0.00</c:formatCode>
                <c:ptCount val="37"/>
                <c:pt idx="0">
                  <c:v>0.35860058309037901</c:v>
                </c:pt>
                <c:pt idx="1">
                  <c:v>0.84715025906735764</c:v>
                </c:pt>
                <c:pt idx="2">
                  <c:v>1.3813559322033897</c:v>
                </c:pt>
                <c:pt idx="3">
                  <c:v>2.4969325153374236</c:v>
                </c:pt>
                <c:pt idx="4">
                  <c:v>4.508737864077669</c:v>
                </c:pt>
                <c:pt idx="5">
                  <c:v>1.5555555555555554</c:v>
                </c:pt>
                <c:pt idx="6">
                  <c:v>4.0754716981132066</c:v>
                </c:pt>
                <c:pt idx="7">
                  <c:v>3.9320388349514563</c:v>
                </c:pt>
                <c:pt idx="8">
                  <c:v>1.7701863354037268</c:v>
                </c:pt>
                <c:pt idx="9">
                  <c:v>3.8098159509202456</c:v>
                </c:pt>
                <c:pt idx="10">
                  <c:v>3.8396369137670199</c:v>
                </c:pt>
                <c:pt idx="11">
                  <c:v>2.2857142857142856</c:v>
                </c:pt>
                <c:pt idx="12">
                  <c:v>3.8744394618834082</c:v>
                </c:pt>
                <c:pt idx="13">
                  <c:v>3.925816023738872</c:v>
                </c:pt>
                <c:pt idx="14">
                  <c:v>2.9941002949852504</c:v>
                </c:pt>
                <c:pt idx="15">
                  <c:v>3.7447988904299585</c:v>
                </c:pt>
                <c:pt idx="16">
                  <c:v>4.7682119205298008</c:v>
                </c:pt>
                <c:pt idx="17">
                  <c:v>7.6045627376425848</c:v>
                </c:pt>
                <c:pt idx="18">
                  <c:v>5.7692307692307692</c:v>
                </c:pt>
                <c:pt idx="19">
                  <c:v>7.331838565022422</c:v>
                </c:pt>
                <c:pt idx="20">
                  <c:v>12.711864406779661</c:v>
                </c:pt>
                <c:pt idx="21">
                  <c:v>11.597938144329898</c:v>
                </c:pt>
                <c:pt idx="22">
                  <c:v>12.600000000000001</c:v>
                </c:pt>
                <c:pt idx="23">
                  <c:v>17.307692307692307</c:v>
                </c:pt>
                <c:pt idx="24">
                  <c:v>12.053571428571429</c:v>
                </c:pt>
                <c:pt idx="25">
                  <c:v>16.153846153846157</c:v>
                </c:pt>
                <c:pt idx="26">
                  <c:v>18.595041322314049</c:v>
                </c:pt>
                <c:pt idx="27">
                  <c:v>20.930232558139533</c:v>
                </c:pt>
                <c:pt idx="28" formatCode="General">
                  <c:v>22.992700729927009</c:v>
                </c:pt>
                <c:pt idx="29" formatCode="General">
                  <c:v>19.480519480519479</c:v>
                </c:pt>
                <c:pt idx="30" formatCode="General">
                  <c:v>21.05263157894737</c:v>
                </c:pt>
              </c:numCache>
            </c:numRef>
          </c:yVal>
          <c:smooth val="1"/>
        </c:ser>
        <c:ser>
          <c:idx val="9"/>
          <c:order val="9"/>
          <c:tx>
            <c:strRef>
              <c:f>Feed_D!$BD$2</c:f>
              <c:strCache>
                <c:ptCount val="1"/>
                <c:pt idx="0">
                  <c:v>Shockjaw</c:v>
                </c:pt>
              </c:strCache>
            </c:strRef>
          </c:tx>
          <c:marker>
            <c:symbol val="none"/>
          </c:marker>
          <c:xVal>
            <c:numRef>
              <c:f>Feed_D!$A$4:$A$100</c:f>
              <c:numCache>
                <c:formatCode>General</c:formatCode>
                <c:ptCount val="97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</c:numCache>
            </c:numRef>
          </c:xVal>
          <c:yVal>
            <c:numRef>
              <c:f>Feed_D!$BI$4:$BI$100</c:f>
              <c:numCache>
                <c:formatCode>0.00</c:formatCode>
                <c:ptCount val="97"/>
                <c:pt idx="0">
                  <c:v>0.1628787878787879</c:v>
                </c:pt>
                <c:pt idx="1">
                  <c:v>0.38383838383838387</c:v>
                </c:pt>
                <c:pt idx="2">
                  <c:v>0.62935779816513771</c:v>
                </c:pt>
                <c:pt idx="3">
                  <c:v>1.1389380530973452</c:v>
                </c:pt>
                <c:pt idx="4">
                  <c:v>2.0823529411764707</c:v>
                </c:pt>
                <c:pt idx="5">
                  <c:v>0.71732283464566926</c:v>
                </c:pt>
                <c:pt idx="6">
                  <c:v>1.8777777777777775</c:v>
                </c:pt>
                <c:pt idx="7">
                  <c:v>1.8125874125874128</c:v>
                </c:pt>
                <c:pt idx="8">
                  <c:v>0.81879194630872476</c:v>
                </c:pt>
                <c:pt idx="9">
                  <c:v>1.7660000000000002</c:v>
                </c:pt>
                <c:pt idx="10">
                  <c:v>1.7802631578947368</c:v>
                </c:pt>
                <c:pt idx="11">
                  <c:v>1.0588235294117647</c:v>
                </c:pt>
                <c:pt idx="12">
                  <c:v>1.7961038961038962</c:v>
                </c:pt>
                <c:pt idx="13">
                  <c:v>1.8212903225806452</c:v>
                </c:pt>
                <c:pt idx="14">
                  <c:v>1.3846153846153846</c:v>
                </c:pt>
                <c:pt idx="15">
                  <c:v>1.7349397590361444</c:v>
                </c:pt>
                <c:pt idx="16">
                  <c:v>2.2068965517241383</c:v>
                </c:pt>
                <c:pt idx="17">
                  <c:v>3.5164835164835164</c:v>
                </c:pt>
                <c:pt idx="18">
                  <c:v>2.6666666666666665</c:v>
                </c:pt>
                <c:pt idx="19">
                  <c:v>3.3786407766990285</c:v>
                </c:pt>
                <c:pt idx="20">
                  <c:v>5.8715596330275224</c:v>
                </c:pt>
                <c:pt idx="21">
                  <c:v>5.3571428571428577</c:v>
                </c:pt>
                <c:pt idx="22">
                  <c:v>5.7931034482758612</c:v>
                </c:pt>
                <c:pt idx="23">
                  <c:v>8</c:v>
                </c:pt>
                <c:pt idx="24">
                  <c:v>5.5598455598455603</c:v>
                </c:pt>
                <c:pt idx="25">
                  <c:v>7.4944237918215633</c:v>
                </c:pt>
                <c:pt idx="26">
                  <c:v>8.6021505376344098</c:v>
                </c:pt>
                <c:pt idx="27">
                  <c:v>9.6969696969696972</c:v>
                </c:pt>
                <c:pt idx="28">
                  <c:v>10.599369085173501</c:v>
                </c:pt>
                <c:pt idx="29">
                  <c:v>8.9887640449438209</c:v>
                </c:pt>
                <c:pt idx="30">
                  <c:v>9.746192893401016</c:v>
                </c:pt>
                <c:pt idx="31">
                  <c:v>10.434782608695652</c:v>
                </c:pt>
                <c:pt idx="32">
                  <c:v>8.2949308755760374</c:v>
                </c:pt>
                <c:pt idx="33">
                  <c:v>12.914798206278027</c:v>
                </c:pt>
                <c:pt idx="34">
                  <c:v>15.450643776824034</c:v>
                </c:pt>
                <c:pt idx="35">
                  <c:v>9.0534979423868318</c:v>
                </c:pt>
                <c:pt idx="36">
                  <c:v>15.683168316831685</c:v>
                </c:pt>
                <c:pt idx="37">
                  <c:v>18.285714285714285</c:v>
                </c:pt>
              </c:numCache>
            </c:numRef>
          </c:yVal>
          <c:smooth val="1"/>
        </c:ser>
        <c:ser>
          <c:idx val="10"/>
          <c:order val="10"/>
          <c:tx>
            <c:strRef>
              <c:f>Feed_D!$CB$2</c:f>
              <c:strCache>
                <c:ptCount val="1"/>
                <c:pt idx="0">
                  <c:v>Changewing</c:v>
                </c:pt>
              </c:strCache>
            </c:strRef>
          </c:tx>
          <c:marker>
            <c:symbol val="none"/>
          </c:marker>
          <c:xVal>
            <c:numRef>
              <c:f>Feed_D!$A$4:$A$100</c:f>
              <c:numCache>
                <c:formatCode>General</c:formatCode>
                <c:ptCount val="97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</c:numCache>
            </c:numRef>
          </c:xVal>
          <c:yVal>
            <c:numRef>
              <c:f>Feed_D!$CG$4:$CG$100</c:f>
              <c:numCache>
                <c:formatCode>0.00</c:formatCode>
                <c:ptCount val="97"/>
                <c:pt idx="0">
                  <c:v>0.35860058309037901</c:v>
                </c:pt>
                <c:pt idx="1">
                  <c:v>0.84715025906735764</c:v>
                </c:pt>
                <c:pt idx="2">
                  <c:v>1.3813559322033897</c:v>
                </c:pt>
                <c:pt idx="3">
                  <c:v>2.4969325153374236</c:v>
                </c:pt>
                <c:pt idx="4">
                  <c:v>4.508737864077669</c:v>
                </c:pt>
                <c:pt idx="5">
                  <c:v>1.5555555555555554</c:v>
                </c:pt>
                <c:pt idx="6">
                  <c:v>4.0754716981132066</c:v>
                </c:pt>
                <c:pt idx="7">
                  <c:v>3.9320388349514563</c:v>
                </c:pt>
                <c:pt idx="8">
                  <c:v>1.7701863354037268</c:v>
                </c:pt>
                <c:pt idx="9">
                  <c:v>3.8098159509202456</c:v>
                </c:pt>
                <c:pt idx="10">
                  <c:v>3.8396369137670199</c:v>
                </c:pt>
                <c:pt idx="11">
                  <c:v>2.2857142857142856</c:v>
                </c:pt>
                <c:pt idx="12">
                  <c:v>3.8744394618834082</c:v>
                </c:pt>
                <c:pt idx="13">
                  <c:v>3.925816023738872</c:v>
                </c:pt>
                <c:pt idx="14">
                  <c:v>2.9941002949852504</c:v>
                </c:pt>
                <c:pt idx="15">
                  <c:v>3.7447988904299585</c:v>
                </c:pt>
                <c:pt idx="16">
                  <c:v>4.7682119205298008</c:v>
                </c:pt>
                <c:pt idx="17">
                  <c:v>7.6045627376425848</c:v>
                </c:pt>
                <c:pt idx="18">
                  <c:v>5.7692307692307692</c:v>
                </c:pt>
                <c:pt idx="19">
                  <c:v>7.331838565022422</c:v>
                </c:pt>
                <c:pt idx="20">
                  <c:v>12.711864406779661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743360"/>
        <c:axId val="427743752"/>
      </c:scatterChart>
      <c:valAx>
        <c:axId val="427743360"/>
        <c:scaling>
          <c:orientation val="minMax"/>
        </c:scaling>
        <c:delete val="0"/>
        <c:axPos val="b"/>
        <c:majorGridlines/>
        <c:minorGridlines/>
        <c:numFmt formatCode="General" sourceLinked="1"/>
        <c:majorTickMark val="out"/>
        <c:minorTickMark val="none"/>
        <c:tickLblPos val="nextTo"/>
        <c:crossAx val="427743752"/>
        <c:crosses val="autoZero"/>
        <c:crossBetween val="midCat"/>
      </c:valAx>
      <c:valAx>
        <c:axId val="42774375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2774336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'графика с выбором'!$E$3</c:f>
              <c:strCache>
                <c:ptCount val="1"/>
                <c:pt idx="0">
                  <c:v>Changewing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'графика с выбором'!$D$4:$D$42</c:f>
              <c:numCache>
                <c:formatCode>General</c:formatCode>
                <c:ptCount val="39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</c:numCache>
            </c:numRef>
          </c:xVal>
          <c:yVal>
            <c:numRef>
              <c:f>'графика с выбором'!$E$4:$E$42</c:f>
              <c:numCache>
                <c:formatCode>General</c:formatCode>
                <c:ptCount val="39"/>
                <c:pt idx="0">
                  <c:v>0.35860058309037901</c:v>
                </c:pt>
                <c:pt idx="1">
                  <c:v>0.84715025906735764</c:v>
                </c:pt>
                <c:pt idx="2">
                  <c:v>1.3813559322033897</c:v>
                </c:pt>
                <c:pt idx="3">
                  <c:v>2.4969325153374236</c:v>
                </c:pt>
                <c:pt idx="4">
                  <c:v>4.508737864077669</c:v>
                </c:pt>
                <c:pt idx="5">
                  <c:v>1.5555555555555554</c:v>
                </c:pt>
                <c:pt idx="6">
                  <c:v>4.0754716981132066</c:v>
                </c:pt>
                <c:pt idx="7">
                  <c:v>3.9320388349514563</c:v>
                </c:pt>
                <c:pt idx="8">
                  <c:v>1.7701863354037268</c:v>
                </c:pt>
                <c:pt idx="9">
                  <c:v>3.8098159509202456</c:v>
                </c:pt>
                <c:pt idx="10">
                  <c:v>3.8396369137670199</c:v>
                </c:pt>
                <c:pt idx="11">
                  <c:v>2.2857142857142856</c:v>
                </c:pt>
                <c:pt idx="12">
                  <c:v>3.8744394618834082</c:v>
                </c:pt>
                <c:pt idx="13">
                  <c:v>3.925816023738872</c:v>
                </c:pt>
                <c:pt idx="14">
                  <c:v>2.9941002949852504</c:v>
                </c:pt>
                <c:pt idx="15">
                  <c:v>3.7447988904299585</c:v>
                </c:pt>
                <c:pt idx="16">
                  <c:v>4.7682119205298008</c:v>
                </c:pt>
                <c:pt idx="17">
                  <c:v>7.6045627376425848</c:v>
                </c:pt>
                <c:pt idx="18">
                  <c:v>5.7692307692307692</c:v>
                </c:pt>
                <c:pt idx="19">
                  <c:v>7.331838565022422</c:v>
                </c:pt>
                <c:pt idx="20">
                  <c:v>12.711864406779661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'графика с выбором'!$F$3</c:f>
              <c:strCache>
                <c:ptCount val="1"/>
                <c:pt idx="0">
                  <c:v>Scauldron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'графика с выбором'!$D$4:$D$42</c:f>
              <c:numCache>
                <c:formatCode>General</c:formatCode>
                <c:ptCount val="39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</c:numCache>
            </c:numRef>
          </c:xVal>
          <c:yVal>
            <c:numRef>
              <c:f>'графика с выбором'!$F$4:$F$42</c:f>
              <c:numCache>
                <c:formatCode>General</c:formatCode>
                <c:ptCount val="39"/>
                <c:pt idx="0">
                  <c:v>#N/A</c:v>
                </c:pt>
                <c:pt idx="1">
                  <c:v>0.27192982456140347</c:v>
                </c:pt>
                <c:pt idx="2">
                  <c:v>0.18660287081339713</c:v>
                </c:pt>
                <c:pt idx="3">
                  <c:v>0.22170900692840645</c:v>
                </c:pt>
                <c:pt idx="4">
                  <c:v>0.23076923076923073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6.6006600660066006</c:v>
                </c:pt>
                <c:pt idx="18">
                  <c:v>4.9802371541501973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'графика с выбором'!$G$3</c:f>
              <c:strCache>
                <c:ptCount val="1"/>
                <c:pt idx="0">
                  <c:v>Meatlug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'графика с выбором'!$D$4:$D$42</c:f>
              <c:numCache>
                <c:formatCode>General</c:formatCode>
                <c:ptCount val="39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</c:numCache>
            </c:numRef>
          </c:xVal>
          <c:yVal>
            <c:numRef>
              <c:f>'графика с выбором'!$G$4:$G$42</c:f>
              <c:numCache>
                <c:formatCode>General</c:formatCode>
                <c:ptCount val="3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1.129032258064516</c:v>
                </c:pt>
                <c:pt idx="9">
                  <c:v>0.71115537848605581</c:v>
                </c:pt>
                <c:pt idx="10">
                  <c:v>0.90944881889763796</c:v>
                </c:pt>
                <c:pt idx="11">
                  <c:v>0.5859375</c:v>
                </c:pt>
                <c:pt idx="12">
                  <c:v>1.3073929961089492</c:v>
                </c:pt>
                <c:pt idx="13">
                  <c:v>1.4594594594594594</c:v>
                </c:pt>
                <c:pt idx="14">
                  <c:v>3.6206896551724137</c:v>
                </c:pt>
                <c:pt idx="15">
                  <c:v>4.5487364620938626</c:v>
                </c:pt>
                <c:pt idx="16">
                  <c:v>5.7931034482758621</c:v>
                </c:pt>
                <c:pt idx="17">
                  <c:v>3.2894736842105265</c:v>
                </c:pt>
                <c:pt idx="18">
                  <c:v>7</c:v>
                </c:pt>
                <c:pt idx="19">
                  <c:v>8.9212827988338201</c:v>
                </c:pt>
                <c:pt idx="20">
                  <c:v>15.426997245179063</c:v>
                </c:pt>
                <c:pt idx="21">
                  <c:v>14.11290322580645</c:v>
                </c:pt>
                <c:pt idx="22">
                  <c:v>15.193798449612403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'графика с выбором'!$H$3</c:f>
              <c:strCache>
                <c:ptCount val="1"/>
                <c:pt idx="0">
                  <c:v>Hookfang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'графика с выбором'!$D$4:$D$42</c:f>
              <c:numCache>
                <c:formatCode>General</c:formatCode>
                <c:ptCount val="39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</c:numCache>
            </c:numRef>
          </c:xVal>
          <c:yVal>
            <c:numRef>
              <c:f>'графика с выбором'!$H$4:$H$42</c:f>
              <c:numCache>
                <c:formatCode>General</c:formatCode>
                <c:ptCount val="3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1.129032258064516</c:v>
                </c:pt>
                <c:pt idx="9">
                  <c:v>0.71115537848605581</c:v>
                </c:pt>
                <c:pt idx="10">
                  <c:v>0.90944881889763796</c:v>
                </c:pt>
                <c:pt idx="11">
                  <c:v>0.5859375</c:v>
                </c:pt>
                <c:pt idx="12">
                  <c:v>1.3073929961089492</c:v>
                </c:pt>
                <c:pt idx="13">
                  <c:v>1.4594594594594594</c:v>
                </c:pt>
                <c:pt idx="14">
                  <c:v>3.6206896551724137</c:v>
                </c:pt>
                <c:pt idx="15">
                  <c:v>4.5487364620938626</c:v>
                </c:pt>
                <c:pt idx="16">
                  <c:v>5.7931034482758621</c:v>
                </c:pt>
                <c:pt idx="17">
                  <c:v>9.2105263157894743</c:v>
                </c:pt>
                <c:pt idx="18">
                  <c:v>7</c:v>
                </c:pt>
                <c:pt idx="19">
                  <c:v>8.9212827988338201</c:v>
                </c:pt>
                <c:pt idx="20">
                  <c:v>15.426997245179063</c:v>
                </c:pt>
                <c:pt idx="21">
                  <c:v>14.075067024128687</c:v>
                </c:pt>
                <c:pt idx="22">
                  <c:v>15.233160621761657</c:v>
                </c:pt>
                <c:pt idx="23">
                  <c:v>8.0200501253132845</c:v>
                </c:pt>
                <c:pt idx="24">
                  <c:v>14.583333333333332</c:v>
                </c:pt>
                <c:pt idx="25">
                  <c:v>19.599999999999998</c:v>
                </c:pt>
                <c:pt idx="26">
                  <c:v>22.580645161290324</c:v>
                </c:pt>
                <c:pt idx="27">
                  <c:v>25.454545454545457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'графика с выбором'!$I$3</c:f>
              <c:strCache>
                <c:ptCount val="1"/>
                <c:pt idx="0">
                  <c:v>Stormfly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'графика с выбором'!$D$4:$D$42</c:f>
              <c:numCache>
                <c:formatCode>General</c:formatCode>
                <c:ptCount val="39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</c:numCache>
            </c:numRef>
          </c:xVal>
          <c:yVal>
            <c:numRef>
              <c:f>'графика с выбором'!$I$4:$I$42</c:f>
              <c:numCache>
                <c:formatCode>General</c:formatCode>
                <c:ptCount val="3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3.8571428571428572</c:v>
                </c:pt>
                <c:pt idx="15">
                  <c:v>4.8648648648648649</c:v>
                </c:pt>
                <c:pt idx="16">
                  <c:v>6.2068965517241388</c:v>
                </c:pt>
                <c:pt idx="17">
                  <c:v>7.4380165289256199</c:v>
                </c:pt>
                <c:pt idx="18">
                  <c:v>7.5</c:v>
                </c:pt>
                <c:pt idx="19">
                  <c:v>9.5255474452554747</c:v>
                </c:pt>
                <c:pt idx="20">
                  <c:v>19.310344827586206</c:v>
                </c:pt>
                <c:pt idx="21">
                  <c:v>15.100671140939596</c:v>
                </c:pt>
                <c:pt idx="22">
                  <c:v>16.363636363636363</c:v>
                </c:pt>
                <c:pt idx="23">
                  <c:v>18.75</c:v>
                </c:pt>
                <c:pt idx="24">
                  <c:v>15.60693641618497</c:v>
                </c:pt>
                <c:pt idx="25">
                  <c:v>21</c:v>
                </c:pt>
                <c:pt idx="26">
                  <c:v>24.193548387096776</c:v>
                </c:pt>
                <c:pt idx="27">
                  <c:v>27.272727272727273</c:v>
                </c:pt>
                <c:pt idx="28">
                  <c:v>29.857819905213265</c:v>
                </c:pt>
                <c:pt idx="29">
                  <c:v>25.210084033613445</c:v>
                </c:pt>
                <c:pt idx="30">
                  <c:v>27.376425855513308</c:v>
                </c:pt>
                <c:pt idx="31">
                  <c:v>29.34782608695652</c:v>
                </c:pt>
                <c:pt idx="32">
                  <c:v>23.356401384083046</c:v>
                </c:pt>
                <c:pt idx="33">
                  <c:v>36.363636363636367</c:v>
                </c:pt>
                <c:pt idx="34">
                  <c:v>43.548387096774192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749240"/>
        <c:axId val="427748848"/>
      </c:scatterChart>
      <c:valAx>
        <c:axId val="427749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27748848"/>
        <c:crosses val="autoZero"/>
        <c:crossBetween val="midCat"/>
      </c:valAx>
      <c:valAx>
        <c:axId val="427748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277492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6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823" cy="6289784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404811</xdr:colOff>
      <xdr:row>3</xdr:row>
      <xdr:rowOff>14287</xdr:rowOff>
    </xdr:from>
    <xdr:to>
      <xdr:col>18</xdr:col>
      <xdr:colOff>219074</xdr:colOff>
      <xdr:row>22</xdr:row>
      <xdr:rowOff>123825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Таблица1" displayName="Таблица1" ref="A1:I46" totalsRowShown="0" headerRowDxfId="12" dataDxfId="10" headerRowBorderDxfId="11" tableBorderDxfId="9" totalsRowBorderDxfId="8">
  <autoFilter ref="A1:I46"/>
  <tableColumns count="9">
    <tableColumn id="1" name="Type" dataDxfId="7"/>
    <tableColumn id="2" name="Name"/>
    <tableColumn id="3" name="Fish" dataDxfId="6"/>
    <tableColumn id="4" name="Wood" dataDxfId="5"/>
    <tableColumn id="5" name="Time" dataDxfId="4"/>
    <tableColumn id="6" name="Attack" dataDxfId="3"/>
    <tableColumn id="7" name="Type of Attack" dataDxfId="2"/>
    <tableColumn id="8" name="Столбец1" dataDxfId="1">
      <calculatedColumnFormula>Таблица1[[#This Row],[Fish]]*Таблица1[[#This Row],[Time]]</calculatedColumnFormula>
    </tableColumn>
    <tableColumn id="9" name="Столбец2" dataDxfId="0">
      <calculatedColumnFormula>Таблица1[[#This Row],[Wood]]*Таблица1[[#This Row],[Time]]</calculatedColumnFormula>
    </tableColumn>
  </tableColumns>
  <tableStyleInfo name="TableStyleMedium1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workbookViewId="0">
      <selection activeCell="C8" sqref="C8"/>
    </sheetView>
  </sheetViews>
  <sheetFormatPr defaultRowHeight="15" x14ac:dyDescent="0.25"/>
  <cols>
    <col min="1" max="1" width="20.7109375" customWidth="1"/>
    <col min="2" max="2" width="33.85546875" customWidth="1"/>
    <col min="3" max="6" width="9.140625" style="1"/>
    <col min="7" max="7" width="15.7109375" style="1" customWidth="1"/>
  </cols>
  <sheetData>
    <row r="1" spans="1:9" x14ac:dyDescent="0.25">
      <c r="A1" s="13" t="s">
        <v>0</v>
      </c>
      <c r="B1" s="14" t="s">
        <v>1</v>
      </c>
      <c r="C1" s="14" t="s">
        <v>3</v>
      </c>
      <c r="D1" s="14" t="s">
        <v>2</v>
      </c>
      <c r="E1" s="14" t="s">
        <v>4</v>
      </c>
      <c r="F1" s="14" t="s">
        <v>5</v>
      </c>
      <c r="G1" s="15" t="s">
        <v>6</v>
      </c>
      <c r="H1" s="84" t="s">
        <v>73</v>
      </c>
      <c r="I1" s="84" t="s">
        <v>74</v>
      </c>
    </row>
    <row r="2" spans="1:9" x14ac:dyDescent="0.25">
      <c r="A2" s="9"/>
      <c r="B2" s="2" t="s">
        <v>11</v>
      </c>
      <c r="C2" s="3">
        <v>239</v>
      </c>
      <c r="D2" s="3">
        <v>239</v>
      </c>
      <c r="E2" s="3">
        <v>5.25</v>
      </c>
      <c r="F2" s="3">
        <v>226</v>
      </c>
      <c r="G2" s="11" t="s">
        <v>12</v>
      </c>
      <c r="H2" s="83">
        <f>Таблица1[[#This Row],[Fish]]*Таблица1[[#This Row],[Time]]</f>
        <v>1254.75</v>
      </c>
      <c r="I2" s="83">
        <f>Таблица1[[#This Row],[Wood]]*Таблица1[[#This Row],[Time]]</f>
        <v>1254.75</v>
      </c>
    </row>
    <row r="3" spans="1:9" x14ac:dyDescent="0.25">
      <c r="A3" s="9"/>
      <c r="B3" s="2" t="s">
        <v>9</v>
      </c>
      <c r="C3" s="3">
        <v>189</v>
      </c>
      <c r="D3" s="3">
        <v>252</v>
      </c>
      <c r="E3" s="3">
        <v>10.5</v>
      </c>
      <c r="F3" s="3">
        <v>235</v>
      </c>
      <c r="G3" s="11" t="s">
        <v>10</v>
      </c>
      <c r="H3" s="3">
        <f>Таблица1[[#This Row],[Fish]]*Таблица1[[#This Row],[Time]]</f>
        <v>1984.5</v>
      </c>
      <c r="I3" s="3">
        <f>Таблица1[[#This Row],[Wood]]*Таблица1[[#This Row],[Time]]</f>
        <v>2646</v>
      </c>
    </row>
    <row r="4" spans="1:9" x14ac:dyDescent="0.25">
      <c r="A4" s="9" t="s">
        <v>26</v>
      </c>
      <c r="B4" s="2" t="s">
        <v>61</v>
      </c>
      <c r="C4" s="3">
        <v>302</v>
      </c>
      <c r="D4" s="3">
        <v>302</v>
      </c>
      <c r="E4" s="3">
        <v>8.25</v>
      </c>
      <c r="F4" s="3">
        <v>237</v>
      </c>
      <c r="G4" s="11" t="s">
        <v>12</v>
      </c>
      <c r="H4" s="3">
        <f>Таблица1[[#This Row],[Fish]]*Таблица1[[#This Row],[Time]]</f>
        <v>2491.5</v>
      </c>
      <c r="I4" s="3">
        <f>Таблица1[[#This Row],[Wood]]*Таблица1[[#This Row],[Time]]</f>
        <v>2491.5</v>
      </c>
    </row>
    <row r="5" spans="1:9" x14ac:dyDescent="0.25">
      <c r="A5" s="9"/>
      <c r="B5" s="2" t="s">
        <v>7</v>
      </c>
      <c r="C5" s="3">
        <v>252</v>
      </c>
      <c r="D5" s="3">
        <v>189</v>
      </c>
      <c r="E5" s="3">
        <v>10.5</v>
      </c>
      <c r="F5" s="3">
        <v>245</v>
      </c>
      <c r="G5" s="11" t="s">
        <v>8</v>
      </c>
      <c r="H5" s="3">
        <f>Таблица1[[#This Row],[Fish]]*Таблица1[[#This Row],[Time]]</f>
        <v>2646</v>
      </c>
      <c r="I5" s="3">
        <f>Таблица1[[#This Row],[Wood]]*Таблица1[[#This Row],[Time]]</f>
        <v>1984.5</v>
      </c>
    </row>
    <row r="6" spans="1:9" x14ac:dyDescent="0.25">
      <c r="A6" s="9"/>
      <c r="B6" s="2" t="s">
        <v>15</v>
      </c>
      <c r="C6" s="3"/>
      <c r="D6" s="3">
        <v>290</v>
      </c>
      <c r="E6" s="3">
        <v>10.5</v>
      </c>
      <c r="F6" s="3">
        <v>245</v>
      </c>
      <c r="G6" s="11" t="s">
        <v>10</v>
      </c>
      <c r="H6" s="3">
        <f>Таблица1[[#This Row],[Fish]]*Таблица1[[#This Row],[Time]]</f>
        <v>0</v>
      </c>
      <c r="I6" s="3">
        <f>Таблица1[[#This Row],[Wood]]*Таблица1[[#This Row],[Time]]</f>
        <v>3045</v>
      </c>
    </row>
    <row r="7" spans="1:9" x14ac:dyDescent="0.25">
      <c r="A7" s="9"/>
      <c r="B7" s="2" t="s">
        <v>14</v>
      </c>
      <c r="C7" s="3">
        <v>139</v>
      </c>
      <c r="D7" s="3">
        <v>139</v>
      </c>
      <c r="E7" s="3">
        <v>21</v>
      </c>
      <c r="F7" s="3">
        <v>247</v>
      </c>
      <c r="G7" s="11" t="s">
        <v>12</v>
      </c>
      <c r="H7" s="3">
        <f>Таблица1[[#This Row],[Fish]]*Таблица1[[#This Row],[Time]]</f>
        <v>2919</v>
      </c>
      <c r="I7" s="3">
        <f>Таблица1[[#This Row],[Wood]]*Таблица1[[#This Row],[Time]]</f>
        <v>2919</v>
      </c>
    </row>
    <row r="8" spans="1:9" x14ac:dyDescent="0.25">
      <c r="A8" s="9"/>
      <c r="B8" s="2" t="s">
        <v>13</v>
      </c>
      <c r="C8" s="3">
        <v>290</v>
      </c>
      <c r="D8" s="3"/>
      <c r="E8" s="3">
        <v>10.5</v>
      </c>
      <c r="F8" s="3">
        <v>257</v>
      </c>
      <c r="G8" s="11" t="s">
        <v>8</v>
      </c>
      <c r="H8" s="3">
        <f>Таблица1[[#This Row],[Fish]]*Таблица1[[#This Row],[Time]]</f>
        <v>3045</v>
      </c>
      <c r="I8" s="3">
        <f>Таблица1[[#This Row],[Wood]]*Таблица1[[#This Row],[Time]]</f>
        <v>0</v>
      </c>
    </row>
    <row r="9" spans="1:9" x14ac:dyDescent="0.25">
      <c r="A9" s="9"/>
      <c r="B9" s="2" t="s">
        <v>16</v>
      </c>
      <c r="C9" s="3">
        <v>504</v>
      </c>
      <c r="D9" s="3">
        <v>504</v>
      </c>
      <c r="E9" s="3">
        <v>6.25</v>
      </c>
      <c r="F9" s="3">
        <v>259</v>
      </c>
      <c r="G9" s="11" t="s">
        <v>12</v>
      </c>
      <c r="H9" s="3">
        <f>Таблица1[[#This Row],[Fish]]*Таблица1[[#This Row],[Time]]</f>
        <v>3150</v>
      </c>
      <c r="I9" s="3">
        <f>Таблица1[[#This Row],[Wood]]*Таблица1[[#This Row],[Time]]</f>
        <v>3150</v>
      </c>
    </row>
    <row r="10" spans="1:9" x14ac:dyDescent="0.25">
      <c r="A10" s="9" t="s">
        <v>20</v>
      </c>
      <c r="B10" s="2" t="s">
        <v>28</v>
      </c>
      <c r="C10" s="3">
        <v>378</v>
      </c>
      <c r="D10" s="3">
        <v>378</v>
      </c>
      <c r="E10" s="3">
        <v>9.25</v>
      </c>
      <c r="F10" s="3">
        <v>259</v>
      </c>
      <c r="G10" s="11" t="s">
        <v>12</v>
      </c>
      <c r="H10" s="3">
        <f>Таблица1[[#This Row],[Fish]]*Таблица1[[#This Row],[Time]]</f>
        <v>3496.5</v>
      </c>
      <c r="I10" s="3">
        <f>Таблица1[[#This Row],[Wood]]*Таблица1[[#This Row],[Time]]</f>
        <v>3496.5</v>
      </c>
    </row>
    <row r="11" spans="1:9" x14ac:dyDescent="0.25">
      <c r="A11" s="9" t="s">
        <v>20</v>
      </c>
      <c r="B11" s="2" t="s">
        <v>29</v>
      </c>
      <c r="C11" s="3">
        <v>227</v>
      </c>
      <c r="D11" s="3">
        <v>227</v>
      </c>
      <c r="E11" s="3">
        <v>15.5</v>
      </c>
      <c r="F11" s="3">
        <v>259</v>
      </c>
      <c r="G11" s="11" t="s">
        <v>12</v>
      </c>
      <c r="H11" s="3">
        <f>Таблица1[[#This Row],[Fish]]*Таблица1[[#This Row],[Time]]</f>
        <v>3518.5</v>
      </c>
      <c r="I11" s="3">
        <f>Таблица1[[#This Row],[Wood]]*Таблица1[[#This Row],[Time]]</f>
        <v>3518.5</v>
      </c>
    </row>
    <row r="12" spans="1:9" x14ac:dyDescent="0.25">
      <c r="A12" s="9" t="s">
        <v>20</v>
      </c>
      <c r="B12" s="2" t="s">
        <v>30</v>
      </c>
      <c r="C12" s="3">
        <v>378</v>
      </c>
      <c r="D12" s="3">
        <v>214</v>
      </c>
      <c r="E12" s="3">
        <v>10.5</v>
      </c>
      <c r="F12" s="3">
        <v>259</v>
      </c>
      <c r="G12" s="11" t="s">
        <v>12</v>
      </c>
      <c r="H12" s="3">
        <f>Таблица1[[#This Row],[Fish]]*Таблица1[[#This Row],[Time]]</f>
        <v>3969</v>
      </c>
      <c r="I12" s="3">
        <f>Таблица1[[#This Row],[Wood]]*Таблица1[[#This Row],[Time]]</f>
        <v>2247</v>
      </c>
    </row>
    <row r="13" spans="1:9" x14ac:dyDescent="0.25">
      <c r="A13" s="9" t="s">
        <v>20</v>
      </c>
      <c r="B13" s="2" t="s">
        <v>31</v>
      </c>
      <c r="C13" s="3">
        <v>126</v>
      </c>
      <c r="D13" s="3">
        <v>252</v>
      </c>
      <c r="E13" s="3">
        <v>15.5</v>
      </c>
      <c r="F13" s="3">
        <v>259</v>
      </c>
      <c r="G13" s="11" t="s">
        <v>12</v>
      </c>
      <c r="H13" s="3">
        <f>Таблица1[[#This Row],[Fish]]*Таблица1[[#This Row],[Time]]</f>
        <v>1953</v>
      </c>
      <c r="I13" s="3">
        <f>Таблица1[[#This Row],[Wood]]*Таблица1[[#This Row],[Time]]</f>
        <v>3906</v>
      </c>
    </row>
    <row r="14" spans="1:9" x14ac:dyDescent="0.25">
      <c r="A14" s="9" t="s">
        <v>20</v>
      </c>
      <c r="B14" s="2" t="s">
        <v>32</v>
      </c>
      <c r="C14" s="3">
        <v>252</v>
      </c>
      <c r="D14" s="3">
        <v>126</v>
      </c>
      <c r="E14" s="3">
        <v>15.5</v>
      </c>
      <c r="F14" s="3">
        <v>259</v>
      </c>
      <c r="G14" s="11" t="s">
        <v>12</v>
      </c>
      <c r="H14" s="3">
        <f>Таблица1[[#This Row],[Fish]]*Таблица1[[#This Row],[Time]]</f>
        <v>3906</v>
      </c>
      <c r="I14" s="3">
        <f>Таблица1[[#This Row],[Wood]]*Таблица1[[#This Row],[Time]]</f>
        <v>1953</v>
      </c>
    </row>
    <row r="15" spans="1:9" x14ac:dyDescent="0.25">
      <c r="A15" s="9" t="s">
        <v>20</v>
      </c>
      <c r="B15" s="2" t="s">
        <v>33</v>
      </c>
      <c r="C15" s="3">
        <v>214</v>
      </c>
      <c r="D15" s="3">
        <v>378</v>
      </c>
      <c r="E15" s="3">
        <v>10.5</v>
      </c>
      <c r="F15" s="3">
        <v>259</v>
      </c>
      <c r="G15" s="11" t="s">
        <v>12</v>
      </c>
      <c r="H15" s="3">
        <f>Таблица1[[#This Row],[Fish]]*Таблица1[[#This Row],[Time]]</f>
        <v>2247</v>
      </c>
      <c r="I15" s="3">
        <f>Таблица1[[#This Row],[Wood]]*Таблица1[[#This Row],[Time]]</f>
        <v>3969</v>
      </c>
    </row>
    <row r="16" spans="1:9" x14ac:dyDescent="0.25">
      <c r="A16" s="9"/>
      <c r="B16" s="2" t="s">
        <v>17</v>
      </c>
      <c r="C16" s="3">
        <v>151</v>
      </c>
      <c r="D16" s="3">
        <v>139</v>
      </c>
      <c r="E16" s="3">
        <v>26</v>
      </c>
      <c r="F16" s="3">
        <v>270</v>
      </c>
      <c r="G16" s="11" t="s">
        <v>10</v>
      </c>
      <c r="H16" s="3">
        <f>Таблица1[[#This Row],[Fish]]*Таблица1[[#This Row],[Time]]</f>
        <v>3926</v>
      </c>
      <c r="I16" s="3">
        <f>Таблица1[[#This Row],[Wood]]*Таблица1[[#This Row],[Time]]</f>
        <v>3614</v>
      </c>
    </row>
    <row r="17" spans="1:9" x14ac:dyDescent="0.25">
      <c r="A17" s="9"/>
      <c r="B17" s="2" t="s">
        <v>34</v>
      </c>
      <c r="C17" s="3">
        <v>139</v>
      </c>
      <c r="D17" s="3">
        <v>151</v>
      </c>
      <c r="E17" s="3">
        <v>26</v>
      </c>
      <c r="F17" s="3">
        <v>270</v>
      </c>
      <c r="G17" s="11" t="s">
        <v>10</v>
      </c>
      <c r="H17" s="3">
        <f>Таблица1[[#This Row],[Fish]]*Таблица1[[#This Row],[Time]]</f>
        <v>3614</v>
      </c>
      <c r="I17" s="3">
        <f>Таблица1[[#This Row],[Wood]]*Таблица1[[#This Row],[Time]]</f>
        <v>3926</v>
      </c>
    </row>
    <row r="18" spans="1:9" x14ac:dyDescent="0.25">
      <c r="A18" s="9" t="s">
        <v>20</v>
      </c>
      <c r="B18" s="2" t="s">
        <v>40</v>
      </c>
      <c r="C18" s="3">
        <v>302</v>
      </c>
      <c r="D18" s="3">
        <v>302</v>
      </c>
      <c r="E18" s="3">
        <v>15.5</v>
      </c>
      <c r="F18" s="3">
        <v>283</v>
      </c>
      <c r="G18" s="11" t="s">
        <v>10</v>
      </c>
      <c r="H18" s="3">
        <f>Таблица1[[#This Row],[Fish]]*Таблица1[[#This Row],[Time]]</f>
        <v>4681</v>
      </c>
      <c r="I18" s="3">
        <f>Таблица1[[#This Row],[Wood]]*Таблица1[[#This Row],[Time]]</f>
        <v>4681</v>
      </c>
    </row>
    <row r="19" spans="1:9" x14ac:dyDescent="0.25">
      <c r="A19" s="9" t="s">
        <v>20</v>
      </c>
      <c r="B19" s="2" t="s">
        <v>41</v>
      </c>
      <c r="C19" s="3">
        <v>340</v>
      </c>
      <c r="D19" s="3">
        <v>126</v>
      </c>
      <c r="E19" s="3">
        <v>15.5</v>
      </c>
      <c r="F19" s="3">
        <v>283</v>
      </c>
      <c r="G19" s="11" t="s">
        <v>10</v>
      </c>
      <c r="H19" s="3">
        <f>Таблица1[[#This Row],[Fish]]*Таблица1[[#This Row],[Time]]</f>
        <v>5270</v>
      </c>
      <c r="I19" s="3">
        <f>Таблица1[[#This Row],[Wood]]*Таблица1[[#This Row],[Time]]</f>
        <v>1953</v>
      </c>
    </row>
    <row r="20" spans="1:9" x14ac:dyDescent="0.25">
      <c r="A20" s="9" t="s">
        <v>20</v>
      </c>
      <c r="B20" s="2" t="s">
        <v>42</v>
      </c>
      <c r="C20" s="3">
        <v>126</v>
      </c>
      <c r="D20" s="3">
        <v>340</v>
      </c>
      <c r="E20" s="3">
        <v>15.5</v>
      </c>
      <c r="F20" s="3">
        <v>283</v>
      </c>
      <c r="G20" s="11" t="s">
        <v>10</v>
      </c>
      <c r="H20" s="3">
        <f>Таблица1[[#This Row],[Fish]]*Таблица1[[#This Row],[Time]]</f>
        <v>1953</v>
      </c>
      <c r="I20" s="3">
        <f>Таблица1[[#This Row],[Wood]]*Таблица1[[#This Row],[Time]]</f>
        <v>5270</v>
      </c>
    </row>
    <row r="21" spans="1:9" x14ac:dyDescent="0.25">
      <c r="A21" s="9"/>
      <c r="B21" s="2" t="s">
        <v>19</v>
      </c>
      <c r="C21" s="3">
        <v>328</v>
      </c>
      <c r="D21" s="3">
        <v>126</v>
      </c>
      <c r="E21" s="3">
        <v>12.5</v>
      </c>
      <c r="F21" s="3">
        <v>285</v>
      </c>
      <c r="G21" s="11" t="s">
        <v>12</v>
      </c>
      <c r="H21" s="3">
        <f>Таблица1[[#This Row],[Fish]]*Таблица1[[#This Row],[Time]]</f>
        <v>4100</v>
      </c>
      <c r="I21" s="3">
        <f>Таблица1[[#This Row],[Wood]]*Таблица1[[#This Row],[Time]]</f>
        <v>1575</v>
      </c>
    </row>
    <row r="22" spans="1:9" x14ac:dyDescent="0.25">
      <c r="A22" s="9" t="s">
        <v>44</v>
      </c>
      <c r="B22" s="2" t="s">
        <v>35</v>
      </c>
      <c r="C22" s="3">
        <v>252</v>
      </c>
      <c r="D22" s="3">
        <v>756</v>
      </c>
      <c r="E22" s="3">
        <v>5.25</v>
      </c>
      <c r="F22" s="3">
        <v>292</v>
      </c>
      <c r="G22" s="11" t="s">
        <v>8</v>
      </c>
      <c r="H22" s="3">
        <f>Таблица1[[#This Row],[Fish]]*Таблица1[[#This Row],[Time]]</f>
        <v>1323</v>
      </c>
      <c r="I22" s="3">
        <f>Таблица1[[#This Row],[Wood]]*Таблица1[[#This Row],[Time]]</f>
        <v>3969</v>
      </c>
    </row>
    <row r="23" spans="1:9" x14ac:dyDescent="0.25">
      <c r="A23" s="9" t="s">
        <v>25</v>
      </c>
      <c r="B23" s="2" t="s">
        <v>9</v>
      </c>
      <c r="C23" s="3">
        <v>170</v>
      </c>
      <c r="D23" s="3">
        <v>227</v>
      </c>
      <c r="E23" s="3">
        <v>10.5</v>
      </c>
      <c r="F23" s="3">
        <v>294</v>
      </c>
      <c r="G23" s="11" t="s">
        <v>10</v>
      </c>
      <c r="H23" s="3">
        <f>Таблица1[[#This Row],[Fish]]*Таблица1[[#This Row],[Time]]</f>
        <v>1785</v>
      </c>
      <c r="I23" s="3">
        <f>Таблица1[[#This Row],[Wood]]*Таблица1[[#This Row],[Time]]</f>
        <v>2383.5</v>
      </c>
    </row>
    <row r="24" spans="1:9" x14ac:dyDescent="0.25">
      <c r="A24" s="9"/>
      <c r="B24" s="2" t="s">
        <v>22</v>
      </c>
      <c r="C24" s="3">
        <v>126</v>
      </c>
      <c r="D24" s="3">
        <v>328</v>
      </c>
      <c r="E24" s="3">
        <v>12.5</v>
      </c>
      <c r="F24" s="3">
        <v>301</v>
      </c>
      <c r="G24" s="11" t="s">
        <v>10</v>
      </c>
      <c r="H24" s="3">
        <f>Таблица1[[#This Row],[Fish]]*Таблица1[[#This Row],[Time]]</f>
        <v>1575</v>
      </c>
      <c r="I24" s="3">
        <f>Таблица1[[#This Row],[Wood]]*Таблица1[[#This Row],[Time]]</f>
        <v>4100</v>
      </c>
    </row>
    <row r="25" spans="1:9" x14ac:dyDescent="0.25">
      <c r="A25" s="9"/>
      <c r="B25" s="2" t="s">
        <v>36</v>
      </c>
      <c r="C25" s="3">
        <v>252</v>
      </c>
      <c r="D25" s="3">
        <v>756</v>
      </c>
      <c r="E25" s="3">
        <v>5.25</v>
      </c>
      <c r="F25" s="3">
        <v>303</v>
      </c>
      <c r="G25" s="11" t="s">
        <v>12</v>
      </c>
      <c r="H25" s="3">
        <f>Таблица1[[#This Row],[Fish]]*Таблица1[[#This Row],[Time]]</f>
        <v>1323</v>
      </c>
      <c r="I25" s="3">
        <f>Таблица1[[#This Row],[Wood]]*Таблица1[[#This Row],[Time]]</f>
        <v>3969</v>
      </c>
    </row>
    <row r="26" spans="1:9" x14ac:dyDescent="0.25">
      <c r="A26" s="9" t="s">
        <v>25</v>
      </c>
      <c r="B26" s="2" t="s">
        <v>7</v>
      </c>
      <c r="C26" s="3">
        <v>227</v>
      </c>
      <c r="D26" s="3">
        <v>170</v>
      </c>
      <c r="E26" s="3">
        <v>10.5</v>
      </c>
      <c r="F26" s="3">
        <v>308</v>
      </c>
      <c r="G26" s="11" t="s">
        <v>8</v>
      </c>
      <c r="H26" s="3">
        <f>Таблица1[[#This Row],[Fish]]*Таблица1[[#This Row],[Time]]</f>
        <v>2383.5</v>
      </c>
      <c r="I26" s="3">
        <f>Таблица1[[#This Row],[Wood]]*Таблица1[[#This Row],[Time]]</f>
        <v>1785</v>
      </c>
    </row>
    <row r="27" spans="1:9" x14ac:dyDescent="0.25">
      <c r="A27" s="9" t="s">
        <v>20</v>
      </c>
      <c r="B27" s="2" t="s">
        <v>21</v>
      </c>
      <c r="C27" s="3">
        <v>504</v>
      </c>
      <c r="D27" s="3">
        <v>504</v>
      </c>
      <c r="E27" s="3">
        <v>10.5</v>
      </c>
      <c r="F27" s="3">
        <v>310</v>
      </c>
      <c r="G27" s="11" t="s">
        <v>12</v>
      </c>
      <c r="H27" s="3">
        <f>Таблица1[[#This Row],[Fish]]*Таблица1[[#This Row],[Time]]</f>
        <v>5292</v>
      </c>
      <c r="I27" s="3">
        <f>Таблица1[[#This Row],[Wood]]*Таблица1[[#This Row],[Time]]</f>
        <v>5292</v>
      </c>
    </row>
    <row r="28" spans="1:9" x14ac:dyDescent="0.25">
      <c r="A28" s="9" t="s">
        <v>25</v>
      </c>
      <c r="B28" s="2" t="s">
        <v>14</v>
      </c>
      <c r="C28" s="3">
        <v>125</v>
      </c>
      <c r="D28" s="3">
        <v>125</v>
      </c>
      <c r="E28" s="3">
        <v>21</v>
      </c>
      <c r="F28" s="3">
        <v>311</v>
      </c>
      <c r="G28" s="11" t="s">
        <v>12</v>
      </c>
      <c r="H28" s="3">
        <f>Таблица1[[#This Row],[Fish]]*Таблица1[[#This Row],[Time]]</f>
        <v>2625</v>
      </c>
      <c r="I28" s="3">
        <f>Таблица1[[#This Row],[Wood]]*Таблица1[[#This Row],[Time]]</f>
        <v>2625</v>
      </c>
    </row>
    <row r="29" spans="1:9" x14ac:dyDescent="0.25">
      <c r="A29" s="9"/>
      <c r="B29" s="2" t="s">
        <v>35</v>
      </c>
      <c r="C29" s="3">
        <v>756</v>
      </c>
      <c r="D29" s="3">
        <v>252</v>
      </c>
      <c r="E29" s="3">
        <v>5.25</v>
      </c>
      <c r="F29" s="3">
        <v>313</v>
      </c>
      <c r="G29" s="11" t="s">
        <v>8</v>
      </c>
      <c r="H29" s="3">
        <f>Таблица1[[#This Row],[Fish]]*Таблица1[[#This Row],[Time]]</f>
        <v>3969</v>
      </c>
      <c r="I29" s="3">
        <f>Таблица1[[#This Row],[Wood]]*Таблица1[[#This Row],[Time]]</f>
        <v>1323</v>
      </c>
    </row>
    <row r="30" spans="1:9" x14ac:dyDescent="0.25">
      <c r="A30" s="9"/>
      <c r="B30" s="2" t="s">
        <v>38</v>
      </c>
      <c r="C30" s="3">
        <v>391</v>
      </c>
      <c r="D30" s="3"/>
      <c r="E30" s="3">
        <v>12</v>
      </c>
      <c r="F30" s="3">
        <v>320</v>
      </c>
      <c r="G30" s="11" t="s">
        <v>10</v>
      </c>
      <c r="H30" s="3">
        <f>Таблица1[[#This Row],[Fish]]*Таблица1[[#This Row],[Time]]</f>
        <v>4692</v>
      </c>
      <c r="I30" s="3">
        <f>Таблица1[[#This Row],[Wood]]*Таблица1[[#This Row],[Time]]</f>
        <v>0</v>
      </c>
    </row>
    <row r="31" spans="1:9" x14ac:dyDescent="0.25">
      <c r="A31" s="9"/>
      <c r="B31" s="2" t="s">
        <v>18</v>
      </c>
      <c r="C31" s="3">
        <v>214</v>
      </c>
      <c r="D31" s="3">
        <v>214</v>
      </c>
      <c r="E31" s="3">
        <v>16.5</v>
      </c>
      <c r="F31" s="3">
        <v>321</v>
      </c>
      <c r="G31" s="11" t="s">
        <v>8</v>
      </c>
      <c r="H31" s="3">
        <f>Таблица1[[#This Row],[Fish]]*Таблица1[[#This Row],[Time]]</f>
        <v>3531</v>
      </c>
      <c r="I31" s="3">
        <f>Таблица1[[#This Row],[Wood]]*Таблица1[[#This Row],[Time]]</f>
        <v>3531</v>
      </c>
    </row>
    <row r="32" spans="1:9" x14ac:dyDescent="0.25">
      <c r="A32" s="10" t="s">
        <v>25</v>
      </c>
      <c r="B32" s="6" t="s">
        <v>16</v>
      </c>
      <c r="C32" s="7">
        <v>454</v>
      </c>
      <c r="D32" s="7">
        <v>454</v>
      </c>
      <c r="E32" s="7">
        <v>6.25</v>
      </c>
      <c r="F32" s="7">
        <v>324</v>
      </c>
      <c r="G32" s="12" t="s">
        <v>12</v>
      </c>
      <c r="H32" s="3">
        <f>Таблица1[[#This Row],[Fish]]*Таблица1[[#This Row],[Time]]</f>
        <v>2837.5</v>
      </c>
      <c r="I32" s="3">
        <f>Таблица1[[#This Row],[Wood]]*Таблица1[[#This Row],[Time]]</f>
        <v>2837.5</v>
      </c>
    </row>
    <row r="33" spans="1:9" x14ac:dyDescent="0.25">
      <c r="A33" s="9"/>
      <c r="B33" s="2" t="s">
        <v>39</v>
      </c>
      <c r="C33" s="3"/>
      <c r="D33" s="3">
        <v>391</v>
      </c>
      <c r="E33" s="3">
        <v>12</v>
      </c>
      <c r="F33" s="3">
        <v>333</v>
      </c>
      <c r="G33" s="11" t="s">
        <v>8</v>
      </c>
      <c r="H33" s="3">
        <f>Таблица1[[#This Row],[Fish]]*Таблица1[[#This Row],[Time]]</f>
        <v>0</v>
      </c>
      <c r="I33" s="3">
        <f>Таблица1[[#This Row],[Wood]]*Таблица1[[#This Row],[Time]]</f>
        <v>4692</v>
      </c>
    </row>
    <row r="34" spans="1:9" x14ac:dyDescent="0.25">
      <c r="A34" s="9"/>
      <c r="B34" s="2" t="s">
        <v>37</v>
      </c>
      <c r="C34" s="3">
        <v>227</v>
      </c>
      <c r="D34" s="3">
        <v>227</v>
      </c>
      <c r="E34" s="3">
        <v>18</v>
      </c>
      <c r="F34" s="3">
        <v>343</v>
      </c>
      <c r="G34" s="11" t="s">
        <v>8</v>
      </c>
      <c r="H34" s="3">
        <f>Таблица1[[#This Row],[Fish]]*Таблица1[[#This Row],[Time]]</f>
        <v>4086</v>
      </c>
      <c r="I34" s="3">
        <f>Таблица1[[#This Row],[Wood]]*Таблица1[[#This Row],[Time]]</f>
        <v>4086</v>
      </c>
    </row>
    <row r="35" spans="1:9" x14ac:dyDescent="0.25">
      <c r="A35" s="9" t="s">
        <v>20</v>
      </c>
      <c r="B35" s="2" t="s">
        <v>23</v>
      </c>
      <c r="C35" s="3">
        <v>189</v>
      </c>
      <c r="D35" s="3">
        <v>252</v>
      </c>
      <c r="E35" s="3">
        <v>26</v>
      </c>
      <c r="F35" s="3">
        <v>356</v>
      </c>
      <c r="G35" s="11" t="s">
        <v>10</v>
      </c>
      <c r="H35" s="3">
        <f>Таблица1[[#This Row],[Fish]]*Таблица1[[#This Row],[Time]]</f>
        <v>4914</v>
      </c>
      <c r="I35" s="3">
        <f>Таблица1[[#This Row],[Wood]]*Таблица1[[#This Row],[Time]]</f>
        <v>6552</v>
      </c>
    </row>
    <row r="36" spans="1:9" x14ac:dyDescent="0.25">
      <c r="A36" s="10"/>
      <c r="B36" s="6" t="s">
        <v>24</v>
      </c>
      <c r="C36" s="7">
        <v>693</v>
      </c>
      <c r="D36" s="7">
        <v>693</v>
      </c>
      <c r="E36" s="7">
        <v>10.5</v>
      </c>
      <c r="F36" s="7">
        <v>356</v>
      </c>
      <c r="G36" s="12" t="s">
        <v>12</v>
      </c>
      <c r="H36" s="3">
        <f>Таблица1[[#This Row],[Fish]]*Таблица1[[#This Row],[Time]]</f>
        <v>7276.5</v>
      </c>
      <c r="I36" s="3">
        <f>Таблица1[[#This Row],[Wood]]*Таблица1[[#This Row],[Time]]</f>
        <v>7276.5</v>
      </c>
    </row>
    <row r="37" spans="1:9" x14ac:dyDescent="0.25">
      <c r="A37" s="9"/>
      <c r="B37" s="2" t="s">
        <v>47</v>
      </c>
      <c r="C37" s="3">
        <v>454</v>
      </c>
      <c r="D37" s="3">
        <v>252</v>
      </c>
      <c r="E37" s="3">
        <v>13.5</v>
      </c>
      <c r="F37" s="3">
        <v>356</v>
      </c>
      <c r="G37" s="11" t="s">
        <v>12</v>
      </c>
      <c r="H37" s="3">
        <f>Таблица1[[#This Row],[Fish]]*Таблица1[[#This Row],[Time]]</f>
        <v>6129</v>
      </c>
      <c r="I37" s="3">
        <f>Таблица1[[#This Row],[Wood]]*Таблица1[[#This Row],[Time]]</f>
        <v>3402</v>
      </c>
    </row>
    <row r="38" spans="1:9" x14ac:dyDescent="0.25">
      <c r="A38" s="9"/>
      <c r="B38" s="8" t="s">
        <v>51</v>
      </c>
      <c r="C38" s="3">
        <v>252</v>
      </c>
      <c r="D38" s="3">
        <v>454</v>
      </c>
      <c r="E38" s="3">
        <v>13.5</v>
      </c>
      <c r="F38" s="3">
        <v>356</v>
      </c>
      <c r="G38" s="11" t="s">
        <v>10</v>
      </c>
      <c r="H38" s="3">
        <f>Таблица1[[#This Row],[Fish]]*Таблица1[[#This Row],[Time]]</f>
        <v>3402</v>
      </c>
      <c r="I38" s="3">
        <f>Таблица1[[#This Row],[Wood]]*Таблица1[[#This Row],[Time]]</f>
        <v>6129</v>
      </c>
    </row>
    <row r="39" spans="1:9" x14ac:dyDescent="0.25">
      <c r="A39" s="9" t="s">
        <v>20</v>
      </c>
      <c r="B39" s="2" t="s">
        <v>43</v>
      </c>
      <c r="C39" s="3">
        <v>252</v>
      </c>
      <c r="D39" s="3">
        <v>189</v>
      </c>
      <c r="E39" s="3">
        <v>26</v>
      </c>
      <c r="F39" s="3">
        <v>374</v>
      </c>
      <c r="G39" s="11" t="s">
        <v>8</v>
      </c>
      <c r="H39" s="3">
        <f>Таблица1[[#This Row],[Fish]]*Таблица1[[#This Row],[Time]]</f>
        <v>6552</v>
      </c>
      <c r="I39" s="3">
        <f>Таблица1[[#This Row],[Wood]]*Таблица1[[#This Row],[Time]]</f>
        <v>4914</v>
      </c>
    </row>
    <row r="40" spans="1:9" x14ac:dyDescent="0.25">
      <c r="A40" s="9"/>
      <c r="B40" s="8" t="s">
        <v>50</v>
      </c>
      <c r="C40" s="3">
        <v>164</v>
      </c>
      <c r="D40" s="3">
        <v>202</v>
      </c>
      <c r="E40" s="3">
        <v>26</v>
      </c>
      <c r="F40" s="3">
        <v>382</v>
      </c>
      <c r="G40" s="11" t="s">
        <v>10</v>
      </c>
      <c r="H40" s="3">
        <f>Таблица1[[#This Row],[Fish]]*Таблица1[[#This Row],[Time]]</f>
        <v>4264</v>
      </c>
      <c r="I40" s="3">
        <f>Таблица1[[#This Row],[Wood]]*Таблица1[[#This Row],[Time]]</f>
        <v>5252</v>
      </c>
    </row>
    <row r="41" spans="1:9" x14ac:dyDescent="0.25">
      <c r="A41" s="9"/>
      <c r="B41" s="2" t="s">
        <v>46</v>
      </c>
      <c r="C41" s="3">
        <v>202</v>
      </c>
      <c r="D41" s="3">
        <v>164</v>
      </c>
      <c r="E41" s="3">
        <v>26</v>
      </c>
      <c r="F41" s="3">
        <v>396</v>
      </c>
      <c r="G41" s="11" t="s">
        <v>8</v>
      </c>
      <c r="H41" s="3">
        <f>Таблица1[[#This Row],[Fish]]*Таблица1[[#This Row],[Time]]</f>
        <v>5252</v>
      </c>
      <c r="I41" s="3">
        <f>Таблица1[[#This Row],[Wood]]*Таблица1[[#This Row],[Time]]</f>
        <v>4264</v>
      </c>
    </row>
    <row r="42" spans="1:9" x14ac:dyDescent="0.25">
      <c r="A42" s="10" t="s">
        <v>26</v>
      </c>
      <c r="B42" s="6" t="s">
        <v>27</v>
      </c>
      <c r="C42" s="7">
        <v>290</v>
      </c>
      <c r="D42" s="7">
        <v>290</v>
      </c>
      <c r="E42" s="7">
        <v>31</v>
      </c>
      <c r="F42" s="7">
        <v>452</v>
      </c>
      <c r="G42" s="12" t="s">
        <v>8</v>
      </c>
      <c r="H42" s="3">
        <f>Таблица1[[#This Row],[Fish]]*Таблица1[[#This Row],[Time]]</f>
        <v>8990</v>
      </c>
      <c r="I42" s="3">
        <f>Таблица1[[#This Row],[Wood]]*Таблица1[[#This Row],[Time]]</f>
        <v>8990</v>
      </c>
    </row>
    <row r="43" spans="1:9" x14ac:dyDescent="0.25">
      <c r="A43" s="9" t="s">
        <v>20</v>
      </c>
      <c r="B43" s="2" t="s">
        <v>45</v>
      </c>
      <c r="C43" s="3">
        <v>227</v>
      </c>
      <c r="D43" s="3">
        <v>227</v>
      </c>
      <c r="E43" s="3">
        <f>24+18</f>
        <v>42</v>
      </c>
      <c r="F43" s="3">
        <v>506</v>
      </c>
      <c r="G43" s="11" t="s">
        <v>8</v>
      </c>
      <c r="H43" s="3">
        <f>Таблица1[[#This Row],[Fish]]*Таблица1[[#This Row],[Time]]</f>
        <v>9534</v>
      </c>
      <c r="I43" s="3">
        <f>Таблица1[[#This Row],[Wood]]*Таблица1[[#This Row],[Time]]</f>
        <v>9534</v>
      </c>
    </row>
    <row r="44" spans="1:9" x14ac:dyDescent="0.25">
      <c r="A44" s="8" t="s">
        <v>49</v>
      </c>
      <c r="B44" s="8" t="s">
        <v>48</v>
      </c>
      <c r="C44" s="16">
        <v>630</v>
      </c>
      <c r="D44" s="16">
        <v>630</v>
      </c>
      <c r="E44" s="16">
        <v>26</v>
      </c>
      <c r="F44" s="16">
        <v>624</v>
      </c>
      <c r="G44" s="16" t="s">
        <v>10</v>
      </c>
      <c r="H44" s="3">
        <f>Таблица1[[#This Row],[Fish]]*Таблица1[[#This Row],[Time]]</f>
        <v>16380</v>
      </c>
      <c r="I44" s="3">
        <f>Таблица1[[#This Row],[Wood]]*Таблица1[[#This Row],[Time]]</f>
        <v>16380</v>
      </c>
    </row>
    <row r="45" spans="1:9" x14ac:dyDescent="0.25">
      <c r="A45" s="8" t="s">
        <v>20</v>
      </c>
      <c r="B45" s="8" t="s">
        <v>52</v>
      </c>
      <c r="C45" s="16">
        <v>2020</v>
      </c>
      <c r="D45" s="16">
        <v>252</v>
      </c>
      <c r="E45" s="16">
        <f>4+10/60</f>
        <v>4.166666666666667</v>
      </c>
      <c r="F45" s="16">
        <v>627</v>
      </c>
      <c r="G45" s="16" t="s">
        <v>8</v>
      </c>
      <c r="H45" s="3">
        <f>Таблица1[[#This Row],[Fish]]*Таблица1[[#This Row],[Time]]</f>
        <v>8416.6666666666679</v>
      </c>
      <c r="I45" s="3">
        <f>Таблица1[[#This Row],[Wood]]*Таблица1[[#This Row],[Time]]</f>
        <v>1050</v>
      </c>
    </row>
    <row r="46" spans="1:9" x14ac:dyDescent="0.25">
      <c r="A46" s="80" t="s">
        <v>20</v>
      </c>
      <c r="B46" s="4" t="s">
        <v>72</v>
      </c>
      <c r="C46" s="81"/>
      <c r="D46" s="81">
        <v>416</v>
      </c>
      <c r="E46" s="81">
        <v>10.5</v>
      </c>
      <c r="F46" s="81">
        <v>294</v>
      </c>
      <c r="G46" s="82" t="s">
        <v>10</v>
      </c>
      <c r="H46" s="81">
        <f>Таблица1[[#This Row],[Fish]]*Таблица1[[#This Row],[Time]]</f>
        <v>0</v>
      </c>
      <c r="I46" s="81">
        <f>Таблица1[[#This Row],[Wood]]*Таблица1[[#This Row],[Time]]</f>
        <v>4368</v>
      </c>
    </row>
    <row r="47" spans="1:9" x14ac:dyDescent="0.25">
      <c r="A47" s="4"/>
      <c r="B47" s="4"/>
      <c r="C47" s="5"/>
      <c r="D47" s="5"/>
      <c r="E47" s="5"/>
      <c r="F47" s="5"/>
      <c r="G47" s="5"/>
    </row>
    <row r="48" spans="1:9" x14ac:dyDescent="0.25">
      <c r="A48" s="4"/>
      <c r="B48" s="4"/>
      <c r="C48" s="5"/>
      <c r="D48" s="5"/>
      <c r="E48" s="5"/>
      <c r="F48" s="5"/>
      <c r="G48" s="5"/>
    </row>
    <row r="49" spans="1:7" x14ac:dyDescent="0.25">
      <c r="A49" s="4"/>
      <c r="B49" s="4"/>
      <c r="C49" s="5"/>
      <c r="D49" s="5"/>
      <c r="E49" s="5"/>
      <c r="F49" s="5"/>
      <c r="G49" s="5"/>
    </row>
    <row r="50" spans="1:7" x14ac:dyDescent="0.25">
      <c r="A50" s="4"/>
      <c r="B50" s="4"/>
      <c r="C50" s="5"/>
      <c r="D50" s="5"/>
      <c r="E50" s="5"/>
      <c r="F50" s="5"/>
      <c r="G50" s="5"/>
    </row>
  </sheetData>
  <sortState ref="A2:G43">
    <sortCondition ref="F43"/>
  </sortState>
  <conditionalFormatting sqref="H1:H104857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:I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6"/>
  <sheetViews>
    <sheetView workbookViewId="0">
      <selection activeCell="I14" sqref="I14"/>
    </sheetView>
  </sheetViews>
  <sheetFormatPr defaultRowHeight="15" x14ac:dyDescent="0.25"/>
  <cols>
    <col min="2" max="2" width="20.5703125" bestFit="1" customWidth="1"/>
    <col min="3" max="3" width="8" customWidth="1"/>
    <col min="6" max="6" width="9.140625" style="129"/>
    <col min="8" max="8" width="13.7109375" bestFit="1" customWidth="1"/>
    <col min="19" max="21" width="9.140625" style="1"/>
  </cols>
  <sheetData>
    <row r="1" spans="1:26" x14ac:dyDescent="0.25">
      <c r="K1" s="20"/>
      <c r="L1" s="151" t="s">
        <v>58</v>
      </c>
      <c r="M1" s="151"/>
      <c r="N1" s="151" t="s">
        <v>60</v>
      </c>
      <c r="O1" s="151"/>
      <c r="P1" s="151" t="s">
        <v>59</v>
      </c>
      <c r="Q1" s="151"/>
      <c r="S1" s="151" t="s">
        <v>64</v>
      </c>
      <c r="T1" s="151"/>
      <c r="U1" s="151"/>
    </row>
    <row r="2" spans="1:26" x14ac:dyDescent="0.25">
      <c r="A2" s="19" t="s">
        <v>0</v>
      </c>
      <c r="B2" s="19" t="s">
        <v>1</v>
      </c>
      <c r="C2" s="19" t="s">
        <v>62</v>
      </c>
      <c r="D2" s="19" t="s">
        <v>80</v>
      </c>
      <c r="E2" s="19" t="s">
        <v>81</v>
      </c>
      <c r="F2" s="130" t="s">
        <v>82</v>
      </c>
      <c r="G2" s="19" t="s">
        <v>83</v>
      </c>
      <c r="H2" s="19" t="s">
        <v>6</v>
      </c>
      <c r="I2" s="19" t="s">
        <v>57</v>
      </c>
      <c r="J2" s="19" t="s">
        <v>5</v>
      </c>
      <c r="K2" s="19" t="s">
        <v>4</v>
      </c>
      <c r="L2" s="19" t="s">
        <v>3</v>
      </c>
      <c r="M2" s="19" t="s">
        <v>2</v>
      </c>
      <c r="N2" s="19" t="s">
        <v>3</v>
      </c>
      <c r="O2" s="19" t="s">
        <v>2</v>
      </c>
      <c r="P2" s="19" t="s">
        <v>3</v>
      </c>
      <c r="Q2" s="19" t="s">
        <v>2</v>
      </c>
      <c r="S2" s="19" t="s">
        <v>90</v>
      </c>
      <c r="T2" s="19" t="s">
        <v>91</v>
      </c>
      <c r="U2" s="19" t="s">
        <v>92</v>
      </c>
      <c r="W2" s="19" t="s">
        <v>3</v>
      </c>
      <c r="X2" s="19" t="s">
        <v>2</v>
      </c>
    </row>
    <row r="3" spans="1:26" x14ac:dyDescent="0.25">
      <c r="A3" s="19" t="s">
        <v>3</v>
      </c>
    </row>
    <row r="4" spans="1:26" x14ac:dyDescent="0.25">
      <c r="A4" s="34"/>
      <c r="B4" s="26" t="s">
        <v>24</v>
      </c>
      <c r="C4" s="98">
        <v>1000</v>
      </c>
      <c r="D4" s="27">
        <v>775.5</v>
      </c>
      <c r="E4" s="27">
        <v>775.5</v>
      </c>
      <c r="F4" s="127">
        <v>10.5</v>
      </c>
      <c r="G4" s="27">
        <v>477</v>
      </c>
      <c r="H4" s="27" t="s">
        <v>12</v>
      </c>
      <c r="I4" s="28">
        <v>42</v>
      </c>
      <c r="J4" s="23">
        <v>68</v>
      </c>
      <c r="K4" s="25">
        <f>4+20/60</f>
        <v>4.333333333333333</v>
      </c>
      <c r="L4" s="42">
        <v>49</v>
      </c>
      <c r="M4" s="42">
        <v>49</v>
      </c>
      <c r="N4" s="43">
        <f>IF($K4&lt;8,L4*$K4,10*L4)</f>
        <v>212.33333333333331</v>
      </c>
      <c r="O4" s="44">
        <f>IF($K4&lt;8,M4*$K4,10*M4)</f>
        <v>212.33333333333331</v>
      </c>
      <c r="P4" s="44">
        <f>L4*$K4</f>
        <v>212.33333333333331</v>
      </c>
      <c r="Q4" s="44">
        <f>M4*$K4</f>
        <v>212.33333333333331</v>
      </c>
      <c r="T4" s="41"/>
      <c r="U4" s="41">
        <v>9.3699999999999992</v>
      </c>
      <c r="W4" s="40">
        <f>D4*F4</f>
        <v>8142.75</v>
      </c>
      <c r="X4" s="40">
        <f>E4*F4</f>
        <v>8142.75</v>
      </c>
      <c r="Z4" s="40"/>
    </row>
    <row r="5" spans="1:26" x14ac:dyDescent="0.25">
      <c r="A5" s="34"/>
      <c r="B5" s="17" t="s">
        <v>35</v>
      </c>
      <c r="C5" s="98">
        <v>450</v>
      </c>
      <c r="D5" s="18">
        <v>846</v>
      </c>
      <c r="E5" s="18">
        <v>282</v>
      </c>
      <c r="F5" s="131">
        <v>5.25</v>
      </c>
      <c r="G5" s="18">
        <v>412</v>
      </c>
      <c r="H5" s="18" t="s">
        <v>8</v>
      </c>
      <c r="I5" s="28">
        <v>42</v>
      </c>
      <c r="J5" s="23">
        <v>67</v>
      </c>
      <c r="K5" s="25">
        <f>2+10/60</f>
        <v>2.1666666666666665</v>
      </c>
      <c r="L5" s="42">
        <v>53.4</v>
      </c>
      <c r="M5" s="42">
        <v>17.8</v>
      </c>
      <c r="N5" s="43">
        <f>IF($K5&lt;8,L5*$K5,10*L5)</f>
        <v>115.69999999999999</v>
      </c>
      <c r="O5" s="44">
        <f>IF($K5&lt;8,M5*$K5,10*M5)</f>
        <v>38.566666666666663</v>
      </c>
      <c r="P5" s="46">
        <f>L5*$K5</f>
        <v>115.69999999999999</v>
      </c>
      <c r="Q5" s="44">
        <f>M5*$K5</f>
        <v>38.566666666666663</v>
      </c>
      <c r="S5" s="1">
        <v>0.82</v>
      </c>
      <c r="T5" s="41">
        <v>1.73</v>
      </c>
      <c r="U5" s="41">
        <v>5.36</v>
      </c>
      <c r="W5" s="40">
        <f>D5*F5</f>
        <v>4441.5</v>
      </c>
      <c r="X5" s="40">
        <f>E5*F5</f>
        <v>1480.5</v>
      </c>
      <c r="Z5" s="40"/>
    </row>
    <row r="6" spans="1:26" x14ac:dyDescent="0.25">
      <c r="A6" s="34"/>
      <c r="B6" s="26" t="s">
        <v>16</v>
      </c>
      <c r="C6" s="27">
        <v>240</v>
      </c>
      <c r="D6" s="27">
        <v>564</v>
      </c>
      <c r="E6" s="27">
        <v>564</v>
      </c>
      <c r="F6" s="127">
        <v>5.25</v>
      </c>
      <c r="G6" s="27">
        <v>341</v>
      </c>
      <c r="H6" s="27" t="s">
        <v>12</v>
      </c>
      <c r="I6" s="28">
        <v>42</v>
      </c>
      <c r="J6" s="23">
        <v>56</v>
      </c>
      <c r="K6" s="25">
        <f>2+10/60</f>
        <v>2.1666666666666665</v>
      </c>
      <c r="L6" s="42">
        <v>35.6</v>
      </c>
      <c r="M6" s="42">
        <v>35.6</v>
      </c>
      <c r="N6" s="43">
        <f t="shared" ref="N6:O10" si="0">IF($K6&lt;8,L6*$K6,10*L6)</f>
        <v>77.133333333333326</v>
      </c>
      <c r="O6" s="44">
        <f t="shared" si="0"/>
        <v>77.133333333333326</v>
      </c>
      <c r="P6" s="44">
        <f t="shared" ref="P6:Q10" si="1">L6*$K6</f>
        <v>77.133333333333326</v>
      </c>
      <c r="Q6" s="44">
        <f t="shared" si="1"/>
        <v>77.133333333333326</v>
      </c>
      <c r="S6" s="1">
        <v>0.53</v>
      </c>
      <c r="T6" s="41">
        <v>2.11</v>
      </c>
      <c r="U6" s="41">
        <v>6.54</v>
      </c>
      <c r="W6" s="40">
        <f t="shared" ref="W6:W39" si="2">D6*F6</f>
        <v>2961</v>
      </c>
      <c r="X6" s="40">
        <f t="shared" ref="X6:X39" si="3">E6*F6</f>
        <v>2961</v>
      </c>
      <c r="Z6" s="40"/>
    </row>
    <row r="7" spans="1:26" x14ac:dyDescent="0.25">
      <c r="A7" s="34"/>
      <c r="B7" s="26" t="s">
        <v>16</v>
      </c>
      <c r="C7" s="27">
        <v>240</v>
      </c>
      <c r="D7" s="27">
        <v>564</v>
      </c>
      <c r="E7" s="27">
        <v>564</v>
      </c>
      <c r="F7" s="127">
        <v>5.25</v>
      </c>
      <c r="G7" s="27">
        <v>341</v>
      </c>
      <c r="H7" s="27" t="s">
        <v>12</v>
      </c>
      <c r="I7" s="28">
        <v>42</v>
      </c>
      <c r="J7" s="23">
        <v>56</v>
      </c>
      <c r="K7" s="25">
        <f t="shared" ref="K7:K8" si="4">2+10/60</f>
        <v>2.1666666666666665</v>
      </c>
      <c r="L7" s="42">
        <v>35.6</v>
      </c>
      <c r="M7" s="42">
        <v>35.6</v>
      </c>
      <c r="N7" s="43">
        <f t="shared" si="0"/>
        <v>77.133333333333326</v>
      </c>
      <c r="O7" s="44">
        <f t="shared" si="0"/>
        <v>77.133333333333326</v>
      </c>
      <c r="P7" s="44">
        <f t="shared" si="1"/>
        <v>77.133333333333326</v>
      </c>
      <c r="Q7" s="44">
        <f t="shared" si="1"/>
        <v>77.133333333333326</v>
      </c>
      <c r="S7" s="1">
        <v>0.53</v>
      </c>
      <c r="T7" s="41">
        <v>2.11</v>
      </c>
      <c r="U7" s="41">
        <v>6.54</v>
      </c>
      <c r="W7" s="40">
        <f t="shared" si="2"/>
        <v>2961</v>
      </c>
      <c r="X7" s="40">
        <f t="shared" si="3"/>
        <v>2961</v>
      </c>
      <c r="Z7" s="40"/>
    </row>
    <row r="8" spans="1:26" x14ac:dyDescent="0.25">
      <c r="A8" s="34"/>
      <c r="B8" s="26" t="s">
        <v>16</v>
      </c>
      <c r="C8" s="27">
        <v>240</v>
      </c>
      <c r="D8" s="27">
        <v>564</v>
      </c>
      <c r="E8" s="27">
        <v>564</v>
      </c>
      <c r="F8" s="127">
        <v>5.25</v>
      </c>
      <c r="G8" s="27">
        <v>341</v>
      </c>
      <c r="H8" s="27" t="s">
        <v>12</v>
      </c>
      <c r="I8" s="28">
        <v>42</v>
      </c>
      <c r="J8" s="23">
        <v>56</v>
      </c>
      <c r="K8" s="25">
        <f t="shared" si="4"/>
        <v>2.1666666666666665</v>
      </c>
      <c r="L8" s="42">
        <v>35.6</v>
      </c>
      <c r="M8" s="42">
        <v>35.6</v>
      </c>
      <c r="N8" s="43">
        <f t="shared" ref="N8:O9" si="5">IF($K8&lt;8,L8*$K8,10*L8)</f>
        <v>77.133333333333326</v>
      </c>
      <c r="O8" s="44">
        <f t="shared" si="5"/>
        <v>77.133333333333326</v>
      </c>
      <c r="P8" s="46">
        <f t="shared" ref="P8:Q9" si="6">L8*$K8</f>
        <v>77.133333333333326</v>
      </c>
      <c r="Q8" s="44">
        <f t="shared" si="6"/>
        <v>77.133333333333326</v>
      </c>
      <c r="S8" s="1">
        <v>0.53</v>
      </c>
      <c r="T8" s="41">
        <v>2.11</v>
      </c>
      <c r="U8" s="41">
        <v>6.54</v>
      </c>
      <c r="W8" s="40">
        <f t="shared" ref="W8" si="7">D8*F8</f>
        <v>2961</v>
      </c>
      <c r="X8" s="40">
        <f t="shared" ref="X8" si="8">E8*F8</f>
        <v>2961</v>
      </c>
      <c r="Z8" s="40"/>
    </row>
    <row r="9" spans="1:26" x14ac:dyDescent="0.25">
      <c r="A9" s="31" t="s">
        <v>20</v>
      </c>
      <c r="B9" s="31" t="s">
        <v>43</v>
      </c>
      <c r="C9" s="35"/>
      <c r="D9" s="27">
        <v>1410</v>
      </c>
      <c r="E9" s="27">
        <v>211.5</v>
      </c>
      <c r="F9" s="127">
        <v>6.25</v>
      </c>
      <c r="G9" s="27">
        <v>484</v>
      </c>
      <c r="H9" s="27" t="s">
        <v>8</v>
      </c>
      <c r="I9" s="23">
        <v>31</v>
      </c>
      <c r="J9" s="23">
        <v>53</v>
      </c>
      <c r="K9" s="25">
        <f>1+10/60</f>
        <v>1.1666666666666667</v>
      </c>
      <c r="L9" s="42">
        <v>49.5</v>
      </c>
      <c r="M9" s="42">
        <v>7.4249999999999998</v>
      </c>
      <c r="N9" s="43">
        <f t="shared" si="5"/>
        <v>57.750000000000007</v>
      </c>
      <c r="O9" s="44">
        <f t="shared" si="5"/>
        <v>8.6624999999999996</v>
      </c>
      <c r="P9" s="44">
        <f t="shared" si="6"/>
        <v>57.750000000000007</v>
      </c>
      <c r="Q9" s="44">
        <f t="shared" si="6"/>
        <v>8.6624999999999996</v>
      </c>
      <c r="S9" s="1">
        <v>1.1299999999999999</v>
      </c>
      <c r="T9" s="41">
        <v>4.55</v>
      </c>
      <c r="U9" s="41">
        <v>14.08</v>
      </c>
      <c r="W9" s="40">
        <f>D9*F9</f>
        <v>8812.5</v>
      </c>
      <c r="X9" s="40">
        <f>E9*F9</f>
        <v>1321.875</v>
      </c>
      <c r="Z9" s="40"/>
    </row>
    <row r="10" spans="1:26" x14ac:dyDescent="0.25">
      <c r="A10" s="31" t="s">
        <v>20</v>
      </c>
      <c r="B10" s="31" t="s">
        <v>21</v>
      </c>
      <c r="C10" s="35"/>
      <c r="D10" s="27">
        <v>564</v>
      </c>
      <c r="E10" s="27">
        <v>564</v>
      </c>
      <c r="F10" s="127">
        <v>10.5</v>
      </c>
      <c r="G10" s="27">
        <v>406</v>
      </c>
      <c r="H10" s="27" t="s">
        <v>12</v>
      </c>
      <c r="I10" s="28">
        <v>38</v>
      </c>
      <c r="J10" s="23">
        <v>55</v>
      </c>
      <c r="K10" s="25">
        <v>3</v>
      </c>
      <c r="L10" s="42">
        <v>31</v>
      </c>
      <c r="M10" s="42">
        <v>31</v>
      </c>
      <c r="N10" s="43">
        <f t="shared" si="0"/>
        <v>93</v>
      </c>
      <c r="O10" s="44">
        <f t="shared" si="0"/>
        <v>93</v>
      </c>
      <c r="P10" s="44">
        <f t="shared" si="1"/>
        <v>93</v>
      </c>
      <c r="Q10" s="44">
        <f t="shared" si="1"/>
        <v>93</v>
      </c>
      <c r="T10" s="41">
        <v>4.8600000000000003</v>
      </c>
      <c r="U10" s="41">
        <v>15.1</v>
      </c>
      <c r="W10" s="40">
        <f t="shared" si="2"/>
        <v>5922</v>
      </c>
      <c r="X10" s="40">
        <f t="shared" si="3"/>
        <v>5922</v>
      </c>
      <c r="Z10" s="40"/>
    </row>
    <row r="11" spans="1:26" x14ac:dyDescent="0.25">
      <c r="A11" s="19" t="s">
        <v>2</v>
      </c>
      <c r="L11" s="103">
        <f>SUM(L5:L10)</f>
        <v>240.7</v>
      </c>
      <c r="N11" s="103">
        <f>SUM(N5:N10)</f>
        <v>497.84999999999997</v>
      </c>
      <c r="P11" s="103">
        <f>SUM(P5:P10)</f>
        <v>497.84999999999997</v>
      </c>
      <c r="T11" s="41"/>
      <c r="U11" s="41"/>
    </row>
    <row r="12" spans="1:26" s="68" customFormat="1" x14ac:dyDescent="0.25">
      <c r="A12" s="30" t="s">
        <v>20</v>
      </c>
      <c r="B12" s="30" t="s">
        <v>71</v>
      </c>
      <c r="C12" s="37"/>
      <c r="D12" s="18"/>
      <c r="E12" s="18">
        <v>1071.5999999999999</v>
      </c>
      <c r="F12" s="131">
        <v>5.25</v>
      </c>
      <c r="G12" s="18">
        <v>416</v>
      </c>
      <c r="H12" s="18" t="s">
        <v>8</v>
      </c>
      <c r="I12" s="23">
        <v>38</v>
      </c>
      <c r="J12" s="23">
        <v>60</v>
      </c>
      <c r="K12" s="25">
        <f>1.5</f>
        <v>1.5</v>
      </c>
      <c r="L12" s="42"/>
      <c r="M12" s="42">
        <v>59</v>
      </c>
      <c r="N12" s="43"/>
      <c r="O12" s="44">
        <f>IF($K12&lt;8,M12*$K12,10*M12)</f>
        <v>88.5</v>
      </c>
      <c r="Q12" s="44">
        <f>M12*$K12</f>
        <v>88.5</v>
      </c>
      <c r="S12" s="99">
        <v>0.53</v>
      </c>
      <c r="T12" s="85">
        <v>2.13</v>
      </c>
      <c r="U12" s="142">
        <v>7</v>
      </c>
      <c r="X12" s="69">
        <f>E12*F12</f>
        <v>5625.9</v>
      </c>
    </row>
    <row r="13" spans="1:26" x14ac:dyDescent="0.25">
      <c r="A13" s="34"/>
      <c r="B13" s="26" t="s">
        <v>36</v>
      </c>
      <c r="C13" s="98">
        <v>550</v>
      </c>
      <c r="D13" s="27">
        <v>282</v>
      </c>
      <c r="E13" s="27">
        <v>846</v>
      </c>
      <c r="F13" s="127">
        <v>5.25</v>
      </c>
      <c r="G13" s="27">
        <v>403</v>
      </c>
      <c r="H13" s="27" t="s">
        <v>12</v>
      </c>
      <c r="I13" s="28">
        <v>42</v>
      </c>
      <c r="J13" s="23">
        <v>62</v>
      </c>
      <c r="K13" s="25">
        <f>2+10/60</f>
        <v>2.1666666666666665</v>
      </c>
      <c r="L13" s="42">
        <v>17.8</v>
      </c>
      <c r="M13" s="42">
        <v>53.4</v>
      </c>
      <c r="N13" s="43">
        <f>IF($K13&lt;8,L13*$K13,10*L13)</f>
        <v>38.566666666666663</v>
      </c>
      <c r="O13" s="44">
        <f>IF($K13&lt;8,M13*$K13,10*M13)</f>
        <v>115.69999999999999</v>
      </c>
      <c r="P13" s="44">
        <f>L13*$K13</f>
        <v>38.566666666666663</v>
      </c>
      <c r="Q13" s="44">
        <f>M13*$K13</f>
        <v>115.69999999999999</v>
      </c>
      <c r="T13" s="41"/>
      <c r="U13" s="41">
        <v>5.36</v>
      </c>
      <c r="W13" s="40">
        <f>D13*F13</f>
        <v>1480.5</v>
      </c>
      <c r="X13" s="40">
        <f>E13*F13</f>
        <v>4441.5</v>
      </c>
      <c r="Z13" s="40"/>
    </row>
    <row r="14" spans="1:26" x14ac:dyDescent="0.25">
      <c r="A14" s="34"/>
      <c r="B14" s="26" t="s">
        <v>16</v>
      </c>
      <c r="C14" s="27">
        <v>240</v>
      </c>
      <c r="D14" s="22">
        <v>564</v>
      </c>
      <c r="E14" s="22">
        <v>564</v>
      </c>
      <c r="F14" s="78">
        <v>5.25</v>
      </c>
      <c r="G14" s="22">
        <v>341</v>
      </c>
      <c r="H14" s="27" t="s">
        <v>12</v>
      </c>
      <c r="I14" s="28">
        <v>40</v>
      </c>
      <c r="J14" s="23">
        <v>53</v>
      </c>
      <c r="K14" s="25">
        <f>1+50/60</f>
        <v>1.8333333333333335</v>
      </c>
      <c r="L14" s="42">
        <v>33.700000000000003</v>
      </c>
      <c r="M14" s="42">
        <v>33.700000000000003</v>
      </c>
      <c r="N14" s="43">
        <f>IF($K14&lt;8,L14*$K14,10*L14)</f>
        <v>61.783333333333346</v>
      </c>
      <c r="O14" s="44">
        <f>IF($K14&lt;8,M14*$K14,10*M14)</f>
        <v>61.783333333333346</v>
      </c>
      <c r="P14" s="44">
        <f>L14*$K14</f>
        <v>61.783333333333346</v>
      </c>
      <c r="Q14" s="44">
        <f>M14*$K14</f>
        <v>61.783333333333346</v>
      </c>
      <c r="S14" s="1">
        <v>0.53</v>
      </c>
      <c r="T14" s="41">
        <v>2.11</v>
      </c>
      <c r="U14" s="41">
        <v>6.54</v>
      </c>
      <c r="W14" s="40">
        <f t="shared" ref="W14" si="9">D14*F14</f>
        <v>2961</v>
      </c>
      <c r="X14" s="40">
        <f t="shared" ref="X14" si="10">E14*F14</f>
        <v>2961</v>
      </c>
      <c r="Z14" s="40"/>
    </row>
    <row r="15" spans="1:26" s="68" customFormat="1" x14ac:dyDescent="0.25">
      <c r="A15" s="30" t="s">
        <v>20</v>
      </c>
      <c r="B15" s="30" t="s">
        <v>72</v>
      </c>
      <c r="C15" s="37"/>
      <c r="D15" s="18"/>
      <c r="E15" s="18">
        <v>465.3</v>
      </c>
      <c r="F15" s="131">
        <v>10.5</v>
      </c>
      <c r="G15" s="18">
        <v>384</v>
      </c>
      <c r="H15" s="18" t="s">
        <v>10</v>
      </c>
      <c r="I15" s="23">
        <v>37</v>
      </c>
      <c r="J15" s="23">
        <v>56</v>
      </c>
      <c r="K15" s="25">
        <f>2+40/60</f>
        <v>2.6666666666666665</v>
      </c>
      <c r="L15" s="42"/>
      <c r="M15" s="42">
        <v>24.5</v>
      </c>
      <c r="N15" s="43"/>
      <c r="O15" s="44">
        <f t="shared" ref="O15:O18" si="11">IF($K15&lt;8,M15*$K15,10*M15)</f>
        <v>65.333333333333329</v>
      </c>
      <c r="P15" s="46"/>
      <c r="Q15" s="44">
        <f t="shared" ref="Q15:Q18" si="12">M15*$K15</f>
        <v>65.333333333333329</v>
      </c>
      <c r="S15" s="99">
        <v>0.86</v>
      </c>
      <c r="T15" s="85"/>
      <c r="U15" s="143">
        <v>10.68</v>
      </c>
      <c r="W15" s="69"/>
      <c r="X15" s="69">
        <f>E15*F15</f>
        <v>4885.6500000000005</v>
      </c>
      <c r="Z15" s="69"/>
    </row>
    <row r="16" spans="1:26" x14ac:dyDescent="0.25">
      <c r="A16" s="34"/>
      <c r="B16" s="21" t="s">
        <v>22</v>
      </c>
      <c r="C16" s="98">
        <v>550</v>
      </c>
      <c r="D16" s="22">
        <v>141</v>
      </c>
      <c r="E16" s="22">
        <v>366.6</v>
      </c>
      <c r="F16" s="127">
        <f>12+35/60</f>
        <v>12.583333333333334</v>
      </c>
      <c r="G16" s="22">
        <v>301</v>
      </c>
      <c r="H16" s="22" t="s">
        <v>10</v>
      </c>
      <c r="I16" s="28">
        <v>34</v>
      </c>
      <c r="J16" s="23">
        <v>51</v>
      </c>
      <c r="K16" s="25">
        <f>2+40/60</f>
        <v>2.6666666666666665</v>
      </c>
      <c r="L16" s="42">
        <v>6.57</v>
      </c>
      <c r="M16" s="42">
        <v>17</v>
      </c>
      <c r="N16" s="43">
        <f>IF($K16&lt;8,L16*$K16,10*L16)</f>
        <v>17.52</v>
      </c>
      <c r="O16" s="44">
        <f t="shared" si="11"/>
        <v>45.333333333333329</v>
      </c>
      <c r="P16" s="44">
        <f>L16*$K16</f>
        <v>17.52</v>
      </c>
      <c r="Q16" s="44">
        <f t="shared" si="12"/>
        <v>45.333333333333329</v>
      </c>
      <c r="S16" s="1">
        <v>1.77</v>
      </c>
      <c r="T16" s="41"/>
      <c r="U16" s="41">
        <v>11.6</v>
      </c>
      <c r="W16" s="40">
        <f t="shared" si="2"/>
        <v>1774.25</v>
      </c>
      <c r="X16" s="40">
        <f t="shared" si="3"/>
        <v>4613.05</v>
      </c>
      <c r="Z16" s="40"/>
    </row>
    <row r="17" spans="1:26" x14ac:dyDescent="0.25">
      <c r="A17" s="30" t="s">
        <v>20</v>
      </c>
      <c r="B17" s="30" t="s">
        <v>23</v>
      </c>
      <c r="C17" s="37"/>
      <c r="D17" s="22">
        <v>211.5</v>
      </c>
      <c r="E17" s="22">
        <v>1410</v>
      </c>
      <c r="F17" s="78">
        <v>6.25</v>
      </c>
      <c r="G17" s="22">
        <v>466</v>
      </c>
      <c r="H17" s="22" t="s">
        <v>10</v>
      </c>
      <c r="I17" s="28">
        <v>26</v>
      </c>
      <c r="J17" s="23">
        <v>33</v>
      </c>
      <c r="K17" s="25">
        <f>55/60</f>
        <v>0.91666666666666663</v>
      </c>
      <c r="L17" s="42">
        <v>5.79</v>
      </c>
      <c r="M17" s="42">
        <v>38.6</v>
      </c>
      <c r="N17" s="43">
        <f>IF($K17&lt;8,L17*$K17,10*L17)</f>
        <v>5.3075000000000001</v>
      </c>
      <c r="O17" s="44">
        <f>IF($K17&lt;8,M17*$K17,10*M17)</f>
        <v>35.383333333333333</v>
      </c>
      <c r="P17" s="44">
        <f>L17*$K17</f>
        <v>5.3075000000000001</v>
      </c>
      <c r="Q17" s="44">
        <f>M17*$K17</f>
        <v>35.383333333333333</v>
      </c>
      <c r="S17" s="1">
        <v>1.1299999999999999</v>
      </c>
      <c r="T17" s="41">
        <v>4.55</v>
      </c>
      <c r="U17" s="41">
        <v>14.08</v>
      </c>
      <c r="W17" s="40">
        <f>D17*F17</f>
        <v>1321.875</v>
      </c>
      <c r="X17" s="40">
        <f>E17*F17</f>
        <v>8812.5</v>
      </c>
      <c r="Z17" s="40"/>
    </row>
    <row r="18" spans="1:26" x14ac:dyDescent="0.25">
      <c r="A18" s="34"/>
      <c r="B18" s="17" t="s">
        <v>39</v>
      </c>
      <c r="C18" s="98">
        <v>750</v>
      </c>
      <c r="D18" s="18"/>
      <c r="E18" s="18">
        <v>437.1</v>
      </c>
      <c r="F18" s="131">
        <f>12+5/60</f>
        <v>12.083333333333334</v>
      </c>
      <c r="G18" s="18">
        <v>434</v>
      </c>
      <c r="H18" s="18" t="s">
        <v>8</v>
      </c>
      <c r="I18" s="28">
        <v>37</v>
      </c>
      <c r="J18" s="23">
        <v>60</v>
      </c>
      <c r="K18" s="25">
        <f>3</f>
        <v>3</v>
      </c>
      <c r="L18" s="42"/>
      <c r="M18" s="42">
        <v>23</v>
      </c>
      <c r="N18" s="43"/>
      <c r="O18" s="44">
        <f t="shared" si="11"/>
        <v>69</v>
      </c>
      <c r="P18" s="46"/>
      <c r="Q18" s="44">
        <f t="shared" si="12"/>
        <v>69</v>
      </c>
      <c r="S18" s="1">
        <v>1.98</v>
      </c>
      <c r="T18" s="41">
        <v>4.1900000000000004</v>
      </c>
      <c r="U18" s="41">
        <v>12.93</v>
      </c>
      <c r="W18" s="40"/>
      <c r="X18" s="40">
        <f>E18*F18</f>
        <v>5281.6250000000009</v>
      </c>
      <c r="Z18" s="40"/>
    </row>
    <row r="19" spans="1:26" x14ac:dyDescent="0.25">
      <c r="A19" s="29"/>
      <c r="B19" s="29"/>
      <c r="C19" s="39"/>
      <c r="D19" s="29"/>
      <c r="E19" s="29"/>
      <c r="F19" s="45"/>
      <c r="G19" s="29"/>
      <c r="H19" s="29"/>
      <c r="M19" s="103">
        <f>SUM(M15:M18)</f>
        <v>103.1</v>
      </c>
      <c r="O19" s="103">
        <f>SUM(O15:O18)</f>
        <v>215.04999999999998</v>
      </c>
      <c r="Q19" s="103">
        <f>SUM(Q15:Q18)</f>
        <v>215.04999999999998</v>
      </c>
      <c r="T19" s="41"/>
      <c r="U19" s="41"/>
      <c r="W19" s="40"/>
      <c r="X19" s="40"/>
      <c r="Z19" s="40"/>
    </row>
    <row r="20" spans="1:26" x14ac:dyDescent="0.25">
      <c r="A20" s="97" t="s">
        <v>75</v>
      </c>
      <c r="B20" s="97" t="s">
        <v>94</v>
      </c>
      <c r="C20" s="144">
        <v>2600</v>
      </c>
      <c r="D20" s="27">
        <v>1833</v>
      </c>
      <c r="E20" s="27">
        <v>1833</v>
      </c>
      <c r="F20" s="127">
        <f>3+40/60</f>
        <v>3.6666666666666665</v>
      </c>
      <c r="G20" s="27">
        <v>801</v>
      </c>
      <c r="H20" s="27" t="s">
        <v>12</v>
      </c>
      <c r="I20" s="28"/>
      <c r="J20" s="23"/>
      <c r="K20" s="25"/>
      <c r="L20" s="42"/>
      <c r="M20" s="42"/>
      <c r="N20" s="43"/>
      <c r="O20" s="44"/>
      <c r="P20" s="44"/>
      <c r="Q20" s="44"/>
      <c r="T20" s="41"/>
      <c r="U20" s="41"/>
      <c r="W20" s="40">
        <f t="shared" ref="W20:W25" si="13">D20*F20</f>
        <v>6721</v>
      </c>
      <c r="X20" s="40">
        <f>E20*F20</f>
        <v>6721</v>
      </c>
      <c r="Z20" s="40"/>
    </row>
    <row r="21" spans="1:26" x14ac:dyDescent="0.25">
      <c r="A21" s="34"/>
      <c r="B21" s="26" t="s">
        <v>84</v>
      </c>
      <c r="C21" s="98">
        <v>1400</v>
      </c>
      <c r="D21" s="27">
        <v>493.5</v>
      </c>
      <c r="E21" s="27">
        <v>493.5</v>
      </c>
      <c r="F21" s="127">
        <f>18+25/60</f>
        <v>18.416666666666668</v>
      </c>
      <c r="G21" s="27">
        <v>557</v>
      </c>
      <c r="H21" s="27" t="s">
        <v>12</v>
      </c>
      <c r="I21" s="28">
        <v>24</v>
      </c>
      <c r="J21" s="23">
        <v>27</v>
      </c>
      <c r="K21" s="25">
        <f>2+20/60</f>
        <v>2.3333333333333335</v>
      </c>
      <c r="L21" s="42">
        <v>12.7</v>
      </c>
      <c r="M21" s="42">
        <v>12.7</v>
      </c>
      <c r="N21" s="43">
        <f t="shared" ref="N21" si="14">IF($K21&lt;8,L21*$K21,10*L21)</f>
        <v>29.633333333333333</v>
      </c>
      <c r="O21" s="44">
        <f t="shared" ref="O21" si="15">IF($K21&lt;8,M21*$K21,10*M21)</f>
        <v>29.633333333333333</v>
      </c>
      <c r="P21" s="44">
        <f t="shared" ref="P21" si="16">L21*$K21</f>
        <v>29.633333333333333</v>
      </c>
      <c r="Q21" s="44">
        <f t="shared" ref="Q21" si="17">M21*$K21</f>
        <v>29.633333333333333</v>
      </c>
      <c r="S21" s="1">
        <v>1.42</v>
      </c>
      <c r="T21" s="41">
        <v>6.15</v>
      </c>
      <c r="U21" s="41">
        <v>18.23</v>
      </c>
      <c r="W21" s="40">
        <f t="shared" si="13"/>
        <v>9088.625</v>
      </c>
      <c r="X21" s="40">
        <f>E21*F21</f>
        <v>9088.625</v>
      </c>
      <c r="Z21" s="40"/>
    </row>
    <row r="22" spans="1:26" x14ac:dyDescent="0.25">
      <c r="A22" s="34"/>
      <c r="B22" s="26" t="s">
        <v>51</v>
      </c>
      <c r="C22" s="98">
        <v>1100</v>
      </c>
      <c r="D22" s="27">
        <v>282</v>
      </c>
      <c r="E22" s="27">
        <v>507.6</v>
      </c>
      <c r="F22" s="127">
        <f>13+40/60</f>
        <v>13.666666666666666</v>
      </c>
      <c r="G22" s="27">
        <v>466</v>
      </c>
      <c r="H22" s="22" t="s">
        <v>10</v>
      </c>
      <c r="I22" s="28"/>
      <c r="J22" s="23"/>
      <c r="K22" s="25"/>
      <c r="L22" s="42"/>
      <c r="M22" s="42"/>
      <c r="N22" s="43"/>
      <c r="O22" s="44"/>
      <c r="P22" s="44"/>
      <c r="Q22" s="44"/>
      <c r="T22" s="41"/>
      <c r="U22" s="41"/>
      <c r="W22" s="40">
        <f t="shared" si="13"/>
        <v>3854</v>
      </c>
      <c r="X22" s="40">
        <f>E22*F22</f>
        <v>6937.2</v>
      </c>
      <c r="Z22" s="40"/>
    </row>
    <row r="23" spans="1:26" x14ac:dyDescent="0.25">
      <c r="A23" s="34"/>
      <c r="B23" s="26" t="s">
        <v>47</v>
      </c>
      <c r="C23" s="98">
        <v>1100</v>
      </c>
      <c r="D23" s="27">
        <v>507.6</v>
      </c>
      <c r="E23" s="27">
        <v>282</v>
      </c>
      <c r="F23" s="127">
        <f>13+40/60</f>
        <v>13.666666666666666</v>
      </c>
      <c r="G23" s="27">
        <v>477</v>
      </c>
      <c r="H23" s="27" t="s">
        <v>12</v>
      </c>
      <c r="I23" s="28"/>
      <c r="J23" s="23"/>
      <c r="K23" s="25"/>
      <c r="L23" s="42"/>
      <c r="M23" s="42"/>
      <c r="N23" s="43"/>
      <c r="O23" s="44"/>
      <c r="P23" s="44"/>
      <c r="Q23" s="44"/>
      <c r="T23" s="41"/>
      <c r="U23" s="41"/>
      <c r="W23" s="40">
        <f t="shared" si="13"/>
        <v>6937.2</v>
      </c>
      <c r="X23" s="40">
        <f>E23*F23</f>
        <v>3854</v>
      </c>
      <c r="Z23" s="40"/>
    </row>
    <row r="24" spans="1:26" x14ac:dyDescent="0.25">
      <c r="A24" s="33" t="s">
        <v>25</v>
      </c>
      <c r="B24" s="33" t="s">
        <v>38</v>
      </c>
      <c r="C24" s="36"/>
      <c r="D24" s="22">
        <v>393.39</v>
      </c>
      <c r="E24" s="22"/>
      <c r="F24" s="78">
        <f>12+5/60</f>
        <v>12.083333333333334</v>
      </c>
      <c r="G24" s="22">
        <v>535</v>
      </c>
      <c r="H24" s="22" t="s">
        <v>10</v>
      </c>
      <c r="I24" s="28"/>
      <c r="J24" s="23"/>
      <c r="K24" s="25"/>
      <c r="L24" s="42"/>
      <c r="M24" s="42"/>
      <c r="N24" s="43"/>
      <c r="O24" s="44"/>
      <c r="P24" s="46"/>
      <c r="Q24" s="44"/>
      <c r="T24" s="41"/>
      <c r="U24" s="41"/>
      <c r="W24" s="40">
        <f t="shared" si="13"/>
        <v>4753.4624999999996</v>
      </c>
      <c r="X24" s="40"/>
      <c r="Z24" s="40"/>
    </row>
    <row r="25" spans="1:26" x14ac:dyDescent="0.25">
      <c r="A25" s="34"/>
      <c r="B25" s="21" t="s">
        <v>38</v>
      </c>
      <c r="C25" s="98">
        <v>750</v>
      </c>
      <c r="D25" s="22">
        <v>437.1</v>
      </c>
      <c r="E25" s="22"/>
      <c r="F25" s="78">
        <f>12+5/60</f>
        <v>12.083333333333334</v>
      </c>
      <c r="G25" s="22">
        <v>418</v>
      </c>
      <c r="H25" s="22" t="s">
        <v>10</v>
      </c>
      <c r="I25" s="28">
        <v>37</v>
      </c>
      <c r="J25" s="23">
        <v>58</v>
      </c>
      <c r="K25" s="25">
        <v>3</v>
      </c>
      <c r="L25" s="42">
        <v>23</v>
      </c>
      <c r="M25" s="42"/>
      <c r="N25" s="43">
        <f>IF($K25&lt;8,L25*$K25,10*L25)</f>
        <v>69</v>
      </c>
      <c r="O25" s="44"/>
      <c r="P25" s="46">
        <f>L25*$K25</f>
        <v>69</v>
      </c>
      <c r="Q25" s="44"/>
      <c r="S25" s="1">
        <v>1.98</v>
      </c>
      <c r="T25" s="41"/>
      <c r="U25" s="41">
        <v>12.93</v>
      </c>
      <c r="W25" s="40">
        <f t="shared" si="13"/>
        <v>5281.6250000000009</v>
      </c>
      <c r="X25" s="40"/>
      <c r="Z25" s="40"/>
    </row>
    <row r="26" spans="1:26" x14ac:dyDescent="0.25">
      <c r="A26" s="34"/>
      <c r="B26" s="21" t="s">
        <v>37</v>
      </c>
      <c r="C26" s="98">
        <v>750</v>
      </c>
      <c r="D26" s="22">
        <v>253.8</v>
      </c>
      <c r="E26" s="22">
        <v>253.8</v>
      </c>
      <c r="F26" s="78">
        <f>18+25/60</f>
        <v>18.416666666666668</v>
      </c>
      <c r="G26" s="22">
        <v>450</v>
      </c>
      <c r="H26" s="18" t="s">
        <v>8</v>
      </c>
      <c r="I26" s="28">
        <v>16</v>
      </c>
      <c r="J26" s="23">
        <v>11</v>
      </c>
      <c r="K26" s="25">
        <f>55/60</f>
        <v>0.91666666666666663</v>
      </c>
      <c r="L26" s="42">
        <v>4.63</v>
      </c>
      <c r="M26" s="42">
        <v>4.63</v>
      </c>
      <c r="N26" s="43">
        <f>IF($K26&lt;8,L26*$K26,10*L26)</f>
        <v>4.2441666666666666</v>
      </c>
      <c r="O26" s="44">
        <f>IF($K26&lt;8,M26*$K26,10*M26)</f>
        <v>4.2441666666666666</v>
      </c>
      <c r="P26" s="46">
        <f>L26*$K26</f>
        <v>4.2441666666666666</v>
      </c>
      <c r="Q26" s="44">
        <f>M26*$K26</f>
        <v>4.2441666666666666</v>
      </c>
      <c r="T26" s="41"/>
      <c r="U26" s="41"/>
      <c r="W26" s="40">
        <f t="shared" si="2"/>
        <v>4674.1500000000005</v>
      </c>
      <c r="X26" s="40">
        <f t="shared" si="3"/>
        <v>4674.1500000000005</v>
      </c>
      <c r="Z26" s="40"/>
    </row>
    <row r="27" spans="1:26" x14ac:dyDescent="0.25">
      <c r="A27" s="147" t="s">
        <v>44</v>
      </c>
      <c r="B27" s="148" t="s">
        <v>36</v>
      </c>
      <c r="C27" s="149"/>
      <c r="D27" s="22">
        <v>930.6</v>
      </c>
      <c r="E27" s="22">
        <v>310.2</v>
      </c>
      <c r="F27" s="78">
        <f>5+45/60</f>
        <v>5.75</v>
      </c>
      <c r="G27" s="22">
        <v>406</v>
      </c>
      <c r="H27" s="18" t="s">
        <v>12</v>
      </c>
      <c r="I27" s="28"/>
      <c r="J27" s="23"/>
      <c r="K27" s="25"/>
      <c r="L27" s="42"/>
      <c r="M27" s="42"/>
      <c r="N27" s="43"/>
      <c r="O27" s="44"/>
      <c r="P27" s="46"/>
      <c r="Q27" s="44"/>
      <c r="T27" s="41"/>
      <c r="U27" s="41"/>
      <c r="W27" s="40">
        <f t="shared" ref="W27" si="18">D27*F27</f>
        <v>5350.95</v>
      </c>
      <c r="X27" s="40">
        <f t="shared" ref="X27" si="19">E27*F27</f>
        <v>1783.6499999999999</v>
      </c>
      <c r="Z27" s="40"/>
    </row>
    <row r="28" spans="1:26" x14ac:dyDescent="0.25">
      <c r="A28" s="34"/>
      <c r="B28" s="17" t="s">
        <v>19</v>
      </c>
      <c r="C28" s="98">
        <v>450</v>
      </c>
      <c r="D28" s="18">
        <v>366.6</v>
      </c>
      <c r="E28" s="18">
        <v>141</v>
      </c>
      <c r="F28" s="127">
        <f>12+35/60</f>
        <v>12.583333333333334</v>
      </c>
      <c r="G28" s="18">
        <v>376</v>
      </c>
      <c r="H28" s="18" t="s">
        <v>12</v>
      </c>
      <c r="I28" s="28">
        <v>22</v>
      </c>
      <c r="J28" s="23">
        <v>10</v>
      </c>
      <c r="K28" s="25">
        <f>1+10/60</f>
        <v>1.1666666666666667</v>
      </c>
      <c r="L28" s="42">
        <v>8.58</v>
      </c>
      <c r="M28" s="42"/>
      <c r="N28" s="43">
        <f>IF($K28&lt;8,L28*$K28,10*L28)</f>
        <v>10.010000000000002</v>
      </c>
      <c r="O28" s="44"/>
      <c r="P28" s="46">
        <f>L28*$K28</f>
        <v>10.010000000000002</v>
      </c>
      <c r="Q28" s="44"/>
      <c r="S28" s="1">
        <v>1.77</v>
      </c>
      <c r="T28" s="41"/>
      <c r="U28" s="41"/>
      <c r="W28" s="40">
        <f t="shared" si="2"/>
        <v>4613.05</v>
      </c>
      <c r="X28" s="40">
        <f t="shared" si="3"/>
        <v>1774.25</v>
      </c>
      <c r="Z28" s="40"/>
    </row>
    <row r="29" spans="1:26" x14ac:dyDescent="0.25">
      <c r="A29" s="34"/>
      <c r="B29" s="17" t="s">
        <v>34</v>
      </c>
      <c r="C29" s="18">
        <v>430</v>
      </c>
      <c r="D29" s="18">
        <v>155.1</v>
      </c>
      <c r="E29" s="18">
        <v>169.2</v>
      </c>
      <c r="F29" s="131">
        <v>26</v>
      </c>
      <c r="G29" s="18">
        <v>351</v>
      </c>
      <c r="H29" s="22" t="s">
        <v>10</v>
      </c>
      <c r="I29" s="28"/>
      <c r="J29" s="23"/>
      <c r="K29" s="25"/>
      <c r="L29" s="42"/>
      <c r="M29" s="42"/>
      <c r="N29" s="43"/>
      <c r="O29" s="44"/>
      <c r="P29" s="46"/>
      <c r="Q29" s="44"/>
      <c r="T29" s="41"/>
      <c r="U29" s="41"/>
      <c r="W29" s="40">
        <f t="shared" si="2"/>
        <v>4032.6</v>
      </c>
      <c r="X29" s="40">
        <f t="shared" si="3"/>
        <v>4399.2</v>
      </c>
      <c r="Z29" s="40"/>
    </row>
    <row r="30" spans="1:26" x14ac:dyDescent="0.25">
      <c r="A30" s="33" t="s">
        <v>25</v>
      </c>
      <c r="B30" s="33" t="s">
        <v>18</v>
      </c>
      <c r="C30" s="36"/>
      <c r="D30" s="18">
        <v>215.73</v>
      </c>
      <c r="E30" s="18">
        <v>215.73</v>
      </c>
      <c r="F30" s="131">
        <f>16+50/60</f>
        <v>16.833333333333332</v>
      </c>
      <c r="G30" s="18">
        <v>535</v>
      </c>
      <c r="H30" s="18" t="s">
        <v>8</v>
      </c>
      <c r="I30" s="28"/>
      <c r="J30" s="23"/>
      <c r="K30" s="25"/>
      <c r="L30" s="42"/>
      <c r="M30" s="42"/>
      <c r="N30" s="43"/>
      <c r="O30" s="44"/>
      <c r="P30" s="46"/>
      <c r="Q30" s="44"/>
      <c r="T30" s="41"/>
      <c r="U30" s="41"/>
      <c r="W30" s="40">
        <f t="shared" ref="W30" si="20">D30*F30</f>
        <v>3631.4549999999995</v>
      </c>
      <c r="X30" s="40">
        <f t="shared" ref="X30" si="21">E30*F30</f>
        <v>3631.4549999999995</v>
      </c>
      <c r="Z30" s="40"/>
    </row>
    <row r="31" spans="1:26" x14ac:dyDescent="0.25">
      <c r="A31" s="34"/>
      <c r="B31" s="26" t="s">
        <v>18</v>
      </c>
      <c r="C31" s="27">
        <v>380</v>
      </c>
      <c r="D31" s="27">
        <v>239.7</v>
      </c>
      <c r="E31" s="27">
        <v>239.7</v>
      </c>
      <c r="F31" s="127">
        <f>16+50/60</f>
        <v>16.833333333333332</v>
      </c>
      <c r="G31" s="27">
        <v>416</v>
      </c>
      <c r="H31" s="27" t="s">
        <v>8</v>
      </c>
      <c r="I31" s="28">
        <v>31</v>
      </c>
      <c r="J31" s="23">
        <v>44</v>
      </c>
      <c r="K31" s="25">
        <f>3+10/60</f>
        <v>3.1666666666666665</v>
      </c>
      <c r="L31" s="42">
        <v>8.4149999999999991</v>
      </c>
      <c r="M31" s="42">
        <v>8.4149999999999991</v>
      </c>
      <c r="N31" s="43">
        <f>IF($K31&lt;8,L31*$K31,10*L31)</f>
        <v>26.647499999999997</v>
      </c>
      <c r="O31" s="44">
        <f>IF($K31&lt;8,M31*$K31,10*M31)</f>
        <v>26.647499999999997</v>
      </c>
      <c r="P31" s="44">
        <f>L31*$K31</f>
        <v>26.647499999999997</v>
      </c>
      <c r="Q31" s="44">
        <f>M31*$K31</f>
        <v>26.647499999999997</v>
      </c>
      <c r="T31" s="41"/>
      <c r="U31" s="41"/>
      <c r="W31" s="40">
        <f>D31*F31</f>
        <v>4034.9499999999994</v>
      </c>
      <c r="X31" s="40">
        <f>E31*F31</f>
        <v>4034.9499999999994</v>
      </c>
      <c r="Z31" s="40"/>
    </row>
    <row r="32" spans="1:26" x14ac:dyDescent="0.25">
      <c r="A32" s="34"/>
      <c r="B32" s="21" t="s">
        <v>17</v>
      </c>
      <c r="C32" s="22">
        <v>300</v>
      </c>
      <c r="D32" s="22">
        <v>169.2</v>
      </c>
      <c r="E32" s="22">
        <v>155.1</v>
      </c>
      <c r="F32" s="78">
        <v>26</v>
      </c>
      <c r="G32" s="22">
        <v>351</v>
      </c>
      <c r="H32" s="22" t="s">
        <v>10</v>
      </c>
      <c r="I32" s="28">
        <v>21</v>
      </c>
      <c r="J32" s="23">
        <v>12</v>
      </c>
      <c r="K32" s="25">
        <f>2+15/60</f>
        <v>2.25</v>
      </c>
      <c r="L32" s="42">
        <v>3.64</v>
      </c>
      <c r="M32" s="42"/>
      <c r="N32" s="43">
        <f t="shared" ref="N32" si="22">IF($K32&lt;8,L32*$K32,10*L32)</f>
        <v>8.19</v>
      </c>
      <c r="O32" s="44"/>
      <c r="P32" s="44">
        <f t="shared" ref="P32" si="23">L32*$K32</f>
        <v>8.19</v>
      </c>
      <c r="Q32" s="44"/>
      <c r="T32" s="41"/>
      <c r="U32" s="41"/>
      <c r="W32" s="40">
        <f t="shared" si="2"/>
        <v>4399.2</v>
      </c>
      <c r="X32" s="40">
        <f t="shared" si="3"/>
        <v>4032.6</v>
      </c>
      <c r="Z32" s="40"/>
    </row>
    <row r="33" spans="1:26" x14ac:dyDescent="0.25">
      <c r="A33" s="33" t="s">
        <v>25</v>
      </c>
      <c r="B33" s="33" t="s">
        <v>16</v>
      </c>
      <c r="C33" s="36"/>
      <c r="D33" s="22">
        <v>507.6</v>
      </c>
      <c r="E33" s="22">
        <v>507.6</v>
      </c>
      <c r="F33" s="78">
        <f>5+15/60</f>
        <v>5.25</v>
      </c>
      <c r="G33" s="22">
        <v>436</v>
      </c>
      <c r="H33" s="18" t="s">
        <v>12</v>
      </c>
      <c r="I33" s="28"/>
      <c r="J33" s="24"/>
      <c r="K33" s="25"/>
      <c r="L33" s="42"/>
      <c r="M33" s="42"/>
      <c r="N33" s="43"/>
      <c r="O33" s="44"/>
      <c r="P33" s="46"/>
      <c r="Q33" s="44"/>
      <c r="T33" s="41"/>
      <c r="U33" s="41"/>
      <c r="W33" s="40">
        <f t="shared" ref="W33" si="24">D33*F33</f>
        <v>2664.9</v>
      </c>
      <c r="X33" s="40">
        <f t="shared" ref="X33" si="25">E33*F33</f>
        <v>2664.9</v>
      </c>
      <c r="Z33" s="40"/>
    </row>
    <row r="34" spans="1:26" x14ac:dyDescent="0.25">
      <c r="A34" s="33" t="s">
        <v>25</v>
      </c>
      <c r="B34" s="33" t="s">
        <v>14</v>
      </c>
      <c r="C34" s="36"/>
      <c r="D34" s="22">
        <v>139.59</v>
      </c>
      <c r="E34" s="22">
        <v>139.59</v>
      </c>
      <c r="F34" s="78">
        <v>21</v>
      </c>
      <c r="G34" s="22">
        <v>417</v>
      </c>
      <c r="H34" s="18" t="s">
        <v>12</v>
      </c>
      <c r="I34" s="23"/>
      <c r="J34" s="24"/>
      <c r="K34" s="25"/>
      <c r="L34" s="42"/>
      <c r="M34" s="42"/>
      <c r="N34" s="43"/>
      <c r="O34" s="44"/>
      <c r="P34" s="44"/>
      <c r="Q34" s="44"/>
      <c r="T34" s="41"/>
      <c r="U34" s="41"/>
      <c r="W34" s="40">
        <f t="shared" ref="W34" si="26">D34*F34</f>
        <v>2931.39</v>
      </c>
      <c r="X34" s="40">
        <f t="shared" ref="X34" si="27">E34*F34</f>
        <v>2931.39</v>
      </c>
      <c r="Z34" s="40"/>
    </row>
    <row r="35" spans="1:26" x14ac:dyDescent="0.25">
      <c r="A35" s="34"/>
      <c r="B35" s="17" t="s">
        <v>14</v>
      </c>
      <c r="C35" s="18">
        <v>200</v>
      </c>
      <c r="D35" s="18">
        <v>155.1</v>
      </c>
      <c r="E35" s="18">
        <v>155.1</v>
      </c>
      <c r="F35" s="131">
        <v>21</v>
      </c>
      <c r="G35" s="18">
        <v>328</v>
      </c>
      <c r="H35" s="18" t="s">
        <v>12</v>
      </c>
      <c r="I35" s="23">
        <v>19</v>
      </c>
      <c r="J35" s="23">
        <v>6</v>
      </c>
      <c r="K35" s="25">
        <f>1+35/60</f>
        <v>1.5833333333333335</v>
      </c>
      <c r="L35" s="42">
        <v>3.05</v>
      </c>
      <c r="M35" s="42">
        <v>3.05</v>
      </c>
      <c r="N35" s="43">
        <f t="shared" ref="N35:N38" si="28">IF($K35&lt;8,L35*$K35,10*L35)</f>
        <v>4.8291666666666666</v>
      </c>
      <c r="O35" s="44">
        <f t="shared" ref="O35:O38" si="29">IF($K35&lt;8,M35*$K35,10*M35)</f>
        <v>4.8291666666666666</v>
      </c>
      <c r="P35" s="44">
        <f t="shared" ref="P35:P38" si="30">L35*$K35</f>
        <v>4.8291666666666666</v>
      </c>
      <c r="Q35" s="44">
        <f t="shared" ref="Q35:Q38" si="31">M35*$K35</f>
        <v>4.8291666666666666</v>
      </c>
      <c r="T35" s="41"/>
      <c r="U35" s="41"/>
      <c r="W35" s="40">
        <f t="shared" si="2"/>
        <v>3257.1</v>
      </c>
      <c r="X35" s="40">
        <f t="shared" si="3"/>
        <v>3257.1</v>
      </c>
      <c r="Z35" s="40"/>
    </row>
    <row r="36" spans="1:26" x14ac:dyDescent="0.25">
      <c r="A36" s="34"/>
      <c r="B36" s="21" t="s">
        <v>15</v>
      </c>
      <c r="C36" s="22">
        <v>200</v>
      </c>
      <c r="D36" s="22"/>
      <c r="E36" s="22">
        <v>324.3</v>
      </c>
      <c r="F36" s="78">
        <v>10.5</v>
      </c>
      <c r="G36" s="22">
        <v>318</v>
      </c>
      <c r="H36" s="22" t="s">
        <v>10</v>
      </c>
      <c r="I36" s="28">
        <v>24</v>
      </c>
      <c r="J36" s="23">
        <v>13</v>
      </c>
      <c r="K36" s="25">
        <f>1+20/60</f>
        <v>1.3333333333333333</v>
      </c>
      <c r="L36" s="42"/>
      <c r="M36" s="42">
        <v>8.35</v>
      </c>
      <c r="N36" s="43"/>
      <c r="O36" s="44">
        <f>IF($K36&lt;8,M36*$K36,10*M36)</f>
        <v>11.133333333333333</v>
      </c>
      <c r="P36" s="45"/>
      <c r="Q36" s="44">
        <f>M36*$K36</f>
        <v>11.133333333333333</v>
      </c>
      <c r="S36" s="1">
        <v>0.81</v>
      </c>
      <c r="T36" s="41">
        <v>3.24</v>
      </c>
      <c r="U36" s="41"/>
      <c r="W36" s="40"/>
      <c r="X36" s="40">
        <f>E36*F36</f>
        <v>3405.15</v>
      </c>
      <c r="Z36" s="40"/>
    </row>
    <row r="37" spans="1:26" x14ac:dyDescent="0.25">
      <c r="A37" s="34"/>
      <c r="B37" s="21" t="s">
        <v>13</v>
      </c>
      <c r="C37" s="22">
        <v>200</v>
      </c>
      <c r="D37" s="22">
        <v>324.3</v>
      </c>
      <c r="E37" s="22"/>
      <c r="F37" s="78">
        <v>10.5</v>
      </c>
      <c r="G37" s="22">
        <v>334</v>
      </c>
      <c r="H37" s="22" t="s">
        <v>8</v>
      </c>
      <c r="I37" s="23">
        <v>19</v>
      </c>
      <c r="J37" s="24">
        <v>9</v>
      </c>
      <c r="K37" s="25">
        <f>48/60</f>
        <v>0.8</v>
      </c>
      <c r="L37" s="43">
        <v>6.38</v>
      </c>
      <c r="M37" s="43"/>
      <c r="N37" s="43">
        <f>IF($K37&lt;8,L37*$K37,10*L37)</f>
        <v>5.1040000000000001</v>
      </c>
      <c r="O37" s="44"/>
      <c r="P37" s="44">
        <f>L37*$K37</f>
        <v>5.1040000000000001</v>
      </c>
      <c r="Q37" s="44"/>
      <c r="T37" s="41"/>
      <c r="U37" s="41"/>
      <c r="W37" s="40">
        <f>D37*F37</f>
        <v>3405.15</v>
      </c>
      <c r="X37" s="40"/>
      <c r="Z37" s="40"/>
    </row>
    <row r="38" spans="1:26" x14ac:dyDescent="0.25">
      <c r="A38" s="33" t="s">
        <v>25</v>
      </c>
      <c r="B38" s="33" t="s">
        <v>9</v>
      </c>
      <c r="C38" s="36"/>
      <c r="D38" s="18">
        <v>190.35</v>
      </c>
      <c r="E38" s="18">
        <v>253.8</v>
      </c>
      <c r="F38" s="131">
        <v>10.5</v>
      </c>
      <c r="G38" s="18">
        <v>384</v>
      </c>
      <c r="H38" s="22" t="s">
        <v>10</v>
      </c>
      <c r="I38" s="23">
        <v>12</v>
      </c>
      <c r="J38" s="23">
        <v>6</v>
      </c>
      <c r="K38" s="25">
        <f>20/60</f>
        <v>0.33333333333333331</v>
      </c>
      <c r="L38" s="42">
        <v>3.34</v>
      </c>
      <c r="M38" s="42">
        <v>4.46</v>
      </c>
      <c r="N38" s="43">
        <f t="shared" si="28"/>
        <v>1.1133333333333333</v>
      </c>
      <c r="O38" s="44">
        <f t="shared" si="29"/>
        <v>1.4866666666666666</v>
      </c>
      <c r="P38" s="44">
        <f t="shared" si="30"/>
        <v>1.1133333333333333</v>
      </c>
      <c r="Q38" s="44">
        <f t="shared" si="31"/>
        <v>1.4866666666666666</v>
      </c>
      <c r="T38" s="41"/>
      <c r="U38" s="41"/>
      <c r="W38" s="40">
        <f t="shared" si="2"/>
        <v>1998.675</v>
      </c>
      <c r="X38" s="40">
        <f t="shared" si="3"/>
        <v>2664.9</v>
      </c>
      <c r="Z38" s="40"/>
    </row>
    <row r="39" spans="1:26" x14ac:dyDescent="0.25">
      <c r="A39" s="34"/>
      <c r="B39" s="17" t="s">
        <v>9</v>
      </c>
      <c r="C39" s="18">
        <v>150</v>
      </c>
      <c r="D39" s="18">
        <v>211.5</v>
      </c>
      <c r="E39" s="18">
        <v>282</v>
      </c>
      <c r="F39" s="131">
        <v>10.5</v>
      </c>
      <c r="G39" s="18">
        <v>303</v>
      </c>
      <c r="H39" s="18" t="s">
        <v>10</v>
      </c>
      <c r="I39" s="23">
        <v>21</v>
      </c>
      <c r="J39" s="23">
        <v>9</v>
      </c>
      <c r="K39" s="25">
        <f>55/60</f>
        <v>0.91666666666666663</v>
      </c>
      <c r="L39" s="42">
        <v>4.55</v>
      </c>
      <c r="M39" s="42">
        <v>6.07</v>
      </c>
      <c r="N39" s="43">
        <f t="shared" ref="N39" si="32">IF($K39&lt;8,L39*$K39,10*L39)</f>
        <v>4.1708333333333334</v>
      </c>
      <c r="O39" s="44">
        <f t="shared" ref="O39" si="33">IF($K39&lt;8,M39*$K39,10*M39)</f>
        <v>5.5641666666666669</v>
      </c>
      <c r="P39" s="44">
        <f t="shared" ref="P39" si="34">L39*$K39</f>
        <v>4.1708333333333334</v>
      </c>
      <c r="Q39" s="44">
        <f t="shared" ref="Q39" si="35">M39*$K39</f>
        <v>5.5641666666666669</v>
      </c>
      <c r="T39" s="41"/>
      <c r="U39" s="41"/>
      <c r="W39" s="40">
        <f t="shared" si="2"/>
        <v>2220.75</v>
      </c>
      <c r="X39" s="40">
        <f t="shared" si="3"/>
        <v>2961</v>
      </c>
      <c r="Z39" s="40"/>
    </row>
    <row r="40" spans="1:26" x14ac:dyDescent="0.25">
      <c r="A40" s="33" t="s">
        <v>25</v>
      </c>
      <c r="B40" s="33" t="s">
        <v>7</v>
      </c>
      <c r="C40" s="36"/>
      <c r="D40" s="22">
        <v>253.8</v>
      </c>
      <c r="E40" s="22">
        <v>190.35</v>
      </c>
      <c r="F40" s="78">
        <v>10.5</v>
      </c>
      <c r="G40" s="22">
        <v>397</v>
      </c>
      <c r="H40" s="22" t="s">
        <v>8</v>
      </c>
      <c r="I40" s="28">
        <v>30</v>
      </c>
      <c r="J40" s="23">
        <v>37</v>
      </c>
      <c r="K40" s="25">
        <f>1+55/60</f>
        <v>1.9166666666666665</v>
      </c>
      <c r="L40" s="42">
        <v>8.3800000000000008</v>
      </c>
      <c r="M40" s="42">
        <v>6.28</v>
      </c>
      <c r="N40" s="43">
        <f>IF($K40&lt;8,L40*$K40,10*L40)</f>
        <v>16.061666666666667</v>
      </c>
      <c r="O40" s="44">
        <f>IF($K40&lt;8,M40*$K40,10*M40)</f>
        <v>12.036666666666667</v>
      </c>
      <c r="P40" s="44">
        <f>L40*$K40</f>
        <v>16.061666666666667</v>
      </c>
      <c r="Q40" s="44">
        <f>M40*$K40</f>
        <v>12.036666666666667</v>
      </c>
      <c r="T40" s="41"/>
      <c r="U40" s="41"/>
      <c r="W40" s="40">
        <f>D40*F40</f>
        <v>2664.9</v>
      </c>
      <c r="X40" s="40">
        <f>E40*F40</f>
        <v>1998.675</v>
      </c>
      <c r="Z40" s="40"/>
    </row>
    <row r="41" spans="1:26" x14ac:dyDescent="0.25">
      <c r="A41" s="34"/>
      <c r="B41" s="17" t="s">
        <v>7</v>
      </c>
      <c r="C41" s="18">
        <v>100</v>
      </c>
      <c r="D41" s="18">
        <v>282</v>
      </c>
      <c r="E41" s="18">
        <v>211.5</v>
      </c>
      <c r="F41" s="131">
        <v>10.5</v>
      </c>
      <c r="G41" s="18">
        <v>315</v>
      </c>
      <c r="H41" s="18" t="s">
        <v>8</v>
      </c>
      <c r="I41" s="23">
        <v>15</v>
      </c>
      <c r="J41" s="23">
        <v>5</v>
      </c>
      <c r="K41" s="25">
        <f>30/60</f>
        <v>0.5</v>
      </c>
      <c r="L41" s="42">
        <v>5.12</v>
      </c>
      <c r="M41" s="42">
        <v>3.84</v>
      </c>
      <c r="N41" s="43">
        <f t="shared" ref="N41" si="36">IF($K41&lt;8,L41*$K41,10*L41)</f>
        <v>2.56</v>
      </c>
      <c r="O41" s="44">
        <f t="shared" ref="O41" si="37">IF($K41&lt;8,M41*$K41,10*M41)</f>
        <v>1.92</v>
      </c>
      <c r="P41" s="44">
        <f t="shared" ref="P41" si="38">L41*$K41</f>
        <v>2.56</v>
      </c>
      <c r="Q41" s="44">
        <f t="shared" ref="Q41" si="39">M41*$K41</f>
        <v>1.92</v>
      </c>
      <c r="T41" s="41"/>
      <c r="U41" s="41"/>
      <c r="W41" s="40">
        <f>D41*F41</f>
        <v>2961</v>
      </c>
      <c r="X41" s="40">
        <f>E41*F41</f>
        <v>2220.75</v>
      </c>
      <c r="Z41" s="40"/>
    </row>
    <row r="42" spans="1:26" x14ac:dyDescent="0.25">
      <c r="A42" s="32" t="s">
        <v>26</v>
      </c>
      <c r="B42" s="32" t="s">
        <v>61</v>
      </c>
      <c r="C42" s="38"/>
      <c r="D42" s="22">
        <v>338.4</v>
      </c>
      <c r="E42" s="22">
        <v>338.4</v>
      </c>
      <c r="F42" s="127">
        <f>8+25/60</f>
        <v>8.4166666666666661</v>
      </c>
      <c r="G42" s="22">
        <v>311</v>
      </c>
      <c r="H42" s="22" t="s">
        <v>12</v>
      </c>
      <c r="I42" s="23">
        <v>30</v>
      </c>
      <c r="J42" s="23">
        <v>17</v>
      </c>
      <c r="K42" s="25">
        <f>1.5</f>
        <v>1.5</v>
      </c>
      <c r="L42" s="42">
        <v>11.2</v>
      </c>
      <c r="M42" s="42">
        <v>11.2</v>
      </c>
      <c r="N42" s="43">
        <f>IF($K42&lt;8,L42*$K42,10*L42)</f>
        <v>16.799999999999997</v>
      </c>
      <c r="O42" s="44">
        <f>IF($K42&lt;8,M42*$K42,10*M42)</f>
        <v>16.799999999999997</v>
      </c>
      <c r="P42" s="44">
        <f>L42*$K42</f>
        <v>16.799999999999997</v>
      </c>
      <c r="Q42" s="44">
        <f>M42*$K42</f>
        <v>16.799999999999997</v>
      </c>
      <c r="T42" s="41"/>
      <c r="U42" s="41"/>
      <c r="W42" s="40">
        <f>D42*F42</f>
        <v>2848.2</v>
      </c>
      <c r="X42" s="40">
        <f>E42*F42</f>
        <v>2848.2</v>
      </c>
      <c r="Z42" s="40"/>
    </row>
    <row r="43" spans="1:26" x14ac:dyDescent="0.25">
      <c r="A43" s="29"/>
      <c r="B43" s="29"/>
      <c r="C43" s="29"/>
      <c r="D43" s="29"/>
      <c r="E43" s="29"/>
      <c r="F43" s="45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T43" s="41"/>
      <c r="U43" s="41"/>
      <c r="W43" s="40"/>
      <c r="X43" s="40"/>
      <c r="Z43" s="40"/>
    </row>
    <row r="44" spans="1:26" s="68" customFormat="1" x14ac:dyDescent="0.25">
      <c r="A44" s="97" t="s">
        <v>75</v>
      </c>
      <c r="B44" s="97" t="s">
        <v>76</v>
      </c>
      <c r="C44" s="128">
        <v>1750</v>
      </c>
      <c r="D44" s="22"/>
      <c r="E44" s="22">
        <v>353</v>
      </c>
      <c r="F44" s="78">
        <f>24+18</f>
        <v>42</v>
      </c>
      <c r="G44" s="22">
        <v>659</v>
      </c>
      <c r="H44" s="18" t="s">
        <v>8</v>
      </c>
      <c r="I44" s="23"/>
      <c r="J44" s="23"/>
      <c r="K44" s="25"/>
      <c r="L44" s="42"/>
      <c r="M44" s="42"/>
      <c r="N44" s="43"/>
      <c r="O44" s="44"/>
      <c r="P44" s="46"/>
      <c r="Q44" s="44"/>
      <c r="S44" s="99"/>
      <c r="T44" s="85"/>
      <c r="U44" s="85"/>
      <c r="W44" s="69"/>
      <c r="X44" s="69">
        <f t="shared" ref="X44:X54" si="40">E44*F44</f>
        <v>14826</v>
      </c>
      <c r="Z44" s="69"/>
    </row>
    <row r="45" spans="1:26" s="68" customFormat="1" x14ac:dyDescent="0.25">
      <c r="A45" s="97" t="s">
        <v>75</v>
      </c>
      <c r="B45" s="97" t="s">
        <v>77</v>
      </c>
      <c r="C45" s="128">
        <v>2200</v>
      </c>
      <c r="D45" s="22">
        <v>2002</v>
      </c>
      <c r="E45" s="22">
        <v>252</v>
      </c>
      <c r="F45" s="78">
        <f>4+40/60</f>
        <v>4.666666666666667</v>
      </c>
      <c r="G45" s="22">
        <v>624</v>
      </c>
      <c r="H45" s="18" t="s">
        <v>10</v>
      </c>
      <c r="I45" s="23"/>
      <c r="J45" s="23"/>
      <c r="K45" s="25"/>
      <c r="L45" s="42"/>
      <c r="M45" s="42"/>
      <c r="N45" s="43"/>
      <c r="O45" s="44"/>
      <c r="P45" s="46"/>
      <c r="Q45" s="44"/>
      <c r="S45" s="99"/>
      <c r="T45" s="85"/>
      <c r="U45" s="85"/>
      <c r="W45" s="69">
        <f t="shared" ref="W45:W50" si="41">D45*F45</f>
        <v>9342.6666666666679</v>
      </c>
      <c r="X45" s="69">
        <f t="shared" si="40"/>
        <v>1176</v>
      </c>
      <c r="Z45" s="69"/>
    </row>
    <row r="46" spans="1:26" s="68" customFormat="1" x14ac:dyDescent="0.25">
      <c r="A46" s="97" t="s">
        <v>75</v>
      </c>
      <c r="B46" s="97" t="s">
        <v>88</v>
      </c>
      <c r="C46" s="144">
        <v>1700</v>
      </c>
      <c r="D46" s="22"/>
      <c r="E46" s="22">
        <v>606.29999999999995</v>
      </c>
      <c r="F46" s="78">
        <v>21</v>
      </c>
      <c r="G46" s="22">
        <v>708</v>
      </c>
      <c r="H46" s="18" t="s">
        <v>8</v>
      </c>
      <c r="I46" s="23"/>
      <c r="J46" s="23"/>
      <c r="K46" s="25"/>
      <c r="L46" s="42"/>
      <c r="M46" s="42"/>
      <c r="N46" s="43"/>
      <c r="O46" s="44"/>
      <c r="P46" s="46"/>
      <c r="Q46" s="44"/>
      <c r="S46" s="99"/>
      <c r="T46" s="85"/>
      <c r="U46" s="85"/>
      <c r="W46" s="69"/>
      <c r="X46" s="69">
        <f t="shared" si="40"/>
        <v>12732.3</v>
      </c>
      <c r="Z46" s="69"/>
    </row>
    <row r="47" spans="1:26" s="68" customFormat="1" x14ac:dyDescent="0.25">
      <c r="A47" s="97" t="s">
        <v>75</v>
      </c>
      <c r="B47" s="97" t="s">
        <v>89</v>
      </c>
      <c r="C47" s="144">
        <v>1700</v>
      </c>
      <c r="D47" s="22">
        <v>564</v>
      </c>
      <c r="E47" s="22">
        <v>564</v>
      </c>
      <c r="F47" s="78">
        <v>21</v>
      </c>
      <c r="G47" s="22">
        <v>655</v>
      </c>
      <c r="H47" s="22" t="s">
        <v>12</v>
      </c>
      <c r="I47" s="23"/>
      <c r="J47" s="23"/>
      <c r="K47" s="25"/>
      <c r="L47" s="42"/>
      <c r="M47" s="42"/>
      <c r="N47" s="43"/>
      <c r="O47" s="44"/>
      <c r="P47" s="46"/>
      <c r="Q47" s="44"/>
      <c r="S47" s="99"/>
      <c r="T47" s="85"/>
      <c r="U47" s="85"/>
      <c r="W47" s="69">
        <f t="shared" si="41"/>
        <v>11844</v>
      </c>
      <c r="X47" s="69">
        <f t="shared" si="40"/>
        <v>11844</v>
      </c>
      <c r="Z47" s="69"/>
    </row>
    <row r="48" spans="1:26" s="68" customFormat="1" x14ac:dyDescent="0.25">
      <c r="A48" s="34"/>
      <c r="B48" s="21" t="s">
        <v>87</v>
      </c>
      <c r="C48" s="22">
        <v>1400</v>
      </c>
      <c r="D48" s="22">
        <v>310.2</v>
      </c>
      <c r="E48" s="22">
        <v>310.2</v>
      </c>
      <c r="F48" s="78">
        <f>24+7</f>
        <v>31</v>
      </c>
      <c r="G48" s="22">
        <v>583</v>
      </c>
      <c r="H48" s="18" t="s">
        <v>10</v>
      </c>
      <c r="I48" s="23"/>
      <c r="J48" s="23"/>
      <c r="K48" s="25"/>
      <c r="L48" s="42"/>
      <c r="M48" s="42"/>
      <c r="N48" s="43"/>
      <c r="O48" s="44"/>
      <c r="P48" s="46"/>
      <c r="Q48" s="44"/>
      <c r="S48" s="99"/>
      <c r="T48" s="85"/>
      <c r="U48" s="85"/>
      <c r="W48" s="69">
        <f t="shared" si="41"/>
        <v>9616.1999999999989</v>
      </c>
      <c r="X48" s="69">
        <f t="shared" si="40"/>
        <v>9616.1999999999989</v>
      </c>
      <c r="Z48" s="69"/>
    </row>
    <row r="49" spans="1:26" s="68" customFormat="1" x14ac:dyDescent="0.25">
      <c r="A49" s="97" t="s">
        <v>75</v>
      </c>
      <c r="B49" s="97" t="s">
        <v>86</v>
      </c>
      <c r="C49" s="144">
        <v>1400</v>
      </c>
      <c r="D49" s="22">
        <v>1269</v>
      </c>
      <c r="E49" s="22">
        <v>1269</v>
      </c>
      <c r="F49" s="78">
        <v>6.25</v>
      </c>
      <c r="G49" s="22">
        <v>575</v>
      </c>
      <c r="H49" s="18" t="s">
        <v>8</v>
      </c>
      <c r="I49" s="23"/>
      <c r="J49" s="23"/>
      <c r="K49" s="25"/>
      <c r="L49" s="42"/>
      <c r="M49" s="42"/>
      <c r="N49" s="43"/>
      <c r="O49" s="44"/>
      <c r="P49" s="46"/>
      <c r="Q49" s="44"/>
      <c r="S49" s="99"/>
      <c r="T49" s="85"/>
      <c r="U49" s="85"/>
      <c r="W49" s="69">
        <f t="shared" ref="W49" si="42">D49*F49</f>
        <v>7931.25</v>
      </c>
      <c r="X49" s="69">
        <f t="shared" ref="X49" si="43">E49*F49</f>
        <v>7931.25</v>
      </c>
      <c r="Z49" s="69"/>
    </row>
    <row r="50" spans="1:26" s="68" customFormat="1" x14ac:dyDescent="0.25">
      <c r="A50" s="34"/>
      <c r="B50" s="21" t="s">
        <v>50</v>
      </c>
      <c r="C50" s="22">
        <v>1100</v>
      </c>
      <c r="D50" s="22">
        <v>183.3</v>
      </c>
      <c r="E50" s="22">
        <v>225.6</v>
      </c>
      <c r="F50" s="78">
        <v>26</v>
      </c>
      <c r="G50" s="22">
        <v>500</v>
      </c>
      <c r="H50" s="18" t="s">
        <v>10</v>
      </c>
      <c r="I50" s="23"/>
      <c r="J50" s="23"/>
      <c r="K50" s="25"/>
      <c r="L50" s="42"/>
      <c r="M50" s="42"/>
      <c r="N50" s="43"/>
      <c r="O50" s="44"/>
      <c r="P50" s="46"/>
      <c r="Q50" s="44"/>
      <c r="S50" s="99"/>
      <c r="T50" s="85"/>
      <c r="U50" s="85"/>
      <c r="W50" s="69">
        <f t="shared" si="41"/>
        <v>4765.8</v>
      </c>
      <c r="X50" s="69">
        <f t="shared" si="40"/>
        <v>5865.5999999999995</v>
      </c>
      <c r="Z50" s="69"/>
    </row>
    <row r="51" spans="1:26" s="68" customFormat="1" x14ac:dyDescent="0.25">
      <c r="A51" s="34"/>
      <c r="B51" s="21" t="s">
        <v>46</v>
      </c>
      <c r="C51" s="22">
        <v>1000</v>
      </c>
      <c r="D51" s="22">
        <v>225.6</v>
      </c>
      <c r="E51" s="22">
        <v>183.3</v>
      </c>
      <c r="F51" s="78">
        <v>26</v>
      </c>
      <c r="G51" s="22">
        <v>515</v>
      </c>
      <c r="H51" s="18" t="s">
        <v>8</v>
      </c>
      <c r="I51" s="23"/>
      <c r="J51" s="23"/>
      <c r="K51" s="25"/>
      <c r="L51" s="42"/>
      <c r="M51" s="42"/>
      <c r="N51" s="43"/>
      <c r="O51" s="44"/>
      <c r="P51" s="46"/>
      <c r="Q51" s="44"/>
      <c r="S51" s="99"/>
      <c r="T51" s="85"/>
      <c r="U51" s="85"/>
      <c r="W51" s="69">
        <f t="shared" ref="W51" si="44">D51*F51</f>
        <v>5865.5999999999995</v>
      </c>
      <c r="X51" s="69">
        <f t="shared" ref="X51" si="45">E51*F51</f>
        <v>4765.8</v>
      </c>
      <c r="Z51" s="69"/>
    </row>
    <row r="52" spans="1:26" s="68" customFormat="1" x14ac:dyDescent="0.25">
      <c r="A52" s="34"/>
      <c r="B52" s="21" t="s">
        <v>50</v>
      </c>
      <c r="C52" s="22">
        <v>1100</v>
      </c>
      <c r="D52" s="22">
        <v>183.3</v>
      </c>
      <c r="E52" s="22">
        <v>225.6</v>
      </c>
      <c r="F52" s="78">
        <v>26</v>
      </c>
      <c r="G52" s="22">
        <v>500</v>
      </c>
      <c r="H52" s="18" t="s">
        <v>10</v>
      </c>
      <c r="I52" s="23"/>
      <c r="J52" s="23"/>
      <c r="K52" s="25"/>
      <c r="L52" s="42"/>
      <c r="M52" s="42"/>
      <c r="N52" s="43"/>
      <c r="O52" s="44"/>
      <c r="P52" s="46"/>
      <c r="Q52" s="44"/>
      <c r="S52" s="99"/>
      <c r="T52" s="85"/>
      <c r="U52" s="85"/>
      <c r="W52" s="69"/>
      <c r="X52" s="69"/>
      <c r="Z52" s="69"/>
    </row>
    <row r="53" spans="1:26" s="68" customFormat="1" x14ac:dyDescent="0.25">
      <c r="A53" s="30" t="s">
        <v>20</v>
      </c>
      <c r="B53" s="30" t="s">
        <v>85</v>
      </c>
      <c r="C53" s="37"/>
      <c r="D53" s="22">
        <v>338.4</v>
      </c>
      <c r="E53" s="22">
        <v>338.4</v>
      </c>
      <c r="F53" s="78">
        <f>10.5</f>
        <v>10.5</v>
      </c>
      <c r="G53" s="22">
        <v>1374</v>
      </c>
      <c r="H53" s="18" t="s">
        <v>8</v>
      </c>
      <c r="I53" s="23"/>
      <c r="J53" s="23"/>
      <c r="K53" s="25"/>
      <c r="L53" s="42"/>
      <c r="M53" s="42"/>
      <c r="N53" s="43"/>
      <c r="O53" s="44"/>
      <c r="P53" s="46"/>
      <c r="Q53" s="44"/>
      <c r="S53" s="99"/>
      <c r="T53" s="85"/>
      <c r="U53" s="85"/>
      <c r="W53" s="69">
        <f t="shared" ref="W53" si="46">D53*F53</f>
        <v>3553.2</v>
      </c>
      <c r="X53" s="69">
        <f t="shared" ref="X53" si="47">E53*F53</f>
        <v>3553.2</v>
      </c>
      <c r="Z53" s="69"/>
    </row>
    <row r="54" spans="1:26" s="68" customFormat="1" x14ac:dyDescent="0.25">
      <c r="A54" s="30" t="s">
        <v>20</v>
      </c>
      <c r="B54" s="30" t="s">
        <v>78</v>
      </c>
      <c r="C54" s="37"/>
      <c r="D54" s="22"/>
      <c r="E54" s="22">
        <v>378</v>
      </c>
      <c r="F54" s="78">
        <f>48+15</f>
        <v>63</v>
      </c>
      <c r="G54" s="22">
        <v>935</v>
      </c>
      <c r="H54" s="18" t="s">
        <v>8</v>
      </c>
      <c r="I54" s="23"/>
      <c r="J54" s="23"/>
      <c r="K54" s="25"/>
      <c r="L54" s="42"/>
      <c r="M54" s="42"/>
      <c r="N54" s="43"/>
      <c r="O54" s="44"/>
      <c r="P54" s="46"/>
      <c r="Q54" s="44"/>
      <c r="S54" s="99"/>
      <c r="T54" s="85"/>
      <c r="U54" s="85"/>
      <c r="W54" s="69"/>
      <c r="X54" s="69">
        <f t="shared" si="40"/>
        <v>23814</v>
      </c>
      <c r="Z54" s="69"/>
    </row>
    <row r="55" spans="1:26" s="68" customFormat="1" x14ac:dyDescent="0.25">
      <c r="A55" s="30" t="s">
        <v>20</v>
      </c>
      <c r="B55" s="30" t="s">
        <v>70</v>
      </c>
      <c r="C55" s="37"/>
      <c r="D55" s="18"/>
      <c r="E55" s="98">
        <v>1760</v>
      </c>
      <c r="F55" s="131">
        <v>2</v>
      </c>
      <c r="G55" s="18">
        <v>321</v>
      </c>
      <c r="H55" s="18" t="s">
        <v>8</v>
      </c>
      <c r="I55" s="23"/>
      <c r="J55" s="23"/>
      <c r="K55" s="25"/>
      <c r="L55" s="42"/>
      <c r="M55" s="42"/>
      <c r="N55" s="43"/>
      <c r="O55" s="44"/>
      <c r="Q55" s="44"/>
      <c r="S55" s="99"/>
      <c r="T55" s="85"/>
      <c r="U55" s="85"/>
      <c r="X55" s="69">
        <f>E55*F55</f>
        <v>3520</v>
      </c>
    </row>
    <row r="56" spans="1:26" s="68" customFormat="1" x14ac:dyDescent="0.25">
      <c r="A56" s="26"/>
      <c r="B56" s="21" t="s">
        <v>11</v>
      </c>
      <c r="C56" s="98">
        <v>150</v>
      </c>
      <c r="D56" s="22">
        <v>267.89999999999998</v>
      </c>
      <c r="E56" s="22">
        <v>267.89999999999998</v>
      </c>
      <c r="F56" s="78">
        <v>5.25</v>
      </c>
      <c r="G56" s="22">
        <v>294</v>
      </c>
      <c r="H56" s="22" t="s">
        <v>12</v>
      </c>
      <c r="J56" s="23"/>
      <c r="K56" s="25"/>
      <c r="L56" s="42"/>
      <c r="M56" s="42"/>
      <c r="N56" s="43"/>
      <c r="O56" s="44"/>
      <c r="P56" s="44"/>
      <c r="Q56" s="44"/>
      <c r="S56" s="99"/>
      <c r="T56" s="85"/>
      <c r="U56" s="85"/>
      <c r="W56" s="69">
        <f>D56*F56</f>
        <v>1406.4749999999999</v>
      </c>
      <c r="X56" s="69">
        <f>E56*F56</f>
        <v>1406.4749999999999</v>
      </c>
      <c r="Z56" s="69"/>
    </row>
  </sheetData>
  <sortState ref="B16:Q23">
    <sortCondition descending="1" ref="C16"/>
  </sortState>
  <mergeCells count="4">
    <mergeCell ref="P1:Q1"/>
    <mergeCell ref="N1:O1"/>
    <mergeCell ref="L1:M1"/>
    <mergeCell ref="S1:U1"/>
  </mergeCells>
  <conditionalFormatting sqref="D1:D1048576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:E1048576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:G1048576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:K1048576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20:L102 L4:L10 L12:L18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0:M102 M4:M10 M12:M18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0:N102 N4:N10 N12:N18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0:O102 O4:O10 O12:O18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3:S10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4:T102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:U102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:W1048576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:X104857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:F104857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1:S104857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1:T104857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1:U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  <ignoredErrors>
    <ignoredError sqref="N11 P1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71"/>
  <sheetViews>
    <sheetView workbookViewId="0">
      <pane xSplit="1" ySplit="3" topLeftCell="DZ4" activePane="bottomRight" state="frozen"/>
      <selection pane="topRight" activeCell="B1" sqref="B1"/>
      <selection pane="bottomLeft" activeCell="A4" sqref="A4"/>
      <selection pane="bottomRight" activeCell="EW2" sqref="EW2"/>
    </sheetView>
  </sheetViews>
  <sheetFormatPr defaultRowHeight="15" x14ac:dyDescent="0.25"/>
  <cols>
    <col min="1" max="1" width="6.28515625" bestFit="1" customWidth="1"/>
    <col min="2" max="2" width="5.7109375" style="115" customWidth="1"/>
    <col min="3" max="6" width="5.7109375" style="4" customWidth="1"/>
    <col min="7" max="7" width="5.7109375" style="47" customWidth="1"/>
    <col min="8" max="12" width="5.7109375" style="4" customWidth="1"/>
    <col min="13" max="13" width="5.7109375" style="117" customWidth="1"/>
    <col min="14" max="14" width="5.7109375" style="115" customWidth="1"/>
    <col min="15" max="17" width="5.7109375" style="4" customWidth="1"/>
    <col min="18" max="18" width="5.7109375" style="66" customWidth="1"/>
    <col min="19" max="19" width="5.7109375" style="47" customWidth="1"/>
    <col min="20" max="23" width="5.7109375" style="4" customWidth="1"/>
    <col min="24" max="24" width="5.7109375" style="66" customWidth="1"/>
    <col min="25" max="25" width="5.7109375" style="117" customWidth="1"/>
    <col min="26" max="26" width="5.7109375" style="115" customWidth="1"/>
    <col min="27" max="30" width="5.7109375" style="4" customWidth="1"/>
    <col min="31" max="31" width="5.7109375" style="47" customWidth="1"/>
    <col min="32" max="36" width="5.7109375" style="4" customWidth="1"/>
    <col min="37" max="37" width="5.7109375" style="117" customWidth="1"/>
    <col min="38" max="41" width="5.7109375" style="4" customWidth="1"/>
    <col min="42" max="42" width="5.7109375" style="66" customWidth="1"/>
    <col min="43" max="43" width="5.7109375" style="47" customWidth="1"/>
    <col min="44" max="44" width="5.7109375" style="48" customWidth="1"/>
    <col min="45" max="47" width="5.7109375" style="4" customWidth="1"/>
    <col min="48" max="48" width="5.7109375" style="66" customWidth="1"/>
    <col min="49" max="49" width="5.7109375" style="47" customWidth="1"/>
    <col min="50" max="50" width="5.7109375" style="115" customWidth="1"/>
    <col min="51" max="53" width="5.7109375" style="4" customWidth="1"/>
    <col min="54" max="54" width="5.7109375" style="66" customWidth="1"/>
    <col min="55" max="55" width="5.7109375" style="47" customWidth="1"/>
    <col min="56" max="58" width="5.7109375" style="4" customWidth="1"/>
    <col min="59" max="59" width="5.7109375" style="73" customWidth="1"/>
    <col min="60" max="60" width="5.7109375" style="66" customWidth="1"/>
    <col min="61" max="61" width="5.7109375" style="116" customWidth="1"/>
    <col min="62" max="63" width="5.7109375" style="66" customWidth="1"/>
    <col min="64" max="65" width="5.7109375" style="72" customWidth="1"/>
    <col min="66" max="67" width="5.7109375" style="66" customWidth="1"/>
    <col min="68" max="68" width="5.7109375" style="48" customWidth="1"/>
    <col min="69" max="70" width="5.7109375" style="4" customWidth="1"/>
    <col min="71" max="71" width="5.7109375" style="73" customWidth="1"/>
    <col min="72" max="72" width="5.7109375" style="4" customWidth="1"/>
    <col min="73" max="73" width="5.7109375" style="47" customWidth="1"/>
    <col min="74" max="74" width="5.7109375" style="115" customWidth="1"/>
    <col min="75" max="78" width="5.7109375" style="4" customWidth="1"/>
    <col min="79" max="79" width="5.7109375" style="47" customWidth="1"/>
    <col min="80" max="80" width="5.7109375" style="48" customWidth="1"/>
    <col min="81" max="82" width="5.7109375" style="4" customWidth="1"/>
    <col min="83" max="83" width="5.7109375" style="73" customWidth="1"/>
    <col min="84" max="84" width="5.7109375" style="4" customWidth="1"/>
    <col min="85" max="85" width="5.7109375" style="117" customWidth="1"/>
    <col min="86" max="90" width="5.7109375" style="4" customWidth="1"/>
    <col min="91" max="91" width="5.7109375" style="47" customWidth="1"/>
    <col min="92" max="97" width="5.7109375" style="4" customWidth="1"/>
    <col min="98" max="98" width="5.7109375" style="48" customWidth="1"/>
    <col min="99" max="102" width="5.7109375" style="4" customWidth="1"/>
    <col min="103" max="103" width="5.7109375" style="47" customWidth="1"/>
    <col min="104" max="108" width="5.7109375" style="4" customWidth="1"/>
    <col min="109" max="109" width="5.7109375" style="47" customWidth="1"/>
    <col min="110" max="114" width="5.7109375" style="4" customWidth="1"/>
    <col min="115" max="115" width="5.7109375" style="47" customWidth="1"/>
    <col min="116" max="121" width="5.7109375" style="4" customWidth="1"/>
    <col min="122" max="122" width="5.7109375" style="48" customWidth="1"/>
    <col min="123" max="126" width="5.7109375" style="4" customWidth="1"/>
    <col min="127" max="127" width="17.42578125" style="47" customWidth="1"/>
    <col min="128" max="130" width="5.7109375" style="4" customWidth="1"/>
    <col min="131" max="131" width="5.7109375" style="72" customWidth="1"/>
    <col min="132" max="132" width="5.7109375" style="66" customWidth="1"/>
    <col min="133" max="133" width="5.7109375" style="47" customWidth="1"/>
    <col min="134" max="137" width="5.7109375" style="53" customWidth="1"/>
    <col min="138" max="138" width="5.7109375" style="64" customWidth="1"/>
    <col min="139" max="139" width="5.7109375" style="67" customWidth="1"/>
    <col min="140" max="144" width="5.7109375" style="72" customWidth="1"/>
    <col min="145" max="145" width="5.7109375" style="67" customWidth="1"/>
    <col min="146" max="146" width="5.7109375" style="48" customWidth="1"/>
    <col min="147" max="150" width="5.7109375" style="4" customWidth="1"/>
    <col min="151" max="151" width="5.7109375" style="47" customWidth="1"/>
  </cols>
  <sheetData>
    <row r="1" spans="1:151" x14ac:dyDescent="0.25">
      <c r="D1" s="115"/>
      <c r="F1" s="115"/>
      <c r="G1" s="4"/>
      <c r="H1" s="115"/>
      <c r="J1" s="115"/>
      <c r="L1" s="115"/>
      <c r="M1" s="4"/>
      <c r="P1" s="115"/>
      <c r="R1" s="115"/>
      <c r="S1" s="4"/>
      <c r="T1" s="115"/>
      <c r="V1" s="115"/>
      <c r="X1" s="115"/>
      <c r="Y1" s="4"/>
      <c r="AB1" s="115"/>
      <c r="AD1" s="115"/>
      <c r="AE1" s="4"/>
      <c r="AF1" s="115"/>
      <c r="AH1" s="115"/>
      <c r="AJ1" s="115"/>
      <c r="AK1" s="4"/>
      <c r="AL1" s="115"/>
      <c r="AN1" s="115"/>
      <c r="AP1" s="115"/>
      <c r="AQ1" s="4"/>
      <c r="AR1" s="115"/>
      <c r="AT1" s="115"/>
      <c r="AV1" s="115"/>
      <c r="AW1" s="4"/>
      <c r="AZ1" s="115"/>
      <c r="BB1" s="115"/>
      <c r="BC1" s="4"/>
      <c r="BD1" s="115"/>
      <c r="BF1" s="115"/>
      <c r="BG1" s="4"/>
      <c r="BH1" s="115"/>
      <c r="BI1" s="4"/>
      <c r="BJ1" s="115"/>
      <c r="BK1" s="4"/>
      <c r="BL1" s="115"/>
      <c r="BM1" s="4"/>
      <c r="BN1" s="115"/>
      <c r="BO1" s="4"/>
      <c r="BP1" s="115"/>
      <c r="BR1" s="115"/>
      <c r="BS1" s="4"/>
      <c r="BT1" s="115"/>
      <c r="BU1" s="4"/>
      <c r="BX1" s="115"/>
      <c r="BZ1" s="115"/>
      <c r="CA1" s="4"/>
      <c r="CB1" s="115"/>
      <c r="CD1" s="115"/>
      <c r="CE1" s="4"/>
      <c r="CF1" s="115"/>
      <c r="CG1" s="4"/>
      <c r="CH1" s="115"/>
      <c r="CJ1" s="115"/>
      <c r="CL1" s="115"/>
      <c r="CM1" s="4"/>
      <c r="CN1" s="115"/>
      <c r="CP1" s="115"/>
      <c r="CR1" s="115"/>
      <c r="CT1" s="115"/>
      <c r="CV1" s="115"/>
      <c r="CX1" s="115"/>
      <c r="CY1" s="4"/>
      <c r="CZ1" s="115"/>
      <c r="DB1" s="115"/>
      <c r="DD1" s="115"/>
      <c r="DE1" s="4"/>
      <c r="DF1" s="115"/>
      <c r="DH1" s="115"/>
      <c r="DJ1" s="115"/>
      <c r="DK1" s="4"/>
      <c r="DL1" s="115"/>
      <c r="DN1" s="115"/>
      <c r="DP1" s="115"/>
      <c r="DR1" s="115"/>
      <c r="DT1" s="115"/>
      <c r="DV1" s="115"/>
      <c r="DW1" s="4"/>
      <c r="DX1" s="115"/>
      <c r="DZ1" s="115"/>
      <c r="EA1" s="4"/>
      <c r="EB1" s="115"/>
      <c r="EC1" s="4"/>
      <c r="ED1" s="115"/>
      <c r="EE1" s="4"/>
      <c r="EF1" s="115"/>
      <c r="EG1" s="4"/>
      <c r="EH1" s="115"/>
      <c r="EI1" s="4"/>
      <c r="EJ1" s="115"/>
      <c r="EK1" s="4"/>
      <c r="EL1" s="115"/>
      <c r="EM1" s="4"/>
      <c r="EN1" s="115"/>
      <c r="EO1" s="4"/>
      <c r="EP1" s="115"/>
      <c r="ER1" s="115"/>
      <c r="ET1" s="115"/>
      <c r="EU1" s="4"/>
    </row>
    <row r="2" spans="1:151" x14ac:dyDescent="0.25">
      <c r="A2" s="118" t="s">
        <v>1</v>
      </c>
      <c r="B2" s="162" t="s">
        <v>15</v>
      </c>
      <c r="C2" s="151"/>
      <c r="D2" s="151"/>
      <c r="E2" s="151"/>
      <c r="F2" s="151"/>
      <c r="G2" s="154"/>
      <c r="H2" s="152" t="s">
        <v>13</v>
      </c>
      <c r="I2" s="151"/>
      <c r="J2" s="151"/>
      <c r="K2" s="151"/>
      <c r="L2" s="151"/>
      <c r="M2" s="153"/>
      <c r="N2" s="166" t="s">
        <v>23</v>
      </c>
      <c r="O2" s="164"/>
      <c r="P2" s="164"/>
      <c r="Q2" s="164"/>
      <c r="R2" s="164"/>
      <c r="S2" s="167"/>
      <c r="T2" s="163" t="s">
        <v>43</v>
      </c>
      <c r="U2" s="164"/>
      <c r="V2" s="164"/>
      <c r="W2" s="164"/>
      <c r="X2" s="164"/>
      <c r="Y2" s="165"/>
      <c r="Z2" s="162" t="s">
        <v>38</v>
      </c>
      <c r="AA2" s="151"/>
      <c r="AB2" s="151"/>
      <c r="AC2" s="151"/>
      <c r="AD2" s="151"/>
      <c r="AE2" s="151"/>
      <c r="AF2" s="152" t="s">
        <v>39</v>
      </c>
      <c r="AG2" s="151"/>
      <c r="AH2" s="151"/>
      <c r="AI2" s="151"/>
      <c r="AJ2" s="151"/>
      <c r="AK2" s="153"/>
      <c r="AL2" s="152" t="s">
        <v>16</v>
      </c>
      <c r="AM2" s="151"/>
      <c r="AN2" s="151"/>
      <c r="AO2" s="151"/>
      <c r="AP2" s="151"/>
      <c r="AQ2" s="154"/>
      <c r="AR2" s="163" t="s">
        <v>21</v>
      </c>
      <c r="AS2" s="164"/>
      <c r="AT2" s="164"/>
      <c r="AU2" s="164"/>
      <c r="AV2" s="164"/>
      <c r="AW2" s="167"/>
      <c r="AX2" s="162" t="s">
        <v>36</v>
      </c>
      <c r="AY2" s="151"/>
      <c r="AZ2" s="151"/>
      <c r="BA2" s="151"/>
      <c r="BB2" s="151"/>
      <c r="BC2" s="154"/>
      <c r="BD2" s="152" t="s">
        <v>35</v>
      </c>
      <c r="BE2" s="151"/>
      <c r="BF2" s="151"/>
      <c r="BG2" s="151"/>
      <c r="BH2" s="151"/>
      <c r="BI2" s="153"/>
      <c r="BJ2" s="161" t="s">
        <v>93</v>
      </c>
      <c r="BK2" s="156"/>
      <c r="BL2" s="156"/>
      <c r="BM2" s="156"/>
      <c r="BN2" s="156"/>
      <c r="BO2" s="157"/>
      <c r="BP2" s="155" t="s">
        <v>79</v>
      </c>
      <c r="BQ2" s="156"/>
      <c r="BR2" s="156"/>
      <c r="BS2" s="156"/>
      <c r="BT2" s="156"/>
      <c r="BU2" s="157"/>
      <c r="BV2" s="162" t="s">
        <v>22</v>
      </c>
      <c r="BW2" s="151"/>
      <c r="BX2" s="151"/>
      <c r="BY2" s="151"/>
      <c r="BZ2" s="151"/>
      <c r="CA2" s="154"/>
      <c r="CB2" s="152" t="s">
        <v>19</v>
      </c>
      <c r="CC2" s="151"/>
      <c r="CD2" s="151"/>
      <c r="CE2" s="151"/>
      <c r="CF2" s="151"/>
      <c r="CG2" s="153"/>
      <c r="CH2" s="152" t="s">
        <v>14</v>
      </c>
      <c r="CI2" s="151"/>
      <c r="CJ2" s="151"/>
      <c r="CK2" s="151"/>
      <c r="CL2" s="151"/>
      <c r="CM2" s="154"/>
      <c r="CN2" s="152" t="s">
        <v>51</v>
      </c>
      <c r="CO2" s="151"/>
      <c r="CP2" s="151"/>
      <c r="CQ2" s="151"/>
      <c r="CR2" s="151"/>
      <c r="CS2" s="154"/>
      <c r="CT2" s="152" t="s">
        <v>37</v>
      </c>
      <c r="CU2" s="151"/>
      <c r="CV2" s="151"/>
      <c r="CW2" s="151"/>
      <c r="CX2" s="151"/>
      <c r="CY2" s="154"/>
      <c r="CZ2" s="163" t="s">
        <v>72</v>
      </c>
      <c r="DA2" s="164"/>
      <c r="DB2" s="164"/>
      <c r="DC2" s="164"/>
      <c r="DD2" s="164"/>
      <c r="DE2" s="167"/>
      <c r="DF2" s="163" t="str">
        <f>Denys!B12</f>
        <v>Torch's Brother</v>
      </c>
      <c r="DG2" s="164"/>
      <c r="DH2" s="164"/>
      <c r="DI2" s="164"/>
      <c r="DJ2" s="164"/>
      <c r="DK2" s="167"/>
      <c r="DL2" s="152" t="s">
        <v>9</v>
      </c>
      <c r="DM2" s="151"/>
      <c r="DN2" s="151"/>
      <c r="DO2" s="151"/>
      <c r="DP2" s="151"/>
      <c r="DQ2" s="154"/>
      <c r="DR2" s="152" t="s">
        <v>47</v>
      </c>
      <c r="DS2" s="151"/>
      <c r="DT2" s="151"/>
      <c r="DU2" s="151"/>
      <c r="DV2" s="151"/>
      <c r="DW2" s="154"/>
      <c r="DX2" s="152" t="s">
        <v>84</v>
      </c>
      <c r="DY2" s="151"/>
      <c r="DZ2" s="151"/>
      <c r="EA2" s="151"/>
      <c r="EB2" s="151"/>
      <c r="EC2" s="154"/>
      <c r="ED2" s="158" t="s">
        <v>24</v>
      </c>
      <c r="EE2" s="159"/>
      <c r="EF2" s="159"/>
      <c r="EG2" s="159"/>
      <c r="EH2" s="159"/>
      <c r="EI2" s="160"/>
      <c r="EJ2" s="158" t="s">
        <v>17</v>
      </c>
      <c r="EK2" s="159"/>
      <c r="EL2" s="159"/>
      <c r="EM2" s="159"/>
      <c r="EN2" s="159"/>
      <c r="EO2" s="160"/>
      <c r="EP2" s="152" t="s">
        <v>18</v>
      </c>
      <c r="EQ2" s="151"/>
      <c r="ER2" s="151"/>
      <c r="ES2" s="151"/>
      <c r="ET2" s="151"/>
      <c r="EU2" s="154"/>
    </row>
    <row r="3" spans="1:151" s="53" customFormat="1" x14ac:dyDescent="0.25">
      <c r="A3" s="108" t="s">
        <v>57</v>
      </c>
      <c r="B3" s="113" t="s">
        <v>3</v>
      </c>
      <c r="C3" s="54" t="s">
        <v>2</v>
      </c>
      <c r="D3" s="54" t="s">
        <v>68</v>
      </c>
      <c r="E3" s="54" t="s">
        <v>69</v>
      </c>
      <c r="F3" s="74" t="s">
        <v>4</v>
      </c>
      <c r="G3" s="54" t="s">
        <v>64</v>
      </c>
      <c r="H3" s="55" t="s">
        <v>3</v>
      </c>
      <c r="I3" s="54" t="s">
        <v>2</v>
      </c>
      <c r="J3" s="54" t="s">
        <v>68</v>
      </c>
      <c r="K3" s="54" t="s">
        <v>69</v>
      </c>
      <c r="L3" s="74" t="s">
        <v>4</v>
      </c>
      <c r="M3" s="114" t="s">
        <v>64</v>
      </c>
      <c r="N3" s="113" t="s">
        <v>3</v>
      </c>
      <c r="O3" s="54" t="s">
        <v>2</v>
      </c>
      <c r="P3" s="54" t="s">
        <v>68</v>
      </c>
      <c r="Q3" s="54" t="s">
        <v>69</v>
      </c>
      <c r="R3" s="74" t="s">
        <v>4</v>
      </c>
      <c r="S3" s="54" t="s">
        <v>64</v>
      </c>
      <c r="T3" s="55" t="s">
        <v>3</v>
      </c>
      <c r="U3" s="54" t="s">
        <v>2</v>
      </c>
      <c r="V3" s="54" t="s">
        <v>68</v>
      </c>
      <c r="W3" s="54" t="s">
        <v>69</v>
      </c>
      <c r="X3" s="74" t="s">
        <v>4</v>
      </c>
      <c r="Y3" s="114" t="s">
        <v>64</v>
      </c>
      <c r="Z3" s="113" t="s">
        <v>3</v>
      </c>
      <c r="AA3" s="54" t="s">
        <v>2</v>
      </c>
      <c r="AB3" s="54" t="s">
        <v>68</v>
      </c>
      <c r="AC3" s="54" t="s">
        <v>69</v>
      </c>
      <c r="AD3" s="74" t="s">
        <v>4</v>
      </c>
      <c r="AE3" s="54" t="s">
        <v>64</v>
      </c>
      <c r="AF3" s="55" t="s">
        <v>3</v>
      </c>
      <c r="AG3" s="54" t="s">
        <v>2</v>
      </c>
      <c r="AH3" s="54" t="s">
        <v>68</v>
      </c>
      <c r="AI3" s="54" t="s">
        <v>69</v>
      </c>
      <c r="AJ3" s="74" t="s">
        <v>4</v>
      </c>
      <c r="AK3" s="114" t="s">
        <v>64</v>
      </c>
      <c r="AL3" s="55" t="s">
        <v>3</v>
      </c>
      <c r="AM3" s="54" t="s">
        <v>2</v>
      </c>
      <c r="AN3" s="54" t="s">
        <v>68</v>
      </c>
      <c r="AO3" s="54" t="s">
        <v>69</v>
      </c>
      <c r="AP3" s="74" t="s">
        <v>4</v>
      </c>
      <c r="AQ3" s="54" t="s">
        <v>64</v>
      </c>
      <c r="AR3" s="54" t="s">
        <v>3</v>
      </c>
      <c r="AS3" s="54" t="s">
        <v>2</v>
      </c>
      <c r="AT3" s="54" t="s">
        <v>68</v>
      </c>
      <c r="AU3" s="54" t="s">
        <v>69</v>
      </c>
      <c r="AV3" s="74" t="s">
        <v>4</v>
      </c>
      <c r="AW3" s="54" t="s">
        <v>64</v>
      </c>
      <c r="AX3" s="113" t="s">
        <v>3</v>
      </c>
      <c r="AY3" s="54" t="s">
        <v>2</v>
      </c>
      <c r="AZ3" s="54" t="s">
        <v>68</v>
      </c>
      <c r="BA3" s="54" t="s">
        <v>69</v>
      </c>
      <c r="BB3" s="74" t="s">
        <v>4</v>
      </c>
      <c r="BC3" s="54" t="s">
        <v>64</v>
      </c>
      <c r="BD3" s="55" t="s">
        <v>3</v>
      </c>
      <c r="BE3" s="54" t="s">
        <v>2</v>
      </c>
      <c r="BF3" s="54" t="s">
        <v>68</v>
      </c>
      <c r="BG3" s="54" t="s">
        <v>69</v>
      </c>
      <c r="BH3" s="74" t="s">
        <v>4</v>
      </c>
      <c r="BI3" s="125" t="s">
        <v>64</v>
      </c>
      <c r="BJ3" s="54" t="s">
        <v>3</v>
      </c>
      <c r="BK3" s="54" t="s">
        <v>2</v>
      </c>
      <c r="BL3" s="74" t="s">
        <v>68</v>
      </c>
      <c r="BM3" s="74" t="s">
        <v>69</v>
      </c>
      <c r="BN3" s="74" t="s">
        <v>4</v>
      </c>
      <c r="BO3" s="54" t="s">
        <v>64</v>
      </c>
      <c r="BP3" s="54" t="s">
        <v>3</v>
      </c>
      <c r="BQ3" s="54" t="s">
        <v>2</v>
      </c>
      <c r="BR3" s="54" t="s">
        <v>68</v>
      </c>
      <c r="BS3" s="54" t="s">
        <v>69</v>
      </c>
      <c r="BT3" s="74" t="s">
        <v>4</v>
      </c>
      <c r="BU3" s="54" t="s">
        <v>64</v>
      </c>
      <c r="BV3" s="113" t="s">
        <v>3</v>
      </c>
      <c r="BW3" s="54" t="s">
        <v>2</v>
      </c>
      <c r="BX3" s="54" t="s">
        <v>68</v>
      </c>
      <c r="BY3" s="54" t="s">
        <v>69</v>
      </c>
      <c r="BZ3" s="74" t="s">
        <v>4</v>
      </c>
      <c r="CA3" s="54" t="s">
        <v>64</v>
      </c>
      <c r="CB3" s="54" t="s">
        <v>3</v>
      </c>
      <c r="CC3" s="54" t="s">
        <v>2</v>
      </c>
      <c r="CD3" s="54" t="s">
        <v>68</v>
      </c>
      <c r="CE3" s="54" t="s">
        <v>69</v>
      </c>
      <c r="CF3" s="74" t="s">
        <v>4</v>
      </c>
      <c r="CG3" s="114" t="s">
        <v>64</v>
      </c>
      <c r="CH3" s="55" t="s">
        <v>3</v>
      </c>
      <c r="CI3" s="54" t="s">
        <v>2</v>
      </c>
      <c r="CJ3" s="54" t="s">
        <v>68</v>
      </c>
      <c r="CK3" s="54" t="s">
        <v>69</v>
      </c>
      <c r="CL3" s="74" t="s">
        <v>4</v>
      </c>
      <c r="CM3" s="54" t="s">
        <v>64</v>
      </c>
      <c r="CN3" s="54" t="s">
        <v>3</v>
      </c>
      <c r="CO3" s="54" t="s">
        <v>2</v>
      </c>
      <c r="CP3" s="54" t="s">
        <v>68</v>
      </c>
      <c r="CQ3" s="54" t="s">
        <v>69</v>
      </c>
      <c r="CR3" s="74" t="s">
        <v>4</v>
      </c>
      <c r="CS3" s="108" t="s">
        <v>64</v>
      </c>
      <c r="CT3" s="54" t="s">
        <v>3</v>
      </c>
      <c r="CU3" s="54" t="s">
        <v>2</v>
      </c>
      <c r="CV3" s="54" t="s">
        <v>68</v>
      </c>
      <c r="CW3" s="54" t="s">
        <v>69</v>
      </c>
      <c r="CX3" s="74" t="s">
        <v>4</v>
      </c>
      <c r="CY3" s="54" t="s">
        <v>64</v>
      </c>
      <c r="CZ3" s="55" t="s">
        <v>3</v>
      </c>
      <c r="DA3" s="54" t="s">
        <v>2</v>
      </c>
      <c r="DB3" s="54" t="s">
        <v>68</v>
      </c>
      <c r="DC3" s="54" t="s">
        <v>69</v>
      </c>
      <c r="DD3" s="74" t="s">
        <v>4</v>
      </c>
      <c r="DE3" s="54" t="s">
        <v>64</v>
      </c>
      <c r="DF3" s="55" t="s">
        <v>3</v>
      </c>
      <c r="DG3" s="54" t="s">
        <v>2</v>
      </c>
      <c r="DH3" s="54" t="s">
        <v>68</v>
      </c>
      <c r="DI3" s="54" t="s">
        <v>69</v>
      </c>
      <c r="DJ3" s="74" t="s">
        <v>4</v>
      </c>
      <c r="DK3" s="54" t="s">
        <v>64</v>
      </c>
      <c r="DL3" s="55" t="s">
        <v>3</v>
      </c>
      <c r="DM3" s="54" t="s">
        <v>2</v>
      </c>
      <c r="DN3" s="54" t="s">
        <v>68</v>
      </c>
      <c r="DO3" s="54" t="s">
        <v>69</v>
      </c>
      <c r="DP3" s="74" t="s">
        <v>4</v>
      </c>
      <c r="DQ3" s="108" t="s">
        <v>64</v>
      </c>
      <c r="DR3" s="54" t="s">
        <v>3</v>
      </c>
      <c r="DS3" s="54" t="s">
        <v>2</v>
      </c>
      <c r="DT3" s="54" t="s">
        <v>68</v>
      </c>
      <c r="DU3" s="54" t="s">
        <v>69</v>
      </c>
      <c r="DV3" s="74" t="s">
        <v>4</v>
      </c>
      <c r="DW3" s="54" t="s">
        <v>64</v>
      </c>
      <c r="DX3" s="55" t="s">
        <v>3</v>
      </c>
      <c r="DY3" s="54" t="s">
        <v>2</v>
      </c>
      <c r="DZ3" s="54" t="s">
        <v>68</v>
      </c>
      <c r="EA3" s="74" t="s">
        <v>69</v>
      </c>
      <c r="EB3" s="74" t="s">
        <v>4</v>
      </c>
      <c r="EC3" s="54" t="s">
        <v>64</v>
      </c>
      <c r="ED3" s="55" t="s">
        <v>3</v>
      </c>
      <c r="EE3" s="54" t="s">
        <v>2</v>
      </c>
      <c r="EF3" s="54" t="s">
        <v>68</v>
      </c>
      <c r="EG3" s="54" t="s">
        <v>69</v>
      </c>
      <c r="EH3" s="74" t="s">
        <v>4</v>
      </c>
      <c r="EI3" s="74" t="s">
        <v>64</v>
      </c>
      <c r="EJ3" s="55" t="s">
        <v>3</v>
      </c>
      <c r="EK3" s="54" t="s">
        <v>2</v>
      </c>
      <c r="EL3" s="54" t="s">
        <v>68</v>
      </c>
      <c r="EM3" s="54" t="s">
        <v>69</v>
      </c>
      <c r="EN3" s="74" t="s">
        <v>4</v>
      </c>
      <c r="EO3" s="74" t="s">
        <v>64</v>
      </c>
      <c r="EP3" s="54" t="s">
        <v>3</v>
      </c>
      <c r="EQ3" s="54" t="s">
        <v>2</v>
      </c>
      <c r="ER3" s="54" t="s">
        <v>68</v>
      </c>
      <c r="ES3" s="54" t="s">
        <v>69</v>
      </c>
      <c r="ET3" s="74" t="s">
        <v>4</v>
      </c>
      <c r="EU3" s="54" t="s">
        <v>64</v>
      </c>
    </row>
    <row r="4" spans="1:151" x14ac:dyDescent="0.25">
      <c r="A4">
        <v>4</v>
      </c>
      <c r="C4" s="4">
        <v>3.04</v>
      </c>
      <c r="D4" s="4">
        <v>0.3</v>
      </c>
      <c r="F4" s="4">
        <f>2/60</f>
        <v>3.3333333333333333E-2</v>
      </c>
      <c r="G4" s="63">
        <f t="shared" ref="G4:G12" si="0">1/(MAX(B4:C4)/((3*D4)+E4))</f>
        <v>0.29605263157894735</v>
      </c>
      <c r="H4" s="66"/>
      <c r="I4" s="66"/>
      <c r="J4" s="66"/>
      <c r="K4" s="66"/>
      <c r="L4" s="66"/>
      <c r="M4" s="116"/>
      <c r="S4" s="63"/>
      <c r="Y4" s="116"/>
      <c r="Z4" s="115">
        <v>4.09</v>
      </c>
      <c r="AB4" s="4">
        <v>0.43</v>
      </c>
      <c r="AC4" s="72"/>
      <c r="AD4" s="4">
        <f>2/60</f>
        <v>3.3333333333333333E-2</v>
      </c>
      <c r="AE4" s="63">
        <f t="shared" ref="AE4:AE18" si="1">1/(MAX(Z4:AA4)/((3*AB4)+AC4))</f>
        <v>0.3154034229828851</v>
      </c>
      <c r="AF4" s="66"/>
      <c r="AG4" s="66">
        <v>4.09</v>
      </c>
      <c r="AH4" s="66">
        <v>0.43</v>
      </c>
      <c r="AI4" s="66"/>
      <c r="AJ4" s="66">
        <f>2/60</f>
        <v>3.3333333333333333E-2</v>
      </c>
      <c r="AK4" s="116">
        <f t="shared" ref="AK4:AK37" si="2">1/(MAX(AF4:AG4)/((3*AH4)+AI4))</f>
        <v>0.3154034229828851</v>
      </c>
      <c r="AL4" s="4">
        <v>5.28</v>
      </c>
      <c r="AM4" s="4">
        <v>5.28</v>
      </c>
      <c r="AN4" s="4">
        <v>0.39</v>
      </c>
      <c r="AP4" s="66">
        <f>2/60</f>
        <v>3.3333333333333333E-2</v>
      </c>
      <c r="AQ4" s="63">
        <f t="shared" ref="AQ4:AQ41" si="3">1/(MAX(AL4:AM4)/((3*AN4)+AO4))</f>
        <v>0.22159090909090906</v>
      </c>
      <c r="AW4" s="63"/>
      <c r="AX4" s="121"/>
      <c r="AY4" s="66">
        <v>7.92</v>
      </c>
      <c r="AZ4" s="66">
        <v>0.44800000000000001</v>
      </c>
      <c r="BA4" s="72"/>
      <c r="BB4" s="66">
        <f>1/60</f>
        <v>1.6666666666666666E-2</v>
      </c>
      <c r="BC4" s="63">
        <f t="shared" ref="BC4:BC41" si="4">1/(MAX(AX4:AY4)/((3*AZ4)+BA4))</f>
        <v>0.16969696969696971</v>
      </c>
      <c r="BD4" s="66">
        <v>7.92</v>
      </c>
      <c r="BE4" s="66"/>
      <c r="BF4" s="66">
        <v>0.43</v>
      </c>
      <c r="BG4" s="72"/>
      <c r="BH4" s="66">
        <f>1/60</f>
        <v>1.6666666666666666E-2</v>
      </c>
      <c r="BI4" s="116">
        <f t="shared" ref="BI4:BI41" si="5">1/(MAX(BD4:BE4)/((3*BF4)+BG4))</f>
        <v>0.1628787878787879</v>
      </c>
      <c r="BJ4" s="135">
        <v>8.7119999999999997</v>
      </c>
      <c r="BK4" s="135">
        <v>2.9039999999999999</v>
      </c>
      <c r="BL4" s="138">
        <v>0.44800000000000001</v>
      </c>
      <c r="BM4" s="138"/>
      <c r="BN4" s="135">
        <f>1/60</f>
        <v>1.6666666666666666E-2</v>
      </c>
      <c r="BO4" s="63">
        <f t="shared" ref="BO4:BO39" si="6">1/(MAX(BJ4:BK4)/((3*BL4)+BM4))</f>
        <v>0.15426997245179064</v>
      </c>
      <c r="BP4" s="104">
        <v>2.64</v>
      </c>
      <c r="BR4" s="66">
        <v>0.43</v>
      </c>
      <c r="BS4" s="72"/>
      <c r="BT4" s="66">
        <f>1/60</f>
        <v>1.6666666666666666E-2</v>
      </c>
      <c r="BU4" s="63">
        <f>1/(MAX(BP4:BP4)/((3*BR4)+BS4))</f>
        <v>0.48863636363636359</v>
      </c>
      <c r="BV4" s="121"/>
      <c r="BW4" s="66">
        <v>3.43</v>
      </c>
      <c r="BX4" s="66">
        <v>0.41</v>
      </c>
      <c r="BY4" s="66"/>
      <c r="BZ4" s="66">
        <f>2/60</f>
        <v>3.3333333333333333E-2</v>
      </c>
      <c r="CA4" s="63">
        <f t="shared" ref="CA4:CA34" si="7">1/(MAX(BV4:BW4)/((3*BX4)+BY4))</f>
        <v>0.35860058309037901</v>
      </c>
      <c r="CB4" s="104">
        <v>3.43</v>
      </c>
      <c r="CC4" s="66"/>
      <c r="CD4" s="66">
        <v>0.41</v>
      </c>
      <c r="CE4" s="72"/>
      <c r="CF4" s="66">
        <f>2/60</f>
        <v>3.3333333333333333E-2</v>
      </c>
      <c r="CG4" s="116">
        <f t="shared" ref="CG4:CG24" si="8">1/(MAX(CB4:CC4)/((3*CD4)+CE4))</f>
        <v>0.35860058309037901</v>
      </c>
      <c r="CH4" s="66">
        <v>1.31</v>
      </c>
      <c r="CI4" s="66">
        <v>1.31</v>
      </c>
      <c r="CJ4" s="66">
        <v>0.315</v>
      </c>
      <c r="CK4" s="66"/>
      <c r="CL4" s="66">
        <f>4/60</f>
        <v>6.6666666666666666E-2</v>
      </c>
      <c r="CM4" s="63">
        <f>1/(MAX(CH4:CI4)/((3*CJ4)+CK4))</f>
        <v>0.72137404580152675</v>
      </c>
      <c r="CN4" s="66"/>
      <c r="CO4" s="66">
        <v>4.75</v>
      </c>
      <c r="CP4" s="66">
        <v>0.45</v>
      </c>
      <c r="CQ4" s="66"/>
      <c r="CR4" s="66">
        <f>3/60</f>
        <v>0.05</v>
      </c>
      <c r="CS4" s="66">
        <f t="shared" ref="CS4:CS13" si="9">1/(MAX(CN4:CO4)/((3*CP4)+CQ4))</f>
        <v>0.28421052631578952</v>
      </c>
      <c r="CT4" s="104"/>
      <c r="CU4" s="66"/>
      <c r="CV4" s="66"/>
      <c r="CW4" s="66"/>
      <c r="CX4" s="66"/>
      <c r="CY4" s="63"/>
      <c r="CZ4" s="66"/>
      <c r="DA4" s="66">
        <v>4.3600000000000003</v>
      </c>
      <c r="DB4" s="66">
        <v>0.32</v>
      </c>
      <c r="DC4" s="66"/>
      <c r="DD4" s="66">
        <f>2/60</f>
        <v>3.3333333333333333E-2</v>
      </c>
      <c r="DE4" s="63">
        <f t="shared" ref="DE4:DE37" si="10">1/(MAX(CZ4:DA4)/((3*DB4)+DC4))</f>
        <v>0.22018348623853209</v>
      </c>
      <c r="DF4" s="66"/>
      <c r="DG4" s="66">
        <v>10</v>
      </c>
      <c r="DH4" s="66">
        <v>0.46</v>
      </c>
      <c r="DI4" s="72"/>
      <c r="DJ4" s="66">
        <f>1/60</f>
        <v>1.6666666666666666E-2</v>
      </c>
      <c r="DK4" s="63">
        <f t="shared" ref="DK4:DK24" si="11">1/(MAX(DF4:DG4)/((3*DH4)+DI4))</f>
        <v>0.13800000000000001</v>
      </c>
      <c r="DL4" s="66"/>
      <c r="DM4" s="66">
        <v>2.64</v>
      </c>
      <c r="DN4" s="66">
        <v>0.06</v>
      </c>
      <c r="DO4" s="66"/>
      <c r="DP4" s="66">
        <f>2/60</f>
        <v>3.3333333333333333E-2</v>
      </c>
      <c r="DQ4" s="63">
        <f t="shared" ref="DQ4:DQ11" si="12">1/(MAX(DL4:DM4)/((3*DN4)+DO4))</f>
        <v>6.8181818181818177E-2</v>
      </c>
      <c r="DR4" s="104">
        <v>4.75</v>
      </c>
      <c r="DS4" s="66"/>
      <c r="DT4" s="66">
        <v>0.45</v>
      </c>
      <c r="DU4" s="66"/>
      <c r="DV4" s="66">
        <f>3/60</f>
        <v>0.05</v>
      </c>
      <c r="DW4" s="63">
        <f t="shared" ref="DW4:DW10" si="13">1/(MAX(DR4:DS4)/((3*DT4)+DU4))</f>
        <v>0.28421052631578952</v>
      </c>
      <c r="DX4" s="135">
        <v>4.62</v>
      </c>
      <c r="DY4" s="135">
        <v>4.62</v>
      </c>
      <c r="DZ4" s="135">
        <v>0.86799999999999999</v>
      </c>
      <c r="EA4" s="138"/>
      <c r="EB4" s="135">
        <f>3/60</f>
        <v>0.05</v>
      </c>
      <c r="EC4" s="67">
        <f t="shared" ref="EC4:EC25" si="14">1/(MAX(DX4:DY4)/((3*DZ4)+EA4))</f>
        <v>0.5636363636363636</v>
      </c>
      <c r="ED4" s="138">
        <v>7.26</v>
      </c>
      <c r="EE4" s="132">
        <v>7.26</v>
      </c>
      <c r="EF4" s="132">
        <v>0.7</v>
      </c>
      <c r="EG4" s="132"/>
      <c r="EH4" s="132">
        <f>2/60</f>
        <v>3.3333333333333333E-2</v>
      </c>
      <c r="EI4" s="67">
        <f t="shared" ref="EI4:EI18" si="15">1/(MAX(ED4:EE4)/((3*EF4)+EG4))</f>
        <v>0.28925619834710736</v>
      </c>
      <c r="EP4" s="104"/>
      <c r="EQ4" s="66"/>
      <c r="ER4" s="66"/>
      <c r="ES4" s="66"/>
      <c r="ET4" s="66"/>
      <c r="EU4" s="63"/>
    </row>
    <row r="5" spans="1:151" x14ac:dyDescent="0.25">
      <c r="A5">
        <v>5</v>
      </c>
      <c r="C5" s="4">
        <v>3.42</v>
      </c>
      <c r="D5" s="4">
        <v>0.31</v>
      </c>
      <c r="F5" s="4">
        <f>4/60</f>
        <v>6.6666666666666666E-2</v>
      </c>
      <c r="G5" s="63">
        <f t="shared" si="0"/>
        <v>0.27192982456140347</v>
      </c>
      <c r="H5" s="66">
        <v>3.42</v>
      </c>
      <c r="I5" s="66"/>
      <c r="J5" s="66">
        <v>0.31</v>
      </c>
      <c r="K5" s="66"/>
      <c r="L5" s="66">
        <f>4/60</f>
        <v>6.6666666666666666E-2</v>
      </c>
      <c r="M5" s="116">
        <f>1/(MAX(H5:I5)/((3*J5)+K5))</f>
        <v>0.27192982456140347</v>
      </c>
      <c r="S5" s="63"/>
      <c r="Y5" s="116"/>
      <c r="Z5" s="115">
        <v>4.5999999999999996</v>
      </c>
      <c r="AB5" s="4">
        <v>1.1399999999999999</v>
      </c>
      <c r="AC5" s="72"/>
      <c r="AD5" s="4">
        <f>5/60</f>
        <v>8.3333333333333329E-2</v>
      </c>
      <c r="AE5" s="63">
        <f t="shared" si="1"/>
        <v>0.74347826086956537</v>
      </c>
      <c r="AF5" s="66"/>
      <c r="AG5" s="66">
        <v>4.5999999999999996</v>
      </c>
      <c r="AH5" s="66">
        <v>1.1399999999999999</v>
      </c>
      <c r="AI5" s="66"/>
      <c r="AJ5" s="66">
        <f>5/60</f>
        <v>8.3333333333333329E-2</v>
      </c>
      <c r="AK5" s="116">
        <f t="shared" si="2"/>
        <v>0.74347826086956537</v>
      </c>
      <c r="AL5" s="4">
        <v>5.94</v>
      </c>
      <c r="AM5" s="4">
        <v>5.94</v>
      </c>
      <c r="AN5" s="4">
        <v>0.86</v>
      </c>
      <c r="AP5" s="66">
        <f>3/60</f>
        <v>0.05</v>
      </c>
      <c r="AQ5" s="63">
        <f t="shared" si="3"/>
        <v>0.43434343434343431</v>
      </c>
      <c r="AW5" s="63"/>
      <c r="AX5" s="121"/>
      <c r="AY5" s="66">
        <v>9</v>
      </c>
      <c r="AZ5" s="66">
        <v>0.48</v>
      </c>
      <c r="BA5" s="72"/>
      <c r="BB5" s="66">
        <f>2/60</f>
        <v>3.3333333333333333E-2</v>
      </c>
      <c r="BC5" s="63">
        <f t="shared" si="4"/>
        <v>0.16</v>
      </c>
      <c r="BD5" s="66">
        <v>8.91</v>
      </c>
      <c r="BE5" s="66"/>
      <c r="BF5" s="66">
        <v>1.1399999999999999</v>
      </c>
      <c r="BG5" s="72"/>
      <c r="BH5" s="66">
        <f>2/60</f>
        <v>3.3333333333333333E-2</v>
      </c>
      <c r="BI5" s="116">
        <f t="shared" si="5"/>
        <v>0.38383838383838387</v>
      </c>
      <c r="BJ5" s="135">
        <v>9.9</v>
      </c>
      <c r="BK5" s="135">
        <v>3.3</v>
      </c>
      <c r="BL5" s="138">
        <v>0.48</v>
      </c>
      <c r="BM5" s="138"/>
      <c r="BN5" s="135">
        <f>2/60</f>
        <v>3.3333333333333333E-2</v>
      </c>
      <c r="BO5" s="63">
        <f t="shared" si="6"/>
        <v>0.14545454545454545</v>
      </c>
      <c r="BP5" s="104">
        <v>2.97</v>
      </c>
      <c r="BR5" s="66">
        <v>1.1399999999999999</v>
      </c>
      <c r="BS5" s="72"/>
      <c r="BT5" s="66">
        <f>2/60</f>
        <v>3.3333333333333333E-2</v>
      </c>
      <c r="BU5" s="63">
        <f>1/(MAX(BP5:BP5)/((3*BR5)+BS5))</f>
        <v>1.1515151515151514</v>
      </c>
      <c r="BV5" s="121"/>
      <c r="BW5" s="66">
        <v>3.86</v>
      </c>
      <c r="BX5" s="66">
        <v>1.0900000000000001</v>
      </c>
      <c r="BY5" s="66"/>
      <c r="BZ5" s="66">
        <v>0.08</v>
      </c>
      <c r="CA5" s="63">
        <f t="shared" si="7"/>
        <v>0.84715025906735764</v>
      </c>
      <c r="CB5" s="104">
        <v>3.86</v>
      </c>
      <c r="CC5" s="66"/>
      <c r="CD5" s="66">
        <v>1.0900000000000001</v>
      </c>
      <c r="CE5" s="72"/>
      <c r="CF5" s="66">
        <f>5/60</f>
        <v>8.3333333333333329E-2</v>
      </c>
      <c r="CG5" s="116">
        <f t="shared" si="8"/>
        <v>0.84715025906735764</v>
      </c>
      <c r="CH5" s="66">
        <v>1.47</v>
      </c>
      <c r="CI5" s="66">
        <v>1.47</v>
      </c>
      <c r="CJ5" s="66">
        <v>0.33</v>
      </c>
      <c r="CK5" s="66"/>
      <c r="CL5" s="66">
        <f>8/60</f>
        <v>0.13333333333333333</v>
      </c>
      <c r="CM5" s="63">
        <f>1/(MAX(CH5:CI5)/((3*CJ5)+CK5))</f>
        <v>0.67346938775510201</v>
      </c>
      <c r="CN5" s="66"/>
      <c r="CO5" s="66">
        <v>5.35</v>
      </c>
      <c r="CP5" s="66">
        <v>1.2</v>
      </c>
      <c r="CQ5" s="66"/>
      <c r="CR5" s="66">
        <f>5/60</f>
        <v>8.3333333333333329E-2</v>
      </c>
      <c r="CS5" s="66">
        <f t="shared" si="9"/>
        <v>0.67289719626168221</v>
      </c>
      <c r="CT5" s="104"/>
      <c r="CU5" s="66"/>
      <c r="CV5" s="66"/>
      <c r="CW5" s="66"/>
      <c r="CX5" s="66"/>
      <c r="CY5" s="63"/>
      <c r="CZ5" s="66"/>
      <c r="DA5" s="66">
        <v>4.9000000000000004</v>
      </c>
      <c r="DB5" s="66">
        <v>0.33</v>
      </c>
      <c r="DC5" s="66"/>
      <c r="DD5" s="66">
        <f>4/60</f>
        <v>6.6666666666666666E-2</v>
      </c>
      <c r="DE5" s="63">
        <f t="shared" si="10"/>
        <v>0.20204081632653059</v>
      </c>
      <c r="DF5" s="66"/>
      <c r="DG5" s="66">
        <v>11.3</v>
      </c>
      <c r="DH5" s="66">
        <v>0.49</v>
      </c>
      <c r="DI5" s="72"/>
      <c r="DJ5" s="66">
        <f>2/60</f>
        <v>3.3333333333333333E-2</v>
      </c>
      <c r="DK5" s="63">
        <f t="shared" si="11"/>
        <v>0.13008849557522123</v>
      </c>
      <c r="DL5" s="66"/>
      <c r="DM5" s="66">
        <v>2.97</v>
      </c>
      <c r="DN5" s="66">
        <v>0.1</v>
      </c>
      <c r="DO5" s="66"/>
      <c r="DP5" s="66">
        <f>4/60</f>
        <v>6.6666666666666666E-2</v>
      </c>
      <c r="DQ5" s="63">
        <f t="shared" si="12"/>
        <v>0.10101010101010102</v>
      </c>
      <c r="DR5" s="104">
        <v>5.35</v>
      </c>
      <c r="DS5" s="66"/>
      <c r="DT5" s="66">
        <v>1.2</v>
      </c>
      <c r="DU5" s="66"/>
      <c r="DV5" s="66">
        <f>5/60</f>
        <v>8.3333333333333329E-2</v>
      </c>
      <c r="DW5" s="63">
        <f t="shared" si="13"/>
        <v>0.67289719626168221</v>
      </c>
      <c r="DX5" s="135">
        <v>5.25</v>
      </c>
      <c r="DY5" s="135">
        <v>5.25</v>
      </c>
      <c r="DZ5" s="135">
        <v>0.93</v>
      </c>
      <c r="EA5" s="138"/>
      <c r="EB5" s="135">
        <f>7/60</f>
        <v>0.11666666666666667</v>
      </c>
      <c r="EC5" s="67">
        <f t="shared" si="14"/>
        <v>0.53142857142857147</v>
      </c>
      <c r="ED5" s="138">
        <v>8.25</v>
      </c>
      <c r="EE5" s="132">
        <v>8.25</v>
      </c>
      <c r="EF5" s="132">
        <v>0.75</v>
      </c>
      <c r="EG5" s="132"/>
      <c r="EH5" s="132">
        <f>4/60</f>
        <v>6.6666666666666666E-2</v>
      </c>
      <c r="EI5" s="67">
        <f t="shared" si="15"/>
        <v>0.27272727272727276</v>
      </c>
      <c r="EP5" s="104"/>
      <c r="EQ5" s="66"/>
      <c r="ER5" s="66"/>
      <c r="ES5" s="66"/>
      <c r="ET5" s="66"/>
      <c r="EU5" s="63"/>
    </row>
    <row r="6" spans="1:151" x14ac:dyDescent="0.25">
      <c r="A6">
        <v>6</v>
      </c>
      <c r="C6" s="4">
        <v>4.18</v>
      </c>
      <c r="E6" s="4">
        <v>0.78</v>
      </c>
      <c r="F6" s="4">
        <f>8/60</f>
        <v>0.13333333333333333</v>
      </c>
      <c r="G6" s="63">
        <f t="shared" si="0"/>
        <v>0.18660287081339713</v>
      </c>
      <c r="H6" s="66">
        <v>4.18</v>
      </c>
      <c r="I6" s="66"/>
      <c r="J6" s="66"/>
      <c r="K6" s="66">
        <v>0.78</v>
      </c>
      <c r="L6" s="66">
        <f>8/60</f>
        <v>0.13333333333333333</v>
      </c>
      <c r="M6" s="116">
        <f>1/(MAX(H6:I6)/((3*J6)+K6))</f>
        <v>0.18660287081339713</v>
      </c>
      <c r="S6" s="63"/>
      <c r="Y6" s="116"/>
      <c r="Z6" s="115">
        <v>5.63</v>
      </c>
      <c r="AC6" s="72">
        <v>6.86</v>
      </c>
      <c r="AD6" s="4">
        <f>9/60</f>
        <v>0.15</v>
      </c>
      <c r="AE6" s="63">
        <f t="shared" si="1"/>
        <v>1.2184724689165187</v>
      </c>
      <c r="AF6" s="66"/>
      <c r="AG6" s="66">
        <v>5.63</v>
      </c>
      <c r="AH6" s="66"/>
      <c r="AI6" s="66">
        <v>6.86</v>
      </c>
      <c r="AJ6" s="66">
        <f>9/60</f>
        <v>0.15</v>
      </c>
      <c r="AK6" s="116">
        <f t="shared" si="2"/>
        <v>1.2184724689165187</v>
      </c>
      <c r="AL6" s="4">
        <v>7.26</v>
      </c>
      <c r="AM6" s="4">
        <v>7.26</v>
      </c>
      <c r="AO6" s="4">
        <v>2.93</v>
      </c>
      <c r="AP6" s="66">
        <f>5/60</f>
        <v>8.3333333333333329E-2</v>
      </c>
      <c r="AQ6" s="63">
        <f t="shared" si="3"/>
        <v>0.40358126721763088</v>
      </c>
      <c r="AW6" s="63"/>
      <c r="AX6" s="121"/>
      <c r="AY6" s="66">
        <v>10.9</v>
      </c>
      <c r="AZ6" s="66"/>
      <c r="BA6" s="72">
        <v>1.1200000000000001</v>
      </c>
      <c r="BB6" s="66">
        <f>4/60</f>
        <v>6.6666666666666666E-2</v>
      </c>
      <c r="BC6" s="63">
        <f t="shared" si="4"/>
        <v>0.10275229357798167</v>
      </c>
      <c r="BD6" s="66">
        <v>10.9</v>
      </c>
      <c r="BE6" s="66"/>
      <c r="BF6" s="66"/>
      <c r="BG6" s="72">
        <v>6.86</v>
      </c>
      <c r="BH6" s="66">
        <f>4/60</f>
        <v>6.6666666666666666E-2</v>
      </c>
      <c r="BI6" s="116">
        <f t="shared" si="5"/>
        <v>0.62935779816513771</v>
      </c>
      <c r="BJ6" s="135">
        <v>12</v>
      </c>
      <c r="BK6" s="135">
        <v>4.0259999999999998</v>
      </c>
      <c r="BL6" s="138"/>
      <c r="BM6" s="138">
        <v>1.1200000000000001</v>
      </c>
      <c r="BN6" s="135">
        <f>4/60</f>
        <v>6.6666666666666666E-2</v>
      </c>
      <c r="BO6" s="63">
        <f t="shared" si="6"/>
        <v>9.3333333333333338E-2</v>
      </c>
      <c r="BP6" s="104">
        <v>3.63</v>
      </c>
      <c r="BR6" s="66"/>
      <c r="BS6" s="72">
        <v>6.86</v>
      </c>
      <c r="BT6" s="66">
        <f>4/60</f>
        <v>6.6666666666666666E-2</v>
      </c>
      <c r="BU6" s="63">
        <f>1/(MAX(BP6:BP6)/((3*BR6)+BS6))</f>
        <v>1.8898071625344353</v>
      </c>
      <c r="BV6" s="121"/>
      <c r="BW6" s="66">
        <v>4.72</v>
      </c>
      <c r="BX6" s="66"/>
      <c r="BY6" s="66">
        <v>6.52</v>
      </c>
      <c r="BZ6" s="66">
        <v>0.17</v>
      </c>
      <c r="CA6" s="63">
        <f t="shared" si="7"/>
        <v>1.3813559322033897</v>
      </c>
      <c r="CB6" s="104">
        <v>4.72</v>
      </c>
      <c r="CC6" s="66"/>
      <c r="CD6" s="66"/>
      <c r="CE6" s="72">
        <v>6.52</v>
      </c>
      <c r="CF6" s="66">
        <f>10/60</f>
        <v>0.16666666666666666</v>
      </c>
      <c r="CG6" s="116">
        <f t="shared" si="8"/>
        <v>1.3813559322033897</v>
      </c>
      <c r="CH6" s="66">
        <v>1.8</v>
      </c>
      <c r="CI6" s="66">
        <v>1.8</v>
      </c>
      <c r="CJ6" s="66"/>
      <c r="CK6" s="66">
        <v>0.78</v>
      </c>
      <c r="CL6" s="66">
        <f>16/60</f>
        <v>0.26666666666666666</v>
      </c>
      <c r="CM6" s="63">
        <f>1/(MAX(CH6:CI6)/((3*CJ6)+CK6))</f>
        <v>0.43333333333333335</v>
      </c>
      <c r="CN6" s="66"/>
      <c r="CO6" s="66">
        <v>6.53</v>
      </c>
      <c r="CP6" s="66"/>
      <c r="CQ6" s="66">
        <v>7.22</v>
      </c>
      <c r="CR6" s="66">
        <f>10/60</f>
        <v>0.16666666666666666</v>
      </c>
      <c r="CS6" s="66">
        <f t="shared" si="9"/>
        <v>1.1056661562021439</v>
      </c>
      <c r="CT6" s="104"/>
      <c r="CU6" s="66"/>
      <c r="CV6" s="66"/>
      <c r="CW6" s="66"/>
      <c r="CX6" s="66"/>
      <c r="CY6" s="63"/>
      <c r="CZ6" s="66"/>
      <c r="DA6" s="66">
        <v>5.99</v>
      </c>
      <c r="DB6" s="66"/>
      <c r="DC6" s="66">
        <v>1.18</v>
      </c>
      <c r="DD6" s="66">
        <f>8/60</f>
        <v>0.13333333333333333</v>
      </c>
      <c r="DE6" s="63">
        <f t="shared" si="10"/>
        <v>0.19699499165275458</v>
      </c>
      <c r="DF6" s="66"/>
      <c r="DG6" s="66">
        <v>13.8</v>
      </c>
      <c r="DH6" s="66"/>
      <c r="DI6" s="72">
        <v>1.69</v>
      </c>
      <c r="DJ6" s="66">
        <f>4/60</f>
        <v>6.6666666666666666E-2</v>
      </c>
      <c r="DK6" s="63">
        <f t="shared" si="11"/>
        <v>0.12246376811594203</v>
      </c>
      <c r="DL6" s="66"/>
      <c r="DM6" s="66">
        <v>3.63</v>
      </c>
      <c r="DN6" s="66"/>
      <c r="DO6" s="66">
        <v>0.4</v>
      </c>
      <c r="DP6" s="66">
        <f>8/60</f>
        <v>0.13333333333333333</v>
      </c>
      <c r="DQ6" s="63">
        <f t="shared" si="12"/>
        <v>0.11019283746556474</v>
      </c>
      <c r="DR6" s="104">
        <v>6.53</v>
      </c>
      <c r="DS6" s="66"/>
      <c r="DT6" s="66"/>
      <c r="DU6" s="66">
        <v>7.22</v>
      </c>
      <c r="DV6" s="66">
        <f>10/60</f>
        <v>0.16666666666666666</v>
      </c>
      <c r="DW6" s="63">
        <f t="shared" si="13"/>
        <v>1.1056661562021439</v>
      </c>
      <c r="DX6" s="135">
        <v>6.4050000000000002</v>
      </c>
      <c r="DY6" s="135">
        <v>6.4050000000000002</v>
      </c>
      <c r="DZ6" s="135"/>
      <c r="EA6" s="138">
        <v>2.17</v>
      </c>
      <c r="EB6" s="135">
        <f>14/60</f>
        <v>0.23333333333333334</v>
      </c>
      <c r="EC6" s="67">
        <f t="shared" si="14"/>
        <v>0.33879781420765026</v>
      </c>
      <c r="ED6" s="138">
        <v>10</v>
      </c>
      <c r="EE6" s="132">
        <v>10</v>
      </c>
      <c r="EF6" s="132"/>
      <c r="EG6" s="132">
        <v>1.75</v>
      </c>
      <c r="EH6" s="132">
        <f>8/60</f>
        <v>0.13333333333333333</v>
      </c>
      <c r="EI6" s="67">
        <f t="shared" si="15"/>
        <v>0.17499999999999999</v>
      </c>
      <c r="EP6" s="104"/>
      <c r="EQ6" s="66"/>
      <c r="ER6" s="66"/>
      <c r="ES6" s="66"/>
      <c r="ET6" s="66"/>
      <c r="EU6" s="63"/>
    </row>
    <row r="7" spans="1:151" x14ac:dyDescent="0.25">
      <c r="A7">
        <v>7</v>
      </c>
      <c r="C7" s="4">
        <v>4.33</v>
      </c>
      <c r="D7" s="4">
        <v>0.32</v>
      </c>
      <c r="F7" s="4">
        <f>12/60</f>
        <v>0.2</v>
      </c>
      <c r="G7" s="63">
        <f t="shared" si="0"/>
        <v>0.22170900692840645</v>
      </c>
      <c r="H7" s="66">
        <v>4.33</v>
      </c>
      <c r="I7" s="66"/>
      <c r="J7" s="66">
        <v>0.32</v>
      </c>
      <c r="K7" s="66"/>
      <c r="L7" s="66">
        <f>12/60</f>
        <v>0.2</v>
      </c>
      <c r="M7" s="116">
        <f>1/(MAX(H7:I7)/((3*J7)+K7))</f>
        <v>0.22170900692840645</v>
      </c>
      <c r="S7" s="63"/>
      <c r="Y7" s="116"/>
      <c r="Z7" s="115">
        <v>5.83</v>
      </c>
      <c r="AB7" s="4">
        <v>4.29</v>
      </c>
      <c r="AC7" s="72"/>
      <c r="AD7" s="66">
        <f>14/60</f>
        <v>0.23333333333333334</v>
      </c>
      <c r="AE7" s="63">
        <f t="shared" si="1"/>
        <v>2.2075471698113209</v>
      </c>
      <c r="AF7" s="66"/>
      <c r="AG7" s="66">
        <v>5.83</v>
      </c>
      <c r="AH7" s="66">
        <v>4.29</v>
      </c>
      <c r="AI7" s="66"/>
      <c r="AJ7" s="66">
        <f>14/60</f>
        <v>0.23333333333333334</v>
      </c>
      <c r="AK7" s="116">
        <f t="shared" si="2"/>
        <v>2.2075471698113209</v>
      </c>
      <c r="AL7" s="4">
        <v>7.52</v>
      </c>
      <c r="AM7" s="65">
        <v>7.52</v>
      </c>
      <c r="AN7" s="4">
        <v>0.96</v>
      </c>
      <c r="AP7" s="66">
        <f>7/60</f>
        <v>0.11666666666666667</v>
      </c>
      <c r="AQ7" s="63">
        <f t="shared" si="3"/>
        <v>0.38297872340425532</v>
      </c>
      <c r="AW7" s="63"/>
      <c r="AX7" s="121"/>
      <c r="AY7" s="66">
        <v>11.3</v>
      </c>
      <c r="AZ7" s="66">
        <v>0.51200000000000001</v>
      </c>
      <c r="BA7" s="72"/>
      <c r="BB7" s="66">
        <f>6/60</f>
        <v>0.1</v>
      </c>
      <c r="BC7" s="63">
        <f t="shared" si="4"/>
        <v>0.13592920353982299</v>
      </c>
      <c r="BD7" s="66">
        <v>11.3</v>
      </c>
      <c r="BE7" s="66"/>
      <c r="BF7" s="66">
        <v>4.29</v>
      </c>
      <c r="BG7" s="72"/>
      <c r="BH7" s="66">
        <f>6/60</f>
        <v>0.1</v>
      </c>
      <c r="BI7" s="116">
        <f t="shared" si="5"/>
        <v>1.1389380530973452</v>
      </c>
      <c r="BJ7" s="135">
        <v>12.4</v>
      </c>
      <c r="BK7" s="135">
        <v>4.1580000000000004</v>
      </c>
      <c r="BL7" s="138">
        <v>0.51200000000000001</v>
      </c>
      <c r="BM7" s="138"/>
      <c r="BN7" s="135">
        <f>6/60</f>
        <v>0.1</v>
      </c>
      <c r="BO7" s="63">
        <f t="shared" si="6"/>
        <v>0.1238709677419355</v>
      </c>
      <c r="BP7" s="104">
        <v>3.76</v>
      </c>
      <c r="BQ7" s="66"/>
      <c r="BR7" s="66">
        <v>4.29</v>
      </c>
      <c r="BS7" s="72"/>
      <c r="BT7" s="66">
        <f>6/60</f>
        <v>0.1</v>
      </c>
      <c r="BU7" s="63">
        <f t="shared" ref="BU7:BU18" si="16">1/(MAX(BP7:BQ7)/((3*BR7)+BS7))</f>
        <v>3.4228723404255326</v>
      </c>
      <c r="BV7" s="121"/>
      <c r="BW7" s="66">
        <v>4.8899999999999997</v>
      </c>
      <c r="BX7" s="66">
        <v>4.07</v>
      </c>
      <c r="BY7" s="66"/>
      <c r="BZ7" s="66">
        <v>0.23</v>
      </c>
      <c r="CA7" s="63">
        <f t="shared" si="7"/>
        <v>2.4969325153374236</v>
      </c>
      <c r="CB7" s="104">
        <v>4.8899999999999997</v>
      </c>
      <c r="CC7" s="66"/>
      <c r="CD7" s="66">
        <v>4.07</v>
      </c>
      <c r="CE7" s="72"/>
      <c r="CF7" s="66">
        <f>14/60</f>
        <v>0.23333333333333334</v>
      </c>
      <c r="CG7" s="116">
        <f t="shared" si="8"/>
        <v>2.4969325153374236</v>
      </c>
      <c r="CH7" s="66"/>
      <c r="CI7" s="66"/>
      <c r="CJ7" s="66"/>
      <c r="CK7" s="66"/>
      <c r="CL7" s="66"/>
      <c r="CM7" s="63"/>
      <c r="CN7" s="66"/>
      <c r="CO7" s="66">
        <v>6.77</v>
      </c>
      <c r="CP7" s="66">
        <v>4.51</v>
      </c>
      <c r="CQ7" s="66"/>
      <c r="CR7" s="66">
        <f>16/60</f>
        <v>0.26666666666666666</v>
      </c>
      <c r="CS7" s="66">
        <f t="shared" si="9"/>
        <v>1.998522895125554</v>
      </c>
      <c r="CT7" s="104"/>
      <c r="CU7" s="66"/>
      <c r="CV7" s="66"/>
      <c r="CW7" s="66"/>
      <c r="CX7" s="66"/>
      <c r="CY7" s="63"/>
      <c r="CZ7" s="66"/>
      <c r="DA7" s="66">
        <v>6.21</v>
      </c>
      <c r="DB7" s="66">
        <v>0.35</v>
      </c>
      <c r="DC7" s="66"/>
      <c r="DD7" s="66">
        <f>12/60</f>
        <v>0.2</v>
      </c>
      <c r="DE7" s="63">
        <f t="shared" si="10"/>
        <v>0.16908212560386471</v>
      </c>
      <c r="DF7" s="66"/>
      <c r="DG7" s="66">
        <v>14.3</v>
      </c>
      <c r="DH7" s="66">
        <v>0.56000000000000005</v>
      </c>
      <c r="DI7" s="72"/>
      <c r="DJ7" s="66">
        <f>6/60</f>
        <v>0.1</v>
      </c>
      <c r="DK7" s="63">
        <f t="shared" si="11"/>
        <v>0.11748251748251749</v>
      </c>
      <c r="DL7" s="66"/>
      <c r="DM7" s="66">
        <v>3.76</v>
      </c>
      <c r="DN7" s="66">
        <v>0.2</v>
      </c>
      <c r="DO7" s="66"/>
      <c r="DP7" s="66">
        <f>12/60</f>
        <v>0.2</v>
      </c>
      <c r="DQ7" s="63">
        <f t="shared" si="12"/>
        <v>0.15957446808510642</v>
      </c>
      <c r="DR7" s="104">
        <v>6.77</v>
      </c>
      <c r="DS7" s="66"/>
      <c r="DT7" s="66">
        <v>4.51</v>
      </c>
      <c r="DU7" s="66"/>
      <c r="DV7" s="66">
        <f>16/60</f>
        <v>0.26666666666666666</v>
      </c>
      <c r="DW7" s="63">
        <f t="shared" si="13"/>
        <v>1.998522895125554</v>
      </c>
      <c r="DX7" s="135">
        <v>6.6150000000000002</v>
      </c>
      <c r="DY7" s="135">
        <v>6.6150000000000002</v>
      </c>
      <c r="DZ7" s="135">
        <v>0.99199999999999999</v>
      </c>
      <c r="EA7" s="138"/>
      <c r="EB7" s="135">
        <f>20/60</f>
        <v>0.33333333333333331</v>
      </c>
      <c r="EC7" s="67">
        <f t="shared" si="14"/>
        <v>0.44988662131519275</v>
      </c>
      <c r="ED7" s="138">
        <v>10.3</v>
      </c>
      <c r="EE7" s="132">
        <v>10.3</v>
      </c>
      <c r="EF7" s="132">
        <v>0.8</v>
      </c>
      <c r="EG7" s="132"/>
      <c r="EH7" s="132">
        <f>12/60</f>
        <v>0.2</v>
      </c>
      <c r="EI7" s="67">
        <f t="shared" si="15"/>
        <v>0.23300970873786411</v>
      </c>
      <c r="EP7" s="104"/>
      <c r="EQ7" s="66"/>
      <c r="ER7" s="66"/>
      <c r="ES7" s="66"/>
      <c r="ET7" s="66"/>
      <c r="EU7" s="63"/>
    </row>
    <row r="8" spans="1:151" x14ac:dyDescent="0.25">
      <c r="A8">
        <v>8</v>
      </c>
      <c r="C8" s="4">
        <v>4.55</v>
      </c>
      <c r="D8" s="4">
        <v>0.35</v>
      </c>
      <c r="G8" s="63">
        <f t="shared" si="0"/>
        <v>0.23076923076923073</v>
      </c>
      <c r="H8" s="66">
        <v>4.55</v>
      </c>
      <c r="I8" s="66"/>
      <c r="J8" s="66">
        <v>0.35</v>
      </c>
      <c r="K8" s="66"/>
      <c r="L8" s="66">
        <f>14/60</f>
        <v>0.23333333333333334</v>
      </c>
      <c r="M8" s="116">
        <f>1/(MAX(H8:I8)/((3*J8)+K8))</f>
        <v>0.23076923076923073</v>
      </c>
      <c r="S8" s="63"/>
      <c r="Y8" s="116"/>
      <c r="Z8" s="115">
        <v>6.14</v>
      </c>
      <c r="AB8" s="4">
        <v>9.36</v>
      </c>
      <c r="AC8" s="72"/>
      <c r="AD8" s="66">
        <f>16/60</f>
        <v>0.26666666666666666</v>
      </c>
      <c r="AE8" s="63">
        <f t="shared" si="1"/>
        <v>4.5732899022801305</v>
      </c>
      <c r="AF8" s="66"/>
      <c r="AG8" s="66">
        <v>6.14</v>
      </c>
      <c r="AH8" s="66">
        <v>9.36</v>
      </c>
      <c r="AI8" s="66"/>
      <c r="AJ8" s="66">
        <f>16/60</f>
        <v>0.26666666666666666</v>
      </c>
      <c r="AK8" s="116">
        <f t="shared" si="2"/>
        <v>4.5732899022801305</v>
      </c>
      <c r="AL8" s="4">
        <v>7.92</v>
      </c>
      <c r="AM8" s="65">
        <v>7.92</v>
      </c>
      <c r="AN8" s="65">
        <v>1.04</v>
      </c>
      <c r="AP8" s="66">
        <f>8/60</f>
        <v>0.13333333333333333</v>
      </c>
      <c r="AQ8" s="63">
        <f t="shared" si="3"/>
        <v>0.39393939393939398</v>
      </c>
      <c r="AW8" s="63"/>
      <c r="AX8" s="121"/>
      <c r="AY8" s="66">
        <v>11.8</v>
      </c>
      <c r="AZ8" s="66">
        <v>0.60799999999999998</v>
      </c>
      <c r="BA8" s="72"/>
      <c r="BB8" s="66">
        <f>7/60</f>
        <v>0.11666666666666667</v>
      </c>
      <c r="BC8" s="63">
        <f t="shared" si="4"/>
        <v>0.15457627118644066</v>
      </c>
      <c r="BD8" s="66">
        <v>11.9</v>
      </c>
      <c r="BE8" s="66"/>
      <c r="BF8" s="66">
        <v>8.26</v>
      </c>
      <c r="BG8" s="72"/>
      <c r="BH8" s="66">
        <f>7/60</f>
        <v>0.11666666666666667</v>
      </c>
      <c r="BI8" s="116">
        <f t="shared" si="5"/>
        <v>2.0823529411764707</v>
      </c>
      <c r="BJ8" s="135">
        <v>13</v>
      </c>
      <c r="BK8" s="135">
        <v>4.3559999999999999</v>
      </c>
      <c r="BL8" s="138">
        <v>0.60799999999999998</v>
      </c>
      <c r="BM8" s="138"/>
      <c r="BN8" s="135">
        <f>7/60</f>
        <v>0.11666666666666667</v>
      </c>
      <c r="BO8" s="63">
        <f t="shared" si="6"/>
        <v>0.1403076923076923</v>
      </c>
      <c r="BP8" s="104">
        <v>3.96</v>
      </c>
      <c r="BQ8" s="66"/>
      <c r="BR8" s="66">
        <v>8.26</v>
      </c>
      <c r="BS8" s="72"/>
      <c r="BT8" s="66">
        <f>7/60</f>
        <v>0.11666666666666667</v>
      </c>
      <c r="BU8" s="63">
        <f t="shared" si="16"/>
        <v>6.2575757575757578</v>
      </c>
      <c r="BV8" s="121"/>
      <c r="BW8" s="66">
        <v>5.15</v>
      </c>
      <c r="BX8" s="66">
        <v>7.74</v>
      </c>
      <c r="BY8" s="66"/>
      <c r="BZ8" s="66">
        <v>0.28000000000000003</v>
      </c>
      <c r="CA8" s="63">
        <f t="shared" si="7"/>
        <v>4.508737864077669</v>
      </c>
      <c r="CB8" s="104">
        <v>5.15</v>
      </c>
      <c r="CC8" s="66"/>
      <c r="CD8" s="66">
        <v>7.74</v>
      </c>
      <c r="CE8" s="72"/>
      <c r="CF8" s="66">
        <f>17/60</f>
        <v>0.28333333333333333</v>
      </c>
      <c r="CG8" s="116">
        <f t="shared" si="8"/>
        <v>4.508737864077669</v>
      </c>
      <c r="CH8" s="66"/>
      <c r="CI8" s="66"/>
      <c r="CJ8" s="66"/>
      <c r="CK8" s="66"/>
      <c r="CL8" s="66"/>
      <c r="CM8" s="63"/>
      <c r="CN8" s="66"/>
      <c r="CO8" s="66">
        <v>7.13</v>
      </c>
      <c r="CP8" s="66">
        <v>15</v>
      </c>
      <c r="CQ8" s="66"/>
      <c r="CR8" s="66">
        <f>18/60</f>
        <v>0.3</v>
      </c>
      <c r="CS8" s="66">
        <f t="shared" si="9"/>
        <v>6.3113604488078545</v>
      </c>
      <c r="CT8" s="104"/>
      <c r="CU8" s="66"/>
      <c r="CV8" s="66"/>
      <c r="CW8" s="66"/>
      <c r="CX8" s="66"/>
      <c r="CY8" s="63"/>
      <c r="CZ8" s="66"/>
      <c r="DA8" s="66">
        <v>6.53</v>
      </c>
      <c r="DB8" s="66">
        <v>0.53</v>
      </c>
      <c r="DC8" s="66"/>
      <c r="DD8" s="66">
        <f>14/60</f>
        <v>0.23333333333333334</v>
      </c>
      <c r="DE8" s="63">
        <f t="shared" si="10"/>
        <v>0.24349157733537521</v>
      </c>
      <c r="DF8" s="66"/>
      <c r="DG8" s="66">
        <v>15</v>
      </c>
      <c r="DH8" s="66">
        <v>0.75</v>
      </c>
      <c r="DI8" s="72"/>
      <c r="DJ8" s="66">
        <f>7/60</f>
        <v>0.11666666666666667</v>
      </c>
      <c r="DK8" s="63">
        <f t="shared" si="11"/>
        <v>0.15</v>
      </c>
      <c r="DL8" s="66"/>
      <c r="DM8" s="66">
        <v>3.96</v>
      </c>
      <c r="DN8" s="66">
        <v>0.3</v>
      </c>
      <c r="DO8" s="66"/>
      <c r="DP8" s="66">
        <f>14/60</f>
        <v>0.23333333333333334</v>
      </c>
      <c r="DQ8" s="63">
        <f t="shared" si="12"/>
        <v>0.22727272727272727</v>
      </c>
      <c r="DR8" s="104">
        <v>7.13</v>
      </c>
      <c r="DS8" s="66"/>
      <c r="DT8" s="66">
        <v>15</v>
      </c>
      <c r="DU8" s="66"/>
      <c r="DV8" s="66">
        <f>18/60</f>
        <v>0.3</v>
      </c>
      <c r="DW8" s="63">
        <f t="shared" si="13"/>
        <v>6.3113604488078545</v>
      </c>
      <c r="DX8" s="135">
        <v>6.93</v>
      </c>
      <c r="DY8" s="135">
        <v>6.93</v>
      </c>
      <c r="DZ8" s="135">
        <v>1.17</v>
      </c>
      <c r="EA8" s="138"/>
      <c r="EB8" s="135">
        <f>24/60</f>
        <v>0.4</v>
      </c>
      <c r="EC8" s="63">
        <f t="shared" si="14"/>
        <v>0.50649350649350644</v>
      </c>
      <c r="ED8" s="138">
        <v>10.8</v>
      </c>
      <c r="EE8" s="132">
        <v>10.8</v>
      </c>
      <c r="EF8" s="132">
        <v>0.95</v>
      </c>
      <c r="EG8" s="132"/>
      <c r="EH8" s="132">
        <f>14/60</f>
        <v>0.23333333333333334</v>
      </c>
      <c r="EI8" s="67">
        <f t="shared" si="15"/>
        <v>0.26388888888888884</v>
      </c>
      <c r="EP8" s="104"/>
      <c r="EQ8" s="66"/>
      <c r="ER8" s="66"/>
      <c r="ES8" s="66"/>
      <c r="ET8" s="66"/>
      <c r="EU8" s="63"/>
    </row>
    <row r="9" spans="1:151" x14ac:dyDescent="0.25">
      <c r="A9">
        <v>9</v>
      </c>
      <c r="C9" s="4">
        <v>4.8600000000000003</v>
      </c>
      <c r="E9" s="4">
        <v>1.04</v>
      </c>
      <c r="G9" s="63">
        <f t="shared" si="0"/>
        <v>0.2139917695473251</v>
      </c>
      <c r="H9" s="66"/>
      <c r="I9" s="66"/>
      <c r="J9" s="66"/>
      <c r="K9" s="66"/>
      <c r="L9" s="66"/>
      <c r="M9" s="116"/>
      <c r="Q9" s="4">
        <v>14</v>
      </c>
      <c r="S9" s="63"/>
      <c r="W9" s="4">
        <v>21</v>
      </c>
      <c r="Y9" s="116"/>
      <c r="Z9" s="115">
        <v>6.55</v>
      </c>
      <c r="AC9" s="72">
        <v>11.4</v>
      </c>
      <c r="AD9" s="66">
        <f>18/60</f>
        <v>0.3</v>
      </c>
      <c r="AE9" s="63">
        <f t="shared" si="1"/>
        <v>1.7404580152671756</v>
      </c>
      <c r="AF9" s="66"/>
      <c r="AG9" s="66">
        <v>6.55</v>
      </c>
      <c r="AH9" s="66"/>
      <c r="AI9" s="66">
        <v>11.4</v>
      </c>
      <c r="AJ9" s="66">
        <f>18/60</f>
        <v>0.3</v>
      </c>
      <c r="AK9" s="116">
        <f t="shared" si="2"/>
        <v>1.7404580152671756</v>
      </c>
      <c r="AL9" s="4">
        <v>8.4499999999999993</v>
      </c>
      <c r="AM9" s="65">
        <v>8.4499999999999993</v>
      </c>
      <c r="AO9" s="4">
        <v>3.9</v>
      </c>
      <c r="AP9" s="66">
        <f>10/60</f>
        <v>0.16666666666666666</v>
      </c>
      <c r="AQ9" s="63">
        <f t="shared" si="3"/>
        <v>0.46153846153846156</v>
      </c>
      <c r="AW9" s="63"/>
      <c r="AX9" s="121"/>
      <c r="AY9" s="66">
        <v>12.6</v>
      </c>
      <c r="AZ9" s="66"/>
      <c r="BA9" s="72">
        <v>4.8</v>
      </c>
      <c r="BB9" s="66">
        <f>8/60</f>
        <v>0.13333333333333333</v>
      </c>
      <c r="BC9" s="63">
        <f t="shared" si="4"/>
        <v>0.38095238095238093</v>
      </c>
      <c r="BD9" s="66">
        <v>12.7</v>
      </c>
      <c r="BE9" s="66"/>
      <c r="BF9" s="66"/>
      <c r="BG9" s="72">
        <v>9.11</v>
      </c>
      <c r="BH9" s="66">
        <f>8/60</f>
        <v>0.13333333333333333</v>
      </c>
      <c r="BI9" s="116">
        <f t="shared" si="5"/>
        <v>0.71732283464566926</v>
      </c>
      <c r="BJ9" s="135">
        <v>13.8</v>
      </c>
      <c r="BK9" s="135">
        <v>4.62</v>
      </c>
      <c r="BL9" s="138"/>
      <c r="BM9" s="138">
        <v>4.8</v>
      </c>
      <c r="BN9" s="135">
        <f>8/60</f>
        <v>0.13333333333333333</v>
      </c>
      <c r="BO9" s="63">
        <f t="shared" si="6"/>
        <v>0.34782608695652167</v>
      </c>
      <c r="BP9" s="150">
        <v>4.2</v>
      </c>
      <c r="BQ9" s="135">
        <v>12.6</v>
      </c>
      <c r="BR9" s="135"/>
      <c r="BS9" s="138">
        <v>4.8</v>
      </c>
      <c r="BT9" s="135">
        <f>8/60</f>
        <v>0.13333333333333333</v>
      </c>
      <c r="BU9" s="63">
        <f t="shared" si="16"/>
        <v>0.38095238095238093</v>
      </c>
      <c r="BV9" s="121"/>
      <c r="BW9" s="66">
        <v>5.49</v>
      </c>
      <c r="BX9" s="66"/>
      <c r="BY9" s="66">
        <v>8.5399999999999991</v>
      </c>
      <c r="BZ9" s="66">
        <f>18/60</f>
        <v>0.3</v>
      </c>
      <c r="CA9" s="63">
        <f t="shared" si="7"/>
        <v>1.5555555555555554</v>
      </c>
      <c r="CB9" s="104">
        <v>5.49</v>
      </c>
      <c r="CC9" s="66"/>
      <c r="CD9" s="66"/>
      <c r="CE9" s="72">
        <v>8.5399999999999991</v>
      </c>
      <c r="CF9" s="66">
        <v>0.3</v>
      </c>
      <c r="CG9" s="116">
        <f t="shared" si="8"/>
        <v>1.5555555555555554</v>
      </c>
      <c r="CH9" s="66"/>
      <c r="CI9" s="66"/>
      <c r="CJ9" s="66"/>
      <c r="CK9" s="66"/>
      <c r="CL9" s="66"/>
      <c r="CM9" s="63"/>
      <c r="CN9" s="66"/>
      <c r="CO9" s="66">
        <v>7.6</v>
      </c>
      <c r="CP9" s="66"/>
      <c r="CQ9" s="66">
        <v>46</v>
      </c>
      <c r="CR9" s="66">
        <f>20/60</f>
        <v>0.33333333333333331</v>
      </c>
      <c r="CS9" s="66">
        <f t="shared" si="9"/>
        <v>6.052631578947369</v>
      </c>
      <c r="CT9" s="104"/>
      <c r="CU9" s="66"/>
      <c r="CV9" s="66"/>
      <c r="CW9" s="66"/>
      <c r="CX9" s="66"/>
      <c r="CY9" s="63"/>
      <c r="CZ9" s="66"/>
      <c r="DA9" s="66">
        <v>6.97</v>
      </c>
      <c r="DB9" s="66"/>
      <c r="DC9" s="66">
        <v>1.58</v>
      </c>
      <c r="DD9" s="66">
        <f>16/60</f>
        <v>0.26666666666666666</v>
      </c>
      <c r="DE9" s="63">
        <f t="shared" si="10"/>
        <v>0.22668579626972743</v>
      </c>
      <c r="DF9" s="66"/>
      <c r="DG9" s="66">
        <v>16.100000000000001</v>
      </c>
      <c r="DH9" s="66"/>
      <c r="DI9" s="72">
        <v>2.25</v>
      </c>
      <c r="DJ9" s="66">
        <f>8/60</f>
        <v>0.13333333333333333</v>
      </c>
      <c r="DK9" s="63">
        <f t="shared" si="11"/>
        <v>0.13975155279503104</v>
      </c>
      <c r="DL9" s="66"/>
      <c r="DM9" s="66">
        <v>4.22</v>
      </c>
      <c r="DN9" s="66"/>
      <c r="DO9" s="66">
        <v>0.9</v>
      </c>
      <c r="DP9" s="66">
        <f>16/60</f>
        <v>0.26666666666666666</v>
      </c>
      <c r="DQ9" s="63">
        <f t="shared" si="12"/>
        <v>0.21327014218009482</v>
      </c>
      <c r="DR9" s="104">
        <v>7.6</v>
      </c>
      <c r="DS9" s="66"/>
      <c r="DT9" s="66"/>
      <c r="DU9" s="66">
        <v>46</v>
      </c>
      <c r="DV9" s="66">
        <f>20/60</f>
        <v>0.33333333333333331</v>
      </c>
      <c r="DW9" s="63">
        <f t="shared" si="13"/>
        <v>6.052631578947369</v>
      </c>
      <c r="DX9" s="135">
        <v>7.35</v>
      </c>
      <c r="DY9" s="135">
        <v>7.35</v>
      </c>
      <c r="DZ9" s="135"/>
      <c r="EA9" s="138">
        <v>9.3000000000000007</v>
      </c>
      <c r="EB9" s="135">
        <f>28/60</f>
        <v>0.46666666666666667</v>
      </c>
      <c r="EC9" s="63">
        <f t="shared" si="14"/>
        <v>1.2653061224489799</v>
      </c>
      <c r="ED9" s="138">
        <v>11.5</v>
      </c>
      <c r="EE9" s="132">
        <v>11.5</v>
      </c>
      <c r="EF9" s="132"/>
      <c r="EG9" s="132">
        <v>7.5</v>
      </c>
      <c r="EH9" s="132">
        <f>16/60</f>
        <v>0.26666666666666666</v>
      </c>
      <c r="EI9" s="67">
        <f t="shared" si="15"/>
        <v>0.65217391304347827</v>
      </c>
      <c r="EP9" s="104"/>
      <c r="EQ9" s="66"/>
      <c r="ER9" s="66"/>
      <c r="ES9" s="66"/>
      <c r="ET9" s="66"/>
      <c r="EU9" s="63"/>
    </row>
    <row r="10" spans="1:151" x14ac:dyDescent="0.25">
      <c r="A10">
        <v>10</v>
      </c>
      <c r="C10" s="4">
        <v>5.16</v>
      </c>
      <c r="D10" s="4">
        <v>0.46</v>
      </c>
      <c r="G10" s="63">
        <f t="shared" si="0"/>
        <v>0.26744186046511631</v>
      </c>
      <c r="H10" s="66"/>
      <c r="I10" s="66"/>
      <c r="J10" s="66"/>
      <c r="K10" s="66"/>
      <c r="L10" s="66"/>
      <c r="M10" s="116"/>
      <c r="P10" s="4">
        <v>5.71</v>
      </c>
      <c r="S10" s="63"/>
      <c r="V10" s="4">
        <v>5.71</v>
      </c>
      <c r="Y10" s="116"/>
      <c r="Z10" s="115">
        <v>6.96</v>
      </c>
      <c r="AB10" s="4">
        <v>9.84</v>
      </c>
      <c r="AC10" s="72"/>
      <c r="AD10" s="66">
        <f>20/60</f>
        <v>0.33333333333333331</v>
      </c>
      <c r="AE10" s="63">
        <f t="shared" si="1"/>
        <v>4.2413793103448274</v>
      </c>
      <c r="AF10" s="66"/>
      <c r="AG10" s="66">
        <v>6.96</v>
      </c>
      <c r="AH10" s="66">
        <v>9.84</v>
      </c>
      <c r="AI10" s="66"/>
      <c r="AJ10" s="66">
        <f>20/60</f>
        <v>0.33333333333333331</v>
      </c>
      <c r="AK10" s="116">
        <f t="shared" si="2"/>
        <v>4.2413793103448274</v>
      </c>
      <c r="AL10" s="4">
        <v>8.98</v>
      </c>
      <c r="AM10" s="65">
        <v>8.98</v>
      </c>
      <c r="AN10" s="65">
        <v>1.06</v>
      </c>
      <c r="AP10" s="66">
        <f>11/60</f>
        <v>0.18333333333333332</v>
      </c>
      <c r="AQ10" s="63">
        <f t="shared" si="3"/>
        <v>0.35412026726057905</v>
      </c>
      <c r="AW10" s="63"/>
      <c r="AX10" s="121"/>
      <c r="AY10" s="66"/>
      <c r="AZ10" s="66"/>
      <c r="BA10" s="72"/>
      <c r="BC10" s="63" t="e">
        <f t="shared" si="4"/>
        <v>#DIV/0!</v>
      </c>
      <c r="BD10" s="66">
        <v>13.5</v>
      </c>
      <c r="BE10" s="66"/>
      <c r="BF10" s="66">
        <v>8.4499999999999993</v>
      </c>
      <c r="BG10" s="72"/>
      <c r="BH10" s="66">
        <f>9/60</f>
        <v>0.15</v>
      </c>
      <c r="BI10" s="116">
        <f t="shared" si="5"/>
        <v>1.8777777777777775</v>
      </c>
      <c r="BJ10" s="135">
        <v>14.8</v>
      </c>
      <c r="BK10" s="135">
        <v>4.95</v>
      </c>
      <c r="BL10" s="138">
        <v>1.2</v>
      </c>
      <c r="BM10" s="138"/>
      <c r="BN10" s="135">
        <f>9/60</f>
        <v>0.15</v>
      </c>
      <c r="BO10" s="63">
        <f t="shared" si="6"/>
        <v>0.2432432432432432</v>
      </c>
      <c r="BP10" s="150">
        <v>4.5</v>
      </c>
      <c r="BQ10" s="135">
        <v>13.5</v>
      </c>
      <c r="BR10" s="135">
        <v>1.2</v>
      </c>
      <c r="BS10" s="138"/>
      <c r="BT10" s="135">
        <f>9/60</f>
        <v>0.15</v>
      </c>
      <c r="BU10" s="63">
        <f t="shared" si="16"/>
        <v>0.26666666666666661</v>
      </c>
      <c r="BV10" s="121"/>
      <c r="BW10" s="66">
        <v>5.83</v>
      </c>
      <c r="BX10" s="66">
        <v>7.92</v>
      </c>
      <c r="BY10" s="66"/>
      <c r="BZ10" s="66">
        <f>22/60</f>
        <v>0.36666666666666664</v>
      </c>
      <c r="CA10" s="63">
        <f t="shared" si="7"/>
        <v>4.0754716981132066</v>
      </c>
      <c r="CB10" s="104">
        <v>5.83</v>
      </c>
      <c r="CC10" s="66"/>
      <c r="CD10" s="66">
        <v>7.92</v>
      </c>
      <c r="CE10" s="72"/>
      <c r="CF10" s="66">
        <v>0.37</v>
      </c>
      <c r="CG10" s="116">
        <f t="shared" si="8"/>
        <v>4.0754716981132066</v>
      </c>
      <c r="CH10" s="66"/>
      <c r="CI10" s="66"/>
      <c r="CJ10" s="66"/>
      <c r="CK10" s="66"/>
      <c r="CL10" s="66"/>
      <c r="CM10" s="63"/>
      <c r="CN10" s="66">
        <v>4.49</v>
      </c>
      <c r="CO10" s="66">
        <v>8.08</v>
      </c>
      <c r="CP10" s="66">
        <v>60.2</v>
      </c>
      <c r="CQ10" s="66"/>
      <c r="CR10" s="66">
        <f>22/60</f>
        <v>0.36666666666666664</v>
      </c>
      <c r="CS10" s="66">
        <f t="shared" si="9"/>
        <v>22.351485148514854</v>
      </c>
      <c r="CT10" s="104"/>
      <c r="CU10" s="66"/>
      <c r="CV10" s="66"/>
      <c r="CW10" s="66"/>
      <c r="CX10" s="66"/>
      <c r="CY10" s="63"/>
      <c r="CZ10" s="66"/>
      <c r="DA10" s="66">
        <v>7.41</v>
      </c>
      <c r="DB10" s="66">
        <v>0.7</v>
      </c>
      <c r="DC10" s="66"/>
      <c r="DD10" s="66">
        <f>18/60</f>
        <v>0.3</v>
      </c>
      <c r="DE10" s="63">
        <f t="shared" si="10"/>
        <v>0.28340080971659914</v>
      </c>
      <c r="DF10" s="66"/>
      <c r="DG10" s="66">
        <v>17.100000000000001</v>
      </c>
      <c r="DH10" s="66">
        <v>1</v>
      </c>
      <c r="DI10" s="72"/>
      <c r="DJ10" s="66">
        <f>9/60</f>
        <v>0.15</v>
      </c>
      <c r="DK10" s="63">
        <f t="shared" si="11"/>
        <v>0.17543859649122806</v>
      </c>
      <c r="DL10" s="66">
        <v>3.37</v>
      </c>
      <c r="DM10" s="66">
        <v>4.49</v>
      </c>
      <c r="DN10" s="66">
        <v>0.4</v>
      </c>
      <c r="DO10" s="66"/>
      <c r="DP10" s="66">
        <f>18/60</f>
        <v>0.3</v>
      </c>
      <c r="DQ10" s="63">
        <f t="shared" si="12"/>
        <v>0.267260579064588</v>
      </c>
      <c r="DR10" s="104">
        <v>8.08</v>
      </c>
      <c r="DS10" s="66">
        <v>4.49</v>
      </c>
      <c r="DT10" s="66">
        <v>60.2</v>
      </c>
      <c r="DU10" s="66"/>
      <c r="DV10" s="66">
        <f>22/60</f>
        <v>0.36666666666666664</v>
      </c>
      <c r="DW10" s="63">
        <f t="shared" si="13"/>
        <v>22.351485148514854</v>
      </c>
      <c r="DX10" s="135">
        <v>7.875</v>
      </c>
      <c r="DY10" s="135">
        <v>7.875</v>
      </c>
      <c r="DZ10" s="135">
        <v>2.3199999999999998</v>
      </c>
      <c r="EA10" s="138"/>
      <c r="EB10" s="135">
        <f>30/60</f>
        <v>0.5</v>
      </c>
      <c r="EC10" s="63">
        <f t="shared" si="14"/>
        <v>0.88380952380952371</v>
      </c>
      <c r="ED10" s="138">
        <v>12.3</v>
      </c>
      <c r="EE10" s="132">
        <v>12.3</v>
      </c>
      <c r="EF10" s="132">
        <v>1.87</v>
      </c>
      <c r="EG10" s="132"/>
      <c r="EH10" s="132">
        <f>18/60</f>
        <v>0.3</v>
      </c>
      <c r="EI10" s="67">
        <f t="shared" si="15"/>
        <v>0.45609756097560977</v>
      </c>
      <c r="EP10" s="104"/>
      <c r="EQ10" s="66"/>
      <c r="ER10" s="66"/>
      <c r="ES10" s="66"/>
      <c r="ET10" s="66"/>
      <c r="EU10" s="63"/>
    </row>
    <row r="11" spans="1:151" x14ac:dyDescent="0.25">
      <c r="A11">
        <v>11</v>
      </c>
      <c r="C11" s="4">
        <v>5.47</v>
      </c>
      <c r="D11" s="4">
        <v>0.69</v>
      </c>
      <c r="G11" s="63">
        <f t="shared" si="0"/>
        <v>0.37842778793418647</v>
      </c>
      <c r="H11" s="66"/>
      <c r="I11" s="66"/>
      <c r="J11" s="66"/>
      <c r="K11" s="66"/>
      <c r="L11" s="66"/>
      <c r="M11" s="116"/>
      <c r="P11" s="4">
        <v>5.83</v>
      </c>
      <c r="S11" s="63"/>
      <c r="V11" s="4">
        <v>5.83</v>
      </c>
      <c r="Y11" s="116"/>
      <c r="Z11" s="115">
        <v>7.37</v>
      </c>
      <c r="AB11" s="4">
        <v>10.199999999999999</v>
      </c>
      <c r="AC11" s="72"/>
      <c r="AD11" s="66">
        <f>22/60</f>
        <v>0.36666666666666664</v>
      </c>
      <c r="AE11" s="63">
        <f t="shared" si="1"/>
        <v>4.1519674355495244</v>
      </c>
      <c r="AF11" s="66"/>
      <c r="AG11" s="66">
        <v>7.37</v>
      </c>
      <c r="AH11" s="66">
        <v>10.199999999999999</v>
      </c>
      <c r="AI11" s="66"/>
      <c r="AJ11" s="66">
        <f>22/60</f>
        <v>0.36666666666666664</v>
      </c>
      <c r="AK11" s="116">
        <f t="shared" si="2"/>
        <v>4.1519674355495244</v>
      </c>
      <c r="AL11" s="4">
        <v>9.5</v>
      </c>
      <c r="AM11" s="65">
        <v>9.5</v>
      </c>
      <c r="AN11" s="65">
        <v>1.08</v>
      </c>
      <c r="AP11" s="66">
        <f>12/60</f>
        <v>0.2</v>
      </c>
      <c r="AQ11" s="63">
        <f t="shared" si="3"/>
        <v>0.34105263157894739</v>
      </c>
      <c r="AW11" s="63"/>
      <c r="AX11" s="121"/>
      <c r="AY11" s="66"/>
      <c r="AZ11" s="66"/>
      <c r="BA11" s="72"/>
      <c r="BC11" s="63" t="e">
        <f t="shared" si="4"/>
        <v>#DIV/0!</v>
      </c>
      <c r="BD11" s="66">
        <v>14.3</v>
      </c>
      <c r="BE11" s="66"/>
      <c r="BF11" s="66">
        <v>8.64</v>
      </c>
      <c r="BG11" s="72"/>
      <c r="BH11" s="66">
        <f>10/60</f>
        <v>0.16666666666666666</v>
      </c>
      <c r="BI11" s="116">
        <f t="shared" si="5"/>
        <v>1.8125874125874128</v>
      </c>
      <c r="BJ11" s="135">
        <v>15.8</v>
      </c>
      <c r="BK11" s="135">
        <v>5.28</v>
      </c>
      <c r="BL11" s="138">
        <v>1.28</v>
      </c>
      <c r="BM11" s="138"/>
      <c r="BN11" s="135">
        <f>10/60</f>
        <v>0.16666666666666666</v>
      </c>
      <c r="BO11" s="66">
        <f t="shared" si="6"/>
        <v>0.24303797468354427</v>
      </c>
      <c r="BP11" s="150">
        <v>4.8</v>
      </c>
      <c r="BQ11" s="135">
        <v>14.4</v>
      </c>
      <c r="BR11" s="135">
        <v>1.28</v>
      </c>
      <c r="BS11" s="138"/>
      <c r="BT11" s="135">
        <f>9/60</f>
        <v>0.15</v>
      </c>
      <c r="BU11" s="63">
        <f t="shared" si="16"/>
        <v>0.26666666666666661</v>
      </c>
      <c r="BV11" s="121"/>
      <c r="BW11" s="66">
        <v>6.18</v>
      </c>
      <c r="BX11" s="66">
        <v>8.1</v>
      </c>
      <c r="BY11" s="66"/>
      <c r="BZ11" s="66">
        <v>0.38</v>
      </c>
      <c r="CA11" s="63">
        <f t="shared" si="7"/>
        <v>3.9320388349514563</v>
      </c>
      <c r="CB11" s="104">
        <v>6.18</v>
      </c>
      <c r="CC11" s="66"/>
      <c r="CD11" s="66">
        <v>8.1</v>
      </c>
      <c r="CE11" s="72"/>
      <c r="CF11" s="66">
        <f>23/60</f>
        <v>0.38333333333333336</v>
      </c>
      <c r="CG11" s="116">
        <f t="shared" si="8"/>
        <v>3.9320388349514563</v>
      </c>
      <c r="CH11" s="66"/>
      <c r="CI11" s="66"/>
      <c r="CJ11" s="66"/>
      <c r="CK11" s="66"/>
      <c r="CL11" s="66"/>
      <c r="CM11" s="63"/>
      <c r="CN11" s="66">
        <v>4.75</v>
      </c>
      <c r="CO11" s="66">
        <v>8.5500000000000007</v>
      </c>
      <c r="CP11" s="66">
        <v>77.3</v>
      </c>
      <c r="CQ11" s="66"/>
      <c r="CR11" s="66">
        <f>25/60</f>
        <v>0.41666666666666669</v>
      </c>
      <c r="CS11" s="66">
        <f t="shared" si="9"/>
        <v>27.122807017543856</v>
      </c>
      <c r="CT11" s="104"/>
      <c r="CU11" s="66"/>
      <c r="CV11" s="66"/>
      <c r="CW11" s="66"/>
      <c r="CX11" s="66"/>
      <c r="CY11" s="63"/>
      <c r="CZ11" s="66"/>
      <c r="DA11" s="66">
        <v>7.84</v>
      </c>
      <c r="DB11" s="66">
        <v>1.05</v>
      </c>
      <c r="DC11" s="66"/>
      <c r="DD11" s="66">
        <f>19/60</f>
        <v>0.31666666666666665</v>
      </c>
      <c r="DE11" s="63">
        <f t="shared" si="10"/>
        <v>0.40178571428571436</v>
      </c>
      <c r="DF11" s="66"/>
      <c r="DG11" s="66">
        <v>18.100000000000001</v>
      </c>
      <c r="DH11" s="66">
        <v>1.5</v>
      </c>
      <c r="DI11" s="72"/>
      <c r="DJ11" s="66">
        <f>10/60</f>
        <v>0.16666666666666666</v>
      </c>
      <c r="DK11" s="63">
        <f t="shared" si="11"/>
        <v>0.24861878453038674</v>
      </c>
      <c r="DL11" s="66">
        <v>3.56</v>
      </c>
      <c r="DM11" s="66">
        <v>4.75</v>
      </c>
      <c r="DN11" s="66">
        <v>0.6</v>
      </c>
      <c r="DO11" s="66"/>
      <c r="DP11" s="66">
        <f>19/60</f>
        <v>0.31666666666666665</v>
      </c>
      <c r="DQ11" s="63">
        <f t="shared" si="12"/>
        <v>0.37894736842105259</v>
      </c>
      <c r="DR11" s="104"/>
      <c r="DS11" s="66"/>
      <c r="DT11" s="66"/>
      <c r="DU11" s="66"/>
      <c r="DV11" s="66"/>
      <c r="DW11" s="63"/>
      <c r="DX11" s="135">
        <v>8.4</v>
      </c>
      <c r="DY11" s="135">
        <v>8.4</v>
      </c>
      <c r="DZ11" s="135">
        <v>2.48</v>
      </c>
      <c r="EA11" s="138"/>
      <c r="EB11" s="135">
        <f>32/60</f>
        <v>0.53333333333333333</v>
      </c>
      <c r="EC11" s="63">
        <f t="shared" si="14"/>
        <v>0.88571428571428568</v>
      </c>
      <c r="ED11" s="138">
        <v>13.2</v>
      </c>
      <c r="EE11" s="132">
        <v>13.2</v>
      </c>
      <c r="EF11" s="132">
        <v>2</v>
      </c>
      <c r="EG11" s="132"/>
      <c r="EH11" s="132">
        <f>18/60</f>
        <v>0.3</v>
      </c>
      <c r="EI11" s="67">
        <f t="shared" si="15"/>
        <v>0.45454545454545459</v>
      </c>
      <c r="EP11" s="104"/>
      <c r="EQ11" s="66"/>
      <c r="ER11" s="66"/>
      <c r="ES11" s="66"/>
      <c r="ET11" s="66"/>
      <c r="EU11" s="63"/>
    </row>
    <row r="12" spans="1:151" x14ac:dyDescent="0.25">
      <c r="A12">
        <v>12</v>
      </c>
      <c r="C12" s="4">
        <v>5.69</v>
      </c>
      <c r="E12" s="4">
        <v>4.5999999999999996</v>
      </c>
      <c r="G12" s="63">
        <f t="shared" si="0"/>
        <v>0.80843585237258342</v>
      </c>
      <c r="H12" s="66"/>
      <c r="I12" s="66"/>
      <c r="J12" s="66"/>
      <c r="K12" s="66"/>
      <c r="L12" s="66"/>
      <c r="M12" s="116"/>
      <c r="N12" s="115">
        <v>3.71</v>
      </c>
      <c r="O12" s="4">
        <v>24.8</v>
      </c>
      <c r="Q12" s="4">
        <v>28</v>
      </c>
      <c r="S12" s="63">
        <f t="shared" ref="S12:S26" si="17">1/(MAX(N12:O12)/((3*P12)+Q12))</f>
        <v>1.129032258064516</v>
      </c>
      <c r="T12" s="4">
        <v>24.8</v>
      </c>
      <c r="U12" s="4">
        <v>3.71</v>
      </c>
      <c r="W12" s="4">
        <v>28</v>
      </c>
      <c r="X12" s="66">
        <f>12/60</f>
        <v>0.2</v>
      </c>
      <c r="Y12" s="116">
        <f t="shared" ref="Y12:Y31" si="18">1/(MAX(T12:U12)/((3*V12)+W12))</f>
        <v>1.129032258064516</v>
      </c>
      <c r="Z12" s="115">
        <v>7.67</v>
      </c>
      <c r="AC12" s="72">
        <v>15.2</v>
      </c>
      <c r="AD12" s="66">
        <f>23/60</f>
        <v>0.38333333333333336</v>
      </c>
      <c r="AE12" s="63">
        <f t="shared" si="1"/>
        <v>1.9817470664928289</v>
      </c>
      <c r="AF12" s="66"/>
      <c r="AG12" s="66">
        <v>7.67</v>
      </c>
      <c r="AH12" s="66"/>
      <c r="AI12" s="66">
        <v>15.2</v>
      </c>
      <c r="AJ12" s="66">
        <f>23/60</f>
        <v>0.38333333333333336</v>
      </c>
      <c r="AK12" s="116">
        <f t="shared" si="2"/>
        <v>1.9817470664928289</v>
      </c>
      <c r="AL12" s="4">
        <v>9.9</v>
      </c>
      <c r="AM12" s="65">
        <v>9.9</v>
      </c>
      <c r="AO12" s="4">
        <v>5.2</v>
      </c>
      <c r="AP12" s="66">
        <f>13/60</f>
        <v>0.21666666666666667</v>
      </c>
      <c r="AQ12" s="63">
        <f t="shared" si="3"/>
        <v>0.5252525252525253</v>
      </c>
      <c r="AW12" s="63"/>
      <c r="AX12" s="137"/>
      <c r="AY12" s="135">
        <v>14.9</v>
      </c>
      <c r="AZ12" s="135"/>
      <c r="BA12" s="138">
        <v>6.4</v>
      </c>
      <c r="BB12" s="135">
        <f>10/60</f>
        <v>0.16666666666666666</v>
      </c>
      <c r="BC12" s="63">
        <f t="shared" si="4"/>
        <v>0.42953020134228187</v>
      </c>
      <c r="BD12" s="66">
        <v>14.9</v>
      </c>
      <c r="BE12" s="66"/>
      <c r="BF12" s="66"/>
      <c r="BG12" s="72">
        <v>12.2</v>
      </c>
      <c r="BH12" s="66">
        <f>11/60</f>
        <v>0.18333333333333332</v>
      </c>
      <c r="BI12" s="116">
        <f t="shared" si="5"/>
        <v>0.81879194630872476</v>
      </c>
      <c r="BJ12" s="135">
        <v>16.399999999999999</v>
      </c>
      <c r="BK12" s="135">
        <v>5.4779999999999998</v>
      </c>
      <c r="BL12" s="138"/>
      <c r="BM12" s="138">
        <v>6.4</v>
      </c>
      <c r="BN12" s="135">
        <f>10/60</f>
        <v>0.16666666666666666</v>
      </c>
      <c r="BO12" s="66">
        <f t="shared" si="6"/>
        <v>0.39024390243902446</v>
      </c>
      <c r="BP12" s="150">
        <v>4.9800000000000004</v>
      </c>
      <c r="BQ12" s="135">
        <v>14.9</v>
      </c>
      <c r="BR12" s="135"/>
      <c r="BS12" s="138">
        <v>6.4</v>
      </c>
      <c r="BT12" s="135">
        <f>10/60</f>
        <v>0.16666666666666666</v>
      </c>
      <c r="BU12" s="63">
        <f t="shared" si="16"/>
        <v>0.42953020134228187</v>
      </c>
      <c r="BV12" s="121"/>
      <c r="BW12" s="66">
        <v>6.44</v>
      </c>
      <c r="BX12" s="66"/>
      <c r="BY12" s="66">
        <v>11.4</v>
      </c>
      <c r="BZ12" s="66">
        <f>24/60</f>
        <v>0.4</v>
      </c>
      <c r="CA12" s="63">
        <f t="shared" si="7"/>
        <v>1.7701863354037268</v>
      </c>
      <c r="CB12" s="104">
        <v>6.44</v>
      </c>
      <c r="CC12" s="66"/>
      <c r="CD12" s="66"/>
      <c r="CE12" s="72">
        <v>11.4</v>
      </c>
      <c r="CF12" s="66">
        <v>0.4</v>
      </c>
      <c r="CG12" s="116">
        <f t="shared" si="8"/>
        <v>1.7701863354037268</v>
      </c>
      <c r="CH12" s="66"/>
      <c r="CI12" s="66"/>
      <c r="CJ12" s="66"/>
      <c r="CK12" s="66"/>
      <c r="CL12" s="66"/>
      <c r="CM12" s="63"/>
      <c r="CN12" s="66">
        <v>4.95</v>
      </c>
      <c r="CO12" s="66">
        <v>8.91</v>
      </c>
      <c r="CP12" s="66"/>
      <c r="CQ12" s="66">
        <v>64</v>
      </c>
      <c r="CR12" s="66">
        <f>26/60</f>
        <v>0.43333333333333335</v>
      </c>
      <c r="CS12" s="66">
        <f t="shared" si="9"/>
        <v>7.1829405162738498</v>
      </c>
      <c r="CT12" s="104"/>
      <c r="CU12" s="66"/>
      <c r="CV12" s="66"/>
      <c r="CW12" s="66"/>
      <c r="CX12" s="66"/>
      <c r="CY12" s="63"/>
      <c r="CZ12" s="66"/>
      <c r="DA12" s="66">
        <v>8.17</v>
      </c>
      <c r="DB12" s="66"/>
      <c r="DC12" s="66">
        <v>7</v>
      </c>
      <c r="DD12" s="66">
        <f>20/60</f>
        <v>0.33333333333333331</v>
      </c>
      <c r="DE12" s="63">
        <f t="shared" si="10"/>
        <v>0.85679314565483489</v>
      </c>
      <c r="DF12" s="66"/>
      <c r="DG12" s="66">
        <v>18.8</v>
      </c>
      <c r="DH12" s="66"/>
      <c r="DI12" s="72">
        <v>10</v>
      </c>
      <c r="DJ12" s="66">
        <f>11/60</f>
        <v>0.18333333333333332</v>
      </c>
      <c r="DK12" s="63">
        <f t="shared" si="11"/>
        <v>0.53191489361702127</v>
      </c>
      <c r="DL12" s="66"/>
      <c r="DM12" s="66"/>
      <c r="DN12" s="66"/>
      <c r="DO12" s="66"/>
      <c r="DP12" s="66"/>
      <c r="DQ12" s="63"/>
      <c r="DR12" s="104"/>
      <c r="DS12" s="66"/>
      <c r="DT12" s="66"/>
      <c r="DU12" s="66"/>
      <c r="DV12" s="66"/>
      <c r="DW12" s="63"/>
      <c r="DX12" s="135">
        <v>8.7149999999999999</v>
      </c>
      <c r="DY12" s="135">
        <v>8.7149999999999999</v>
      </c>
      <c r="DZ12" s="135"/>
      <c r="EA12" s="138">
        <v>12.4</v>
      </c>
      <c r="EB12" s="135">
        <f>34/60</f>
        <v>0.56666666666666665</v>
      </c>
      <c r="EC12" s="63">
        <f t="shared" si="14"/>
        <v>1.4228341939185314</v>
      </c>
      <c r="ED12" s="138">
        <v>13.6</v>
      </c>
      <c r="EE12" s="132">
        <v>13.6</v>
      </c>
      <c r="EF12" s="132"/>
      <c r="EG12" s="132">
        <v>10</v>
      </c>
      <c r="EH12" s="132">
        <f>20/60</f>
        <v>0.33333333333333331</v>
      </c>
      <c r="EI12" s="67">
        <f t="shared" si="15"/>
        <v>0.73529411764705888</v>
      </c>
      <c r="EP12" s="104"/>
      <c r="EQ12" s="66"/>
      <c r="ER12" s="66"/>
      <c r="ES12" s="66"/>
      <c r="ET12" s="66"/>
      <c r="EU12" s="63"/>
    </row>
    <row r="13" spans="1:151" x14ac:dyDescent="0.25">
      <c r="A13">
        <v>13</v>
      </c>
      <c r="G13" s="63"/>
      <c r="H13" s="66"/>
      <c r="I13" s="66"/>
      <c r="J13" s="66"/>
      <c r="K13" s="66"/>
      <c r="L13" s="66"/>
      <c r="M13" s="116"/>
      <c r="N13" s="115">
        <v>3.76</v>
      </c>
      <c r="O13" s="4">
        <v>25.1</v>
      </c>
      <c r="P13" s="4">
        <v>5.95</v>
      </c>
      <c r="S13" s="63">
        <f t="shared" si="17"/>
        <v>0.71115537848605581</v>
      </c>
      <c r="T13" s="4">
        <v>25.1</v>
      </c>
      <c r="U13" s="4">
        <v>3.76</v>
      </c>
      <c r="V13" s="4">
        <v>5.95</v>
      </c>
      <c r="X13" s="66">
        <f>13/60</f>
        <v>0.21666666666666667</v>
      </c>
      <c r="Y13" s="116">
        <f t="shared" si="18"/>
        <v>0.71115537848605581</v>
      </c>
      <c r="Z13" s="115">
        <v>7.78</v>
      </c>
      <c r="AB13" s="4">
        <v>10.6</v>
      </c>
      <c r="AC13" s="72"/>
      <c r="AD13" s="66">
        <f>24/60</f>
        <v>0.4</v>
      </c>
      <c r="AE13" s="63">
        <f t="shared" si="1"/>
        <v>4.0874035989717221</v>
      </c>
      <c r="AF13" s="66"/>
      <c r="AG13" s="66">
        <v>7.78</v>
      </c>
      <c r="AH13" s="66">
        <v>10.6</v>
      </c>
      <c r="AI13" s="66"/>
      <c r="AJ13" s="66">
        <f>24/60</f>
        <v>0.4</v>
      </c>
      <c r="AK13" s="116">
        <f t="shared" si="2"/>
        <v>4.0874035989717221</v>
      </c>
      <c r="AL13" s="4">
        <v>10</v>
      </c>
      <c r="AM13" s="65">
        <v>10</v>
      </c>
      <c r="AN13" s="65">
        <v>1.1100000000000001</v>
      </c>
      <c r="AP13" s="66">
        <f>14/60</f>
        <v>0.23333333333333334</v>
      </c>
      <c r="AQ13" s="63">
        <f t="shared" si="3"/>
        <v>0.33300000000000002</v>
      </c>
      <c r="AW13" s="63"/>
      <c r="AX13" s="137"/>
      <c r="AY13" s="135">
        <v>15</v>
      </c>
      <c r="AZ13" s="135">
        <v>8.6</v>
      </c>
      <c r="BA13" s="138"/>
      <c r="BB13" s="135">
        <f>10/60</f>
        <v>0.16666666666666666</v>
      </c>
      <c r="BC13" s="63">
        <f t="shared" si="4"/>
        <v>1.72</v>
      </c>
      <c r="BD13" s="66">
        <v>15</v>
      </c>
      <c r="BE13" s="66"/>
      <c r="BF13" s="66">
        <v>8.83</v>
      </c>
      <c r="BG13" s="72"/>
      <c r="BH13" s="66">
        <f>12/60</f>
        <v>0.2</v>
      </c>
      <c r="BI13" s="116">
        <f t="shared" si="5"/>
        <v>1.7660000000000002</v>
      </c>
      <c r="BJ13" s="135">
        <v>16.600000000000001</v>
      </c>
      <c r="BK13" s="135">
        <v>5.5439999999999996</v>
      </c>
      <c r="BL13" s="138">
        <v>1.36</v>
      </c>
      <c r="BM13" s="138"/>
      <c r="BN13" s="135">
        <f>10/60</f>
        <v>0.16666666666666666</v>
      </c>
      <c r="BO13" s="66">
        <f t="shared" si="6"/>
        <v>0.24578313253012044</v>
      </c>
      <c r="BP13" s="150">
        <v>5.04</v>
      </c>
      <c r="BQ13" s="135">
        <v>15.1</v>
      </c>
      <c r="BR13" s="135">
        <v>1.36</v>
      </c>
      <c r="BS13" s="138"/>
      <c r="BT13" s="135">
        <f>10/60</f>
        <v>0.16666666666666666</v>
      </c>
      <c r="BU13" s="63">
        <f t="shared" si="16"/>
        <v>0.27019867549668874</v>
      </c>
      <c r="BV13" s="121"/>
      <c r="BW13" s="66">
        <v>6.52</v>
      </c>
      <c r="BX13" s="66">
        <v>8.2799999999999994</v>
      </c>
      <c r="BY13" s="66"/>
      <c r="BZ13" s="66">
        <f>25/60</f>
        <v>0.41666666666666669</v>
      </c>
      <c r="CA13" s="63">
        <f t="shared" si="7"/>
        <v>3.8098159509202456</v>
      </c>
      <c r="CB13" s="104">
        <v>6.52</v>
      </c>
      <c r="CC13" s="66"/>
      <c r="CD13" s="66">
        <v>8.2799999999999994</v>
      </c>
      <c r="CE13" s="72"/>
      <c r="CF13" s="66">
        <f>25/60</f>
        <v>0.41666666666666669</v>
      </c>
      <c r="CG13" s="116">
        <f t="shared" si="8"/>
        <v>3.8098159509202456</v>
      </c>
      <c r="CH13" s="66"/>
      <c r="CI13" s="66"/>
      <c r="CJ13" s="66"/>
      <c r="CK13" s="66"/>
      <c r="CL13" s="66"/>
      <c r="CM13" s="63"/>
      <c r="CN13" s="66">
        <v>5.0199999999999996</v>
      </c>
      <c r="CO13" s="66">
        <v>9.0299999999999994</v>
      </c>
      <c r="CP13" s="66">
        <v>80</v>
      </c>
      <c r="CQ13" s="66"/>
      <c r="CR13" s="66">
        <f>27/60</f>
        <v>0.45</v>
      </c>
      <c r="CS13" s="66">
        <f t="shared" si="9"/>
        <v>26.578073089700997</v>
      </c>
      <c r="CT13" s="104"/>
      <c r="CU13" s="66"/>
      <c r="CV13" s="66"/>
      <c r="CW13" s="66"/>
      <c r="CX13" s="66"/>
      <c r="CY13" s="63"/>
      <c r="CZ13" s="66"/>
      <c r="DA13" s="66">
        <v>8.2799999999999994</v>
      </c>
      <c r="DB13" s="66">
        <v>1.49</v>
      </c>
      <c r="DC13" s="66"/>
      <c r="DD13" s="66">
        <f>21/60</f>
        <v>0.35</v>
      </c>
      <c r="DE13" s="63">
        <f t="shared" si="10"/>
        <v>0.53985507246376807</v>
      </c>
      <c r="DF13" s="66"/>
      <c r="DG13" s="66">
        <v>19.100000000000001</v>
      </c>
      <c r="DH13" s="66">
        <v>2.13</v>
      </c>
      <c r="DI13" s="72"/>
      <c r="DJ13" s="66">
        <f>12/60</f>
        <v>0.2</v>
      </c>
      <c r="DK13" s="63">
        <f t="shared" si="11"/>
        <v>0.33455497382198945</v>
      </c>
      <c r="DL13" s="66"/>
      <c r="DM13" s="66"/>
      <c r="DN13" s="66"/>
      <c r="DO13" s="66"/>
      <c r="DP13" s="66"/>
      <c r="DQ13" s="63"/>
      <c r="DR13" s="104"/>
      <c r="DS13" s="66"/>
      <c r="DT13" s="66"/>
      <c r="DU13" s="66"/>
      <c r="DV13" s="66"/>
      <c r="DW13" s="63"/>
      <c r="DX13" s="135">
        <v>8.82</v>
      </c>
      <c r="DY13" s="135">
        <v>8.82</v>
      </c>
      <c r="DZ13" s="135">
        <v>12.4</v>
      </c>
      <c r="EA13" s="138"/>
      <c r="EB13" s="135">
        <f>36/60</f>
        <v>0.6</v>
      </c>
      <c r="EC13" s="63">
        <f t="shared" si="14"/>
        <v>4.2176870748299322</v>
      </c>
      <c r="ED13" s="138"/>
      <c r="EE13" s="132"/>
      <c r="EF13" s="132"/>
      <c r="EG13" s="132"/>
      <c r="EH13" s="132"/>
      <c r="EI13" s="67" t="e">
        <f t="shared" si="15"/>
        <v>#DIV/0!</v>
      </c>
      <c r="EP13" s="104"/>
      <c r="EQ13" s="66"/>
      <c r="ER13" s="66"/>
      <c r="ES13" s="66"/>
      <c r="ET13" s="66"/>
      <c r="EU13" s="63"/>
    </row>
    <row r="14" spans="1:151" x14ac:dyDescent="0.25">
      <c r="A14">
        <v>14</v>
      </c>
      <c r="G14" s="63"/>
      <c r="H14" s="66"/>
      <c r="I14" s="66"/>
      <c r="J14" s="66"/>
      <c r="K14" s="66"/>
      <c r="L14" s="66"/>
      <c r="M14" s="116"/>
      <c r="N14" s="115">
        <v>3.81</v>
      </c>
      <c r="O14" s="4">
        <v>25.4</v>
      </c>
      <c r="P14" s="65">
        <v>7.7</v>
      </c>
      <c r="S14" s="63">
        <f t="shared" si="17"/>
        <v>0.90944881889763796</v>
      </c>
      <c r="T14" s="4">
        <v>25.4</v>
      </c>
      <c r="U14" s="4">
        <v>3.81</v>
      </c>
      <c r="V14" s="65">
        <v>7.7</v>
      </c>
      <c r="X14" s="66">
        <f>14/60</f>
        <v>0.23333333333333334</v>
      </c>
      <c r="Y14" s="116">
        <f t="shared" si="18"/>
        <v>0.90944881889763796</v>
      </c>
      <c r="Z14" s="115">
        <v>7.88</v>
      </c>
      <c r="AB14" s="4">
        <v>10.9</v>
      </c>
      <c r="AC14" s="72"/>
      <c r="AD14" s="66">
        <f>25/60</f>
        <v>0.41666666666666669</v>
      </c>
      <c r="AE14" s="63">
        <f t="shared" si="1"/>
        <v>4.1497461928934012</v>
      </c>
      <c r="AF14" s="66"/>
      <c r="AG14" s="66">
        <v>7.88</v>
      </c>
      <c r="AH14" s="66">
        <v>10.9</v>
      </c>
      <c r="AI14" s="66"/>
      <c r="AJ14" s="66">
        <f>25/60</f>
        <v>0.41666666666666669</v>
      </c>
      <c r="AK14" s="116">
        <f t="shared" si="2"/>
        <v>4.1497461928934012</v>
      </c>
      <c r="AL14" s="4">
        <v>10.1</v>
      </c>
      <c r="AM14" s="65">
        <v>10.1</v>
      </c>
      <c r="AN14" s="65">
        <v>1.43</v>
      </c>
      <c r="AP14" s="66">
        <f>15/60</f>
        <v>0.25</v>
      </c>
      <c r="AQ14" s="63">
        <f t="shared" si="3"/>
        <v>0.42475247524752474</v>
      </c>
      <c r="AW14" s="63"/>
      <c r="AX14" s="137"/>
      <c r="AY14" s="135">
        <v>15.3</v>
      </c>
      <c r="AZ14" s="135">
        <v>8.8000000000000007</v>
      </c>
      <c r="BA14" s="138"/>
      <c r="BB14" s="135">
        <f>10/60</f>
        <v>0.16666666666666666</v>
      </c>
      <c r="BC14" s="63">
        <f t="shared" si="4"/>
        <v>1.7254901960784317</v>
      </c>
      <c r="BD14" s="66">
        <v>15.2</v>
      </c>
      <c r="BE14" s="66"/>
      <c r="BF14" s="66">
        <v>9.02</v>
      </c>
      <c r="BG14" s="72"/>
      <c r="BH14" s="66">
        <f>13/60</f>
        <v>0.21666666666666667</v>
      </c>
      <c r="BI14" s="116">
        <f t="shared" si="5"/>
        <v>1.7802631578947368</v>
      </c>
      <c r="BJ14" s="135">
        <v>16.8</v>
      </c>
      <c r="BK14" s="135">
        <v>5.61</v>
      </c>
      <c r="BL14" s="138">
        <v>1.76</v>
      </c>
      <c r="BM14" s="138"/>
      <c r="BN14" s="135">
        <f>12/60</f>
        <v>0.2</v>
      </c>
      <c r="BO14" s="66">
        <f t="shared" si="6"/>
        <v>0.31428571428571428</v>
      </c>
      <c r="BP14" s="150">
        <v>5.0999999999999996</v>
      </c>
      <c r="BQ14" s="135">
        <v>15.3</v>
      </c>
      <c r="BR14" s="135">
        <v>1.76</v>
      </c>
      <c r="BS14" s="138"/>
      <c r="BT14" s="135">
        <f>10/60</f>
        <v>0.16666666666666666</v>
      </c>
      <c r="BU14" s="63">
        <f t="shared" si="16"/>
        <v>0.34509803921568627</v>
      </c>
      <c r="BV14" s="121"/>
      <c r="BW14" s="66">
        <v>6.61</v>
      </c>
      <c r="BX14" s="66">
        <v>8.4600000000000009</v>
      </c>
      <c r="BY14" s="66"/>
      <c r="BZ14" s="66">
        <v>0.5</v>
      </c>
      <c r="CA14" s="63">
        <f t="shared" si="7"/>
        <v>3.8396369137670199</v>
      </c>
      <c r="CB14" s="104">
        <v>6.61</v>
      </c>
      <c r="CC14" s="66"/>
      <c r="CD14" s="66">
        <v>8.4600000000000009</v>
      </c>
      <c r="CE14" s="72"/>
      <c r="CF14" s="66">
        <v>0.5</v>
      </c>
      <c r="CG14" s="116">
        <f t="shared" si="8"/>
        <v>3.8396369137670199</v>
      </c>
      <c r="CH14" s="66"/>
      <c r="CI14" s="66"/>
      <c r="CJ14" s="66"/>
      <c r="CK14" s="66"/>
      <c r="CL14" s="66"/>
      <c r="CM14" s="63"/>
      <c r="CN14" s="66"/>
      <c r="CO14" s="66"/>
      <c r="CP14" s="66"/>
      <c r="CQ14" s="66"/>
      <c r="CR14" s="66"/>
      <c r="CS14" s="66"/>
      <c r="CT14" s="104"/>
      <c r="CU14" s="66"/>
      <c r="CV14" s="66"/>
      <c r="CW14" s="66"/>
      <c r="CX14" s="66"/>
      <c r="CY14" s="63"/>
      <c r="CZ14" s="66"/>
      <c r="DA14" s="66">
        <v>8.39</v>
      </c>
      <c r="DB14" s="66">
        <v>1.93</v>
      </c>
      <c r="DC14" s="66"/>
      <c r="DD14" s="66">
        <f>22/60</f>
        <v>0.36666666666666664</v>
      </c>
      <c r="DE14" s="63">
        <f t="shared" si="10"/>
        <v>0.69010727056019061</v>
      </c>
      <c r="DF14" s="66"/>
      <c r="DG14" s="66">
        <v>19.3</v>
      </c>
      <c r="DH14" s="66">
        <v>2.75</v>
      </c>
      <c r="DI14" s="72"/>
      <c r="DJ14" s="66">
        <f>13/60</f>
        <v>0.21666666666666667</v>
      </c>
      <c r="DK14" s="63">
        <f t="shared" si="11"/>
        <v>0.42746113989637308</v>
      </c>
      <c r="DL14" s="66"/>
      <c r="DM14" s="66"/>
      <c r="DN14" s="66"/>
      <c r="DO14" s="66"/>
      <c r="DP14" s="66"/>
      <c r="DQ14" s="63"/>
      <c r="DR14" s="104"/>
      <c r="DS14" s="66"/>
      <c r="DT14" s="66"/>
      <c r="DU14" s="66"/>
      <c r="DV14" s="66"/>
      <c r="DW14" s="63"/>
      <c r="DX14" s="135">
        <v>8.9250000000000007</v>
      </c>
      <c r="DY14" s="135">
        <v>8.9250000000000007</v>
      </c>
      <c r="DZ14" s="135">
        <v>17</v>
      </c>
      <c r="EA14" s="138"/>
      <c r="EB14" s="135">
        <f>38/60</f>
        <v>0.6333333333333333</v>
      </c>
      <c r="EC14" s="63">
        <f t="shared" si="14"/>
        <v>5.7142857142857135</v>
      </c>
      <c r="ED14" s="138"/>
      <c r="EE14" s="132"/>
      <c r="EF14" s="132"/>
      <c r="EG14" s="132"/>
      <c r="EH14" s="132"/>
      <c r="EI14" s="67" t="e">
        <f t="shared" si="15"/>
        <v>#DIV/0!</v>
      </c>
      <c r="EP14" s="104"/>
      <c r="EQ14" s="66"/>
      <c r="ER14" s="66"/>
      <c r="ES14" s="66"/>
      <c r="ET14" s="66"/>
      <c r="EU14" s="63"/>
    </row>
    <row r="15" spans="1:151" x14ac:dyDescent="0.25">
      <c r="A15">
        <v>15</v>
      </c>
      <c r="G15" s="63"/>
      <c r="H15" s="66"/>
      <c r="I15" s="66"/>
      <c r="J15" s="66"/>
      <c r="K15" s="66"/>
      <c r="L15" s="66"/>
      <c r="M15" s="116"/>
      <c r="N15" s="115">
        <v>3.84</v>
      </c>
      <c r="O15" s="65">
        <v>25.6</v>
      </c>
      <c r="Q15" s="4">
        <v>15</v>
      </c>
      <c r="R15" s="66">
        <f>18/60</f>
        <v>0.3</v>
      </c>
      <c r="S15" s="63">
        <f t="shared" si="17"/>
        <v>0.5859375</v>
      </c>
      <c r="T15" s="65">
        <v>25.6</v>
      </c>
      <c r="U15" s="65">
        <v>3.84</v>
      </c>
      <c r="W15" s="4">
        <v>15</v>
      </c>
      <c r="X15" s="66">
        <f>18/60</f>
        <v>0.3</v>
      </c>
      <c r="Y15" s="116">
        <f t="shared" si="18"/>
        <v>0.5859375</v>
      </c>
      <c r="Z15" s="115">
        <v>7.93</v>
      </c>
      <c r="AC15" s="72">
        <v>20.3</v>
      </c>
      <c r="AD15" s="66">
        <f>35/60</f>
        <v>0.58333333333333337</v>
      </c>
      <c r="AE15" s="63">
        <f t="shared" si="1"/>
        <v>2.5598991172761667</v>
      </c>
      <c r="AF15" s="66"/>
      <c r="AG15" s="66">
        <v>7.93</v>
      </c>
      <c r="AH15" s="66"/>
      <c r="AI15" s="66">
        <v>20.3</v>
      </c>
      <c r="AJ15" s="66">
        <f>35/60</f>
        <v>0.58333333333333337</v>
      </c>
      <c r="AK15" s="116">
        <f t="shared" si="2"/>
        <v>2.5598991172761667</v>
      </c>
      <c r="AL15" s="4">
        <v>10.199999999999999</v>
      </c>
      <c r="AM15" s="65">
        <v>10.199999999999999</v>
      </c>
      <c r="AO15" s="4">
        <v>9.75</v>
      </c>
      <c r="AP15" s="66">
        <f>18/60</f>
        <v>0.3</v>
      </c>
      <c r="AQ15" s="63">
        <f t="shared" si="3"/>
        <v>0.95588235294117663</v>
      </c>
      <c r="AW15" s="63"/>
      <c r="AX15" s="137"/>
      <c r="AY15" s="135">
        <v>15.3</v>
      </c>
      <c r="AZ15" s="135"/>
      <c r="BA15" s="138">
        <v>16</v>
      </c>
      <c r="BB15" s="135">
        <f>14/60</f>
        <v>0.23333333333333334</v>
      </c>
      <c r="BC15" s="63">
        <f t="shared" si="4"/>
        <v>1.0457516339869282</v>
      </c>
      <c r="BD15" s="66">
        <v>15.3</v>
      </c>
      <c r="BE15" s="66"/>
      <c r="BF15" s="66"/>
      <c r="BG15" s="72">
        <v>16.2</v>
      </c>
      <c r="BH15" s="66">
        <f>15/60</f>
        <v>0.25</v>
      </c>
      <c r="BI15" s="116">
        <f t="shared" si="5"/>
        <v>1.0588235294117647</v>
      </c>
      <c r="BJ15" s="135">
        <v>16.8</v>
      </c>
      <c r="BK15" s="135">
        <v>5.61</v>
      </c>
      <c r="BL15" s="138"/>
      <c r="BM15" s="138">
        <v>12</v>
      </c>
      <c r="BN15" s="135">
        <f>16/60</f>
        <v>0.26666666666666666</v>
      </c>
      <c r="BO15" s="66">
        <f t="shared" si="6"/>
        <v>0.71428571428571419</v>
      </c>
      <c r="BP15" s="150">
        <v>5.0999999999999996</v>
      </c>
      <c r="BQ15" s="135">
        <v>15.3</v>
      </c>
      <c r="BR15" s="135"/>
      <c r="BS15" s="138">
        <v>12</v>
      </c>
      <c r="BT15" s="135">
        <f>14/60</f>
        <v>0.23333333333333334</v>
      </c>
      <c r="BU15" s="63">
        <f t="shared" si="16"/>
        <v>0.78431372549019596</v>
      </c>
      <c r="BV15" s="121"/>
      <c r="BW15" s="66">
        <v>6.65</v>
      </c>
      <c r="BX15" s="66"/>
      <c r="BY15" s="66">
        <v>15.2</v>
      </c>
      <c r="BZ15" s="66">
        <v>0.57999999999999996</v>
      </c>
      <c r="CA15" s="63">
        <f t="shared" si="7"/>
        <v>2.2857142857142856</v>
      </c>
      <c r="CB15" s="104">
        <v>6.65</v>
      </c>
      <c r="CC15" s="66"/>
      <c r="CD15" s="66"/>
      <c r="CE15" s="72">
        <v>15.2</v>
      </c>
      <c r="CF15" s="66">
        <f>35/60</f>
        <v>0.58333333333333337</v>
      </c>
      <c r="CG15" s="116">
        <f t="shared" si="8"/>
        <v>2.2857142857142856</v>
      </c>
      <c r="CH15" s="66"/>
      <c r="CI15" s="66"/>
      <c r="CJ15" s="66"/>
      <c r="CK15" s="66"/>
      <c r="CL15" s="66"/>
      <c r="CM15" s="63"/>
      <c r="CN15" s="66"/>
      <c r="CO15" s="66"/>
      <c r="CP15" s="66"/>
      <c r="CQ15" s="66"/>
      <c r="CR15" s="66"/>
      <c r="CS15" s="66"/>
      <c r="CT15" s="104"/>
      <c r="CU15" s="66"/>
      <c r="CV15" s="66"/>
      <c r="CW15" s="66"/>
      <c r="CX15" s="66"/>
      <c r="CY15" s="63"/>
      <c r="CZ15" s="66"/>
      <c r="DA15" s="66">
        <v>8.44</v>
      </c>
      <c r="DB15" s="66"/>
      <c r="DC15" s="66">
        <v>13.1</v>
      </c>
      <c r="DD15" s="66">
        <f>30/60</f>
        <v>0.5</v>
      </c>
      <c r="DE15" s="63">
        <f t="shared" si="10"/>
        <v>1.5521327014218009</v>
      </c>
      <c r="DF15" s="66"/>
      <c r="DG15" s="66">
        <v>19.399999999999999</v>
      </c>
      <c r="DH15" s="66"/>
      <c r="DI15" s="72">
        <v>18.8</v>
      </c>
      <c r="DJ15" s="66">
        <f>15/60</f>
        <v>0.25</v>
      </c>
      <c r="DK15" s="63">
        <f t="shared" si="11"/>
        <v>0.96907216494845361</v>
      </c>
      <c r="DL15" s="66"/>
      <c r="DM15" s="66"/>
      <c r="DN15" s="66"/>
      <c r="DO15" s="66"/>
      <c r="DP15" s="66"/>
      <c r="DQ15" s="63"/>
      <c r="DR15" s="104"/>
      <c r="DS15" s="66"/>
      <c r="DT15" s="66"/>
      <c r="DU15" s="66"/>
      <c r="DV15" s="66"/>
      <c r="DW15" s="63"/>
      <c r="DX15" s="135">
        <v>8.9250000000000007</v>
      </c>
      <c r="DY15" s="135">
        <v>8.9250000000000007</v>
      </c>
      <c r="DZ15" s="135"/>
      <c r="EA15" s="138">
        <v>31</v>
      </c>
      <c r="EB15" s="135">
        <f>52/60</f>
        <v>0.8666666666666667</v>
      </c>
      <c r="EC15" s="63">
        <f t="shared" si="14"/>
        <v>3.473389355742297</v>
      </c>
      <c r="ED15" s="138"/>
      <c r="EE15" s="132"/>
      <c r="EF15" s="132"/>
      <c r="EG15" s="132"/>
      <c r="EH15" s="132"/>
      <c r="EI15" s="67" t="e">
        <f t="shared" si="15"/>
        <v>#DIV/0!</v>
      </c>
      <c r="EP15" s="104"/>
      <c r="EQ15" s="66"/>
      <c r="ER15" s="66"/>
      <c r="ES15" s="66"/>
      <c r="ET15" s="66"/>
      <c r="EU15" s="63"/>
    </row>
    <row r="16" spans="1:151" x14ac:dyDescent="0.25">
      <c r="A16">
        <v>16</v>
      </c>
      <c r="G16" s="63"/>
      <c r="H16" s="66"/>
      <c r="I16" s="66"/>
      <c r="J16" s="66"/>
      <c r="K16" s="66"/>
      <c r="L16" s="66"/>
      <c r="M16" s="116"/>
      <c r="N16" s="115">
        <v>3.86</v>
      </c>
      <c r="O16" s="65">
        <v>25.7</v>
      </c>
      <c r="P16" s="65">
        <v>11.2</v>
      </c>
      <c r="R16" s="66">
        <f>20/60</f>
        <v>0.33333333333333331</v>
      </c>
      <c r="S16" s="63">
        <f t="shared" si="17"/>
        <v>1.3073929961089492</v>
      </c>
      <c r="T16" s="65">
        <v>25.7</v>
      </c>
      <c r="U16" s="65">
        <v>3.86</v>
      </c>
      <c r="V16" s="65">
        <v>11.2</v>
      </c>
      <c r="X16" s="66">
        <f>20/60</f>
        <v>0.33333333333333331</v>
      </c>
      <c r="Y16" s="116">
        <f t="shared" si="18"/>
        <v>1.3073929961089492</v>
      </c>
      <c r="Z16" s="115">
        <v>7.98</v>
      </c>
      <c r="AB16" s="4">
        <v>11.3</v>
      </c>
      <c r="AC16" s="72"/>
      <c r="AD16" s="66">
        <f>40/60</f>
        <v>0.66666666666666663</v>
      </c>
      <c r="AE16" s="63">
        <f t="shared" si="1"/>
        <v>4.2481203007518804</v>
      </c>
      <c r="AF16" s="66"/>
      <c r="AG16" s="66">
        <v>7.98</v>
      </c>
      <c r="AH16" s="66">
        <v>11.3</v>
      </c>
      <c r="AI16" s="66"/>
      <c r="AJ16" s="66">
        <f>40/60</f>
        <v>0.66666666666666663</v>
      </c>
      <c r="AK16" s="116">
        <f t="shared" si="2"/>
        <v>4.2481203007518804</v>
      </c>
      <c r="AL16" s="4">
        <v>10.3</v>
      </c>
      <c r="AM16" s="65">
        <v>10.3</v>
      </c>
      <c r="AN16" s="65">
        <v>2.08</v>
      </c>
      <c r="AP16" s="66">
        <f>20/60</f>
        <v>0.33333333333333331</v>
      </c>
      <c r="AQ16" s="63">
        <f t="shared" si="3"/>
        <v>0.60582524271844651</v>
      </c>
      <c r="AW16" s="63"/>
      <c r="AX16" s="137"/>
      <c r="AY16" s="135">
        <v>15.4</v>
      </c>
      <c r="AZ16" s="135">
        <v>9.6</v>
      </c>
      <c r="BA16" s="138"/>
      <c r="BB16" s="135">
        <f>16/60</f>
        <v>0.26666666666666666</v>
      </c>
      <c r="BC16" s="63">
        <f t="shared" si="4"/>
        <v>1.8701298701298699</v>
      </c>
      <c r="BD16" s="66">
        <v>15.4</v>
      </c>
      <c r="BE16" s="66"/>
      <c r="BF16" s="66">
        <v>9.2200000000000006</v>
      </c>
      <c r="BG16" s="72"/>
      <c r="BH16" s="66">
        <f>16/60</f>
        <v>0.26666666666666666</v>
      </c>
      <c r="BI16" s="116">
        <f t="shared" si="5"/>
        <v>1.7961038961038962</v>
      </c>
      <c r="BJ16" s="135">
        <v>17</v>
      </c>
      <c r="BK16" s="135">
        <v>5.6760000000000002</v>
      </c>
      <c r="BL16" s="138">
        <v>2.56</v>
      </c>
      <c r="BM16" s="138"/>
      <c r="BN16" s="135">
        <f>16/60</f>
        <v>0.26666666666666666</v>
      </c>
      <c r="BO16" s="66">
        <f t="shared" si="6"/>
        <v>0.4517647058823529</v>
      </c>
      <c r="BP16" s="150">
        <v>5.16</v>
      </c>
      <c r="BQ16" s="135">
        <v>15.4</v>
      </c>
      <c r="BR16" s="135">
        <v>2.56</v>
      </c>
      <c r="BS16" s="138"/>
      <c r="BT16" s="135">
        <f>16/60</f>
        <v>0.26666666666666666</v>
      </c>
      <c r="BU16" s="63">
        <f t="shared" si="16"/>
        <v>0.49870129870129865</v>
      </c>
      <c r="BV16" s="121"/>
      <c r="BW16" s="66">
        <v>6.69</v>
      </c>
      <c r="BX16" s="66">
        <v>8.64</v>
      </c>
      <c r="BY16" s="66"/>
      <c r="BZ16" s="66">
        <f>38/60</f>
        <v>0.6333333333333333</v>
      </c>
      <c r="CA16" s="63">
        <f t="shared" si="7"/>
        <v>3.8744394618834082</v>
      </c>
      <c r="CB16" s="104">
        <v>6.69</v>
      </c>
      <c r="CC16" s="66"/>
      <c r="CD16" s="66">
        <v>8.64</v>
      </c>
      <c r="CE16" s="72"/>
      <c r="CF16" s="66">
        <f>38/60</f>
        <v>0.6333333333333333</v>
      </c>
      <c r="CG16" s="116">
        <f t="shared" si="8"/>
        <v>3.8744394618834082</v>
      </c>
      <c r="CH16" s="66"/>
      <c r="CI16" s="66"/>
      <c r="CJ16" s="66"/>
      <c r="CK16" s="66"/>
      <c r="CL16" s="66"/>
      <c r="CM16" s="63"/>
      <c r="CN16" s="66"/>
      <c r="CO16" s="66"/>
      <c r="CP16" s="66"/>
      <c r="CQ16" s="66"/>
      <c r="CR16" s="66"/>
      <c r="CS16" s="66"/>
      <c r="CT16" s="104">
        <v>4.63</v>
      </c>
      <c r="CU16" s="66">
        <v>4.63</v>
      </c>
      <c r="CV16" s="66">
        <v>9.8699999999999992</v>
      </c>
      <c r="CW16" s="66"/>
      <c r="CX16" s="66">
        <f>55/60</f>
        <v>0.91666666666666663</v>
      </c>
      <c r="CY16" s="63">
        <f t="shared" ref="CY16:CY21" si="19">1/(MAX(CT16:CU16)/((3*CV16)+CW16))</f>
        <v>6.3952483801295905</v>
      </c>
      <c r="CZ16" s="66"/>
      <c r="DA16" s="66">
        <v>8.49</v>
      </c>
      <c r="DB16" s="66">
        <v>2.8</v>
      </c>
      <c r="DC16" s="66"/>
      <c r="DD16" s="66">
        <f>32/60</f>
        <v>0.53333333333333333</v>
      </c>
      <c r="DE16" s="63">
        <f t="shared" si="10"/>
        <v>0.98939929328621889</v>
      </c>
      <c r="DF16" s="66"/>
      <c r="DG16" s="66">
        <v>19.600000000000001</v>
      </c>
      <c r="DH16" s="66">
        <v>4</v>
      </c>
      <c r="DI16" s="72"/>
      <c r="DJ16" s="66">
        <f>16/60</f>
        <v>0.26666666666666666</v>
      </c>
      <c r="DK16" s="63">
        <f t="shared" si="11"/>
        <v>0.61224489795918358</v>
      </c>
      <c r="DL16" s="66"/>
      <c r="DM16" s="66"/>
      <c r="DN16" s="66"/>
      <c r="DO16" s="66"/>
      <c r="DP16" s="66"/>
      <c r="DQ16" s="63"/>
      <c r="DR16" s="104"/>
      <c r="DS16" s="66"/>
      <c r="DT16" s="66"/>
      <c r="DU16" s="66"/>
      <c r="DV16" s="66"/>
      <c r="DW16" s="63"/>
      <c r="DX16" s="135">
        <v>9.0299999999999994</v>
      </c>
      <c r="DY16" s="135">
        <v>9.0299999999999994</v>
      </c>
      <c r="DZ16" s="135">
        <v>18.600000000000001</v>
      </c>
      <c r="EA16" s="138"/>
      <c r="EB16" s="135">
        <f>56/60</f>
        <v>0.93333333333333335</v>
      </c>
      <c r="EC16" s="63">
        <f t="shared" si="14"/>
        <v>6.1794019933554827</v>
      </c>
      <c r="ED16" s="138"/>
      <c r="EE16" s="132"/>
      <c r="EF16" s="132"/>
      <c r="EG16" s="132"/>
      <c r="EH16" s="132"/>
      <c r="EI16" s="67" t="e">
        <f t="shared" si="15"/>
        <v>#DIV/0!</v>
      </c>
      <c r="EP16" s="104"/>
      <c r="EQ16" s="66"/>
      <c r="ER16" s="66"/>
      <c r="ES16" s="66"/>
      <c r="ET16" s="66"/>
      <c r="EU16" s="63"/>
    </row>
    <row r="17" spans="1:151" x14ac:dyDescent="0.25">
      <c r="A17">
        <v>17</v>
      </c>
      <c r="G17" s="63"/>
      <c r="H17" s="66"/>
      <c r="I17" s="66"/>
      <c r="J17" s="66"/>
      <c r="K17" s="66"/>
      <c r="L17" s="66"/>
      <c r="M17" s="116"/>
      <c r="N17" s="115">
        <v>3.89</v>
      </c>
      <c r="O17" s="65">
        <v>25.9</v>
      </c>
      <c r="P17" s="65">
        <v>12.6</v>
      </c>
      <c r="R17" s="66">
        <f>24/60</f>
        <v>0.4</v>
      </c>
      <c r="S17" s="63">
        <f t="shared" si="17"/>
        <v>1.4594594594594594</v>
      </c>
      <c r="T17" s="65">
        <v>25.9</v>
      </c>
      <c r="U17" s="65">
        <v>3.89</v>
      </c>
      <c r="V17" s="65">
        <v>12.6</v>
      </c>
      <c r="X17" s="66">
        <f>24/60</f>
        <v>0.4</v>
      </c>
      <c r="Y17" s="116">
        <f t="shared" si="18"/>
        <v>1.4594594594594594</v>
      </c>
      <c r="Z17" s="115">
        <v>8.0299999999999994</v>
      </c>
      <c r="AB17" s="4">
        <v>11.6</v>
      </c>
      <c r="AC17" s="72"/>
      <c r="AD17" s="66">
        <f>45/60</f>
        <v>0.75</v>
      </c>
      <c r="AE17" s="63">
        <f t="shared" si="1"/>
        <v>4.3337484433374849</v>
      </c>
      <c r="AF17" s="66"/>
      <c r="AG17" s="66">
        <v>8.0299999999999994</v>
      </c>
      <c r="AH17" s="66">
        <v>11.6</v>
      </c>
      <c r="AI17" s="66"/>
      <c r="AJ17" s="66">
        <f>45/60</f>
        <v>0.75</v>
      </c>
      <c r="AK17" s="116">
        <f t="shared" si="2"/>
        <v>4.3337484433374849</v>
      </c>
      <c r="AL17" s="4">
        <v>10.4</v>
      </c>
      <c r="AM17" s="65">
        <v>10.4</v>
      </c>
      <c r="AN17" s="65">
        <v>2.34</v>
      </c>
      <c r="AP17" s="66">
        <f>24/60</f>
        <v>0.4</v>
      </c>
      <c r="AQ17" s="63">
        <f t="shared" si="3"/>
        <v>0.67499999999999993</v>
      </c>
      <c r="AW17" s="63"/>
      <c r="AX17" s="137"/>
      <c r="AY17" s="135">
        <v>15.4</v>
      </c>
      <c r="AZ17" s="135">
        <v>9.92</v>
      </c>
      <c r="BA17" s="138"/>
      <c r="BB17" s="135">
        <f>20/60</f>
        <v>0.33333333333333331</v>
      </c>
      <c r="BC17" s="63">
        <f t="shared" si="4"/>
        <v>1.932467532467532</v>
      </c>
      <c r="BD17" s="66">
        <v>15.5</v>
      </c>
      <c r="BE17" s="66"/>
      <c r="BF17" s="66">
        <v>9.41</v>
      </c>
      <c r="BG17" s="72"/>
      <c r="BH17" s="66">
        <f>20/60</f>
        <v>0.33333333333333331</v>
      </c>
      <c r="BI17" s="116">
        <f t="shared" si="5"/>
        <v>1.8212903225806452</v>
      </c>
      <c r="BJ17" s="135">
        <v>17</v>
      </c>
      <c r="BK17" s="135">
        <v>5.6760000000000002</v>
      </c>
      <c r="BL17" s="138">
        <v>2.88</v>
      </c>
      <c r="BM17" s="138"/>
      <c r="BN17" s="135">
        <f>22/60</f>
        <v>0.36666666666666664</v>
      </c>
      <c r="BO17" s="66">
        <f t="shared" si="6"/>
        <v>0.50823529411764712</v>
      </c>
      <c r="BP17" s="150">
        <v>5.16</v>
      </c>
      <c r="BQ17" s="135">
        <v>15.4</v>
      </c>
      <c r="BR17" s="135">
        <v>2.88</v>
      </c>
      <c r="BS17" s="138"/>
      <c r="BT17" s="135">
        <f>20/60</f>
        <v>0.33333333333333331</v>
      </c>
      <c r="BU17" s="63">
        <f t="shared" si="16"/>
        <v>0.561038961038961</v>
      </c>
      <c r="BV17" s="121"/>
      <c r="BW17" s="66">
        <v>6.74</v>
      </c>
      <c r="BX17" s="66">
        <v>8.82</v>
      </c>
      <c r="BY17" s="66"/>
      <c r="BZ17" s="66">
        <f>48/60</f>
        <v>0.8</v>
      </c>
      <c r="CA17" s="63">
        <f t="shared" si="7"/>
        <v>3.925816023738872</v>
      </c>
      <c r="CB17" s="104">
        <v>6.74</v>
      </c>
      <c r="CC17" s="66"/>
      <c r="CD17" s="66">
        <v>8.82</v>
      </c>
      <c r="CE17" s="72"/>
      <c r="CF17" s="66">
        <f>48/60</f>
        <v>0.8</v>
      </c>
      <c r="CG17" s="116">
        <f t="shared" si="8"/>
        <v>3.925816023738872</v>
      </c>
      <c r="CH17" s="66"/>
      <c r="CI17" s="66"/>
      <c r="CJ17" s="66"/>
      <c r="CK17" s="66"/>
      <c r="CL17" s="66"/>
      <c r="CM17" s="63"/>
      <c r="CN17" s="66"/>
      <c r="CO17" s="66"/>
      <c r="CP17" s="66"/>
      <c r="CQ17" s="66"/>
      <c r="CR17" s="66"/>
      <c r="CS17" s="66"/>
      <c r="CT17" s="104">
        <v>4.66</v>
      </c>
      <c r="CU17" s="66">
        <v>4.66</v>
      </c>
      <c r="CV17" s="66">
        <v>10.199999999999999</v>
      </c>
      <c r="CW17" s="66"/>
      <c r="CX17" s="66">
        <f>1+10/60</f>
        <v>1.1666666666666667</v>
      </c>
      <c r="CY17" s="63">
        <f t="shared" si="19"/>
        <v>6.5665236051502136</v>
      </c>
      <c r="CZ17" s="66"/>
      <c r="DA17" s="66">
        <v>8.5500000000000007</v>
      </c>
      <c r="DB17" s="66">
        <v>3.15</v>
      </c>
      <c r="DC17" s="66"/>
      <c r="DD17" s="66">
        <f>40/60</f>
        <v>0.66666666666666663</v>
      </c>
      <c r="DE17" s="63">
        <f t="shared" si="10"/>
        <v>1.1052631578947367</v>
      </c>
      <c r="DF17" s="66"/>
      <c r="DG17" s="66">
        <v>19.7</v>
      </c>
      <c r="DH17" s="66">
        <v>4.5</v>
      </c>
      <c r="DI17" s="72"/>
      <c r="DJ17" s="66">
        <f>20/60</f>
        <v>0.33333333333333331</v>
      </c>
      <c r="DK17" s="63">
        <f t="shared" si="11"/>
        <v>0.68527918781725894</v>
      </c>
      <c r="DL17" s="66"/>
      <c r="DM17" s="66"/>
      <c r="DN17" s="66"/>
      <c r="DO17" s="66"/>
      <c r="DP17" s="66"/>
      <c r="DQ17" s="63"/>
      <c r="DR17" s="104"/>
      <c r="DS17" s="66"/>
      <c r="DT17" s="66"/>
      <c r="DU17" s="66"/>
      <c r="DV17" s="66"/>
      <c r="DW17" s="63"/>
      <c r="DX17" s="135">
        <v>9.08</v>
      </c>
      <c r="DY17" s="135">
        <v>9.08</v>
      </c>
      <c r="DZ17" s="135">
        <v>19.2</v>
      </c>
      <c r="EA17" s="138"/>
      <c r="EB17" s="135">
        <f>1+10/60</f>
        <v>1.1666666666666667</v>
      </c>
      <c r="EC17" s="63">
        <f t="shared" si="14"/>
        <v>6.3436123348017608</v>
      </c>
      <c r="ED17" s="138"/>
      <c r="EE17" s="132"/>
      <c r="EF17" s="132"/>
      <c r="EG17" s="132"/>
      <c r="EH17" s="132"/>
      <c r="EI17" s="67" t="e">
        <f t="shared" si="15"/>
        <v>#DIV/0!</v>
      </c>
      <c r="EP17" s="104"/>
      <c r="EQ17" s="66"/>
      <c r="ER17" s="66"/>
      <c r="ES17" s="66"/>
      <c r="ET17" s="66"/>
      <c r="EU17" s="63"/>
    </row>
    <row r="18" spans="1:151" x14ac:dyDescent="0.25">
      <c r="A18">
        <v>18</v>
      </c>
      <c r="G18" s="63"/>
      <c r="H18" s="66"/>
      <c r="I18" s="66"/>
      <c r="J18" s="66"/>
      <c r="K18" s="66"/>
      <c r="L18" s="66"/>
      <c r="M18" s="116"/>
      <c r="N18" s="115">
        <v>3.91</v>
      </c>
      <c r="O18" s="65">
        <v>26.1</v>
      </c>
      <c r="Q18" s="4">
        <v>94.5</v>
      </c>
      <c r="R18" s="66">
        <f>25/60</f>
        <v>0.41666666666666669</v>
      </c>
      <c r="S18" s="63">
        <f t="shared" si="17"/>
        <v>3.6206896551724137</v>
      </c>
      <c r="T18" s="65">
        <v>26.1</v>
      </c>
      <c r="U18" s="65">
        <v>3.91</v>
      </c>
      <c r="W18" s="4">
        <v>94.5</v>
      </c>
      <c r="X18" s="66">
        <f>25/60</f>
        <v>0.41666666666666669</v>
      </c>
      <c r="Y18" s="116">
        <f t="shared" si="18"/>
        <v>3.6206896551724137</v>
      </c>
      <c r="Z18" s="115">
        <v>8.08</v>
      </c>
      <c r="AC18" s="72">
        <v>27</v>
      </c>
      <c r="AD18" s="66">
        <f>52/60</f>
        <v>0.8666666666666667</v>
      </c>
      <c r="AE18" s="63">
        <f t="shared" si="1"/>
        <v>3.3415841584158414</v>
      </c>
      <c r="AF18" s="66"/>
      <c r="AG18" s="66">
        <v>8.08</v>
      </c>
      <c r="AH18" s="66"/>
      <c r="AI18" s="66">
        <v>27</v>
      </c>
      <c r="AJ18" s="66">
        <f>52/60</f>
        <v>0.8666666666666667</v>
      </c>
      <c r="AK18" s="116">
        <f t="shared" si="2"/>
        <v>3.3415841584158414</v>
      </c>
      <c r="AL18" s="4">
        <v>10.5</v>
      </c>
      <c r="AM18" s="4">
        <v>10.5</v>
      </c>
      <c r="AO18" s="4">
        <v>17.600000000000001</v>
      </c>
      <c r="AP18" s="66">
        <f>25/60</f>
        <v>0.41666666666666669</v>
      </c>
      <c r="AQ18" s="63">
        <f t="shared" si="3"/>
        <v>1.6761904761904762</v>
      </c>
      <c r="AR18" s="48">
        <v>10.5</v>
      </c>
      <c r="AS18" s="4">
        <v>10.5</v>
      </c>
      <c r="AU18" s="4">
        <v>40.5</v>
      </c>
      <c r="AV18" s="66">
        <f>45/60</f>
        <v>0.75</v>
      </c>
      <c r="AW18" s="63">
        <f t="shared" ref="AW18:AW38" si="20">1/(MAX(AR18:AS18)/((3*AT18)+AU18))</f>
        <v>3.8571428571428572</v>
      </c>
      <c r="AX18" s="137"/>
      <c r="AY18" s="135">
        <v>15.6</v>
      </c>
      <c r="AZ18" s="135"/>
      <c r="BA18" s="138">
        <v>21.6</v>
      </c>
      <c r="BB18" s="135">
        <f>22/60</f>
        <v>0.36666666666666664</v>
      </c>
      <c r="BC18" s="63">
        <f t="shared" si="4"/>
        <v>1.3846153846153846</v>
      </c>
      <c r="BD18" s="66">
        <v>15.6</v>
      </c>
      <c r="BE18" s="66"/>
      <c r="BF18" s="66"/>
      <c r="BG18" s="72">
        <v>21.6</v>
      </c>
      <c r="BH18" s="66">
        <f>22/60</f>
        <v>0.36666666666666664</v>
      </c>
      <c r="BI18" s="116">
        <f t="shared" si="5"/>
        <v>1.3846153846153846</v>
      </c>
      <c r="BJ18" s="135">
        <v>17.2</v>
      </c>
      <c r="BK18" s="135">
        <v>5.742</v>
      </c>
      <c r="BL18" s="138"/>
      <c r="BM18" s="138">
        <v>21.6</v>
      </c>
      <c r="BN18" s="135">
        <f>24/60</f>
        <v>0.4</v>
      </c>
      <c r="BO18" s="66">
        <f t="shared" si="6"/>
        <v>1.2558139534883723</v>
      </c>
      <c r="BP18" s="150">
        <v>5.22</v>
      </c>
      <c r="BQ18" s="135">
        <v>15.6</v>
      </c>
      <c r="BR18" s="135"/>
      <c r="BS18" s="138">
        <v>21.6</v>
      </c>
      <c r="BT18" s="135">
        <f>22/60</f>
        <v>0.36666666666666664</v>
      </c>
      <c r="BU18" s="63">
        <f t="shared" si="16"/>
        <v>1.3846153846153846</v>
      </c>
      <c r="BV18" s="121"/>
      <c r="BW18" s="66">
        <v>6.78</v>
      </c>
      <c r="BX18" s="66"/>
      <c r="BY18" s="66">
        <v>20.3</v>
      </c>
      <c r="BZ18" s="66">
        <f>52/60</f>
        <v>0.8666666666666667</v>
      </c>
      <c r="CA18" s="63">
        <f t="shared" si="7"/>
        <v>2.9941002949852504</v>
      </c>
      <c r="CB18" s="104">
        <v>6.78</v>
      </c>
      <c r="CC18" s="66"/>
      <c r="CD18" s="66"/>
      <c r="CE18" s="72">
        <v>20.3</v>
      </c>
      <c r="CF18" s="66">
        <f>52/60</f>
        <v>0.8666666666666667</v>
      </c>
      <c r="CG18" s="116">
        <f t="shared" si="8"/>
        <v>2.9941002949852504</v>
      </c>
      <c r="CH18" s="66"/>
      <c r="CI18" s="66"/>
      <c r="CJ18" s="66"/>
      <c r="CK18" s="66"/>
      <c r="CL18" s="66"/>
      <c r="CM18" s="63"/>
      <c r="CN18" s="66"/>
      <c r="CO18" s="66"/>
      <c r="CP18" s="66"/>
      <c r="CQ18" s="66"/>
      <c r="CR18" s="66"/>
      <c r="CS18" s="66"/>
      <c r="CT18" s="104">
        <v>4.6900000000000004</v>
      </c>
      <c r="CU18" s="66">
        <v>4.6900000000000004</v>
      </c>
      <c r="CV18" s="66"/>
      <c r="CW18" s="66">
        <v>23.6</v>
      </c>
      <c r="CX18" s="66">
        <f>1+15/60</f>
        <v>1.25</v>
      </c>
      <c r="CY18" s="63">
        <f t="shared" si="19"/>
        <v>5.0319829424307034</v>
      </c>
      <c r="CZ18" s="66"/>
      <c r="DA18" s="66">
        <v>8.6</v>
      </c>
      <c r="DB18" s="66"/>
      <c r="DC18" s="66">
        <v>23.6</v>
      </c>
      <c r="DD18" s="66">
        <f>45/60</f>
        <v>0.75</v>
      </c>
      <c r="DE18" s="63">
        <f t="shared" si="10"/>
        <v>2.7441860465116279</v>
      </c>
      <c r="DF18" s="66"/>
      <c r="DG18" s="66">
        <v>19.8</v>
      </c>
      <c r="DH18" s="66"/>
      <c r="DI18" s="72">
        <v>33.799999999999997</v>
      </c>
      <c r="DJ18" s="66">
        <f>22/60</f>
        <v>0.36666666666666664</v>
      </c>
      <c r="DK18" s="63">
        <f t="shared" si="11"/>
        <v>1.7070707070707067</v>
      </c>
      <c r="DL18" s="66"/>
      <c r="DM18" s="66"/>
      <c r="DN18" s="66"/>
      <c r="DO18" s="66"/>
      <c r="DP18" s="66"/>
      <c r="DQ18" s="63"/>
      <c r="DR18" s="104"/>
      <c r="DS18" s="66"/>
      <c r="DT18" s="66"/>
      <c r="DU18" s="66"/>
      <c r="DV18" s="66"/>
      <c r="DW18" s="63"/>
      <c r="DX18" s="135">
        <v>9.1349999999999998</v>
      </c>
      <c r="DY18" s="135">
        <v>9.1349999999999998</v>
      </c>
      <c r="DZ18" s="135"/>
      <c r="EA18" s="138">
        <v>41.8</v>
      </c>
      <c r="EB18" s="135">
        <f>1+15/60</f>
        <v>1.25</v>
      </c>
      <c r="EC18" s="63">
        <f t="shared" si="14"/>
        <v>4.5758073344280241</v>
      </c>
      <c r="ED18" s="138"/>
      <c r="EE18" s="132"/>
      <c r="EF18" s="132"/>
      <c r="EG18" s="132"/>
      <c r="EH18" s="132"/>
      <c r="EI18" s="67" t="e">
        <f t="shared" si="15"/>
        <v>#DIV/0!</v>
      </c>
      <c r="EP18" s="104"/>
      <c r="EQ18" s="66"/>
      <c r="ER18" s="66"/>
      <c r="ES18" s="66"/>
      <c r="ET18" s="66"/>
      <c r="EU18" s="63"/>
    </row>
    <row r="19" spans="1:151" x14ac:dyDescent="0.25">
      <c r="A19">
        <v>19</v>
      </c>
      <c r="C19" s="4">
        <v>6.38</v>
      </c>
      <c r="D19" s="4">
        <v>6.9</v>
      </c>
      <c r="G19" s="63">
        <f>1/(MAX(B19:C19)/((3*D19)+E19))</f>
        <v>3.2445141065830727</v>
      </c>
      <c r="H19" s="66"/>
      <c r="I19" s="66"/>
      <c r="J19" s="66"/>
      <c r="K19" s="66"/>
      <c r="L19" s="66"/>
      <c r="M19" s="116"/>
      <c r="N19" s="115">
        <v>4.16</v>
      </c>
      <c r="O19" s="65">
        <v>27.7</v>
      </c>
      <c r="P19" s="65">
        <v>42</v>
      </c>
      <c r="R19" s="66">
        <f>28/60</f>
        <v>0.46666666666666667</v>
      </c>
      <c r="S19" s="63">
        <f t="shared" si="17"/>
        <v>4.5487364620938626</v>
      </c>
      <c r="T19" s="65">
        <v>27.7</v>
      </c>
      <c r="U19" s="65">
        <v>4.16</v>
      </c>
      <c r="V19" s="65">
        <v>42</v>
      </c>
      <c r="X19" s="66">
        <f>28/60</f>
        <v>0.46666666666666667</v>
      </c>
      <c r="Y19" s="116">
        <f t="shared" si="18"/>
        <v>4.5487364620938626</v>
      </c>
      <c r="AC19" s="72"/>
      <c r="AD19" s="66"/>
      <c r="AE19" s="63"/>
      <c r="AF19" s="66"/>
      <c r="AG19" s="66">
        <v>8.59</v>
      </c>
      <c r="AH19" s="66">
        <v>12</v>
      </c>
      <c r="AI19" s="66"/>
      <c r="AJ19" s="66">
        <f>55/60</f>
        <v>0.91666666666666663</v>
      </c>
      <c r="AK19" s="116">
        <f t="shared" si="2"/>
        <v>4.1909196740395807</v>
      </c>
      <c r="AL19" s="4">
        <v>11.1</v>
      </c>
      <c r="AM19" s="4">
        <v>11.1</v>
      </c>
      <c r="AN19" s="4">
        <v>7.8</v>
      </c>
      <c r="AP19" s="66">
        <f>28/60</f>
        <v>0.46666666666666667</v>
      </c>
      <c r="AQ19" s="63">
        <f t="shared" si="3"/>
        <v>2.1081081081081079</v>
      </c>
      <c r="AR19" s="48">
        <v>11.1</v>
      </c>
      <c r="AS19" s="4">
        <v>11.1</v>
      </c>
      <c r="AT19" s="4">
        <v>18</v>
      </c>
      <c r="AV19" s="66">
        <f>48/60</f>
        <v>0.8</v>
      </c>
      <c r="AW19" s="63">
        <f t="shared" si="20"/>
        <v>4.8648648648648649</v>
      </c>
      <c r="AX19" s="137"/>
      <c r="AY19" s="135">
        <v>16.5</v>
      </c>
      <c r="AZ19" s="135">
        <v>9.6</v>
      </c>
      <c r="BA19" s="138"/>
      <c r="BB19" s="135">
        <f>24/60</f>
        <v>0.4</v>
      </c>
      <c r="BC19" s="63">
        <f t="shared" si="4"/>
        <v>1.7454545454545451</v>
      </c>
      <c r="BD19" s="66">
        <v>16.600000000000001</v>
      </c>
      <c r="BE19" s="66"/>
      <c r="BF19" s="66">
        <v>9.6</v>
      </c>
      <c r="BG19" s="72"/>
      <c r="BH19" s="66">
        <f>24/60</f>
        <v>0.4</v>
      </c>
      <c r="BI19" s="116">
        <f t="shared" si="5"/>
        <v>1.7349397590361444</v>
      </c>
      <c r="BJ19" s="135">
        <v>18.2</v>
      </c>
      <c r="BK19" s="135">
        <v>6.0720000000000001</v>
      </c>
      <c r="BL19" s="138">
        <v>9.6</v>
      </c>
      <c r="BM19" s="138"/>
      <c r="BN19" s="135">
        <f>26/60</f>
        <v>0.43333333333333335</v>
      </c>
      <c r="BO19" s="66">
        <f t="shared" si="6"/>
        <v>1.5824175824175821</v>
      </c>
      <c r="BP19" s="150">
        <v>5.52</v>
      </c>
      <c r="BQ19" s="135">
        <v>16.5</v>
      </c>
      <c r="BR19" s="135">
        <v>9.6</v>
      </c>
      <c r="BS19" s="138"/>
      <c r="BT19" s="135">
        <f>24/60</f>
        <v>0.4</v>
      </c>
      <c r="BU19" s="63">
        <f t="shared" ref="BU19:BU21" si="21">1/(MAX(BP19:BQ19)/((3*BR19)+BS19))</f>
        <v>1.7454545454545451</v>
      </c>
      <c r="BV19" s="121"/>
      <c r="BW19" s="66">
        <v>7.21</v>
      </c>
      <c r="BX19" s="66">
        <v>9</v>
      </c>
      <c r="BY19" s="66"/>
      <c r="BZ19" s="66">
        <f>58/60</f>
        <v>0.96666666666666667</v>
      </c>
      <c r="CA19" s="63">
        <f t="shared" si="7"/>
        <v>3.7447988904299585</v>
      </c>
      <c r="CB19" s="104">
        <v>7.21</v>
      </c>
      <c r="CC19" s="66"/>
      <c r="CD19" s="66">
        <v>9</v>
      </c>
      <c r="CE19" s="72"/>
      <c r="CF19" s="66">
        <v>0.97</v>
      </c>
      <c r="CG19" s="116">
        <f t="shared" si="8"/>
        <v>3.7447988904299585</v>
      </c>
      <c r="CH19" s="66">
        <v>3.05</v>
      </c>
      <c r="CI19" s="66">
        <v>3.05</v>
      </c>
      <c r="CJ19" s="66">
        <v>6.6</v>
      </c>
      <c r="CK19" s="66"/>
      <c r="CL19" s="66">
        <f>1+35/60</f>
        <v>1.5833333333333335</v>
      </c>
      <c r="CM19" s="63">
        <f>1/(MAX(CH19:CI19)/((3*CJ19)+CK19))</f>
        <v>6.4918032786885238</v>
      </c>
      <c r="CN19" s="66"/>
      <c r="CO19" s="66"/>
      <c r="CP19" s="66"/>
      <c r="CQ19" s="66"/>
      <c r="CR19" s="66"/>
      <c r="CS19" s="66"/>
      <c r="CT19" s="104">
        <v>4.99</v>
      </c>
      <c r="CU19" s="66">
        <v>4.99</v>
      </c>
      <c r="CV19" s="66">
        <v>10.5</v>
      </c>
      <c r="CW19" s="66"/>
      <c r="CX19" s="66">
        <f>1+20/60</f>
        <v>1.3333333333333333</v>
      </c>
      <c r="CY19" s="63">
        <f t="shared" si="19"/>
        <v>6.3126252505010019</v>
      </c>
      <c r="CZ19" s="66"/>
      <c r="DA19" s="66">
        <v>9.15</v>
      </c>
      <c r="DB19" s="66">
        <v>10.5</v>
      </c>
      <c r="DC19" s="66"/>
      <c r="DD19" s="66">
        <f>48/60</f>
        <v>0.8</v>
      </c>
      <c r="DE19" s="63">
        <f t="shared" si="10"/>
        <v>3.442622950819672</v>
      </c>
      <c r="DF19" s="66"/>
      <c r="DG19" s="66">
        <v>21.1</v>
      </c>
      <c r="DH19" s="66">
        <v>15</v>
      </c>
      <c r="DI19" s="72"/>
      <c r="DJ19" s="66">
        <f>24/60</f>
        <v>0.4</v>
      </c>
      <c r="DK19" s="63">
        <f t="shared" si="11"/>
        <v>2.1327014218009479</v>
      </c>
      <c r="DL19" s="66"/>
      <c r="DM19" s="66"/>
      <c r="DN19" s="66"/>
      <c r="DO19" s="66"/>
      <c r="DP19" s="66"/>
      <c r="DQ19" s="63"/>
      <c r="DR19" s="104"/>
      <c r="DS19" s="66"/>
      <c r="DT19" s="66"/>
      <c r="DU19" s="66"/>
      <c r="DV19" s="66"/>
      <c r="DW19" s="63"/>
      <c r="DX19" s="135">
        <v>9.66</v>
      </c>
      <c r="DY19" s="135">
        <v>9.66</v>
      </c>
      <c r="DZ19" s="135">
        <v>19.8</v>
      </c>
      <c r="EA19" s="138"/>
      <c r="EB19" s="135">
        <f>1+20/60</f>
        <v>1.3333333333333333</v>
      </c>
      <c r="EC19" s="63">
        <f t="shared" si="14"/>
        <v>6.1490683229813667</v>
      </c>
      <c r="ED19" s="138">
        <v>15.1</v>
      </c>
      <c r="EE19" s="132">
        <v>15.1</v>
      </c>
      <c r="EF19" s="132">
        <v>16</v>
      </c>
      <c r="EG19" s="132"/>
      <c r="EH19" s="132">
        <f>48/60</f>
        <v>0.8</v>
      </c>
      <c r="EI19" s="67">
        <f t="shared" ref="EI19:EI41" si="22">1/(MAX(ED19:EE19)/((3*EF19)+EG19))</f>
        <v>3.1788079470198678</v>
      </c>
      <c r="EP19" s="104"/>
      <c r="EQ19" s="66"/>
      <c r="ER19" s="66"/>
      <c r="ES19" s="66"/>
      <c r="ET19" s="66"/>
      <c r="EU19" s="63"/>
    </row>
    <row r="20" spans="1:151" x14ac:dyDescent="0.25">
      <c r="A20">
        <v>20</v>
      </c>
      <c r="C20" s="4">
        <v>6.68</v>
      </c>
      <c r="D20" s="4">
        <v>9.1999999999999993</v>
      </c>
      <c r="G20" s="63">
        <f>1/(MAX(B20:C20)/((3*D20)+E20))</f>
        <v>4.1317365269461073</v>
      </c>
      <c r="H20" s="66"/>
      <c r="I20" s="66"/>
      <c r="J20" s="66"/>
      <c r="K20" s="66"/>
      <c r="L20" s="66"/>
      <c r="M20" s="116"/>
      <c r="N20" s="115">
        <v>4.3600000000000003</v>
      </c>
      <c r="O20" s="65">
        <v>29</v>
      </c>
      <c r="P20" s="65">
        <v>56</v>
      </c>
      <c r="R20" s="66">
        <v>0.5</v>
      </c>
      <c r="S20" s="63">
        <f t="shared" si="17"/>
        <v>5.7931034482758621</v>
      </c>
      <c r="T20" s="65">
        <v>29</v>
      </c>
      <c r="U20" s="65">
        <v>4.3600000000000003</v>
      </c>
      <c r="V20" s="65">
        <v>56</v>
      </c>
      <c r="X20" s="66">
        <f>30/60</f>
        <v>0.5</v>
      </c>
      <c r="Y20" s="116">
        <f t="shared" si="18"/>
        <v>5.7931034482758621</v>
      </c>
      <c r="Z20" s="115">
        <v>9</v>
      </c>
      <c r="AB20" s="4">
        <v>16</v>
      </c>
      <c r="AC20" s="72"/>
      <c r="AD20" s="66">
        <f>58/60</f>
        <v>0.96666666666666667</v>
      </c>
      <c r="AE20" s="63">
        <f t="shared" ref="AE20:AE37" si="23">1/(MAX(Z20:AA20)/((3*AB20)+AC20))</f>
        <v>5.333333333333333</v>
      </c>
      <c r="AF20" s="66"/>
      <c r="AG20" s="66">
        <v>9</v>
      </c>
      <c r="AH20" s="66">
        <v>16</v>
      </c>
      <c r="AI20" s="66"/>
      <c r="AJ20" s="66">
        <f>58/60</f>
        <v>0.96666666666666667</v>
      </c>
      <c r="AK20" s="116">
        <f t="shared" si="2"/>
        <v>5.333333333333333</v>
      </c>
      <c r="AL20" s="4">
        <v>11.6</v>
      </c>
      <c r="AM20" s="4">
        <v>11.6</v>
      </c>
      <c r="AN20" s="4">
        <v>10.4</v>
      </c>
      <c r="AP20" s="66">
        <v>0.5</v>
      </c>
      <c r="AQ20" s="63">
        <f t="shared" si="3"/>
        <v>2.6896551724137936</v>
      </c>
      <c r="AR20" s="48">
        <v>11.6</v>
      </c>
      <c r="AS20" s="65">
        <v>11.6</v>
      </c>
      <c r="AT20" s="65">
        <v>24</v>
      </c>
      <c r="AV20" s="66">
        <f>50/60</f>
        <v>0.83333333333333337</v>
      </c>
      <c r="AW20" s="63">
        <f t="shared" si="20"/>
        <v>6.2068965517241388</v>
      </c>
      <c r="AX20" s="137"/>
      <c r="AY20" s="135">
        <v>17.399999999999999</v>
      </c>
      <c r="AZ20" s="135">
        <v>12.8</v>
      </c>
      <c r="BA20" s="138"/>
      <c r="BB20" s="135">
        <f>24/60</f>
        <v>0.4</v>
      </c>
      <c r="BC20" s="63">
        <f t="shared" si="4"/>
        <v>2.2068965517241383</v>
      </c>
      <c r="BD20" s="100">
        <v>17.399999999999999</v>
      </c>
      <c r="BE20" s="100"/>
      <c r="BF20" s="100">
        <v>12.8</v>
      </c>
      <c r="BG20" s="102"/>
      <c r="BH20" s="100">
        <f>25/60</f>
        <v>0.41666666666666669</v>
      </c>
      <c r="BI20" s="126">
        <f t="shared" si="5"/>
        <v>2.2068965517241383</v>
      </c>
      <c r="BJ20" s="135">
        <v>19.2</v>
      </c>
      <c r="BK20" s="135">
        <v>6.4020000000000001</v>
      </c>
      <c r="BL20" s="138">
        <v>12.8</v>
      </c>
      <c r="BM20" s="138"/>
      <c r="BN20" s="135">
        <f>26/60</f>
        <v>0.43333333333333335</v>
      </c>
      <c r="BO20" s="100">
        <f t="shared" si="6"/>
        <v>2.0000000000000004</v>
      </c>
      <c r="BP20" s="150">
        <v>5.82</v>
      </c>
      <c r="BQ20" s="135">
        <v>17.399999999999999</v>
      </c>
      <c r="BR20" s="135">
        <v>12.8</v>
      </c>
      <c r="BS20" s="138"/>
      <c r="BT20" s="135">
        <f>24/60</f>
        <v>0.4</v>
      </c>
      <c r="BU20" s="63">
        <f t="shared" si="21"/>
        <v>2.2068965517241383</v>
      </c>
      <c r="BV20" s="122"/>
      <c r="BW20" s="89">
        <v>7.55</v>
      </c>
      <c r="BX20" s="89">
        <v>12</v>
      </c>
      <c r="BY20" s="89"/>
      <c r="BZ20" s="89">
        <v>1</v>
      </c>
      <c r="CA20" s="90">
        <f t="shared" si="7"/>
        <v>4.7682119205298008</v>
      </c>
      <c r="CB20" s="105">
        <v>7.55</v>
      </c>
      <c r="CC20" s="89"/>
      <c r="CD20" s="89">
        <v>12</v>
      </c>
      <c r="CE20" s="91"/>
      <c r="CF20" s="89">
        <v>1</v>
      </c>
      <c r="CG20" s="123">
        <f t="shared" si="8"/>
        <v>4.7682119205298008</v>
      </c>
      <c r="CH20" s="66">
        <v>3.19</v>
      </c>
      <c r="CI20" s="66">
        <v>3.19</v>
      </c>
      <c r="CJ20" s="66">
        <v>8.8000000000000007</v>
      </c>
      <c r="CK20" s="66"/>
      <c r="CL20" s="66">
        <f>1+40/60</f>
        <v>1.6666666666666665</v>
      </c>
      <c r="CM20" s="63">
        <f>1/(MAX(CH20:CI20)/((3*CJ20)+CK20))</f>
        <v>8.2758620689655178</v>
      </c>
      <c r="CN20" s="66"/>
      <c r="CO20" s="66"/>
      <c r="CP20" s="66"/>
      <c r="CQ20" s="66"/>
      <c r="CR20" s="66"/>
      <c r="CS20" s="66"/>
      <c r="CT20" s="104">
        <v>5.23</v>
      </c>
      <c r="CU20" s="66">
        <v>5.23</v>
      </c>
      <c r="CV20" s="66">
        <v>14</v>
      </c>
      <c r="CW20" s="66"/>
      <c r="CX20" s="66">
        <f>1+25/60</f>
        <v>1.4166666666666667</v>
      </c>
      <c r="CY20" s="63">
        <f t="shared" si="19"/>
        <v>8.0305927342256211</v>
      </c>
      <c r="CZ20" s="66"/>
      <c r="DA20" s="66">
        <v>9.58</v>
      </c>
      <c r="DB20" s="66">
        <v>14</v>
      </c>
      <c r="DC20" s="66"/>
      <c r="DD20" s="66">
        <f>50/60</f>
        <v>0.83333333333333337</v>
      </c>
      <c r="DE20" s="63">
        <f t="shared" si="10"/>
        <v>4.3841336116910226</v>
      </c>
      <c r="DF20" s="66"/>
      <c r="DG20" s="66">
        <v>22.1</v>
      </c>
      <c r="DH20" s="66">
        <v>20</v>
      </c>
      <c r="DI20" s="72"/>
      <c r="DJ20" s="66">
        <f>25/60</f>
        <v>0.41666666666666669</v>
      </c>
      <c r="DK20" s="63">
        <f t="shared" si="11"/>
        <v>2.7149321266968327</v>
      </c>
      <c r="DL20" s="66"/>
      <c r="DM20" s="66"/>
      <c r="DN20" s="66"/>
      <c r="DO20" s="66"/>
      <c r="DP20" s="66"/>
      <c r="DQ20" s="63"/>
      <c r="DR20" s="104"/>
      <c r="DS20" s="66"/>
      <c r="DT20" s="66"/>
      <c r="DU20" s="66"/>
      <c r="DV20" s="66"/>
      <c r="DW20" s="63"/>
      <c r="DX20" s="135">
        <v>10.1</v>
      </c>
      <c r="DY20" s="135">
        <v>10.1</v>
      </c>
      <c r="DZ20" s="135">
        <v>24.8</v>
      </c>
      <c r="EA20" s="138"/>
      <c r="EB20" s="135">
        <f>1+25/60</f>
        <v>1.4166666666666667</v>
      </c>
      <c r="EC20" s="63">
        <f t="shared" si="14"/>
        <v>7.3663366336633667</v>
      </c>
      <c r="ED20" s="138">
        <v>16</v>
      </c>
      <c r="EE20" s="132">
        <v>16</v>
      </c>
      <c r="EF20" s="132">
        <v>20</v>
      </c>
      <c r="EG20" s="132"/>
      <c r="EH20" s="132">
        <f>50/60</f>
        <v>0.83333333333333337</v>
      </c>
      <c r="EI20" s="67">
        <f t="shared" si="22"/>
        <v>3.75</v>
      </c>
      <c r="EP20" s="105"/>
      <c r="EQ20" s="89"/>
      <c r="ER20" s="89"/>
      <c r="ES20" s="89"/>
      <c r="ET20" s="89"/>
      <c r="EU20" s="90"/>
    </row>
    <row r="21" spans="1:151" x14ac:dyDescent="0.25">
      <c r="A21">
        <v>21</v>
      </c>
      <c r="C21" s="4">
        <v>6.98</v>
      </c>
      <c r="E21" s="4">
        <v>46</v>
      </c>
      <c r="G21" s="63">
        <f>1/(MAX(B21:C21)/((3*D21)+E21))</f>
        <v>6.5902578796561597</v>
      </c>
      <c r="H21" s="66">
        <v>6.9690000000000003</v>
      </c>
      <c r="I21" s="66"/>
      <c r="J21" s="66"/>
      <c r="K21" s="66">
        <v>46</v>
      </c>
      <c r="L21" s="66">
        <f>54/60</f>
        <v>0.9</v>
      </c>
      <c r="M21" s="116">
        <f>1/(MAX(H21:I21)/((3*J21)+K21))</f>
        <v>6.6006600660066006</v>
      </c>
      <c r="N21" s="115">
        <v>4.55</v>
      </c>
      <c r="O21" s="65">
        <v>30.4</v>
      </c>
      <c r="Q21" s="4">
        <v>100</v>
      </c>
      <c r="R21" s="66">
        <f>32/60</f>
        <v>0.53333333333333333</v>
      </c>
      <c r="S21" s="63">
        <f t="shared" si="17"/>
        <v>3.2894736842105265</v>
      </c>
      <c r="T21" s="65">
        <v>30.4</v>
      </c>
      <c r="U21" s="65">
        <v>4.55</v>
      </c>
      <c r="W21" s="4">
        <v>280</v>
      </c>
      <c r="X21" s="66">
        <f>32/60</f>
        <v>0.53333333333333333</v>
      </c>
      <c r="Y21" s="116">
        <f t="shared" si="18"/>
        <v>9.2105263157894743</v>
      </c>
      <c r="Z21" s="119">
        <v>9.41</v>
      </c>
      <c r="AA21" s="88"/>
      <c r="AB21" s="88"/>
      <c r="AC21" s="91">
        <v>80</v>
      </c>
      <c r="AD21" s="89">
        <v>1</v>
      </c>
      <c r="AE21" s="90">
        <f t="shared" si="23"/>
        <v>8.501594048884165</v>
      </c>
      <c r="AF21" s="66"/>
      <c r="AG21" s="66">
        <v>9.41</v>
      </c>
      <c r="AH21" s="66"/>
      <c r="AI21" s="66">
        <v>80</v>
      </c>
      <c r="AJ21" s="66">
        <v>1</v>
      </c>
      <c r="AK21" s="116">
        <f t="shared" si="2"/>
        <v>8.501594048884165</v>
      </c>
      <c r="AL21" s="4">
        <v>12.1</v>
      </c>
      <c r="AM21" s="65">
        <v>12.1</v>
      </c>
      <c r="AO21" s="4">
        <v>52</v>
      </c>
      <c r="AP21" s="66">
        <f>32/60</f>
        <v>0.53333333333333333</v>
      </c>
      <c r="AQ21" s="63">
        <f t="shared" si="3"/>
        <v>4.2975206611570247</v>
      </c>
      <c r="AR21" s="48">
        <v>12.1</v>
      </c>
      <c r="AS21" s="65">
        <v>12.1</v>
      </c>
      <c r="AU21" s="4">
        <v>90</v>
      </c>
      <c r="AV21" s="66">
        <f>55/60</f>
        <v>0.91666666666666663</v>
      </c>
      <c r="AW21" s="63">
        <f t="shared" si="20"/>
        <v>7.4380165289256199</v>
      </c>
      <c r="AX21" s="137"/>
      <c r="AY21" s="135">
        <v>18.100000000000001</v>
      </c>
      <c r="AZ21" s="135"/>
      <c r="BA21" s="138">
        <v>64</v>
      </c>
      <c r="BB21" s="135">
        <f>26/60</f>
        <v>0.43333333333333335</v>
      </c>
      <c r="BC21" s="63">
        <f t="shared" si="4"/>
        <v>3.5359116022099446</v>
      </c>
      <c r="BD21" s="66">
        <v>18.2</v>
      </c>
      <c r="BE21" s="66"/>
      <c r="BF21" s="66"/>
      <c r="BG21" s="72">
        <v>64</v>
      </c>
      <c r="BH21" s="66">
        <f>28/60</f>
        <v>0.46666666666666667</v>
      </c>
      <c r="BI21" s="126">
        <f t="shared" si="5"/>
        <v>3.5164835164835164</v>
      </c>
      <c r="BJ21" s="135">
        <v>19.899999999999999</v>
      </c>
      <c r="BK21" s="135">
        <v>6.6660000000000004</v>
      </c>
      <c r="BL21" s="138"/>
      <c r="BM21" s="138">
        <v>64</v>
      </c>
      <c r="BN21" s="135">
        <f>30/60</f>
        <v>0.5</v>
      </c>
      <c r="BO21" s="100">
        <f t="shared" si="6"/>
        <v>3.2160804020100504</v>
      </c>
      <c r="BP21" s="150">
        <v>6.06</v>
      </c>
      <c r="BQ21" s="135">
        <v>18.100000000000001</v>
      </c>
      <c r="BR21" s="135"/>
      <c r="BS21" s="138">
        <v>64</v>
      </c>
      <c r="BT21" s="135">
        <f>26/60</f>
        <v>0.43333333333333335</v>
      </c>
      <c r="BU21" s="63">
        <f t="shared" si="21"/>
        <v>3.5359116022099446</v>
      </c>
      <c r="BV21" s="121"/>
      <c r="BW21" s="66">
        <v>7.89</v>
      </c>
      <c r="BX21" s="66"/>
      <c r="BY21" s="66">
        <v>60</v>
      </c>
      <c r="BZ21" s="66">
        <f>1+5/60</f>
        <v>1.0833333333333333</v>
      </c>
      <c r="CA21" s="63">
        <f t="shared" si="7"/>
        <v>7.6045627376425848</v>
      </c>
      <c r="CB21" s="104">
        <v>7.89</v>
      </c>
      <c r="CC21" s="66"/>
      <c r="CD21" s="66"/>
      <c r="CE21" s="72">
        <v>60</v>
      </c>
      <c r="CF21" s="66">
        <f>1+5/60</f>
        <v>1.0833333333333333</v>
      </c>
      <c r="CG21" s="116">
        <f t="shared" si="8"/>
        <v>7.6045627376425848</v>
      </c>
      <c r="CH21" s="135">
        <v>3.3330000000000002</v>
      </c>
      <c r="CI21" s="135">
        <v>3.3330000000000002</v>
      </c>
      <c r="CJ21" s="135"/>
      <c r="CK21" s="135">
        <v>44</v>
      </c>
      <c r="CL21" s="135">
        <f>1+50/60</f>
        <v>1.8333333333333335</v>
      </c>
      <c r="CM21" s="63">
        <f>1/(MAX(CH21:CI21)/((3*CJ21)+CK21))</f>
        <v>13.201320132013201</v>
      </c>
      <c r="CN21" s="66"/>
      <c r="CO21" s="66"/>
      <c r="CP21" s="66"/>
      <c r="CQ21" s="66"/>
      <c r="CR21" s="66"/>
      <c r="CS21" s="66"/>
      <c r="CT21" s="104">
        <v>5.47</v>
      </c>
      <c r="CU21" s="66">
        <v>5.47</v>
      </c>
      <c r="CV21" s="66"/>
      <c r="CW21" s="66">
        <v>70</v>
      </c>
      <c r="CX21" s="66">
        <f>1+35/60</f>
        <v>1.5833333333333335</v>
      </c>
      <c r="CY21" s="63">
        <f t="shared" si="19"/>
        <v>12.797074954296162</v>
      </c>
      <c r="CZ21" s="66"/>
      <c r="DA21" s="66">
        <v>10</v>
      </c>
      <c r="DB21" s="66"/>
      <c r="DC21" s="66">
        <v>70</v>
      </c>
      <c r="DD21" s="66">
        <f>55/60</f>
        <v>0.91666666666666663</v>
      </c>
      <c r="DE21" s="63">
        <f t="shared" si="10"/>
        <v>7</v>
      </c>
      <c r="DF21" s="66"/>
      <c r="DG21" s="66">
        <v>23.1</v>
      </c>
      <c r="DH21" s="66"/>
      <c r="DI21" s="72">
        <v>100</v>
      </c>
      <c r="DJ21" s="66">
        <f>28/60</f>
        <v>0.46666666666666667</v>
      </c>
      <c r="DK21" s="63">
        <f t="shared" si="11"/>
        <v>4.329004329004329</v>
      </c>
      <c r="DL21" s="66">
        <v>4.55</v>
      </c>
      <c r="DM21" s="66">
        <v>6.07</v>
      </c>
      <c r="DN21" s="66"/>
      <c r="DO21" s="66">
        <v>40</v>
      </c>
      <c r="DP21" s="66">
        <f>55/60</f>
        <v>0.91666666666666663</v>
      </c>
      <c r="DQ21" s="63">
        <f>1/(MAX(DL21:DM21)/((3*DN21)+DO21))</f>
        <v>6.5897858319604614</v>
      </c>
      <c r="DR21" s="104"/>
      <c r="DS21" s="66"/>
      <c r="DT21" s="66"/>
      <c r="DU21" s="66"/>
      <c r="DV21" s="66"/>
      <c r="DW21" s="63"/>
      <c r="DX21" s="135">
        <v>10.6</v>
      </c>
      <c r="DY21" s="135">
        <v>10.6</v>
      </c>
      <c r="DZ21" s="135"/>
      <c r="EA21" s="138">
        <v>124</v>
      </c>
      <c r="EB21" s="135">
        <f>1+35/60</f>
        <v>1.5833333333333335</v>
      </c>
      <c r="EC21" s="63">
        <f t="shared" si="14"/>
        <v>11.69811320754717</v>
      </c>
      <c r="ED21" s="138">
        <v>16.600000000000001</v>
      </c>
      <c r="EE21" s="132">
        <v>16.600000000000001</v>
      </c>
      <c r="EF21" s="132"/>
      <c r="EG21" s="132">
        <v>100</v>
      </c>
      <c r="EH21" s="132">
        <f>54/60</f>
        <v>0.9</v>
      </c>
      <c r="EI21" s="67">
        <f t="shared" si="22"/>
        <v>6.0240963855421681</v>
      </c>
      <c r="EJ21" s="138">
        <v>3.6360000000000001</v>
      </c>
      <c r="EK21" s="138"/>
      <c r="EL21" s="138"/>
      <c r="EM21" s="138">
        <v>60</v>
      </c>
      <c r="EN21" s="138">
        <f>2+15/60</f>
        <v>2.25</v>
      </c>
      <c r="EO21" s="67">
        <f>1/(MAX(EJ21:EK21)/((3*EL21)+EM21))</f>
        <v>16.5016501650165</v>
      </c>
      <c r="EP21" s="104"/>
      <c r="EQ21" s="66"/>
      <c r="ER21" s="66"/>
      <c r="ES21" s="66"/>
      <c r="ET21" s="66"/>
      <c r="EU21" s="63"/>
    </row>
    <row r="22" spans="1:151" x14ac:dyDescent="0.25">
      <c r="A22">
        <v>22</v>
      </c>
      <c r="H22" s="4">
        <v>7.59</v>
      </c>
      <c r="J22" s="4">
        <v>12.6</v>
      </c>
      <c r="L22" s="4">
        <v>1</v>
      </c>
      <c r="M22" s="116">
        <f>1/(MAX(H22:I22)/((3*J22)+K22))</f>
        <v>4.9802371541501973</v>
      </c>
      <c r="N22" s="115">
        <v>4.95</v>
      </c>
      <c r="O22" s="71">
        <v>33</v>
      </c>
      <c r="P22" s="65">
        <v>77</v>
      </c>
      <c r="R22" s="66">
        <f>35/60</f>
        <v>0.58333333333333337</v>
      </c>
      <c r="S22" s="63">
        <f t="shared" si="17"/>
        <v>7</v>
      </c>
      <c r="T22" s="65">
        <v>33</v>
      </c>
      <c r="U22" s="65">
        <v>4.95</v>
      </c>
      <c r="V22" s="65">
        <v>77</v>
      </c>
      <c r="X22" s="66">
        <f>35/60</f>
        <v>0.58333333333333337</v>
      </c>
      <c r="Y22" s="116">
        <f t="shared" si="18"/>
        <v>7</v>
      </c>
      <c r="Z22" s="115">
        <v>10.199999999999999</v>
      </c>
      <c r="AB22" s="4">
        <v>22</v>
      </c>
      <c r="AC22" s="72"/>
      <c r="AD22" s="66">
        <f>1+5/60</f>
        <v>1.0833333333333333</v>
      </c>
      <c r="AE22" s="63">
        <f t="shared" si="23"/>
        <v>6.4705882352941178</v>
      </c>
      <c r="AG22" s="71">
        <v>10.199999999999999</v>
      </c>
      <c r="AH22" s="71">
        <v>22</v>
      </c>
      <c r="AJ22" s="66">
        <f>1+5/60</f>
        <v>1.0833333333333333</v>
      </c>
      <c r="AK22" s="116">
        <f t="shared" si="2"/>
        <v>6.4705882352941178</v>
      </c>
      <c r="AL22" s="4">
        <v>13.2</v>
      </c>
      <c r="AM22" s="65">
        <v>13.2</v>
      </c>
      <c r="AN22" s="65">
        <v>14.3</v>
      </c>
      <c r="AP22" s="66">
        <f>35/60</f>
        <v>0.58333333333333337</v>
      </c>
      <c r="AQ22" s="63">
        <f t="shared" si="3"/>
        <v>3.2500000000000004</v>
      </c>
      <c r="AR22" s="86">
        <v>13.2</v>
      </c>
      <c r="AS22" s="87">
        <v>13.2</v>
      </c>
      <c r="AT22" s="88">
        <v>33</v>
      </c>
      <c r="AU22" s="88"/>
      <c r="AV22" s="89">
        <v>1</v>
      </c>
      <c r="AW22" s="90">
        <f t="shared" si="20"/>
        <v>7.5</v>
      </c>
      <c r="AX22" s="139"/>
      <c r="AY22" s="135">
        <v>19.8</v>
      </c>
      <c r="AZ22" s="135">
        <v>17.600000000000001</v>
      </c>
      <c r="BA22" s="138"/>
      <c r="BB22" s="135">
        <f>30/60</f>
        <v>0.5</v>
      </c>
      <c r="BC22" s="63">
        <f t="shared" si="4"/>
        <v>2.6666666666666665</v>
      </c>
      <c r="BD22" s="66">
        <v>19.8</v>
      </c>
      <c r="BE22" s="66"/>
      <c r="BF22" s="66">
        <v>17.600000000000001</v>
      </c>
      <c r="BG22" s="72"/>
      <c r="BH22" s="66">
        <f>30/60</f>
        <v>0.5</v>
      </c>
      <c r="BI22" s="126">
        <f t="shared" si="5"/>
        <v>2.6666666666666665</v>
      </c>
      <c r="BJ22" s="135">
        <v>21.7</v>
      </c>
      <c r="BK22" s="135">
        <v>7.26</v>
      </c>
      <c r="BL22" s="138">
        <v>17.600000000000001</v>
      </c>
      <c r="BM22" s="138"/>
      <c r="BN22" s="135">
        <f>32/60</f>
        <v>0.53333333333333333</v>
      </c>
      <c r="BO22" s="100">
        <f t="shared" si="6"/>
        <v>2.4331797235023043</v>
      </c>
      <c r="BP22" s="104"/>
      <c r="BQ22" s="66"/>
      <c r="BR22" s="66"/>
      <c r="BS22" s="72"/>
      <c r="BT22" s="66"/>
      <c r="BU22" s="101"/>
      <c r="BW22" s="71">
        <v>8.58</v>
      </c>
      <c r="BX22" s="71">
        <v>16.5</v>
      </c>
      <c r="BZ22" s="66">
        <f>1+10/60</f>
        <v>1.1666666666666667</v>
      </c>
      <c r="CA22" s="63">
        <f t="shared" si="7"/>
        <v>5.7692307692307692</v>
      </c>
      <c r="CB22" s="48">
        <v>8.58</v>
      </c>
      <c r="CD22" s="4">
        <v>16.5</v>
      </c>
      <c r="CE22" s="72"/>
      <c r="CF22" s="4">
        <f>1+10/60</f>
        <v>1.1666666666666667</v>
      </c>
      <c r="CG22" s="116">
        <f t="shared" si="8"/>
        <v>5.7692307692307692</v>
      </c>
      <c r="CH22" s="135">
        <v>3.63</v>
      </c>
      <c r="CI22" s="135">
        <v>3.63</v>
      </c>
      <c r="CJ22" s="135">
        <v>12.1</v>
      </c>
      <c r="CK22" s="135"/>
      <c r="CL22" s="135">
        <v>2</v>
      </c>
      <c r="CM22" s="63">
        <f>1/(MAX(CH22:CI22)/((3*CJ22)+CK22))</f>
        <v>10</v>
      </c>
      <c r="CN22" s="66"/>
      <c r="CO22" s="66"/>
      <c r="CP22" s="66"/>
      <c r="CQ22" s="66"/>
      <c r="CR22" s="66"/>
      <c r="CS22" s="66"/>
      <c r="CT22" s="104"/>
      <c r="CU22" s="66"/>
      <c r="CV22" s="66"/>
      <c r="CW22" s="66"/>
      <c r="CX22" s="66"/>
      <c r="CY22" s="63"/>
      <c r="CZ22" s="66"/>
      <c r="DA22" s="66">
        <v>10.9</v>
      </c>
      <c r="DB22" s="66">
        <v>19.3</v>
      </c>
      <c r="DC22" s="66"/>
      <c r="DD22" s="66">
        <v>1</v>
      </c>
      <c r="DE22" s="63">
        <f t="shared" si="10"/>
        <v>5.3119266055045875</v>
      </c>
      <c r="DF22" s="66"/>
      <c r="DG22" s="66">
        <v>25.1</v>
      </c>
      <c r="DH22" s="66">
        <v>27.5</v>
      </c>
      <c r="DI22" s="72"/>
      <c r="DJ22" s="66">
        <v>0.5</v>
      </c>
      <c r="DK22" s="63">
        <f t="shared" si="11"/>
        <v>3.286852589641434</v>
      </c>
      <c r="DL22" s="71">
        <v>4.95</v>
      </c>
      <c r="DM22" s="71">
        <v>6.6</v>
      </c>
      <c r="DN22" s="71">
        <v>11</v>
      </c>
      <c r="DP22" s="71">
        <v>1</v>
      </c>
      <c r="DQ22" s="63">
        <f>1/(MAX(DL22:DM22)/((3*DN22)+DO22))</f>
        <v>5</v>
      </c>
      <c r="DX22" s="133">
        <v>11.5</v>
      </c>
      <c r="DY22" s="133">
        <v>11.5</v>
      </c>
      <c r="DZ22" s="133">
        <v>34.1</v>
      </c>
      <c r="EA22" s="138"/>
      <c r="EB22" s="135">
        <f>1+45/60</f>
        <v>1.75</v>
      </c>
      <c r="EC22" s="63">
        <f t="shared" si="14"/>
        <v>8.8956521739130441</v>
      </c>
      <c r="ED22" s="141">
        <v>18.100000000000001</v>
      </c>
      <c r="EE22" s="136">
        <v>18.100000000000001</v>
      </c>
      <c r="EF22" s="136">
        <v>27.5</v>
      </c>
      <c r="EG22" s="132"/>
      <c r="EH22" s="132">
        <f>1</f>
        <v>1</v>
      </c>
      <c r="EI22" s="67">
        <f t="shared" si="22"/>
        <v>4.5580110497237563</v>
      </c>
      <c r="EJ22" s="138">
        <v>3.96</v>
      </c>
      <c r="EK22" s="138"/>
      <c r="EL22" s="138">
        <v>16.5</v>
      </c>
      <c r="EM22" s="138"/>
      <c r="EN22" s="138">
        <f>2+30/60</f>
        <v>2.5</v>
      </c>
      <c r="EO22" s="67">
        <f>1/(MAX(EJ22:EK22)/((3*EL22)+EM22))</f>
        <v>12.5</v>
      </c>
      <c r="EP22" s="104">
        <v>5.61</v>
      </c>
      <c r="EQ22" s="66">
        <v>5.61</v>
      </c>
      <c r="ER22" s="66">
        <v>14.3</v>
      </c>
      <c r="ES22" s="66"/>
      <c r="ET22" s="66">
        <f>1+35/60</f>
        <v>1.5833333333333335</v>
      </c>
      <c r="EU22" s="63">
        <f t="shared" ref="EU22:EU30" si="24">1/(MAX(EP22:EQ22)/((3*ER22)+ES22))</f>
        <v>7.647058823529413</v>
      </c>
    </row>
    <row r="23" spans="1:151" x14ac:dyDescent="0.25">
      <c r="A23">
        <v>23</v>
      </c>
      <c r="N23" s="115">
        <v>5.15</v>
      </c>
      <c r="O23" s="65">
        <v>34.299999999999997</v>
      </c>
      <c r="P23" s="65">
        <v>102</v>
      </c>
      <c r="R23" s="66">
        <f>42/60</f>
        <v>0.7</v>
      </c>
      <c r="S23" s="63">
        <f t="shared" si="17"/>
        <v>8.9212827988338201</v>
      </c>
      <c r="T23" s="65">
        <v>34.299999999999997</v>
      </c>
      <c r="U23" s="65">
        <v>5.15</v>
      </c>
      <c r="V23" s="65">
        <v>102</v>
      </c>
      <c r="X23" s="66">
        <f>42/60</f>
        <v>0.7</v>
      </c>
      <c r="Y23" s="116">
        <f t="shared" si="18"/>
        <v>8.9212827988338201</v>
      </c>
      <c r="Z23" s="115">
        <v>10.6</v>
      </c>
      <c r="AB23" s="4">
        <v>29</v>
      </c>
      <c r="AC23" s="72"/>
      <c r="AD23" s="66">
        <f>1+20/60</f>
        <v>1.3333333333333333</v>
      </c>
      <c r="AE23" s="63">
        <f t="shared" si="23"/>
        <v>8.2075471698113205</v>
      </c>
      <c r="AG23" s="71">
        <v>10.6</v>
      </c>
      <c r="AH23" s="71">
        <v>29</v>
      </c>
      <c r="AJ23" s="66">
        <f>1+20/60</f>
        <v>1.3333333333333333</v>
      </c>
      <c r="AK23" s="120">
        <f t="shared" si="2"/>
        <v>8.2075471698113205</v>
      </c>
      <c r="AL23" s="4">
        <v>13.7</v>
      </c>
      <c r="AM23" s="65">
        <v>13.7</v>
      </c>
      <c r="AN23" s="65">
        <v>18.899999999999999</v>
      </c>
      <c r="AP23" s="66">
        <f>42/60</f>
        <v>0.7</v>
      </c>
      <c r="AQ23" s="63">
        <f t="shared" si="3"/>
        <v>4.1386861313868613</v>
      </c>
      <c r="AR23" s="48">
        <v>13.7</v>
      </c>
      <c r="AS23" s="65">
        <v>13.7</v>
      </c>
      <c r="AT23" s="65">
        <v>43.5</v>
      </c>
      <c r="AV23" s="66">
        <f>1+10/60</f>
        <v>1.1666666666666667</v>
      </c>
      <c r="AW23" s="63">
        <f t="shared" si="20"/>
        <v>9.5255474452554747</v>
      </c>
      <c r="AX23" s="139"/>
      <c r="AY23" s="135">
        <v>20.5</v>
      </c>
      <c r="AZ23" s="135">
        <v>23.2</v>
      </c>
      <c r="BA23" s="138"/>
      <c r="BB23" s="135">
        <f>34/60</f>
        <v>0.56666666666666665</v>
      </c>
      <c r="BC23" s="63">
        <f t="shared" si="4"/>
        <v>3.3951219512195117</v>
      </c>
      <c r="BD23" s="66">
        <v>20.6</v>
      </c>
      <c r="BE23" s="66"/>
      <c r="BF23" s="66">
        <v>23.2</v>
      </c>
      <c r="BG23" s="72"/>
      <c r="BH23" s="66">
        <f>35/60</f>
        <v>0.58333333333333337</v>
      </c>
      <c r="BI23" s="126">
        <f t="shared" si="5"/>
        <v>3.3786407766990285</v>
      </c>
      <c r="BJ23" s="135">
        <v>22.5</v>
      </c>
      <c r="BK23" s="135">
        <v>7.524</v>
      </c>
      <c r="BL23" s="138">
        <v>23.2</v>
      </c>
      <c r="BM23" s="138"/>
      <c r="BN23" s="135">
        <f>38/60</f>
        <v>0.6333333333333333</v>
      </c>
      <c r="BO23" s="100">
        <f t="shared" si="6"/>
        <v>3.0933333333333333</v>
      </c>
      <c r="BP23" s="104"/>
      <c r="BQ23" s="66"/>
      <c r="BR23" s="66"/>
      <c r="BS23" s="72"/>
      <c r="BT23" s="66"/>
      <c r="BU23" s="101"/>
      <c r="BW23" s="71">
        <v>8.92</v>
      </c>
      <c r="BX23" s="71">
        <v>21.8</v>
      </c>
      <c r="BZ23" s="66">
        <f>1+20/60</f>
        <v>1.3333333333333333</v>
      </c>
      <c r="CA23" s="63">
        <f t="shared" si="7"/>
        <v>7.331838565022422</v>
      </c>
      <c r="CB23" s="48">
        <v>8.92</v>
      </c>
      <c r="CD23" s="71">
        <v>21.8</v>
      </c>
      <c r="CE23" s="72"/>
      <c r="CF23" s="4">
        <v>1.33</v>
      </c>
      <c r="CG23" s="116">
        <f t="shared" si="8"/>
        <v>7.331838565022422</v>
      </c>
      <c r="CH23" s="135"/>
      <c r="CI23" s="135"/>
      <c r="CJ23" s="135"/>
      <c r="CK23" s="135"/>
      <c r="CL23" s="135"/>
      <c r="CM23" s="63"/>
      <c r="CN23" s="66"/>
      <c r="CO23" s="66"/>
      <c r="CP23" s="66"/>
      <c r="CQ23" s="66"/>
      <c r="CR23" s="66"/>
      <c r="CS23" s="66"/>
      <c r="CT23" s="104"/>
      <c r="CU23" s="66"/>
      <c r="CV23" s="66"/>
      <c r="CW23" s="66"/>
      <c r="CX23" s="66"/>
      <c r="CY23" s="63"/>
      <c r="CZ23" s="66"/>
      <c r="DA23" s="66">
        <v>11.3</v>
      </c>
      <c r="DB23" s="66">
        <v>25.4</v>
      </c>
      <c r="DC23" s="66"/>
      <c r="DD23" s="66">
        <f>1+10/60</f>
        <v>1.1666666666666667</v>
      </c>
      <c r="DE23" s="63">
        <f t="shared" si="10"/>
        <v>6.7433628318584056</v>
      </c>
      <c r="DF23" s="66"/>
      <c r="DG23" s="66">
        <v>26.1</v>
      </c>
      <c r="DH23" s="66">
        <v>36.299999999999997</v>
      </c>
      <c r="DI23" s="72"/>
      <c r="DJ23" s="66">
        <f>35/60</f>
        <v>0.58333333333333337</v>
      </c>
      <c r="DK23" s="63">
        <f t="shared" si="11"/>
        <v>4.1724137931034475</v>
      </c>
      <c r="DX23" s="133">
        <v>11.9</v>
      </c>
      <c r="DY23" s="133">
        <v>11.9</v>
      </c>
      <c r="DZ23" s="133">
        <v>44.9</v>
      </c>
      <c r="EA23" s="138"/>
      <c r="EB23" s="135">
        <f>2</f>
        <v>2</v>
      </c>
      <c r="EC23" s="47">
        <f t="shared" si="14"/>
        <v>11.319327731092436</v>
      </c>
      <c r="ED23" s="141">
        <v>18.8</v>
      </c>
      <c r="EE23" s="136">
        <v>18.8</v>
      </c>
      <c r="EF23" s="136">
        <v>36.200000000000003</v>
      </c>
      <c r="EG23" s="132"/>
      <c r="EH23" s="132">
        <f>1+10/60</f>
        <v>1.1666666666666667</v>
      </c>
      <c r="EI23" s="67">
        <f t="shared" si="22"/>
        <v>5.7765957446808507</v>
      </c>
      <c r="EJ23" s="138"/>
      <c r="EK23" s="138"/>
      <c r="EL23" s="138"/>
      <c r="EM23" s="138"/>
      <c r="EN23" s="138"/>
      <c r="EP23" s="104">
        <v>5.83</v>
      </c>
      <c r="EQ23" s="66">
        <v>5.83</v>
      </c>
      <c r="ER23" s="66">
        <v>18.899999999999999</v>
      </c>
      <c r="ES23" s="66"/>
      <c r="ET23" s="66">
        <f>1+50/60</f>
        <v>1.8333333333333335</v>
      </c>
      <c r="EU23" s="63">
        <f t="shared" si="24"/>
        <v>9.7255574614065168</v>
      </c>
    </row>
    <row r="24" spans="1:151" x14ac:dyDescent="0.25">
      <c r="A24">
        <v>24</v>
      </c>
      <c r="C24" s="65">
        <v>8.35</v>
      </c>
      <c r="E24" s="4">
        <v>92</v>
      </c>
      <c r="G24" s="63">
        <f>1/(MAX(B24:C24)/((3*D24)+E24))</f>
        <v>11.017964071856289</v>
      </c>
      <c r="H24" s="66"/>
      <c r="I24" s="66"/>
      <c r="J24" s="66"/>
      <c r="K24" s="66"/>
      <c r="L24" s="66"/>
      <c r="M24" s="116"/>
      <c r="N24" s="115">
        <v>5.45</v>
      </c>
      <c r="O24" s="65">
        <v>36.299999999999997</v>
      </c>
      <c r="Q24" s="4">
        <v>560</v>
      </c>
      <c r="R24" s="66">
        <f>48/60</f>
        <v>0.8</v>
      </c>
      <c r="S24" s="63">
        <f t="shared" si="17"/>
        <v>15.426997245179063</v>
      </c>
      <c r="T24" s="4">
        <v>36.299999999999997</v>
      </c>
      <c r="U24" s="4">
        <v>5.45</v>
      </c>
      <c r="W24" s="4">
        <v>560</v>
      </c>
      <c r="X24" s="66">
        <f>48/60</f>
        <v>0.8</v>
      </c>
      <c r="Y24" s="116">
        <f t="shared" si="18"/>
        <v>15.426997245179063</v>
      </c>
      <c r="Z24" s="115">
        <v>11.3</v>
      </c>
      <c r="AC24" s="72">
        <v>160</v>
      </c>
      <c r="AD24" s="66">
        <f>1+30/60</f>
        <v>1.5</v>
      </c>
      <c r="AE24" s="63">
        <f t="shared" si="23"/>
        <v>14.159292035398229</v>
      </c>
      <c r="AG24" s="71">
        <v>11.3</v>
      </c>
      <c r="AI24" s="4">
        <v>160</v>
      </c>
      <c r="AJ24" s="66">
        <v>1.5</v>
      </c>
      <c r="AK24" s="120">
        <f t="shared" si="2"/>
        <v>14.159292035398229</v>
      </c>
      <c r="AL24" s="4">
        <v>14.5</v>
      </c>
      <c r="AM24" s="65">
        <v>14.5</v>
      </c>
      <c r="AO24" s="4">
        <v>104</v>
      </c>
      <c r="AP24" s="66">
        <f>48/60</f>
        <v>0.8</v>
      </c>
      <c r="AQ24" s="63">
        <f t="shared" si="3"/>
        <v>7.1724137931034484</v>
      </c>
      <c r="AR24" s="48">
        <v>14.5</v>
      </c>
      <c r="AS24" s="65">
        <v>14.5</v>
      </c>
      <c r="AU24" s="4">
        <v>280</v>
      </c>
      <c r="AV24" s="66">
        <f>1+20/60</f>
        <v>1.3333333333333333</v>
      </c>
      <c r="AW24" s="63">
        <f t="shared" si="20"/>
        <v>19.310344827586206</v>
      </c>
      <c r="AX24" s="139"/>
      <c r="AY24" s="135">
        <v>21.7</v>
      </c>
      <c r="AZ24" s="135"/>
      <c r="BA24" s="138">
        <v>128</v>
      </c>
      <c r="BB24" s="135">
        <f>40/60</f>
        <v>0.66666666666666663</v>
      </c>
      <c r="BC24" s="63">
        <f t="shared" si="4"/>
        <v>5.8986175115207375</v>
      </c>
      <c r="BD24" s="66">
        <v>21.8</v>
      </c>
      <c r="BE24" s="66"/>
      <c r="BF24" s="66"/>
      <c r="BG24" s="72">
        <v>128</v>
      </c>
      <c r="BH24" s="66">
        <f>40/60</f>
        <v>0.66666666666666663</v>
      </c>
      <c r="BI24" s="126">
        <f t="shared" si="5"/>
        <v>5.8715596330275224</v>
      </c>
      <c r="BJ24" s="135">
        <v>23.9</v>
      </c>
      <c r="BK24" s="135">
        <v>7.9859999999999998</v>
      </c>
      <c r="BL24" s="138"/>
      <c r="BM24" s="138">
        <v>128</v>
      </c>
      <c r="BN24" s="135">
        <f>44/60</f>
        <v>0.73333333333333328</v>
      </c>
      <c r="BO24" s="100">
        <f t="shared" si="6"/>
        <v>5.3556485355648542</v>
      </c>
      <c r="BP24" s="104"/>
      <c r="BQ24" s="66"/>
      <c r="BR24" s="66"/>
      <c r="BS24" s="72"/>
      <c r="BT24" s="66"/>
      <c r="BU24" s="101"/>
      <c r="BW24" s="71">
        <v>9.44</v>
      </c>
      <c r="BY24" s="4">
        <v>120</v>
      </c>
      <c r="BZ24" s="66">
        <v>1.583</v>
      </c>
      <c r="CA24" s="63">
        <f t="shared" si="7"/>
        <v>12.711864406779661</v>
      </c>
      <c r="CB24" s="48">
        <v>9.44</v>
      </c>
      <c r="CE24" s="72">
        <v>120</v>
      </c>
      <c r="CF24" s="4">
        <f>1+35/60</f>
        <v>1.5833333333333335</v>
      </c>
      <c r="CG24" s="116">
        <f t="shared" si="8"/>
        <v>12.711864406779661</v>
      </c>
      <c r="CH24" s="135"/>
      <c r="CI24" s="135"/>
      <c r="CJ24" s="135"/>
      <c r="CK24" s="135"/>
      <c r="CL24" s="135"/>
      <c r="CM24" s="63"/>
      <c r="CN24" s="66"/>
      <c r="CO24" s="66"/>
      <c r="CP24" s="66"/>
      <c r="CQ24" s="66"/>
      <c r="CR24" s="66"/>
      <c r="CS24" s="66"/>
      <c r="CT24" s="104"/>
      <c r="CU24" s="66"/>
      <c r="CV24" s="66"/>
      <c r="CW24" s="66"/>
      <c r="CX24" s="66"/>
      <c r="CY24" s="63"/>
      <c r="CZ24" s="66"/>
      <c r="DA24" s="66">
        <v>12</v>
      </c>
      <c r="DB24" s="66"/>
      <c r="DC24" s="72">
        <v>140</v>
      </c>
      <c r="DD24" s="66">
        <f>1+20/60</f>
        <v>1.3333333333333333</v>
      </c>
      <c r="DE24" s="63">
        <f t="shared" si="10"/>
        <v>11.666666666666666</v>
      </c>
      <c r="DF24" s="66"/>
      <c r="DG24" s="66">
        <v>27.6</v>
      </c>
      <c r="DH24" s="66"/>
      <c r="DI24" s="72">
        <v>200</v>
      </c>
      <c r="DJ24" s="66">
        <f>40/60</f>
        <v>0.66666666666666663</v>
      </c>
      <c r="DK24" s="63">
        <f t="shared" si="11"/>
        <v>7.2463768115942022</v>
      </c>
      <c r="DL24" s="66"/>
      <c r="DM24" s="66"/>
      <c r="DN24" s="66"/>
      <c r="DO24" s="66"/>
      <c r="DP24" s="66"/>
      <c r="DQ24" s="66"/>
      <c r="DR24" s="104"/>
      <c r="DS24" s="66"/>
      <c r="DT24" s="66"/>
      <c r="DU24" s="66"/>
      <c r="DV24" s="66"/>
      <c r="DW24" s="63"/>
      <c r="DX24" s="135">
        <v>12.7</v>
      </c>
      <c r="DY24" s="135">
        <v>12.7</v>
      </c>
      <c r="DZ24" s="135"/>
      <c r="EA24" s="138">
        <v>248</v>
      </c>
      <c r="EB24" s="135">
        <f>2+20/60</f>
        <v>2.3333333333333335</v>
      </c>
      <c r="EC24" s="47">
        <f t="shared" si="14"/>
        <v>19.527559055118111</v>
      </c>
      <c r="ED24" s="141">
        <v>19.899999999999999</v>
      </c>
      <c r="EE24" s="136">
        <v>19.899999999999999</v>
      </c>
      <c r="EF24" s="136"/>
      <c r="EG24" s="132">
        <v>200</v>
      </c>
      <c r="EH24" s="132">
        <f>1+20/60</f>
        <v>1.3333333333333333</v>
      </c>
      <c r="EI24" s="67">
        <f t="shared" si="22"/>
        <v>10.050251256281408</v>
      </c>
      <c r="EJ24" s="138"/>
      <c r="EK24" s="138"/>
      <c r="EL24" s="138"/>
      <c r="EM24" s="138"/>
      <c r="EN24" s="138"/>
      <c r="EP24" s="104">
        <v>6.17</v>
      </c>
      <c r="EQ24" s="66">
        <v>6.17</v>
      </c>
      <c r="ER24" s="66"/>
      <c r="ES24" s="72">
        <v>104</v>
      </c>
      <c r="ET24" s="66">
        <v>2</v>
      </c>
      <c r="EU24" s="63">
        <f t="shared" si="24"/>
        <v>16.855753646677471</v>
      </c>
    </row>
    <row r="25" spans="1:151" x14ac:dyDescent="0.25">
      <c r="A25">
        <v>25</v>
      </c>
      <c r="C25" s="65">
        <v>8.58</v>
      </c>
      <c r="D25" s="4">
        <v>28.8</v>
      </c>
      <c r="F25" s="4">
        <f>1+30/60</f>
        <v>1.5</v>
      </c>
      <c r="G25" s="63">
        <f>1/(MAX(B25:C25)/((3*D25)+E25))</f>
        <v>10.06993006993007</v>
      </c>
      <c r="N25" s="139">
        <v>5.58</v>
      </c>
      <c r="O25" s="133">
        <v>37.200000000000003</v>
      </c>
      <c r="P25" s="133">
        <v>175</v>
      </c>
      <c r="Q25" s="133"/>
      <c r="R25" s="135">
        <f>54/60</f>
        <v>0.9</v>
      </c>
      <c r="S25" s="63">
        <f t="shared" si="17"/>
        <v>14.11290322580645</v>
      </c>
      <c r="T25" s="4">
        <v>37.299999999999997</v>
      </c>
      <c r="U25" s="4">
        <v>5.59</v>
      </c>
      <c r="V25" s="4">
        <v>175</v>
      </c>
      <c r="X25" s="66">
        <f>52/60</f>
        <v>0.8666666666666667</v>
      </c>
      <c r="Y25" s="116">
        <f t="shared" si="18"/>
        <v>14.075067024128687</v>
      </c>
      <c r="Z25" s="115">
        <v>11.6</v>
      </c>
      <c r="AB25" s="4">
        <v>50</v>
      </c>
      <c r="AC25" s="72"/>
      <c r="AD25" s="66">
        <f>1+40/60</f>
        <v>1.6666666666666665</v>
      </c>
      <c r="AE25" s="63">
        <f t="shared" si="23"/>
        <v>12.931034482758619</v>
      </c>
      <c r="AG25" s="71">
        <v>11.6</v>
      </c>
      <c r="AH25" s="71">
        <v>50</v>
      </c>
      <c r="AJ25" s="66">
        <f>1+40/60</f>
        <v>1.6666666666666665</v>
      </c>
      <c r="AK25" s="120">
        <f t="shared" si="2"/>
        <v>12.931034482758619</v>
      </c>
      <c r="AL25" s="4">
        <v>14.9</v>
      </c>
      <c r="AM25" s="65">
        <v>14.9</v>
      </c>
      <c r="AN25" s="65">
        <v>32.5</v>
      </c>
      <c r="AP25" s="66">
        <f>52/60</f>
        <v>0.8666666666666667</v>
      </c>
      <c r="AQ25" s="63">
        <f t="shared" si="3"/>
        <v>6.5436241610738257</v>
      </c>
      <c r="AR25" s="48">
        <v>14.9</v>
      </c>
      <c r="AS25" s="65">
        <v>14.9</v>
      </c>
      <c r="AT25" s="65">
        <v>75</v>
      </c>
      <c r="AV25" s="66">
        <f>1+30/60</f>
        <v>1.5</v>
      </c>
      <c r="AW25" s="63">
        <f t="shared" si="20"/>
        <v>15.100671140939596</v>
      </c>
      <c r="AX25" s="139"/>
      <c r="AY25" s="135">
        <v>22.3</v>
      </c>
      <c r="AZ25" s="133">
        <v>40</v>
      </c>
      <c r="BA25" s="133"/>
      <c r="BB25" s="135">
        <f>44/60</f>
        <v>0.73333333333333328</v>
      </c>
      <c r="BC25" s="63">
        <f t="shared" si="4"/>
        <v>5.3811659192825108</v>
      </c>
      <c r="BD25" s="66">
        <v>22.4</v>
      </c>
      <c r="BE25" s="66"/>
      <c r="BF25" s="66">
        <v>40</v>
      </c>
      <c r="BG25" s="72"/>
      <c r="BH25" s="66">
        <f>45/60</f>
        <v>0.75</v>
      </c>
      <c r="BI25" s="126">
        <f t="shared" si="5"/>
        <v>5.3571428571428577</v>
      </c>
      <c r="BJ25" s="135">
        <v>24.5</v>
      </c>
      <c r="BK25" s="135">
        <v>8.1839999999999993</v>
      </c>
      <c r="BL25" s="138">
        <v>40</v>
      </c>
      <c r="BM25" s="138"/>
      <c r="BN25" s="135">
        <f>48/60</f>
        <v>0.8</v>
      </c>
      <c r="BO25" s="100">
        <f t="shared" si="6"/>
        <v>4.8979591836734695</v>
      </c>
      <c r="BP25" s="104"/>
      <c r="BQ25" s="66"/>
      <c r="BR25" s="66"/>
      <c r="BS25" s="72"/>
      <c r="BT25" s="66"/>
      <c r="BU25" s="101"/>
      <c r="BV25" s="115">
        <v>3.73</v>
      </c>
      <c r="BW25" s="4">
        <v>9.6999999999999993</v>
      </c>
      <c r="BX25" s="4">
        <v>37.5</v>
      </c>
      <c r="BZ25" s="66">
        <f>1+45/60</f>
        <v>1.75</v>
      </c>
      <c r="CA25" s="63">
        <f t="shared" si="7"/>
        <v>11.597938144329898</v>
      </c>
      <c r="CE25" s="72"/>
      <c r="CG25" s="116"/>
      <c r="CH25" s="135"/>
      <c r="CI25" s="135"/>
      <c r="CJ25" s="135"/>
      <c r="CK25" s="135"/>
      <c r="CL25" s="135"/>
      <c r="CM25" s="63"/>
      <c r="CN25" s="66"/>
      <c r="CO25" s="66"/>
      <c r="CP25" s="66"/>
      <c r="CQ25" s="66"/>
      <c r="CR25" s="66"/>
      <c r="CS25" s="66"/>
      <c r="CT25" s="104"/>
      <c r="CU25" s="66"/>
      <c r="CV25" s="66"/>
      <c r="CW25" s="66"/>
      <c r="CX25" s="66"/>
      <c r="CY25" s="63"/>
      <c r="CZ25" s="66"/>
      <c r="DA25" s="66">
        <v>12.3</v>
      </c>
      <c r="DB25" s="66">
        <v>43.8</v>
      </c>
      <c r="DC25" s="72"/>
      <c r="DD25" s="66">
        <v>1.5</v>
      </c>
      <c r="DE25" s="63">
        <f t="shared" si="10"/>
        <v>10.68292682926829</v>
      </c>
      <c r="DH25" s="66"/>
      <c r="DI25" s="72"/>
      <c r="DJ25" s="66"/>
      <c r="DK25" s="63"/>
      <c r="DX25" s="140">
        <v>13</v>
      </c>
      <c r="DY25" s="140">
        <v>13</v>
      </c>
      <c r="DZ25" s="140">
        <v>79</v>
      </c>
      <c r="EB25" s="135">
        <f>2+35/60</f>
        <v>2.5833333333333335</v>
      </c>
      <c r="EC25" s="47">
        <f t="shared" si="14"/>
        <v>18.23076923076923</v>
      </c>
      <c r="ED25" s="141">
        <v>20.399999999999999</v>
      </c>
      <c r="EE25" s="136">
        <v>20.399999999999999</v>
      </c>
      <c r="EF25" s="136">
        <v>63.7</v>
      </c>
      <c r="EG25" s="132"/>
      <c r="EH25" s="132">
        <f>1+30/60</f>
        <v>1.5</v>
      </c>
      <c r="EI25" s="67">
        <f t="shared" si="22"/>
        <v>9.3676470588235308</v>
      </c>
      <c r="EJ25" s="138"/>
      <c r="EK25" s="138"/>
      <c r="EL25" s="138"/>
      <c r="EM25" s="138"/>
      <c r="EN25" s="138"/>
      <c r="EP25" s="104">
        <v>6.34</v>
      </c>
      <c r="EQ25" s="66">
        <v>6.34</v>
      </c>
      <c r="ER25" s="66">
        <v>32.5</v>
      </c>
      <c r="ES25" s="72"/>
      <c r="ET25" s="66">
        <f>2+15/60</f>
        <v>2.25</v>
      </c>
      <c r="EU25" s="63">
        <f t="shared" si="24"/>
        <v>15.378548895899053</v>
      </c>
    </row>
    <row r="26" spans="1:151" x14ac:dyDescent="0.25">
      <c r="A26">
        <v>26</v>
      </c>
      <c r="N26" s="139">
        <v>5.8049999999999997</v>
      </c>
      <c r="O26" s="133">
        <v>38.700000000000003</v>
      </c>
      <c r="P26" s="133">
        <v>196</v>
      </c>
      <c r="Q26" s="133"/>
      <c r="R26" s="135">
        <f>56/60</f>
        <v>0.93333333333333335</v>
      </c>
      <c r="S26" s="63">
        <f t="shared" si="17"/>
        <v>15.193798449612403</v>
      </c>
      <c r="T26" s="65">
        <v>38.6</v>
      </c>
      <c r="U26" s="65">
        <v>5.79</v>
      </c>
      <c r="V26" s="65">
        <v>196</v>
      </c>
      <c r="X26" s="66">
        <f>55/60</f>
        <v>0.91666666666666663</v>
      </c>
      <c r="Y26" s="117">
        <f t="shared" si="18"/>
        <v>15.233160621761657</v>
      </c>
      <c r="Z26" s="115">
        <v>12</v>
      </c>
      <c r="AB26" s="4">
        <v>56</v>
      </c>
      <c r="AC26" s="72"/>
      <c r="AD26" s="66">
        <f>1+45/60</f>
        <v>1.75</v>
      </c>
      <c r="AE26" s="63">
        <f t="shared" si="23"/>
        <v>14</v>
      </c>
      <c r="AG26" s="71">
        <v>12</v>
      </c>
      <c r="AH26" s="71">
        <v>56</v>
      </c>
      <c r="AJ26" s="66">
        <f>1+45/60</f>
        <v>1.75</v>
      </c>
      <c r="AK26" s="120">
        <f t="shared" si="2"/>
        <v>14</v>
      </c>
      <c r="AL26" s="4">
        <v>15.4</v>
      </c>
      <c r="AM26" s="65">
        <v>15.4</v>
      </c>
      <c r="AN26" s="65">
        <v>36.4</v>
      </c>
      <c r="AP26" s="66">
        <f>55/60</f>
        <v>0.91666666666666663</v>
      </c>
      <c r="AQ26" s="63">
        <f t="shared" si="3"/>
        <v>7.0909090909090899</v>
      </c>
      <c r="AR26" s="48">
        <v>15.4</v>
      </c>
      <c r="AS26" s="65">
        <v>15.4</v>
      </c>
      <c r="AT26" s="65">
        <v>84</v>
      </c>
      <c r="AV26" s="66">
        <f>1+35/60</f>
        <v>1.5833333333333335</v>
      </c>
      <c r="AW26" s="63">
        <f t="shared" si="20"/>
        <v>16.363636363636363</v>
      </c>
      <c r="AX26" s="139"/>
      <c r="AY26" s="135">
        <v>23.2</v>
      </c>
      <c r="AZ26" s="133">
        <v>44.8</v>
      </c>
      <c r="BA26" s="133"/>
      <c r="BB26" s="135">
        <f>46/60</f>
        <v>0.76666666666666672</v>
      </c>
      <c r="BC26" s="63">
        <f t="shared" si="4"/>
        <v>5.7931034482758612</v>
      </c>
      <c r="BD26" s="66">
        <v>23.2</v>
      </c>
      <c r="BE26" s="66"/>
      <c r="BF26" s="66">
        <v>44.8</v>
      </c>
      <c r="BG26" s="72"/>
      <c r="BH26" s="66">
        <f>48/60</f>
        <v>0.8</v>
      </c>
      <c r="BI26" s="116">
        <f t="shared" si="5"/>
        <v>5.7931034482758612</v>
      </c>
      <c r="BJ26" s="135">
        <v>25.5</v>
      </c>
      <c r="BK26" s="135">
        <v>8.5139999999999993</v>
      </c>
      <c r="BL26" s="138">
        <v>44.8</v>
      </c>
      <c r="BM26" s="138"/>
      <c r="BN26" s="135">
        <f>52/60</f>
        <v>0.8666666666666667</v>
      </c>
      <c r="BO26" s="66">
        <f t="shared" si="6"/>
        <v>5.2705882352941167</v>
      </c>
      <c r="BP26" s="104"/>
      <c r="BQ26" s="66"/>
      <c r="BR26" s="66"/>
      <c r="BS26" s="72"/>
      <c r="BT26" s="66"/>
      <c r="BU26" s="63"/>
      <c r="BV26" s="115">
        <v>3.86</v>
      </c>
      <c r="BW26" s="4">
        <v>10</v>
      </c>
      <c r="BX26" s="4">
        <v>42</v>
      </c>
      <c r="BZ26" s="66">
        <f>1+50/60</f>
        <v>1.8333333333333335</v>
      </c>
      <c r="CA26" s="63">
        <f t="shared" si="7"/>
        <v>12.600000000000001</v>
      </c>
      <c r="CE26" s="72"/>
      <c r="CG26" s="116"/>
      <c r="CH26" s="135"/>
      <c r="CI26" s="135"/>
      <c r="CJ26" s="135"/>
      <c r="CK26" s="135"/>
      <c r="CL26" s="135"/>
      <c r="CM26" s="63"/>
      <c r="CN26" s="66"/>
      <c r="CO26" s="66"/>
      <c r="CP26" s="66"/>
      <c r="CQ26" s="66"/>
      <c r="CR26" s="66"/>
      <c r="CS26" s="66"/>
      <c r="CT26" s="104"/>
      <c r="CU26" s="66"/>
      <c r="CV26" s="66"/>
      <c r="CW26" s="66"/>
      <c r="CX26" s="66"/>
      <c r="CY26" s="63"/>
      <c r="DA26" s="71">
        <v>12.7</v>
      </c>
      <c r="DB26" s="71">
        <v>49</v>
      </c>
      <c r="DC26" s="72"/>
      <c r="DD26" s="66">
        <f>1+35/60</f>
        <v>1.5833333333333335</v>
      </c>
      <c r="DE26" s="47">
        <f t="shared" si="10"/>
        <v>11.5748031496063</v>
      </c>
      <c r="DG26" s="71">
        <v>29.3</v>
      </c>
      <c r="DH26" s="66">
        <v>70</v>
      </c>
      <c r="DI26" s="72"/>
      <c r="DJ26" s="66">
        <f>48/60</f>
        <v>0.8</v>
      </c>
      <c r="DK26" s="63">
        <f>1/(MAX(DF26:DG26)/((3*DH26)+DI26))</f>
        <v>7.1672354948805461</v>
      </c>
      <c r="EB26" s="135"/>
      <c r="ED26" s="141">
        <v>21.2</v>
      </c>
      <c r="EE26" s="136">
        <v>21.2</v>
      </c>
      <c r="EF26" s="136">
        <v>87.5</v>
      </c>
      <c r="EG26" s="132"/>
      <c r="EH26" s="132">
        <f>1+35/60</f>
        <v>1.5833333333333335</v>
      </c>
      <c r="EI26" s="67">
        <f t="shared" si="22"/>
        <v>12.382075471698114</v>
      </c>
      <c r="EJ26" s="138"/>
      <c r="EK26" s="138"/>
      <c r="EL26" s="138"/>
      <c r="EM26" s="138"/>
      <c r="EN26" s="138"/>
      <c r="EP26" s="104">
        <v>6.56</v>
      </c>
      <c r="EQ26" s="66">
        <v>6.56</v>
      </c>
      <c r="ER26" s="66">
        <v>36.4</v>
      </c>
      <c r="ES26" s="72"/>
      <c r="ET26" s="66">
        <v>2.5</v>
      </c>
      <c r="EU26" s="63">
        <f t="shared" si="24"/>
        <v>16.646341463414632</v>
      </c>
    </row>
    <row r="27" spans="1:151" x14ac:dyDescent="0.25">
      <c r="A27">
        <v>27</v>
      </c>
      <c r="T27" s="65">
        <v>39.9</v>
      </c>
      <c r="U27" s="65">
        <v>5.99</v>
      </c>
      <c r="W27" s="4">
        <v>320</v>
      </c>
      <c r="X27" s="66">
        <v>1</v>
      </c>
      <c r="Y27" s="117">
        <f t="shared" si="18"/>
        <v>8.0200501253132845</v>
      </c>
      <c r="Z27" s="115">
        <v>12.4</v>
      </c>
      <c r="AC27" s="72">
        <v>240</v>
      </c>
      <c r="AD27" s="66">
        <f>1+55/60</f>
        <v>1.9166666666666665</v>
      </c>
      <c r="AE27" s="63">
        <f t="shared" si="23"/>
        <v>19.35483870967742</v>
      </c>
      <c r="AG27" s="71">
        <v>12.4</v>
      </c>
      <c r="AI27" s="4">
        <v>240</v>
      </c>
      <c r="AJ27" s="66">
        <f>1+55/60</f>
        <v>1.9166666666666665</v>
      </c>
      <c r="AK27" s="120">
        <f t="shared" si="2"/>
        <v>19.35483870967742</v>
      </c>
      <c r="AL27" s="88">
        <v>16</v>
      </c>
      <c r="AM27" s="87">
        <v>16</v>
      </c>
      <c r="AN27" s="88"/>
      <c r="AO27" s="88">
        <v>156</v>
      </c>
      <c r="AP27" s="89">
        <v>1</v>
      </c>
      <c r="AQ27" s="90">
        <f t="shared" si="3"/>
        <v>9.75</v>
      </c>
      <c r="AR27" s="48">
        <v>16</v>
      </c>
      <c r="AS27" s="65">
        <v>16</v>
      </c>
      <c r="AU27" s="65">
        <v>300</v>
      </c>
      <c r="AV27" s="66">
        <f>1+40/60</f>
        <v>1.6666666666666665</v>
      </c>
      <c r="AW27" s="63">
        <f t="shared" si="20"/>
        <v>18.75</v>
      </c>
      <c r="AY27" s="135">
        <v>23.9</v>
      </c>
      <c r="AZ27" s="133"/>
      <c r="BA27" s="133">
        <v>192</v>
      </c>
      <c r="BB27" s="135">
        <f>50/60</f>
        <v>0.83333333333333337</v>
      </c>
      <c r="BC27" s="63">
        <f t="shared" si="4"/>
        <v>8.0334728033472818</v>
      </c>
      <c r="BD27" s="66">
        <v>24</v>
      </c>
      <c r="BE27" s="66"/>
      <c r="BF27" s="66"/>
      <c r="BG27" s="72">
        <v>192</v>
      </c>
      <c r="BH27" s="66">
        <f>50/60</f>
        <v>0.83333333333333337</v>
      </c>
      <c r="BI27" s="116">
        <f t="shared" si="5"/>
        <v>8</v>
      </c>
      <c r="BJ27" s="135">
        <v>26.3</v>
      </c>
      <c r="BK27" s="135">
        <v>8.7780000000000005</v>
      </c>
      <c r="BL27" s="138"/>
      <c r="BM27" s="138">
        <v>192</v>
      </c>
      <c r="BN27" s="135">
        <f>54/60</f>
        <v>0.9</v>
      </c>
      <c r="BO27" s="66">
        <f t="shared" si="6"/>
        <v>7.3003802281368815</v>
      </c>
      <c r="BP27" s="104"/>
      <c r="BQ27" s="66"/>
      <c r="BR27" s="66"/>
      <c r="BS27" s="72"/>
      <c r="BT27" s="66"/>
      <c r="BU27" s="63"/>
      <c r="BV27" s="115">
        <v>3.99</v>
      </c>
      <c r="BW27" s="4">
        <v>10.4</v>
      </c>
      <c r="BY27" s="4">
        <v>180</v>
      </c>
      <c r="BZ27" s="66">
        <v>2</v>
      </c>
      <c r="CA27" s="63">
        <f t="shared" si="7"/>
        <v>17.307692307692307</v>
      </c>
      <c r="CE27" s="72"/>
      <c r="CF27" s="65"/>
      <c r="CG27" s="116"/>
      <c r="CH27" s="135"/>
      <c r="CI27" s="135"/>
      <c r="CJ27" s="135"/>
      <c r="CK27" s="135"/>
      <c r="CL27" s="135"/>
      <c r="CM27" s="63"/>
      <c r="CN27" s="66"/>
      <c r="CO27" s="66"/>
      <c r="CP27" s="66"/>
      <c r="CQ27" s="66"/>
      <c r="CR27" s="66"/>
      <c r="CS27" s="66"/>
      <c r="CT27" s="104"/>
      <c r="CU27" s="66"/>
      <c r="CV27" s="66"/>
      <c r="CW27" s="66"/>
      <c r="CX27" s="66"/>
      <c r="CY27" s="63"/>
      <c r="DA27" s="71">
        <v>13.2</v>
      </c>
      <c r="DC27" s="72">
        <v>210</v>
      </c>
      <c r="DD27" s="66">
        <f>1+40/60</f>
        <v>1.6666666666666665</v>
      </c>
      <c r="DE27" s="47">
        <f t="shared" si="10"/>
        <v>15.909090909090912</v>
      </c>
      <c r="DG27" s="71">
        <v>30.3</v>
      </c>
      <c r="DH27" s="66"/>
      <c r="DI27" s="72">
        <v>300</v>
      </c>
      <c r="DJ27" s="66">
        <f>50/60</f>
        <v>0.83333333333333337</v>
      </c>
      <c r="DK27" s="63">
        <f>1/(MAX(DF27:DG27)/((3*DH27)+DI27))</f>
        <v>9.9009900990099009</v>
      </c>
      <c r="EB27" s="135"/>
      <c r="ED27" s="141">
        <v>21.9</v>
      </c>
      <c r="EE27" s="136">
        <v>21.9</v>
      </c>
      <c r="EF27" s="136"/>
      <c r="EG27" s="132">
        <v>300</v>
      </c>
      <c r="EH27" s="132">
        <f>1+40/60</f>
        <v>1.6666666666666665</v>
      </c>
      <c r="EI27" s="67">
        <f t="shared" si="22"/>
        <v>13.698630136986303</v>
      </c>
      <c r="EJ27" s="138"/>
      <c r="EK27" s="138"/>
      <c r="EL27" s="138"/>
      <c r="EM27" s="138"/>
      <c r="EN27" s="138"/>
      <c r="EP27" s="104">
        <v>6.79</v>
      </c>
      <c r="EQ27" s="66">
        <v>6.79</v>
      </c>
      <c r="ER27" s="66"/>
      <c r="ES27" s="72">
        <v>156</v>
      </c>
      <c r="ET27" s="66">
        <f>2+40/60</f>
        <v>2.6666666666666665</v>
      </c>
      <c r="EU27" s="63">
        <f t="shared" si="24"/>
        <v>22.974963181148748</v>
      </c>
    </row>
    <row r="28" spans="1:151" x14ac:dyDescent="0.25">
      <c r="A28">
        <v>28</v>
      </c>
      <c r="T28" s="65">
        <v>43.2</v>
      </c>
      <c r="U28" s="65">
        <v>6.49</v>
      </c>
      <c r="V28" s="65">
        <v>210</v>
      </c>
      <c r="X28" s="66">
        <f>1+2/60</f>
        <v>1.0333333333333334</v>
      </c>
      <c r="Y28" s="117">
        <f t="shared" si="18"/>
        <v>14.583333333333332</v>
      </c>
      <c r="Z28" s="115">
        <v>13.4</v>
      </c>
      <c r="AB28" s="4">
        <v>60</v>
      </c>
      <c r="AC28" s="72"/>
      <c r="AD28" s="66">
        <v>2</v>
      </c>
      <c r="AE28" s="63">
        <f t="shared" si="23"/>
        <v>13.432835820895521</v>
      </c>
      <c r="AG28" s="71">
        <v>13.4</v>
      </c>
      <c r="AH28" s="71">
        <v>60</v>
      </c>
      <c r="AJ28" s="66">
        <v>2</v>
      </c>
      <c r="AK28" s="120">
        <f t="shared" si="2"/>
        <v>13.432835820895521</v>
      </c>
      <c r="AL28" s="4">
        <v>17.3</v>
      </c>
      <c r="AM28" s="65">
        <v>17.3</v>
      </c>
      <c r="AN28" s="65">
        <v>39</v>
      </c>
      <c r="AP28" s="66">
        <f>1+2/60</f>
        <v>1.0333333333333334</v>
      </c>
      <c r="AQ28" s="63">
        <f t="shared" si="3"/>
        <v>6.7630057803468207</v>
      </c>
      <c r="AR28" s="48">
        <v>17.3</v>
      </c>
      <c r="AS28" s="65">
        <v>17.3</v>
      </c>
      <c r="AT28" s="65">
        <v>90</v>
      </c>
      <c r="AV28" s="66">
        <f>1+45/60</f>
        <v>1.75</v>
      </c>
      <c r="AW28" s="63">
        <f t="shared" si="20"/>
        <v>15.60693641618497</v>
      </c>
      <c r="AY28" s="140">
        <v>25.9</v>
      </c>
      <c r="AZ28" s="134">
        <v>48</v>
      </c>
      <c r="BB28" s="135">
        <f>52/60</f>
        <v>0.8666666666666667</v>
      </c>
      <c r="BC28" s="63">
        <f t="shared" si="4"/>
        <v>5.5598455598455603</v>
      </c>
      <c r="BD28" s="66">
        <v>25.9</v>
      </c>
      <c r="BE28" s="66"/>
      <c r="BF28" s="66">
        <v>48</v>
      </c>
      <c r="BG28" s="72"/>
      <c r="BH28" s="66">
        <f>52/60</f>
        <v>0.8666666666666667</v>
      </c>
      <c r="BI28" s="116">
        <f t="shared" si="5"/>
        <v>5.5598455598455603</v>
      </c>
      <c r="BJ28" s="135">
        <v>28.5</v>
      </c>
      <c r="BK28" s="135">
        <v>9.5039999999999996</v>
      </c>
      <c r="BL28" s="138">
        <v>48</v>
      </c>
      <c r="BM28" s="138"/>
      <c r="BN28" s="135">
        <f>56/60</f>
        <v>0.93333333333333335</v>
      </c>
      <c r="BO28" s="66">
        <f t="shared" si="6"/>
        <v>5.052631578947369</v>
      </c>
      <c r="BP28" s="104"/>
      <c r="BQ28" s="66"/>
      <c r="BR28" s="66"/>
      <c r="BS28" s="72"/>
      <c r="BT28" s="66"/>
      <c r="BU28" s="63"/>
      <c r="BV28" s="124">
        <v>4.32</v>
      </c>
      <c r="BW28" s="65">
        <v>11.2</v>
      </c>
      <c r="BX28" s="4">
        <v>45</v>
      </c>
      <c r="BZ28" s="66">
        <f>2+5/60</f>
        <v>2.0833333333333335</v>
      </c>
      <c r="CA28" s="63">
        <f t="shared" si="7"/>
        <v>12.053571428571429</v>
      </c>
      <c r="CB28" s="106"/>
      <c r="CC28" s="65"/>
      <c r="CG28" s="116"/>
      <c r="CH28" s="135"/>
      <c r="CI28" s="135"/>
      <c r="CJ28" s="135"/>
      <c r="CK28" s="135"/>
      <c r="CL28" s="135"/>
      <c r="CM28" s="63"/>
      <c r="CN28" s="66"/>
      <c r="CO28" s="66"/>
      <c r="CP28" s="66"/>
      <c r="CQ28" s="66"/>
      <c r="CR28" s="66"/>
      <c r="CS28" s="66"/>
      <c r="CT28" s="104"/>
      <c r="CU28" s="66"/>
      <c r="CV28" s="66"/>
      <c r="CW28" s="66"/>
      <c r="CX28" s="66"/>
      <c r="CY28" s="63"/>
      <c r="DA28" s="71">
        <v>14.3</v>
      </c>
      <c r="DB28" s="71">
        <v>52.5</v>
      </c>
      <c r="DC28" s="72"/>
      <c r="DD28" s="66">
        <f>1+45/60</f>
        <v>1.75</v>
      </c>
      <c r="DE28" s="47">
        <f t="shared" si="10"/>
        <v>11.013986013986013</v>
      </c>
      <c r="DH28" s="66"/>
      <c r="DI28" s="72"/>
      <c r="DJ28" s="66"/>
      <c r="DK28" s="63"/>
      <c r="EB28" s="135"/>
      <c r="ED28" s="141">
        <v>23.7</v>
      </c>
      <c r="EE28" s="136">
        <v>23.7</v>
      </c>
      <c r="EF28" s="136">
        <v>125</v>
      </c>
      <c r="EG28" s="132"/>
      <c r="EH28" s="132">
        <f>1+45/60</f>
        <v>1.75</v>
      </c>
      <c r="EI28" s="67">
        <f t="shared" si="22"/>
        <v>15.822784810126585</v>
      </c>
      <c r="EJ28" s="138"/>
      <c r="EK28" s="138"/>
      <c r="EL28" s="138"/>
      <c r="EM28" s="138"/>
      <c r="EN28" s="138"/>
      <c r="EP28" s="104">
        <v>7.35</v>
      </c>
      <c r="EQ28" s="66">
        <v>7.35</v>
      </c>
      <c r="ER28" s="66">
        <v>39</v>
      </c>
      <c r="ES28" s="72"/>
      <c r="ET28" s="66">
        <f>2+45/60</f>
        <v>2.75</v>
      </c>
      <c r="EU28" s="63">
        <f t="shared" si="24"/>
        <v>15.918367346938776</v>
      </c>
    </row>
    <row r="29" spans="1:151" x14ac:dyDescent="0.25">
      <c r="A29">
        <v>29</v>
      </c>
      <c r="T29" s="134">
        <v>45</v>
      </c>
      <c r="U29" s="134">
        <v>6.75</v>
      </c>
      <c r="V29" s="134">
        <v>294</v>
      </c>
      <c r="W29" s="133"/>
      <c r="X29" s="135">
        <f>1+5/60</f>
        <v>1.0833333333333333</v>
      </c>
      <c r="Y29" s="117">
        <f t="shared" si="18"/>
        <v>19.599999999999998</v>
      </c>
      <c r="Z29" s="115">
        <v>13.9</v>
      </c>
      <c r="AB29" s="4">
        <v>84</v>
      </c>
      <c r="AC29" s="72"/>
      <c r="AD29" s="66">
        <f>2+5/60</f>
        <v>2.0833333333333335</v>
      </c>
      <c r="AE29" s="63">
        <f t="shared" si="23"/>
        <v>18.129496402877699</v>
      </c>
      <c r="AG29" s="71">
        <v>13.9</v>
      </c>
      <c r="AH29" s="71">
        <v>84</v>
      </c>
      <c r="AJ29" s="66">
        <f>2+5/60</f>
        <v>2.0833333333333335</v>
      </c>
      <c r="AK29" s="120">
        <f t="shared" si="2"/>
        <v>18.129496402877699</v>
      </c>
      <c r="AL29" s="4">
        <v>18</v>
      </c>
      <c r="AM29" s="65">
        <v>18</v>
      </c>
      <c r="AN29" s="65">
        <v>54.6</v>
      </c>
      <c r="AP29" s="66">
        <f>1+5/60</f>
        <v>1.0833333333333333</v>
      </c>
      <c r="AQ29" s="63">
        <f t="shared" si="3"/>
        <v>9.1</v>
      </c>
      <c r="AR29" s="48">
        <v>18</v>
      </c>
      <c r="AS29" s="65">
        <v>18</v>
      </c>
      <c r="AT29" s="65">
        <v>126</v>
      </c>
      <c r="AV29" s="66">
        <f>1+50/60</f>
        <v>1.8333333333333335</v>
      </c>
      <c r="AW29" s="63">
        <f t="shared" si="20"/>
        <v>21</v>
      </c>
      <c r="AY29" s="140">
        <v>27</v>
      </c>
      <c r="AZ29" s="134">
        <v>67.2</v>
      </c>
      <c r="BB29" s="135">
        <f>54/60</f>
        <v>0.9</v>
      </c>
      <c r="BC29" s="63">
        <f t="shared" si="4"/>
        <v>7.4666666666666668</v>
      </c>
      <c r="BD29" s="71">
        <v>26.9</v>
      </c>
      <c r="BE29" s="71"/>
      <c r="BF29" s="71">
        <v>67.2</v>
      </c>
      <c r="BG29" s="72"/>
      <c r="BH29" s="71">
        <f>55/60</f>
        <v>0.91666666666666663</v>
      </c>
      <c r="BI29" s="120">
        <f t="shared" si="5"/>
        <v>7.4944237918215633</v>
      </c>
      <c r="BJ29" s="140">
        <v>29.7</v>
      </c>
      <c r="BK29" s="140">
        <v>9.9</v>
      </c>
      <c r="BL29" s="145">
        <v>67.2</v>
      </c>
      <c r="BM29" s="145"/>
      <c r="BN29" s="140">
        <v>1</v>
      </c>
      <c r="BO29" s="71">
        <f t="shared" si="6"/>
        <v>6.787878787878789</v>
      </c>
      <c r="BP29" s="109"/>
      <c r="BQ29" s="71"/>
      <c r="BR29" s="71"/>
      <c r="BS29" s="72"/>
      <c r="BT29" s="71"/>
      <c r="BU29" s="70"/>
      <c r="BV29" s="124">
        <v>4.49</v>
      </c>
      <c r="BW29" s="65">
        <v>11.7</v>
      </c>
      <c r="BX29" s="65">
        <v>63</v>
      </c>
      <c r="BZ29" s="66">
        <f>2+10/60</f>
        <v>2.1666666666666665</v>
      </c>
      <c r="CA29" s="70">
        <f t="shared" si="7"/>
        <v>16.153846153846157</v>
      </c>
      <c r="CB29" s="106"/>
      <c r="CC29" s="65"/>
      <c r="CD29" s="65"/>
      <c r="CG29" s="120"/>
      <c r="CH29" s="135"/>
      <c r="CI29" s="135"/>
      <c r="CJ29" s="135"/>
      <c r="CK29" s="135"/>
      <c r="CL29" s="135"/>
      <c r="CM29" s="70"/>
      <c r="CN29" s="71"/>
      <c r="CO29" s="71"/>
      <c r="CP29" s="71"/>
      <c r="CQ29" s="71"/>
      <c r="CR29" s="71"/>
      <c r="CS29" s="71"/>
      <c r="CT29" s="109"/>
      <c r="CU29" s="71"/>
      <c r="CV29" s="71"/>
      <c r="CW29" s="71"/>
      <c r="CX29" s="71"/>
      <c r="CY29" s="70"/>
      <c r="DA29" s="71">
        <v>14.8</v>
      </c>
      <c r="DB29" s="71">
        <v>73.5</v>
      </c>
      <c r="DC29" s="72"/>
      <c r="DD29" s="66">
        <f>1+50/60</f>
        <v>1.8333333333333335</v>
      </c>
      <c r="DE29" s="47">
        <f t="shared" si="10"/>
        <v>14.898648648648649</v>
      </c>
      <c r="DG29" s="71">
        <v>34.1</v>
      </c>
      <c r="DH29" s="72">
        <v>105</v>
      </c>
      <c r="DI29" s="72"/>
      <c r="DJ29" s="66">
        <f>55/60</f>
        <v>0.91666666666666663</v>
      </c>
      <c r="DK29" s="63">
        <f t="shared" ref="DK29:DK38" si="25">1/(MAX(DF29:DG29)/((3*DH29)+DI29))</f>
        <v>9.2375366568914963</v>
      </c>
      <c r="EB29" s="135"/>
      <c r="ED29" s="141">
        <v>24.7</v>
      </c>
      <c r="EE29" s="136">
        <v>24.7</v>
      </c>
      <c r="EF29" s="136">
        <v>150</v>
      </c>
      <c r="EG29" s="132"/>
      <c r="EH29" s="132">
        <f>1+50/60</f>
        <v>1.8333333333333335</v>
      </c>
      <c r="EI29" s="67">
        <f t="shared" si="22"/>
        <v>18.218623481781375</v>
      </c>
      <c r="EJ29" s="138"/>
      <c r="EK29" s="138"/>
      <c r="EL29" s="138"/>
      <c r="EM29" s="138"/>
      <c r="EN29" s="138"/>
      <c r="EP29" s="109">
        <v>7.63</v>
      </c>
      <c r="EQ29" s="71">
        <v>7.63</v>
      </c>
      <c r="ER29" s="71">
        <v>54.6</v>
      </c>
      <c r="ES29" s="72"/>
      <c r="ET29" s="71">
        <f>2+55/60</f>
        <v>2.9166666666666665</v>
      </c>
      <c r="EU29" s="70">
        <f t="shared" si="24"/>
        <v>21.467889908256883</v>
      </c>
    </row>
    <row r="30" spans="1:151" x14ac:dyDescent="0.25">
      <c r="A30">
        <v>30</v>
      </c>
      <c r="T30" s="134">
        <v>46.5</v>
      </c>
      <c r="U30" s="134">
        <v>6.9749999999999996</v>
      </c>
      <c r="V30" s="133"/>
      <c r="W30" s="133">
        <v>1050</v>
      </c>
      <c r="X30" s="135">
        <f>1+5/60</f>
        <v>1.0833333333333333</v>
      </c>
      <c r="Y30" s="117">
        <f t="shared" si="18"/>
        <v>22.580645161290324</v>
      </c>
      <c r="Z30" s="115">
        <v>14.4</v>
      </c>
      <c r="AC30" s="72">
        <v>300</v>
      </c>
      <c r="AD30" s="66">
        <f>2+10/60</f>
        <v>2.1666666666666665</v>
      </c>
      <c r="AE30" s="63">
        <f t="shared" si="23"/>
        <v>20.833333333333332</v>
      </c>
      <c r="AG30" s="71">
        <v>14.4</v>
      </c>
      <c r="AI30" s="4">
        <v>300</v>
      </c>
      <c r="AJ30" s="66">
        <f>2+10/60</f>
        <v>2.1666666666666665</v>
      </c>
      <c r="AK30" s="120">
        <f t="shared" si="2"/>
        <v>20.833333333333332</v>
      </c>
      <c r="AL30" s="4">
        <v>18.600000000000001</v>
      </c>
      <c r="AM30" s="4">
        <v>18.600000000000001</v>
      </c>
      <c r="AO30" s="4">
        <v>195</v>
      </c>
      <c r="AP30" s="66">
        <f>1+8/60</f>
        <v>1.1333333333333333</v>
      </c>
      <c r="AQ30" s="63">
        <f t="shared" si="3"/>
        <v>10.483870967741936</v>
      </c>
      <c r="AR30" s="48">
        <v>18.600000000000001</v>
      </c>
      <c r="AS30" s="4">
        <v>18.600000000000001</v>
      </c>
      <c r="AU30" s="4">
        <v>450</v>
      </c>
      <c r="AV30" s="66">
        <f>1+55/60</f>
        <v>1.9166666666666665</v>
      </c>
      <c r="AW30" s="63">
        <f t="shared" si="20"/>
        <v>24.193548387096776</v>
      </c>
      <c r="AY30" s="140">
        <v>27.9</v>
      </c>
      <c r="BA30" s="133">
        <v>240</v>
      </c>
      <c r="BB30" s="135">
        <f>56/60</f>
        <v>0.93333333333333335</v>
      </c>
      <c r="BC30" s="63">
        <f t="shared" si="4"/>
        <v>8.6021505376344098</v>
      </c>
      <c r="BD30" s="71">
        <v>27.9</v>
      </c>
      <c r="BG30" s="72">
        <v>240</v>
      </c>
      <c r="BH30" s="71">
        <f>58/60</f>
        <v>0.96666666666666667</v>
      </c>
      <c r="BI30" s="120">
        <f t="shared" si="5"/>
        <v>8.6021505376344098</v>
      </c>
      <c r="BJ30" s="140">
        <v>30.6</v>
      </c>
      <c r="BK30" s="140">
        <v>10.199999999999999</v>
      </c>
      <c r="BL30" s="145"/>
      <c r="BM30" s="145">
        <v>240</v>
      </c>
      <c r="BN30" s="140">
        <f>1</f>
        <v>1</v>
      </c>
      <c r="BO30" s="71">
        <f t="shared" si="6"/>
        <v>7.8431372549019605</v>
      </c>
      <c r="BP30" s="109"/>
      <c r="BS30" s="72"/>
      <c r="BT30" s="71"/>
      <c r="BU30" s="70"/>
      <c r="BV30" s="124">
        <v>4.6500000000000004</v>
      </c>
      <c r="BW30" s="65">
        <v>12.1</v>
      </c>
      <c r="BY30" s="4">
        <v>225</v>
      </c>
      <c r="BZ30" s="66">
        <f>2+15/60</f>
        <v>2.25</v>
      </c>
      <c r="CA30" s="70">
        <f t="shared" si="7"/>
        <v>18.595041322314049</v>
      </c>
      <c r="CH30" s="135"/>
      <c r="CI30" s="135"/>
      <c r="CJ30" s="135"/>
      <c r="CK30" s="135"/>
      <c r="CL30" s="135"/>
      <c r="DA30" s="71">
        <v>15.4</v>
      </c>
      <c r="DC30" s="72">
        <v>263</v>
      </c>
      <c r="DD30" s="66">
        <f>1+55/60</f>
        <v>1.9166666666666665</v>
      </c>
      <c r="DE30" s="47">
        <f t="shared" si="10"/>
        <v>17.077922077922079</v>
      </c>
      <c r="DG30" s="71">
        <v>35.4</v>
      </c>
      <c r="DH30" s="72"/>
      <c r="DI30" s="72">
        <v>375</v>
      </c>
      <c r="DJ30" s="66">
        <f>58/60</f>
        <v>0.96666666666666667</v>
      </c>
      <c r="DK30" s="63">
        <f t="shared" si="25"/>
        <v>10.593220338983052</v>
      </c>
      <c r="EB30" s="135"/>
      <c r="ED30" s="141">
        <v>25.5</v>
      </c>
      <c r="EE30" s="136">
        <v>25.5</v>
      </c>
      <c r="EF30" s="136"/>
      <c r="EG30" s="132">
        <v>400</v>
      </c>
      <c r="EH30" s="132">
        <f>1+55/60</f>
        <v>1.9166666666666665</v>
      </c>
      <c r="EI30" s="67">
        <f t="shared" si="22"/>
        <v>15.686274509803921</v>
      </c>
      <c r="EP30" s="109">
        <v>7.91</v>
      </c>
      <c r="EQ30" s="71">
        <v>7.91</v>
      </c>
      <c r="ES30" s="72">
        <v>195</v>
      </c>
      <c r="ET30" s="71">
        <v>3</v>
      </c>
      <c r="EU30" s="70">
        <f t="shared" si="24"/>
        <v>24.652338811630845</v>
      </c>
    </row>
    <row r="31" spans="1:151" x14ac:dyDescent="0.25">
      <c r="A31">
        <v>31</v>
      </c>
      <c r="T31" s="134">
        <v>49.5</v>
      </c>
      <c r="U31" s="134">
        <v>7.4249999999999998</v>
      </c>
      <c r="V31" s="134">
        <v>420</v>
      </c>
      <c r="W31" s="133"/>
      <c r="X31" s="135">
        <f>1+10/60</f>
        <v>1.1666666666666667</v>
      </c>
      <c r="Y31" s="117">
        <f t="shared" si="18"/>
        <v>25.454545454545457</v>
      </c>
      <c r="Z31" s="115">
        <v>15.3</v>
      </c>
      <c r="AB31" s="4">
        <v>120</v>
      </c>
      <c r="AC31" s="72"/>
      <c r="AD31" s="66">
        <f>2+15/60</f>
        <v>2.25</v>
      </c>
      <c r="AE31" s="63">
        <f t="shared" si="23"/>
        <v>23.52941176470588</v>
      </c>
      <c r="AG31" s="71">
        <v>15.3</v>
      </c>
      <c r="AH31" s="72">
        <v>120</v>
      </c>
      <c r="AJ31" s="66">
        <f>2+15/60</f>
        <v>2.25</v>
      </c>
      <c r="AK31" s="120">
        <f t="shared" si="2"/>
        <v>23.52941176470588</v>
      </c>
      <c r="AL31" s="4">
        <v>19.8</v>
      </c>
      <c r="AM31" s="4">
        <v>19.8</v>
      </c>
      <c r="AN31" s="4">
        <v>78</v>
      </c>
      <c r="AP31" s="66">
        <f>1+10/60</f>
        <v>1.1666666666666667</v>
      </c>
      <c r="AQ31" s="63">
        <f t="shared" si="3"/>
        <v>11.818181818181818</v>
      </c>
      <c r="AR31" s="48">
        <v>19.8</v>
      </c>
      <c r="AS31" s="4">
        <v>19.8</v>
      </c>
      <c r="AT31" s="4">
        <v>180</v>
      </c>
      <c r="AV31" s="66">
        <v>2</v>
      </c>
      <c r="AW31" s="63">
        <f t="shared" si="20"/>
        <v>27.272727272727273</v>
      </c>
      <c r="AX31" s="119"/>
      <c r="AY31" s="88">
        <v>29.7</v>
      </c>
      <c r="AZ31" s="88">
        <v>96</v>
      </c>
      <c r="BA31" s="88"/>
      <c r="BB31" s="89">
        <v>1</v>
      </c>
      <c r="BC31" s="90">
        <f t="shared" si="4"/>
        <v>9.6969696969696972</v>
      </c>
      <c r="BD31" s="71">
        <v>29.7</v>
      </c>
      <c r="BF31" s="71">
        <v>96</v>
      </c>
      <c r="BG31" s="72"/>
      <c r="BH31" s="71">
        <v>1</v>
      </c>
      <c r="BI31" s="120">
        <f t="shared" si="5"/>
        <v>9.6969696969696972</v>
      </c>
      <c r="BJ31" s="140">
        <v>32.6</v>
      </c>
      <c r="BK31" s="140">
        <v>10.8</v>
      </c>
      <c r="BL31" s="145">
        <v>96</v>
      </c>
      <c r="BM31" s="145"/>
      <c r="BN31" s="140">
        <f>1+5/60</f>
        <v>1.0833333333333333</v>
      </c>
      <c r="BO31" s="71">
        <f t="shared" si="6"/>
        <v>8.8343558282208594</v>
      </c>
      <c r="BP31" s="109"/>
      <c r="BR31" s="71"/>
      <c r="BS31" s="72"/>
      <c r="BT31" s="71"/>
      <c r="BU31" s="70"/>
      <c r="BV31" s="124">
        <v>4.95</v>
      </c>
      <c r="BW31" s="65">
        <v>12.9</v>
      </c>
      <c r="BX31" s="65">
        <v>90</v>
      </c>
      <c r="BZ31" s="66">
        <f>2+20/60</f>
        <v>2.3333333333333335</v>
      </c>
      <c r="CA31" s="70">
        <f t="shared" si="7"/>
        <v>20.930232558139533</v>
      </c>
      <c r="CH31" s="135"/>
      <c r="CI31" s="135"/>
      <c r="CJ31" s="135"/>
      <c r="CK31" s="135"/>
      <c r="CL31" s="135"/>
      <c r="DA31" s="71">
        <v>16.3</v>
      </c>
      <c r="DB31" s="72">
        <v>105</v>
      </c>
      <c r="DC31" s="72"/>
      <c r="DD31" s="66">
        <v>2</v>
      </c>
      <c r="DE31" s="47">
        <f t="shared" si="10"/>
        <v>19.325153374233128</v>
      </c>
      <c r="DG31" s="71">
        <v>37.6</v>
      </c>
      <c r="DH31" s="72">
        <v>150</v>
      </c>
      <c r="DI31" s="72"/>
      <c r="DJ31" s="66">
        <v>1</v>
      </c>
      <c r="DK31" s="63">
        <f t="shared" si="25"/>
        <v>11.968085106382977</v>
      </c>
      <c r="EB31" s="135"/>
      <c r="ED31" s="141">
        <v>27.2</v>
      </c>
      <c r="EE31" s="136">
        <v>27.2</v>
      </c>
      <c r="EF31" s="136">
        <v>187</v>
      </c>
      <c r="EG31" s="132"/>
      <c r="EH31" s="132">
        <f>2</f>
        <v>2</v>
      </c>
      <c r="EI31" s="67">
        <f t="shared" si="22"/>
        <v>20.625</v>
      </c>
      <c r="ES31" s="72"/>
      <c r="ET31" s="71"/>
    </row>
    <row r="32" spans="1:151" x14ac:dyDescent="0.25">
      <c r="A32">
        <v>32</v>
      </c>
      <c r="Z32" s="115">
        <v>16.399999999999999</v>
      </c>
      <c r="AB32" s="4">
        <v>140</v>
      </c>
      <c r="AC32" s="72"/>
      <c r="AD32" s="66">
        <f>2+20/60</f>
        <v>2.3333333333333335</v>
      </c>
      <c r="AE32" s="63">
        <f t="shared" si="23"/>
        <v>25.609756097560975</v>
      </c>
      <c r="AG32" s="71">
        <v>16.399999999999999</v>
      </c>
      <c r="AH32" s="72">
        <v>140</v>
      </c>
      <c r="AJ32" s="66">
        <f>2+20/60</f>
        <v>2.3333333333333335</v>
      </c>
      <c r="AK32" s="120">
        <f t="shared" si="2"/>
        <v>25.609756097560975</v>
      </c>
      <c r="AL32" s="4">
        <v>21.1</v>
      </c>
      <c r="AM32" s="4">
        <v>21.1</v>
      </c>
      <c r="AN32" s="4">
        <v>91</v>
      </c>
      <c r="AP32" s="66">
        <f>1+15/60</f>
        <v>1.25</v>
      </c>
      <c r="AQ32" s="63">
        <f t="shared" si="3"/>
        <v>12.938388625592417</v>
      </c>
      <c r="AR32" s="48">
        <v>21.1</v>
      </c>
      <c r="AS32" s="4">
        <v>21.1</v>
      </c>
      <c r="AT32" s="4">
        <v>210</v>
      </c>
      <c r="AV32" s="66">
        <f>2+5/60</f>
        <v>2.0833333333333335</v>
      </c>
      <c r="AW32" s="63">
        <f t="shared" si="20"/>
        <v>29.857819905213265</v>
      </c>
      <c r="AX32" s="115">
        <v>10.6</v>
      </c>
      <c r="AY32" s="4">
        <v>31.7</v>
      </c>
      <c r="AZ32" s="4">
        <v>112</v>
      </c>
      <c r="BB32" s="66">
        <f>1+2/60</f>
        <v>1.0333333333333334</v>
      </c>
      <c r="BC32" s="63">
        <f t="shared" si="4"/>
        <v>10.599369085173501</v>
      </c>
      <c r="BD32" s="71">
        <v>31.7</v>
      </c>
      <c r="BE32" s="4">
        <v>10.6</v>
      </c>
      <c r="BF32" s="72">
        <v>112</v>
      </c>
      <c r="BG32" s="72"/>
      <c r="BH32" s="71">
        <f>1+2/60</f>
        <v>1.0333333333333334</v>
      </c>
      <c r="BI32" s="120">
        <f t="shared" si="5"/>
        <v>10.599369085173501</v>
      </c>
      <c r="BJ32" s="140">
        <v>34.799999999999997</v>
      </c>
      <c r="BK32" s="140">
        <v>11.6</v>
      </c>
      <c r="BL32" s="145">
        <v>112</v>
      </c>
      <c r="BM32" s="145"/>
      <c r="BN32" s="140">
        <f>1+5/60</f>
        <v>1.0833333333333333</v>
      </c>
      <c r="BO32" s="71">
        <f t="shared" si="6"/>
        <v>9.655172413793105</v>
      </c>
      <c r="BP32" s="109"/>
      <c r="BR32" s="72"/>
      <c r="BS32" s="72"/>
      <c r="BT32" s="71"/>
      <c r="BU32" s="70"/>
      <c r="BV32" s="124">
        <v>5.28</v>
      </c>
      <c r="BW32" s="65">
        <v>13.7</v>
      </c>
      <c r="BX32" s="65">
        <v>105</v>
      </c>
      <c r="BZ32" s="66">
        <f>2.5</f>
        <v>2.5</v>
      </c>
      <c r="CA32" s="47">
        <f t="shared" si="7"/>
        <v>22.992700729927009</v>
      </c>
      <c r="CH32" s="135"/>
      <c r="CI32" s="135"/>
      <c r="CJ32" s="135"/>
      <c r="CK32" s="135"/>
      <c r="CL32" s="135"/>
      <c r="DA32" s="71">
        <v>17.399999999999999</v>
      </c>
      <c r="DB32" s="72">
        <v>123</v>
      </c>
      <c r="DC32" s="72"/>
      <c r="DD32" s="66">
        <f>2+5/60</f>
        <v>2.0833333333333335</v>
      </c>
      <c r="DE32" s="47">
        <f t="shared" si="10"/>
        <v>21.206896551724139</v>
      </c>
      <c r="DG32" s="71">
        <v>40.1</v>
      </c>
      <c r="DH32" s="72">
        <v>175</v>
      </c>
      <c r="DI32" s="72"/>
      <c r="DJ32" s="66">
        <f>1+2/60</f>
        <v>1.0333333333333334</v>
      </c>
      <c r="DK32" s="70">
        <f t="shared" si="25"/>
        <v>13.092269326683292</v>
      </c>
      <c r="EB32" s="135"/>
      <c r="ED32" s="141">
        <v>29</v>
      </c>
      <c r="EE32" s="136">
        <v>29</v>
      </c>
      <c r="EF32" s="136">
        <v>197</v>
      </c>
      <c r="EG32" s="132"/>
      <c r="EH32" s="132">
        <f>2+5/60</f>
        <v>2.0833333333333335</v>
      </c>
      <c r="EI32" s="67">
        <f t="shared" si="22"/>
        <v>20.379310344827587</v>
      </c>
      <c r="ES32" s="72"/>
      <c r="ET32" s="71"/>
    </row>
    <row r="33" spans="1:150" x14ac:dyDescent="0.25">
      <c r="A33">
        <v>33</v>
      </c>
      <c r="Z33" s="115">
        <v>18.399999999999999</v>
      </c>
      <c r="AC33" s="72">
        <v>400</v>
      </c>
      <c r="AD33" s="66">
        <v>2.5</v>
      </c>
      <c r="AE33" s="63">
        <f t="shared" si="23"/>
        <v>21.739130434782609</v>
      </c>
      <c r="AG33" s="71">
        <v>18.399999999999999</v>
      </c>
      <c r="AH33" s="72"/>
      <c r="AI33" s="4">
        <v>400</v>
      </c>
      <c r="AJ33" s="66">
        <f>2+30/60</f>
        <v>2.5</v>
      </c>
      <c r="AK33" s="120">
        <f t="shared" si="2"/>
        <v>21.739130434782609</v>
      </c>
      <c r="AL33" s="4">
        <v>23.8</v>
      </c>
      <c r="AM33" s="65">
        <v>23.8</v>
      </c>
      <c r="AO33" s="4">
        <v>260</v>
      </c>
      <c r="AP33" s="66">
        <f>1+18/60</f>
        <v>1.3</v>
      </c>
      <c r="AQ33" s="63">
        <f t="shared" si="3"/>
        <v>10.92436974789916</v>
      </c>
      <c r="AR33" s="48">
        <v>23.8</v>
      </c>
      <c r="AS33" s="65">
        <v>23.8</v>
      </c>
      <c r="AU33" s="4">
        <v>600</v>
      </c>
      <c r="AV33" s="66">
        <f>2+10/60</f>
        <v>2.1666666666666665</v>
      </c>
      <c r="AW33" s="63">
        <f t="shared" si="20"/>
        <v>25.210084033613445</v>
      </c>
      <c r="AX33" s="115">
        <v>11.9</v>
      </c>
      <c r="AY33" s="4">
        <v>35.6</v>
      </c>
      <c r="BA33" s="4">
        <v>320</v>
      </c>
      <c r="BB33" s="66">
        <f>1+5/60</f>
        <v>1.0833333333333333</v>
      </c>
      <c r="BC33" s="63">
        <f t="shared" si="4"/>
        <v>8.9887640449438209</v>
      </c>
      <c r="BD33" s="71">
        <v>35.6</v>
      </c>
      <c r="BE33" s="4">
        <v>11.9</v>
      </c>
      <c r="BF33" s="72"/>
      <c r="BG33" s="72">
        <v>320</v>
      </c>
      <c r="BH33" s="71">
        <f>1+5/60</f>
        <v>1.0833333333333333</v>
      </c>
      <c r="BI33" s="120">
        <f t="shared" si="5"/>
        <v>8.9887640449438209</v>
      </c>
      <c r="BJ33" s="140">
        <v>39.200000000000003</v>
      </c>
      <c r="BK33" s="140">
        <v>13</v>
      </c>
      <c r="BL33" s="145"/>
      <c r="BM33" s="145">
        <v>320</v>
      </c>
      <c r="BN33" s="140">
        <f>1+10/60</f>
        <v>1.1666666666666667</v>
      </c>
      <c r="BO33" s="71">
        <f t="shared" si="6"/>
        <v>8.1632653061224474</v>
      </c>
      <c r="BP33" s="109"/>
      <c r="BR33" s="72"/>
      <c r="BS33" s="72"/>
      <c r="BT33" s="71"/>
      <c r="BU33" s="70"/>
      <c r="BV33" s="124">
        <v>5.94</v>
      </c>
      <c r="BW33" s="65">
        <v>15.4</v>
      </c>
      <c r="BY33" s="4">
        <v>300</v>
      </c>
      <c r="BZ33" s="66">
        <f>2+35/60</f>
        <v>2.5833333333333335</v>
      </c>
      <c r="CA33" s="47">
        <f t="shared" si="7"/>
        <v>19.480519480519479</v>
      </c>
      <c r="CH33" s="135"/>
      <c r="CI33" s="135"/>
      <c r="CJ33" s="135"/>
      <c r="CK33" s="135"/>
      <c r="CL33" s="135"/>
      <c r="DA33" s="71">
        <v>19.600000000000001</v>
      </c>
      <c r="DB33" s="72"/>
      <c r="DC33" s="72">
        <v>350</v>
      </c>
      <c r="DD33" s="66">
        <f>2+10/60</f>
        <v>2.1666666666666665</v>
      </c>
      <c r="DE33" s="47">
        <f t="shared" si="10"/>
        <v>17.857142857142858</v>
      </c>
      <c r="DG33" s="71">
        <v>45.1</v>
      </c>
      <c r="DH33" s="72"/>
      <c r="DI33" s="72">
        <v>500</v>
      </c>
      <c r="DJ33" s="66">
        <f>1+5/60</f>
        <v>1.0833333333333333</v>
      </c>
      <c r="DK33" s="70">
        <f t="shared" si="25"/>
        <v>11.086474501108647</v>
      </c>
      <c r="EB33" s="135"/>
      <c r="ED33" s="141">
        <v>32.6</v>
      </c>
      <c r="EE33" s="136">
        <v>32.6</v>
      </c>
      <c r="EF33" s="136"/>
      <c r="EG33" s="132">
        <v>525</v>
      </c>
      <c r="EH33" s="132">
        <f>2+10/60</f>
        <v>2.1666666666666665</v>
      </c>
      <c r="EI33" s="67">
        <f t="shared" si="22"/>
        <v>16.104294478527606</v>
      </c>
      <c r="ES33" s="72"/>
      <c r="ET33" s="71"/>
    </row>
    <row r="34" spans="1:150" x14ac:dyDescent="0.25">
      <c r="A34">
        <v>34</v>
      </c>
      <c r="Z34" s="115">
        <v>20.399999999999999</v>
      </c>
      <c r="AB34" s="4">
        <v>160</v>
      </c>
      <c r="AC34" s="72"/>
      <c r="AD34" s="66">
        <f>2+35/60</f>
        <v>2.5833333333333335</v>
      </c>
      <c r="AE34" s="63">
        <f t="shared" si="23"/>
        <v>23.529411764705884</v>
      </c>
      <c r="AG34" s="71">
        <v>20.399999999999999</v>
      </c>
      <c r="AH34" s="72">
        <v>160</v>
      </c>
      <c r="AJ34" s="66">
        <f>2+35/60</f>
        <v>2.5833333333333335</v>
      </c>
      <c r="AK34" s="120">
        <f t="shared" si="2"/>
        <v>23.529411764705884</v>
      </c>
      <c r="AL34" s="133">
        <v>26.2</v>
      </c>
      <c r="AM34" s="134">
        <v>26.2</v>
      </c>
      <c r="AN34" s="133">
        <v>104</v>
      </c>
      <c r="AO34" s="133"/>
      <c r="AP34" s="135">
        <f>1+5/60</f>
        <v>1.0833333333333333</v>
      </c>
      <c r="AQ34" s="63">
        <f t="shared" si="3"/>
        <v>11.908396946564887</v>
      </c>
      <c r="AR34" s="48">
        <v>26.3</v>
      </c>
      <c r="AS34" s="65">
        <v>26.3</v>
      </c>
      <c r="AT34" s="65">
        <v>240</v>
      </c>
      <c r="AV34" s="66">
        <f>2+15/60</f>
        <v>2.25</v>
      </c>
      <c r="AW34" s="63">
        <f t="shared" si="20"/>
        <v>27.376425855513308</v>
      </c>
      <c r="AX34" s="115">
        <v>13.1</v>
      </c>
      <c r="AY34" s="65">
        <v>39.4</v>
      </c>
      <c r="AZ34" s="4">
        <v>128</v>
      </c>
      <c r="BB34" s="66">
        <f>1+8/60</f>
        <v>1.1333333333333333</v>
      </c>
      <c r="BC34" s="63">
        <f t="shared" si="4"/>
        <v>9.746192893401016</v>
      </c>
      <c r="BD34" s="71">
        <v>39.4</v>
      </c>
      <c r="BE34" s="4">
        <v>13.1</v>
      </c>
      <c r="BF34" s="72">
        <v>128</v>
      </c>
      <c r="BG34" s="72"/>
      <c r="BH34" s="140">
        <f>1+5/60</f>
        <v>1.0833333333333333</v>
      </c>
      <c r="BI34" s="120">
        <f t="shared" si="5"/>
        <v>9.746192893401016</v>
      </c>
      <c r="BJ34" s="140">
        <v>43.3</v>
      </c>
      <c r="BK34" s="140">
        <v>14.4</v>
      </c>
      <c r="BL34" s="145">
        <v>128</v>
      </c>
      <c r="BM34" s="145"/>
      <c r="BN34" s="140">
        <f>1+10/60</f>
        <v>1.1666666666666667</v>
      </c>
      <c r="BO34" s="71">
        <f t="shared" si="6"/>
        <v>8.8683602771362597</v>
      </c>
      <c r="BP34" s="109"/>
      <c r="BR34" s="72"/>
      <c r="BS34" s="72"/>
      <c r="BT34" s="71"/>
      <c r="BU34" s="70"/>
      <c r="BV34" s="124">
        <v>7.57</v>
      </c>
      <c r="BW34" s="65">
        <v>17.100000000000001</v>
      </c>
      <c r="BX34" s="65">
        <v>120</v>
      </c>
      <c r="BZ34" s="66">
        <f>2+40/60</f>
        <v>2.6666666666666665</v>
      </c>
      <c r="CA34" s="47">
        <f t="shared" si="7"/>
        <v>21.05263157894737</v>
      </c>
      <c r="CH34" s="135"/>
      <c r="CI34" s="135"/>
      <c r="CJ34" s="135"/>
      <c r="CK34" s="135"/>
      <c r="CL34" s="135"/>
      <c r="DA34" s="71">
        <v>21.7</v>
      </c>
      <c r="DB34" s="72">
        <v>140</v>
      </c>
      <c r="DC34" s="72"/>
      <c r="DD34" s="66">
        <f>2+15/60</f>
        <v>2.25</v>
      </c>
      <c r="DE34" s="47">
        <f t="shared" si="10"/>
        <v>19.35483870967742</v>
      </c>
      <c r="DG34" s="71">
        <v>49.9</v>
      </c>
      <c r="DH34" s="72">
        <v>200</v>
      </c>
      <c r="DI34" s="72"/>
      <c r="DJ34" s="66">
        <f>1+8/60</f>
        <v>1.1333333333333333</v>
      </c>
      <c r="DK34" s="70">
        <f t="shared" si="25"/>
        <v>12.024048096192384</v>
      </c>
      <c r="EB34" s="135"/>
      <c r="ED34" s="141">
        <v>36.1</v>
      </c>
      <c r="EE34" s="136">
        <v>36.1</v>
      </c>
      <c r="EF34" s="136">
        <v>200</v>
      </c>
      <c r="EG34" s="132"/>
      <c r="EH34" s="132">
        <f>2+15/60</f>
        <v>2.25</v>
      </c>
      <c r="EI34" s="67">
        <f t="shared" si="22"/>
        <v>16.62049861495845</v>
      </c>
      <c r="ES34" s="72"/>
      <c r="ET34" s="71"/>
    </row>
    <row r="35" spans="1:150" x14ac:dyDescent="0.25">
      <c r="A35">
        <v>35</v>
      </c>
      <c r="Z35" s="115">
        <v>21.4</v>
      </c>
      <c r="AB35" s="4">
        <v>180</v>
      </c>
      <c r="AC35" s="72"/>
      <c r="AD35" s="66">
        <f>2+40/60</f>
        <v>2.6666666666666665</v>
      </c>
      <c r="AE35" s="47">
        <f t="shared" si="23"/>
        <v>25.233644859813086</v>
      </c>
      <c r="AG35" s="71">
        <v>21.4</v>
      </c>
      <c r="AH35" s="72">
        <v>180</v>
      </c>
      <c r="AJ35" s="66">
        <f>2+40/60</f>
        <v>2.6666666666666665</v>
      </c>
      <c r="AK35" s="120">
        <f t="shared" si="2"/>
        <v>25.233644859813086</v>
      </c>
      <c r="AL35" s="4">
        <v>27.6</v>
      </c>
      <c r="AM35" s="65">
        <v>27.6</v>
      </c>
      <c r="AN35" s="65">
        <v>117</v>
      </c>
      <c r="AP35" s="66">
        <f>1+22/60</f>
        <v>1.3666666666666667</v>
      </c>
      <c r="AQ35" s="63">
        <f t="shared" si="3"/>
        <v>12.717391304347826</v>
      </c>
      <c r="AR35" s="48">
        <v>27.6</v>
      </c>
      <c r="AS35" s="65">
        <v>27.6</v>
      </c>
      <c r="AT35" s="65">
        <v>270</v>
      </c>
      <c r="AV35" s="66">
        <f>2+20/60</f>
        <v>2.3333333333333335</v>
      </c>
      <c r="AW35" s="47">
        <f t="shared" si="20"/>
        <v>29.34782608695652</v>
      </c>
      <c r="AX35" s="124">
        <v>13.8</v>
      </c>
      <c r="AY35" s="65">
        <v>41.4</v>
      </c>
      <c r="AZ35" s="65">
        <v>144</v>
      </c>
      <c r="BB35" s="66">
        <f>1+10/60</f>
        <v>1.1666666666666667</v>
      </c>
      <c r="BC35" s="63">
        <f t="shared" si="4"/>
        <v>10.434782608695652</v>
      </c>
      <c r="BD35" s="71">
        <v>41.4</v>
      </c>
      <c r="BE35" s="65">
        <v>13.8</v>
      </c>
      <c r="BF35" s="72">
        <v>144</v>
      </c>
      <c r="BG35" s="72"/>
      <c r="BH35" s="71">
        <f>1+10/60</f>
        <v>1.1666666666666667</v>
      </c>
      <c r="BI35" s="116">
        <f t="shared" si="5"/>
        <v>10.434782608695652</v>
      </c>
      <c r="BJ35" s="135">
        <v>45.5</v>
      </c>
      <c r="BK35" s="135">
        <v>15.1</v>
      </c>
      <c r="BL35" s="138">
        <v>144</v>
      </c>
      <c r="BM35" s="138"/>
      <c r="BN35" s="135">
        <f>1+15/60</f>
        <v>1.25</v>
      </c>
      <c r="BO35" s="66">
        <f t="shared" si="6"/>
        <v>9.4945054945054945</v>
      </c>
      <c r="BR35" s="72"/>
      <c r="BS35" s="72"/>
      <c r="BT35" s="71"/>
      <c r="BZ35" s="66"/>
      <c r="CH35" s="135"/>
      <c r="CI35" s="135"/>
      <c r="CJ35" s="135"/>
      <c r="CK35" s="135"/>
      <c r="CL35" s="135"/>
      <c r="DA35" s="71">
        <v>22.8</v>
      </c>
      <c r="DB35" s="72">
        <v>158</v>
      </c>
      <c r="DC35" s="72"/>
      <c r="DD35" s="66">
        <f>2+20/60</f>
        <v>2.3333333333333335</v>
      </c>
      <c r="DE35" s="47">
        <f t="shared" si="10"/>
        <v>20.789473684210527</v>
      </c>
      <c r="DG35" s="71">
        <v>52.4</v>
      </c>
      <c r="DH35" s="72">
        <v>225</v>
      </c>
      <c r="DI35" s="72"/>
      <c r="DJ35" s="66">
        <f>1+10/60</f>
        <v>1.1666666666666667</v>
      </c>
      <c r="DK35" s="70">
        <f t="shared" si="25"/>
        <v>12.881679389312977</v>
      </c>
      <c r="EB35" s="135"/>
      <c r="ED35" s="141">
        <v>37.9</v>
      </c>
      <c r="EE35" s="136">
        <v>37.9</v>
      </c>
      <c r="EF35" s="136">
        <v>225</v>
      </c>
      <c r="EG35" s="132"/>
      <c r="EH35" s="132">
        <f>2+20/60</f>
        <v>2.3333333333333335</v>
      </c>
      <c r="EI35" s="67">
        <f t="shared" si="22"/>
        <v>17.810026385224273</v>
      </c>
      <c r="ES35" s="72"/>
      <c r="ET35" s="71"/>
    </row>
    <row r="36" spans="1:150" x14ac:dyDescent="0.25">
      <c r="A36">
        <v>36</v>
      </c>
      <c r="Z36" s="115">
        <v>22.4</v>
      </c>
      <c r="AC36" s="72">
        <v>450</v>
      </c>
      <c r="AD36" s="66">
        <f>2+45/60</f>
        <v>2.75</v>
      </c>
      <c r="AE36" s="47">
        <f t="shared" si="23"/>
        <v>20.089285714285715</v>
      </c>
      <c r="AG36" s="71">
        <v>22.4</v>
      </c>
      <c r="AH36" s="72"/>
      <c r="AI36" s="4">
        <v>450</v>
      </c>
      <c r="AJ36" s="66">
        <f>2+45/60</f>
        <v>2.75</v>
      </c>
      <c r="AK36" s="120">
        <f t="shared" si="2"/>
        <v>20.089285714285715</v>
      </c>
      <c r="AL36" s="4">
        <v>28.9</v>
      </c>
      <c r="AM36" s="65">
        <v>28.9</v>
      </c>
      <c r="AO36" s="4">
        <v>283</v>
      </c>
      <c r="AP36" s="66">
        <f>1+25/60</f>
        <v>1.4166666666666667</v>
      </c>
      <c r="AQ36" s="63">
        <f t="shared" si="3"/>
        <v>9.7923875432525946</v>
      </c>
      <c r="AR36" s="48">
        <v>28.9</v>
      </c>
      <c r="AS36" s="65">
        <v>28.9</v>
      </c>
      <c r="AU36" s="4">
        <v>675</v>
      </c>
      <c r="AV36" s="66">
        <f>2+25/60</f>
        <v>2.4166666666666665</v>
      </c>
      <c r="AW36" s="47">
        <f t="shared" si="20"/>
        <v>23.356401384083046</v>
      </c>
      <c r="AX36" s="124">
        <v>14.5</v>
      </c>
      <c r="AY36" s="65">
        <v>43.4</v>
      </c>
      <c r="BA36" s="4">
        <v>360</v>
      </c>
      <c r="BB36" s="66">
        <f>1+15/60</f>
        <v>1.25</v>
      </c>
      <c r="BC36" s="63">
        <f t="shared" si="4"/>
        <v>8.2949308755760374</v>
      </c>
      <c r="BD36" s="71">
        <v>43.4</v>
      </c>
      <c r="BE36" s="65">
        <v>14.5</v>
      </c>
      <c r="BF36" s="72"/>
      <c r="BG36" s="72">
        <v>360</v>
      </c>
      <c r="BH36" s="71">
        <f>1+15/60</f>
        <v>1.25</v>
      </c>
      <c r="BI36" s="116">
        <f t="shared" si="5"/>
        <v>8.2949308755760374</v>
      </c>
      <c r="BJ36" s="135">
        <v>47.7</v>
      </c>
      <c r="BK36" s="135">
        <v>15.9</v>
      </c>
      <c r="BL36" s="138"/>
      <c r="BM36" s="138">
        <v>360</v>
      </c>
      <c r="BN36" s="135">
        <f>1+15/60</f>
        <v>1.25</v>
      </c>
      <c r="BO36" s="66">
        <f t="shared" si="6"/>
        <v>7.5471698113207539</v>
      </c>
      <c r="BR36" s="72"/>
      <c r="BT36" s="71"/>
      <c r="BZ36" s="66"/>
      <c r="CH36" s="135"/>
      <c r="CI36" s="135"/>
      <c r="CJ36" s="135"/>
      <c r="CK36" s="135"/>
      <c r="CL36" s="135"/>
      <c r="DA36" s="71">
        <v>23.8</v>
      </c>
      <c r="DB36" s="72"/>
      <c r="DC36" s="72">
        <v>394</v>
      </c>
      <c r="DD36" s="66">
        <f>2+25/60</f>
        <v>2.4166666666666665</v>
      </c>
      <c r="DE36" s="47">
        <f t="shared" si="10"/>
        <v>16.554621848739494</v>
      </c>
      <c r="DG36" s="71">
        <v>54.9</v>
      </c>
      <c r="DH36" s="72"/>
      <c r="DI36" s="72">
        <v>563</v>
      </c>
      <c r="DJ36" s="66">
        <f>1+15/60</f>
        <v>1.25</v>
      </c>
      <c r="DK36" s="70">
        <f t="shared" si="25"/>
        <v>10.255009107468124</v>
      </c>
      <c r="EB36" s="135"/>
      <c r="ED36" s="141">
        <v>39.700000000000003</v>
      </c>
      <c r="EE36" s="136">
        <v>39.700000000000003</v>
      </c>
      <c r="EF36" s="136"/>
      <c r="EG36" s="132">
        <v>562</v>
      </c>
      <c r="EH36" s="132">
        <f>2+25/60</f>
        <v>2.4166666666666665</v>
      </c>
      <c r="EI36" s="67">
        <f t="shared" si="22"/>
        <v>14.156171284634761</v>
      </c>
      <c r="ES36" s="72"/>
      <c r="ET36" s="71"/>
    </row>
    <row r="37" spans="1:150" x14ac:dyDescent="0.25">
      <c r="A37">
        <v>37</v>
      </c>
      <c r="Z37" s="115">
        <v>23</v>
      </c>
      <c r="AB37" s="4">
        <v>240</v>
      </c>
      <c r="AC37" s="72"/>
      <c r="AD37" s="66">
        <f>3</f>
        <v>3</v>
      </c>
      <c r="AE37" s="47">
        <f t="shared" si="23"/>
        <v>31.304347826086961</v>
      </c>
      <c r="AG37" s="71">
        <v>23</v>
      </c>
      <c r="AH37" s="72">
        <v>240</v>
      </c>
      <c r="AJ37" s="66">
        <f>3</f>
        <v>3</v>
      </c>
      <c r="AK37" s="120">
        <f t="shared" si="2"/>
        <v>31.304347826086961</v>
      </c>
      <c r="AL37" s="4">
        <v>29.7</v>
      </c>
      <c r="AM37" s="65">
        <v>29.7</v>
      </c>
      <c r="AN37" s="65">
        <v>156</v>
      </c>
      <c r="AP37" s="66">
        <f>1+35/60</f>
        <v>1.5833333333333335</v>
      </c>
      <c r="AQ37" s="63">
        <f t="shared" si="3"/>
        <v>15.757575757575758</v>
      </c>
      <c r="AR37" s="48">
        <v>29.7</v>
      </c>
      <c r="AS37" s="65">
        <v>29.7</v>
      </c>
      <c r="AT37" s="65">
        <v>360</v>
      </c>
      <c r="AV37" s="66">
        <f>2+40/60</f>
        <v>2.6666666666666665</v>
      </c>
      <c r="AW37" s="47">
        <f t="shared" si="20"/>
        <v>36.363636363636367</v>
      </c>
      <c r="AX37" s="146">
        <v>14.8</v>
      </c>
      <c r="AY37" s="134">
        <v>44.6</v>
      </c>
      <c r="AZ37" s="134">
        <v>192</v>
      </c>
      <c r="BA37" s="133"/>
      <c r="BB37" s="135">
        <f>1+20/60</f>
        <v>1.3333333333333333</v>
      </c>
      <c r="BC37" s="63">
        <f t="shared" si="4"/>
        <v>12.914798206278027</v>
      </c>
      <c r="BD37" s="71">
        <v>44.6</v>
      </c>
      <c r="BE37" s="65">
        <v>14.9</v>
      </c>
      <c r="BF37" s="72">
        <v>192</v>
      </c>
      <c r="BG37" s="72"/>
      <c r="BH37" s="71">
        <f>1+20/60</f>
        <v>1.3333333333333333</v>
      </c>
      <c r="BI37" s="116">
        <f t="shared" si="5"/>
        <v>12.914798206278027</v>
      </c>
      <c r="BJ37" s="135">
        <v>49.1</v>
      </c>
      <c r="BK37" s="135">
        <v>16.3</v>
      </c>
      <c r="BL37" s="138">
        <v>192</v>
      </c>
      <c r="BM37" s="138"/>
      <c r="BN37" s="135">
        <f>1+25/60</f>
        <v>1.4166666666666667</v>
      </c>
      <c r="BO37" s="66">
        <f t="shared" si="6"/>
        <v>11.731160896130346</v>
      </c>
      <c r="BR37" s="72"/>
      <c r="BT37" s="71"/>
      <c r="CH37" s="66"/>
      <c r="CI37" s="66"/>
      <c r="CJ37" s="66"/>
      <c r="CK37" s="66"/>
      <c r="CL37" s="66"/>
      <c r="DA37" s="71">
        <v>24.5</v>
      </c>
      <c r="DB37" s="72">
        <v>210</v>
      </c>
      <c r="DC37" s="72"/>
      <c r="DD37" s="66">
        <f>2+40/60</f>
        <v>2.6666666666666665</v>
      </c>
      <c r="DE37" s="47">
        <f t="shared" si="10"/>
        <v>25.714285714285715</v>
      </c>
      <c r="DG37" s="71">
        <v>56.4</v>
      </c>
      <c r="DH37" s="72">
        <v>300</v>
      </c>
      <c r="DI37" s="72"/>
      <c r="DJ37" s="66">
        <f>1+20/60</f>
        <v>1.3333333333333333</v>
      </c>
      <c r="DK37" s="70">
        <f t="shared" si="25"/>
        <v>15.957446808510639</v>
      </c>
      <c r="ED37" s="141">
        <v>40.9</v>
      </c>
      <c r="EE37" s="136">
        <v>40.9</v>
      </c>
      <c r="EF37" s="136">
        <v>300</v>
      </c>
      <c r="EG37" s="132"/>
      <c r="EH37" s="132">
        <f>2+40/60</f>
        <v>2.6666666666666665</v>
      </c>
      <c r="EI37" s="67">
        <f t="shared" si="22"/>
        <v>22.004889975550125</v>
      </c>
    </row>
    <row r="38" spans="1:150" x14ac:dyDescent="0.25">
      <c r="A38">
        <v>38</v>
      </c>
      <c r="AC38" s="72"/>
      <c r="AD38" s="66"/>
      <c r="AH38" s="72"/>
      <c r="AJ38" s="66"/>
      <c r="AL38" s="4">
        <v>31</v>
      </c>
      <c r="AM38" s="65">
        <v>31</v>
      </c>
      <c r="AN38" s="65">
        <v>195</v>
      </c>
      <c r="AP38" s="66">
        <f>1+45/60</f>
        <v>1.75</v>
      </c>
      <c r="AQ38" s="47">
        <f t="shared" si="3"/>
        <v>18.870967741935484</v>
      </c>
      <c r="AR38" s="48">
        <v>31</v>
      </c>
      <c r="AS38" s="65">
        <v>31</v>
      </c>
      <c r="AT38" s="65">
        <v>450</v>
      </c>
      <c r="AV38" s="66">
        <v>3</v>
      </c>
      <c r="AW38" s="47">
        <f t="shared" si="20"/>
        <v>43.548387096774192</v>
      </c>
      <c r="AX38" s="139">
        <v>15.5</v>
      </c>
      <c r="AY38" s="133">
        <v>46.6</v>
      </c>
      <c r="AZ38" s="133">
        <v>240</v>
      </c>
      <c r="BA38" s="133"/>
      <c r="BB38" s="135">
        <f>1+30/60</f>
        <v>1.5</v>
      </c>
      <c r="BC38" s="63">
        <f t="shared" si="4"/>
        <v>15.450643776824034</v>
      </c>
      <c r="BD38" s="133">
        <v>46.6</v>
      </c>
      <c r="BE38" s="133">
        <v>15.5</v>
      </c>
      <c r="BF38" s="133">
        <v>240</v>
      </c>
      <c r="BG38" s="138"/>
      <c r="BH38" s="140">
        <f>1+30/60</f>
        <v>1.5</v>
      </c>
      <c r="BI38" s="116">
        <f t="shared" si="5"/>
        <v>15.450643776824034</v>
      </c>
      <c r="BJ38" s="135">
        <v>51.2</v>
      </c>
      <c r="BK38" s="135">
        <v>17</v>
      </c>
      <c r="BL38" s="138">
        <v>240</v>
      </c>
      <c r="BM38" s="138"/>
      <c r="BN38" s="135">
        <f>1+35/60</f>
        <v>1.5833333333333335</v>
      </c>
      <c r="BO38" s="66">
        <f t="shared" si="6"/>
        <v>14.0625</v>
      </c>
      <c r="BT38" s="71"/>
      <c r="CH38" s="66"/>
      <c r="CI38" s="66"/>
      <c r="CJ38" s="66"/>
      <c r="CK38" s="66"/>
      <c r="CL38" s="66"/>
      <c r="DB38" s="72"/>
      <c r="DD38" s="66"/>
      <c r="DG38" s="71">
        <v>59</v>
      </c>
      <c r="DH38" s="72">
        <v>375</v>
      </c>
      <c r="DI38" s="72"/>
      <c r="DJ38" s="66">
        <f>1+30/60</f>
        <v>1.5</v>
      </c>
      <c r="DK38" s="47">
        <f t="shared" si="25"/>
        <v>19.067796610169491</v>
      </c>
      <c r="ED38" s="141">
        <v>42.7</v>
      </c>
      <c r="EE38" s="136">
        <v>42.7</v>
      </c>
      <c r="EF38" s="136">
        <v>375</v>
      </c>
      <c r="EG38" s="132"/>
      <c r="EH38" s="132">
        <f>3</f>
        <v>3</v>
      </c>
      <c r="EI38" s="67">
        <f t="shared" si="22"/>
        <v>26.346604215456676</v>
      </c>
    </row>
    <row r="39" spans="1:150" x14ac:dyDescent="0.25">
      <c r="A39">
        <v>39</v>
      </c>
      <c r="AC39" s="72"/>
      <c r="AD39" s="66"/>
      <c r="AJ39" s="66"/>
      <c r="AL39" s="4">
        <v>32.299999999999997</v>
      </c>
      <c r="AM39" s="65">
        <v>32.299999999999997</v>
      </c>
      <c r="AO39" s="4">
        <v>358</v>
      </c>
      <c r="AP39" s="66">
        <v>2</v>
      </c>
      <c r="AQ39" s="47">
        <f t="shared" si="3"/>
        <v>11.083591331269352</v>
      </c>
      <c r="AX39" s="139">
        <v>16.2</v>
      </c>
      <c r="AY39" s="133">
        <v>48.6</v>
      </c>
      <c r="AZ39" s="133"/>
      <c r="BA39" s="133">
        <v>440</v>
      </c>
      <c r="BB39" s="135">
        <f>1+40/60</f>
        <v>1.6666666666666665</v>
      </c>
      <c r="BC39" s="63">
        <f t="shared" si="4"/>
        <v>9.0534979423868318</v>
      </c>
      <c r="BD39" s="133">
        <v>48.6</v>
      </c>
      <c r="BE39" s="133">
        <v>16.2</v>
      </c>
      <c r="BF39" s="133"/>
      <c r="BG39" s="138">
        <v>440</v>
      </c>
      <c r="BH39" s="135">
        <f>1+40/60</f>
        <v>1.6666666666666665</v>
      </c>
      <c r="BI39" s="116">
        <f t="shared" si="5"/>
        <v>9.0534979423868318</v>
      </c>
      <c r="BJ39" s="135">
        <v>53.4</v>
      </c>
      <c r="BK39" s="135">
        <v>17.8</v>
      </c>
      <c r="BL39" s="138"/>
      <c r="BM39" s="138">
        <v>440</v>
      </c>
      <c r="BN39" s="135">
        <f>1+50/60</f>
        <v>1.8333333333333335</v>
      </c>
      <c r="BO39" s="66">
        <f t="shared" si="6"/>
        <v>8.2397003745318358</v>
      </c>
      <c r="CH39" s="66"/>
      <c r="CI39" s="66"/>
      <c r="CJ39" s="66"/>
      <c r="CK39" s="66"/>
      <c r="CL39" s="66"/>
      <c r="DB39" s="72"/>
      <c r="DD39" s="66"/>
      <c r="DH39" s="72"/>
      <c r="DI39" s="73"/>
      <c r="ED39" s="141">
        <v>44.5</v>
      </c>
      <c r="EE39" s="136">
        <v>44.5</v>
      </c>
      <c r="EF39" s="136"/>
      <c r="EG39" s="132">
        <v>687</v>
      </c>
      <c r="EH39" s="132">
        <f>3+20/60</f>
        <v>3.3333333333333335</v>
      </c>
      <c r="EI39" s="67">
        <f t="shared" si="22"/>
        <v>15.438202247191013</v>
      </c>
    </row>
    <row r="40" spans="1:150" x14ac:dyDescent="0.25">
      <c r="A40">
        <v>40</v>
      </c>
      <c r="AC40" s="72"/>
      <c r="AJ40" s="66"/>
      <c r="AL40" s="4">
        <v>33.700000000000003</v>
      </c>
      <c r="AM40" s="65">
        <v>33.700000000000003</v>
      </c>
      <c r="AN40" s="65">
        <v>215</v>
      </c>
      <c r="AP40" s="66">
        <f>2+10/60</f>
        <v>2.1666666666666665</v>
      </c>
      <c r="AQ40" s="47">
        <f t="shared" si="3"/>
        <v>19.139465875370917</v>
      </c>
      <c r="AX40" s="139">
        <v>16.8</v>
      </c>
      <c r="AY40" s="133">
        <v>50.5</v>
      </c>
      <c r="AZ40" s="133">
        <v>264</v>
      </c>
      <c r="BA40" s="133"/>
      <c r="BB40" s="135">
        <f>1+50/60</f>
        <v>1.8333333333333335</v>
      </c>
      <c r="BC40" s="63">
        <f t="shared" si="4"/>
        <v>15.683168316831685</v>
      </c>
      <c r="BD40" s="133">
        <v>50.5</v>
      </c>
      <c r="BE40" s="133">
        <v>16.8</v>
      </c>
      <c r="BF40" s="145">
        <v>264</v>
      </c>
      <c r="BG40" s="138"/>
      <c r="BH40" s="133">
        <f>1+50/60</f>
        <v>1.8333333333333335</v>
      </c>
      <c r="BI40" s="116">
        <f t="shared" si="5"/>
        <v>15.683168316831685</v>
      </c>
      <c r="BJ40" s="135"/>
      <c r="BK40" s="135"/>
      <c r="BL40" s="138"/>
      <c r="BM40" s="138"/>
      <c r="BN40" s="135"/>
      <c r="CH40" s="66"/>
      <c r="CI40" s="66"/>
      <c r="CJ40" s="66"/>
      <c r="CK40" s="66"/>
      <c r="CL40" s="66"/>
      <c r="DB40" s="72"/>
      <c r="DD40" s="66"/>
      <c r="DH40" s="72"/>
      <c r="DI40" s="73"/>
      <c r="ED40" s="141">
        <v>46.3</v>
      </c>
      <c r="EE40" s="136">
        <v>46.3</v>
      </c>
      <c r="EF40" s="136">
        <v>412</v>
      </c>
      <c r="EG40" s="132"/>
      <c r="EH40" s="132">
        <f>3+40/60</f>
        <v>3.6666666666666665</v>
      </c>
      <c r="EI40" s="67">
        <f t="shared" si="22"/>
        <v>26.695464362850974</v>
      </c>
    </row>
    <row r="41" spans="1:150" x14ac:dyDescent="0.25">
      <c r="A41">
        <v>41</v>
      </c>
      <c r="AJ41" s="66"/>
      <c r="AL41" s="4">
        <v>35</v>
      </c>
      <c r="AM41" s="65">
        <v>35</v>
      </c>
      <c r="AN41" s="65">
        <v>260</v>
      </c>
      <c r="AP41" s="66">
        <f>2+15/60</f>
        <v>2.25</v>
      </c>
      <c r="AQ41" s="47">
        <f t="shared" si="3"/>
        <v>22.285714285714285</v>
      </c>
      <c r="AX41" s="139">
        <v>17.5</v>
      </c>
      <c r="AY41" s="133">
        <v>52.5</v>
      </c>
      <c r="AZ41" s="133">
        <v>320</v>
      </c>
      <c r="BA41" s="133"/>
      <c r="BB41" s="135">
        <f>2</f>
        <v>2</v>
      </c>
      <c r="BC41" s="47">
        <f t="shared" si="4"/>
        <v>18.285714285714285</v>
      </c>
      <c r="BD41" s="133">
        <v>52.5</v>
      </c>
      <c r="BE41" s="133">
        <v>17.5</v>
      </c>
      <c r="BF41" s="133">
        <v>320</v>
      </c>
      <c r="BG41" s="141"/>
      <c r="BH41" s="135">
        <v>2</v>
      </c>
      <c r="BI41" s="116">
        <f t="shared" si="5"/>
        <v>18.285714285714285</v>
      </c>
      <c r="BJ41" s="135"/>
      <c r="BK41" s="135"/>
      <c r="BL41" s="138"/>
      <c r="BM41" s="138"/>
      <c r="BN41" s="135"/>
      <c r="CH41" s="66"/>
      <c r="CI41" s="66"/>
      <c r="CJ41" s="66"/>
      <c r="CK41" s="66"/>
      <c r="CL41" s="66"/>
      <c r="DB41" s="72"/>
      <c r="DH41" s="72"/>
      <c r="ED41" s="141">
        <v>48.1</v>
      </c>
      <c r="EE41" s="136">
        <v>48.1</v>
      </c>
      <c r="EF41" s="136">
        <v>500</v>
      </c>
      <c r="EG41" s="136"/>
      <c r="EH41" s="132">
        <v>4</v>
      </c>
      <c r="EI41" s="67">
        <f t="shared" si="22"/>
        <v>31.185031185031185</v>
      </c>
    </row>
    <row r="42" spans="1:150" x14ac:dyDescent="0.25">
      <c r="A42">
        <v>42</v>
      </c>
      <c r="AL42" s="4">
        <v>35.6</v>
      </c>
      <c r="AM42" s="65">
        <v>35.6</v>
      </c>
      <c r="AP42" s="66">
        <f>2+30/60</f>
        <v>2.5</v>
      </c>
      <c r="AX42" s="139">
        <v>17.8</v>
      </c>
      <c r="AY42" s="133">
        <v>53.4</v>
      </c>
      <c r="AZ42" s="133"/>
      <c r="BA42" s="133"/>
      <c r="BB42" s="135"/>
      <c r="BD42" s="133">
        <v>53.4</v>
      </c>
      <c r="BE42" s="133">
        <v>17.8</v>
      </c>
      <c r="BF42" s="133"/>
      <c r="BG42" s="141"/>
      <c r="BH42" s="135">
        <f>2+10/60</f>
        <v>2.1666666666666665</v>
      </c>
      <c r="ED42" s="141">
        <v>49</v>
      </c>
      <c r="EE42" s="136">
        <v>49</v>
      </c>
      <c r="EF42" s="136"/>
      <c r="EG42" s="136"/>
      <c r="EH42" s="132">
        <f>4+20/60</f>
        <v>4.333333333333333</v>
      </c>
    </row>
    <row r="43" spans="1:150" x14ac:dyDescent="0.25">
      <c r="AX43" s="139"/>
      <c r="AY43" s="133"/>
      <c r="AZ43" s="133"/>
      <c r="BA43" s="133"/>
      <c r="BB43" s="135"/>
      <c r="BD43" s="133"/>
      <c r="BE43" s="133"/>
      <c r="BF43" s="133"/>
      <c r="BG43" s="141"/>
      <c r="BH43" s="135"/>
      <c r="ED43" s="136"/>
      <c r="EE43" s="136"/>
      <c r="EF43" s="136"/>
      <c r="EG43" s="136"/>
      <c r="EH43" s="132"/>
    </row>
    <row r="44" spans="1:150" x14ac:dyDescent="0.25">
      <c r="AX44" s="139"/>
      <c r="AY44" s="133"/>
      <c r="AZ44" s="133"/>
      <c r="BA44" s="133"/>
      <c r="BB44" s="135"/>
      <c r="BD44" s="133"/>
      <c r="BE44" s="133"/>
      <c r="BF44" s="133"/>
      <c r="BG44" s="141"/>
      <c r="BH44" s="135"/>
      <c r="ED44" s="136"/>
      <c r="EE44" s="136"/>
      <c r="EF44" s="136"/>
      <c r="EG44" s="136"/>
      <c r="EH44" s="132"/>
    </row>
    <row r="45" spans="1:150" x14ac:dyDescent="0.25">
      <c r="AX45" s="139"/>
      <c r="AY45" s="133"/>
      <c r="AZ45" s="133"/>
      <c r="BA45" s="133"/>
      <c r="BB45" s="135"/>
      <c r="BD45" s="133"/>
      <c r="BE45" s="133"/>
      <c r="BF45" s="133"/>
      <c r="BG45" s="141"/>
      <c r="BH45" s="135"/>
      <c r="ED45" s="136"/>
      <c r="EE45" s="136"/>
      <c r="EF45" s="136"/>
      <c r="EG45" s="136"/>
      <c r="EH45" s="132"/>
    </row>
    <row r="46" spans="1:150" x14ac:dyDescent="0.25">
      <c r="AX46" s="139"/>
      <c r="AY46" s="133"/>
      <c r="AZ46" s="133"/>
      <c r="BA46" s="133"/>
      <c r="BB46" s="135"/>
      <c r="BD46" s="133"/>
      <c r="BE46" s="133"/>
      <c r="BF46" s="133"/>
      <c r="BG46" s="141"/>
      <c r="BH46" s="135"/>
      <c r="ED46" s="136"/>
      <c r="EE46" s="136"/>
      <c r="EF46" s="136"/>
      <c r="EG46" s="136"/>
      <c r="EH46" s="132"/>
    </row>
    <row r="47" spans="1:150" x14ac:dyDescent="0.25">
      <c r="AX47" s="139"/>
      <c r="AY47" s="133"/>
      <c r="AZ47" s="133"/>
      <c r="BA47" s="133"/>
      <c r="BB47" s="135"/>
      <c r="BD47" s="133"/>
      <c r="BE47" s="133"/>
      <c r="BF47" s="133"/>
      <c r="BG47" s="141"/>
      <c r="BH47" s="135"/>
      <c r="ED47" s="136"/>
      <c r="EE47" s="136"/>
      <c r="EF47" s="136"/>
      <c r="EG47" s="136"/>
      <c r="EH47" s="132"/>
    </row>
    <row r="48" spans="1:150" x14ac:dyDescent="0.25">
      <c r="AX48" s="139"/>
      <c r="AY48" s="133"/>
      <c r="AZ48" s="133"/>
      <c r="BA48" s="133"/>
      <c r="BB48" s="135"/>
      <c r="BD48" s="133"/>
      <c r="BE48" s="133"/>
      <c r="BF48" s="133"/>
      <c r="BG48" s="141"/>
      <c r="BH48" s="135"/>
      <c r="ED48" s="136"/>
      <c r="EE48" s="136"/>
      <c r="EF48" s="136"/>
      <c r="EG48" s="136"/>
      <c r="EH48" s="132"/>
    </row>
    <row r="49" spans="50:138" x14ac:dyDescent="0.25">
      <c r="AX49" s="139"/>
      <c r="AY49" s="133"/>
      <c r="AZ49" s="133"/>
      <c r="BA49" s="133"/>
      <c r="BB49" s="135"/>
      <c r="BD49" s="133"/>
      <c r="BE49" s="133"/>
      <c r="BF49" s="133"/>
      <c r="BG49" s="141"/>
      <c r="BH49" s="135"/>
      <c r="ED49" s="136"/>
      <c r="EE49" s="136"/>
      <c r="EF49" s="136"/>
      <c r="EG49" s="136"/>
      <c r="EH49" s="132"/>
    </row>
    <row r="50" spans="50:138" x14ac:dyDescent="0.25">
      <c r="AX50" s="139"/>
      <c r="AY50" s="133"/>
      <c r="AZ50" s="133"/>
      <c r="BA50" s="133"/>
      <c r="BB50" s="135"/>
      <c r="BD50" s="133"/>
      <c r="BE50" s="133"/>
      <c r="BF50" s="133"/>
      <c r="BG50" s="141"/>
      <c r="BH50" s="135"/>
      <c r="ED50" s="136"/>
      <c r="EE50" s="136"/>
      <c r="EF50" s="136"/>
      <c r="EG50" s="136"/>
      <c r="EH50" s="132"/>
    </row>
    <row r="51" spans="50:138" x14ac:dyDescent="0.25">
      <c r="AX51" s="139"/>
      <c r="AY51" s="133"/>
      <c r="AZ51" s="133"/>
      <c r="BA51" s="133"/>
      <c r="BB51" s="135"/>
      <c r="BD51" s="133"/>
      <c r="BE51" s="133"/>
      <c r="BF51" s="133"/>
      <c r="BG51" s="141"/>
      <c r="BH51" s="135"/>
      <c r="ED51" s="136"/>
      <c r="EE51" s="136"/>
      <c r="EF51" s="136"/>
      <c r="EG51" s="136"/>
      <c r="EH51" s="132"/>
    </row>
    <row r="52" spans="50:138" x14ac:dyDescent="0.25">
      <c r="AX52" s="139"/>
      <c r="AY52" s="133"/>
      <c r="AZ52" s="133"/>
      <c r="BA52" s="133"/>
      <c r="BB52" s="135"/>
      <c r="BD52" s="133"/>
      <c r="BE52" s="133"/>
      <c r="BF52" s="133"/>
      <c r="BG52" s="141"/>
      <c r="BH52" s="135"/>
      <c r="ED52" s="136"/>
      <c r="EE52" s="136"/>
      <c r="EF52" s="136"/>
      <c r="EG52" s="136"/>
      <c r="EH52" s="132"/>
    </row>
    <row r="53" spans="50:138" x14ac:dyDescent="0.25">
      <c r="BD53" s="133"/>
      <c r="BE53" s="133"/>
      <c r="BF53" s="133"/>
      <c r="BG53" s="141"/>
      <c r="BH53" s="135"/>
      <c r="ED53" s="136"/>
      <c r="EE53" s="136"/>
      <c r="EF53" s="136"/>
      <c r="EG53" s="136"/>
      <c r="EH53" s="132"/>
    </row>
    <row r="54" spans="50:138" x14ac:dyDescent="0.25">
      <c r="BD54" s="133"/>
      <c r="BE54" s="133"/>
      <c r="BF54" s="133"/>
      <c r="BG54" s="141"/>
      <c r="BH54" s="135"/>
      <c r="ED54" s="136"/>
      <c r="EE54" s="136"/>
      <c r="EF54" s="136"/>
      <c r="EG54" s="136"/>
      <c r="EH54" s="132"/>
    </row>
    <row r="55" spans="50:138" x14ac:dyDescent="0.25">
      <c r="BD55" s="133"/>
      <c r="BE55" s="133"/>
      <c r="BF55" s="133"/>
      <c r="BG55" s="141"/>
      <c r="BH55" s="135"/>
    </row>
    <row r="56" spans="50:138" x14ac:dyDescent="0.25">
      <c r="BD56" s="133"/>
      <c r="BE56" s="133"/>
      <c r="BF56" s="133"/>
      <c r="BG56" s="141"/>
      <c r="BH56" s="135"/>
    </row>
    <row r="57" spans="50:138" x14ac:dyDescent="0.25">
      <c r="BD57" s="133"/>
      <c r="BE57" s="133"/>
      <c r="BF57" s="133"/>
      <c r="BG57" s="141"/>
      <c r="BH57" s="135"/>
    </row>
    <row r="58" spans="50:138" x14ac:dyDescent="0.25">
      <c r="BD58" s="133"/>
      <c r="BE58" s="133"/>
      <c r="BF58" s="133"/>
      <c r="BG58" s="141"/>
      <c r="BH58" s="135"/>
    </row>
    <row r="59" spans="50:138" x14ac:dyDescent="0.25">
      <c r="BD59" s="133"/>
      <c r="BE59" s="133"/>
      <c r="BF59" s="133"/>
      <c r="BG59" s="141"/>
      <c r="BH59" s="135"/>
    </row>
    <row r="60" spans="50:138" x14ac:dyDescent="0.25">
      <c r="BD60" s="133"/>
      <c r="BE60" s="133"/>
      <c r="BF60" s="133"/>
      <c r="BG60" s="141"/>
      <c r="BH60" s="135"/>
    </row>
    <row r="61" spans="50:138" x14ac:dyDescent="0.25">
      <c r="BD61" s="133"/>
      <c r="BE61" s="133"/>
      <c r="BF61" s="133"/>
      <c r="BG61" s="141"/>
      <c r="BH61" s="135"/>
    </row>
    <row r="62" spans="50:138" x14ac:dyDescent="0.25">
      <c r="BD62" s="133"/>
      <c r="BE62" s="133"/>
      <c r="BF62" s="133"/>
      <c r="BG62" s="141"/>
      <c r="BH62" s="135"/>
    </row>
    <row r="63" spans="50:138" x14ac:dyDescent="0.25">
      <c r="BD63" s="133"/>
      <c r="BE63" s="133"/>
      <c r="BF63" s="133"/>
      <c r="BG63" s="141"/>
      <c r="BH63" s="135"/>
    </row>
    <row r="64" spans="50:138" x14ac:dyDescent="0.25">
      <c r="BD64" s="133"/>
      <c r="BE64" s="133"/>
      <c r="BF64" s="133"/>
      <c r="BG64" s="141"/>
      <c r="BH64" s="135"/>
    </row>
    <row r="65" spans="56:60" x14ac:dyDescent="0.25">
      <c r="BD65" s="133"/>
      <c r="BE65" s="133"/>
      <c r="BF65" s="133"/>
      <c r="BG65" s="141"/>
      <c r="BH65" s="135"/>
    </row>
    <row r="66" spans="56:60" x14ac:dyDescent="0.25">
      <c r="BD66" s="133"/>
      <c r="BE66" s="133"/>
      <c r="BF66" s="133"/>
      <c r="BG66" s="141"/>
      <c r="BH66" s="135"/>
    </row>
    <row r="67" spans="56:60" x14ac:dyDescent="0.25">
      <c r="BD67" s="133"/>
      <c r="BE67" s="133"/>
      <c r="BF67" s="133"/>
      <c r="BG67" s="141"/>
      <c r="BH67" s="135"/>
    </row>
    <row r="68" spans="56:60" x14ac:dyDescent="0.25">
      <c r="BD68" s="133"/>
      <c r="BE68" s="133"/>
      <c r="BF68" s="133"/>
      <c r="BG68" s="141"/>
      <c r="BH68" s="135"/>
    </row>
    <row r="69" spans="56:60" x14ac:dyDescent="0.25">
      <c r="BD69" s="133"/>
      <c r="BE69" s="133"/>
      <c r="BF69" s="133"/>
      <c r="BG69" s="141"/>
      <c r="BH69" s="135"/>
    </row>
    <row r="70" spans="56:60" x14ac:dyDescent="0.25">
      <c r="BD70" s="133"/>
      <c r="BE70" s="133"/>
      <c r="BF70" s="133"/>
      <c r="BG70" s="141"/>
      <c r="BH70" s="135"/>
    </row>
    <row r="71" spans="56:60" x14ac:dyDescent="0.25">
      <c r="BD71" s="133"/>
      <c r="BE71" s="133"/>
      <c r="BF71" s="133"/>
      <c r="BG71" s="141"/>
      <c r="BH71" s="135"/>
    </row>
  </sheetData>
  <mergeCells count="25">
    <mergeCell ref="B2:G2"/>
    <mergeCell ref="Z2:AE2"/>
    <mergeCell ref="ED2:EI2"/>
    <mergeCell ref="T2:Y2"/>
    <mergeCell ref="N2:S2"/>
    <mergeCell ref="AX2:BC2"/>
    <mergeCell ref="DF2:DK2"/>
    <mergeCell ref="DR2:DW2"/>
    <mergeCell ref="DL2:DQ2"/>
    <mergeCell ref="H2:M2"/>
    <mergeCell ref="CN2:CS2"/>
    <mergeCell ref="CB2:CG2"/>
    <mergeCell ref="CZ2:DE2"/>
    <mergeCell ref="BV2:CA2"/>
    <mergeCell ref="AL2:AQ2"/>
    <mergeCell ref="AR2:AW2"/>
    <mergeCell ref="AF2:AK2"/>
    <mergeCell ref="EP2:EU2"/>
    <mergeCell ref="CH2:CM2"/>
    <mergeCell ref="BD2:BI2"/>
    <mergeCell ref="CT2:CY2"/>
    <mergeCell ref="BP2:BU2"/>
    <mergeCell ref="DX2:EC2"/>
    <mergeCell ref="EJ2:EO2"/>
    <mergeCell ref="BJ2:BO2"/>
  </mergeCells>
  <conditionalFormatting sqref="EU2:EU1048576 DK2:DK1048576 S2:S1048576 DE2:DE1048576 CY2:CY1048576 AE2:AE1048576 CG2:CG1048576 CS2:CS1048576 AQ2:AQ1048576 AK2:AK1048576 AW2:AW1048576 G2:G1048576 M2:M1048576 DQ2:DQ1048576 CA2:CA1048576 DW2:DW1048576 Y2:Y1048576 EC2:EC1048576 CM2:CM1048576 EO2:EO1048576 BI2:BI1048576 BC2:BC1048576 BU2:BU1048576 EI2:EI1048576 BO2:BO1048576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activeCell="J31" sqref="J31"/>
    </sheetView>
  </sheetViews>
  <sheetFormatPr defaultRowHeight="15" x14ac:dyDescent="0.25"/>
  <cols>
    <col min="2" max="2" width="20.5703125" bestFit="1" customWidth="1"/>
    <col min="3" max="3" width="8" customWidth="1"/>
    <col min="8" max="8" width="13.7109375" bestFit="1" customWidth="1"/>
    <col min="12" max="12" width="10" bestFit="1" customWidth="1"/>
    <col min="16" max="16" width="9.140625" style="4"/>
    <col min="17" max="18" width="9.140625" style="92"/>
    <col min="19" max="19" width="9.140625" customWidth="1"/>
  </cols>
  <sheetData>
    <row r="1" spans="1:20" x14ac:dyDescent="0.25">
      <c r="K1" s="77"/>
      <c r="L1" s="168" t="s">
        <v>58</v>
      </c>
      <c r="M1" s="168"/>
      <c r="N1" s="168" t="s">
        <v>63</v>
      </c>
      <c r="O1" s="168"/>
    </row>
    <row r="2" spans="1:20" x14ac:dyDescent="0.25">
      <c r="A2" s="19" t="s">
        <v>0</v>
      </c>
      <c r="B2" s="19" t="s">
        <v>1</v>
      </c>
      <c r="C2" s="19" t="s">
        <v>62</v>
      </c>
      <c r="D2" s="19" t="s">
        <v>53</v>
      </c>
      <c r="E2" s="19" t="s">
        <v>54</v>
      </c>
      <c r="F2" s="19" t="s">
        <v>55</v>
      </c>
      <c r="G2" s="19" t="s">
        <v>56</v>
      </c>
      <c r="H2" s="19" t="s">
        <v>6</v>
      </c>
      <c r="I2" s="19" t="s">
        <v>57</v>
      </c>
      <c r="J2" s="19" t="s">
        <v>5</v>
      </c>
      <c r="K2" s="19" t="s">
        <v>4</v>
      </c>
      <c r="L2" s="19" t="s">
        <v>3</v>
      </c>
      <c r="M2" s="19" t="s">
        <v>2</v>
      </c>
      <c r="N2" s="19" t="s">
        <v>3</v>
      </c>
      <c r="O2" s="19" t="s">
        <v>2</v>
      </c>
    </row>
    <row r="3" spans="1:20" x14ac:dyDescent="0.25">
      <c r="A3" s="31" t="s">
        <v>20</v>
      </c>
      <c r="B3" s="31" t="s">
        <v>43</v>
      </c>
      <c r="C3" s="27"/>
      <c r="D3" s="27">
        <v>1410</v>
      </c>
      <c r="E3" s="27">
        <v>211.5</v>
      </c>
      <c r="F3" s="27">
        <v>6.25</v>
      </c>
      <c r="G3" s="27">
        <v>374</v>
      </c>
      <c r="H3" s="27" t="s">
        <v>8</v>
      </c>
      <c r="I3" s="22">
        <v>30</v>
      </c>
      <c r="J3" s="22"/>
      <c r="K3" s="78">
        <f>1+5/60</f>
        <v>1.0833333333333333</v>
      </c>
      <c r="L3" s="79">
        <v>46.5</v>
      </c>
      <c r="M3" s="79">
        <v>6.9749999999999996</v>
      </c>
      <c r="N3" s="79">
        <f t="shared" ref="N3:O8" si="0">L3*$K3</f>
        <v>50.375</v>
      </c>
      <c r="O3" s="79">
        <f t="shared" si="0"/>
        <v>7.5562499999999995</v>
      </c>
      <c r="Q3" s="93">
        <f t="shared" ref="Q3:Q6" si="1">D3*F3</f>
        <v>8812.5</v>
      </c>
      <c r="R3" s="93">
        <f t="shared" ref="R3:R6" si="2">E3*F3</f>
        <v>1321.875</v>
      </c>
    </row>
    <row r="4" spans="1:20" x14ac:dyDescent="0.25">
      <c r="A4" s="31" t="s">
        <v>20</v>
      </c>
      <c r="B4" s="31" t="s">
        <v>21</v>
      </c>
      <c r="C4" s="27"/>
      <c r="D4" s="27">
        <v>564</v>
      </c>
      <c r="E4" s="27">
        <v>564</v>
      </c>
      <c r="F4" s="27">
        <v>10.5</v>
      </c>
      <c r="G4" s="27">
        <v>310</v>
      </c>
      <c r="H4" s="27" t="s">
        <v>12</v>
      </c>
      <c r="I4" s="22">
        <v>31</v>
      </c>
      <c r="J4" s="22"/>
      <c r="K4" s="78">
        <v>2</v>
      </c>
      <c r="L4" s="79">
        <v>19.8</v>
      </c>
      <c r="M4" s="79">
        <v>19.8</v>
      </c>
      <c r="N4" s="79">
        <f>L4*$K4</f>
        <v>39.6</v>
      </c>
      <c r="O4" s="79">
        <f>M4*$K4</f>
        <v>39.6</v>
      </c>
      <c r="Q4" s="93">
        <f>D4*F4</f>
        <v>5922</v>
      </c>
      <c r="R4" s="93">
        <f>E4*F4</f>
        <v>5922</v>
      </c>
    </row>
    <row r="5" spans="1:20" x14ac:dyDescent="0.25">
      <c r="A5" s="34"/>
      <c r="B5" s="21" t="s">
        <v>38</v>
      </c>
      <c r="C5" s="22">
        <v>450</v>
      </c>
      <c r="D5" s="22">
        <v>437.1</v>
      </c>
      <c r="E5" s="22"/>
      <c r="F5" s="22">
        <v>12</v>
      </c>
      <c r="G5" s="22">
        <v>320</v>
      </c>
      <c r="H5" s="22" t="s">
        <v>10</v>
      </c>
      <c r="I5" s="22">
        <v>31</v>
      </c>
      <c r="J5" s="22"/>
      <c r="K5" s="78">
        <f>2+15/60</f>
        <v>2.25</v>
      </c>
      <c r="L5" s="79">
        <v>15.3</v>
      </c>
      <c r="M5" s="78"/>
      <c r="N5" s="79">
        <f>L5*$K5</f>
        <v>34.425000000000004</v>
      </c>
      <c r="O5" s="78"/>
      <c r="Q5" s="94">
        <f>D5*F5</f>
        <v>5245.2000000000007</v>
      </c>
      <c r="R5" s="94"/>
    </row>
    <row r="6" spans="1:20" x14ac:dyDescent="0.25">
      <c r="A6" s="34"/>
      <c r="B6" s="26" t="s">
        <v>16</v>
      </c>
      <c r="C6" s="27">
        <v>125</v>
      </c>
      <c r="D6" s="27">
        <v>564</v>
      </c>
      <c r="E6" s="27">
        <v>564</v>
      </c>
      <c r="F6" s="27">
        <v>6.25</v>
      </c>
      <c r="G6" s="27">
        <v>259</v>
      </c>
      <c r="H6" s="27" t="s">
        <v>12</v>
      </c>
      <c r="I6" s="22">
        <v>36</v>
      </c>
      <c r="J6" s="22"/>
      <c r="K6" s="78">
        <f>1+10/60</f>
        <v>1.1666666666666667</v>
      </c>
      <c r="L6" s="79">
        <v>28.9</v>
      </c>
      <c r="M6" s="79">
        <v>28.9</v>
      </c>
      <c r="N6" s="79">
        <f t="shared" ref="N6" si="3">L6*$K6</f>
        <v>33.716666666666669</v>
      </c>
      <c r="O6" s="79">
        <f t="shared" ref="O6:O7" si="4">M6*$K6</f>
        <v>33.716666666666669</v>
      </c>
      <c r="Q6" s="93">
        <f t="shared" si="1"/>
        <v>3525</v>
      </c>
      <c r="R6" s="93">
        <f t="shared" si="2"/>
        <v>3525</v>
      </c>
    </row>
    <row r="7" spans="1:20" x14ac:dyDescent="0.25">
      <c r="A7" s="34"/>
      <c r="B7" s="17" t="s">
        <v>35</v>
      </c>
      <c r="C7" s="18">
        <v>250</v>
      </c>
      <c r="D7" s="18">
        <v>846</v>
      </c>
      <c r="E7" s="18">
        <v>282</v>
      </c>
      <c r="F7" s="18">
        <v>5.25</v>
      </c>
      <c r="G7" s="18">
        <v>313</v>
      </c>
      <c r="H7" s="18" t="s">
        <v>8</v>
      </c>
      <c r="I7" s="22">
        <v>36</v>
      </c>
      <c r="J7" s="22"/>
      <c r="K7" s="78">
        <f>1+10/60</f>
        <v>1.1666666666666667</v>
      </c>
      <c r="L7" s="79">
        <v>43.3</v>
      </c>
      <c r="M7" s="78">
        <v>14.4</v>
      </c>
      <c r="N7" s="79">
        <f>L7*$K7</f>
        <v>50.516666666666666</v>
      </c>
      <c r="O7" s="79">
        <f t="shared" si="4"/>
        <v>16.8</v>
      </c>
      <c r="Q7" s="94">
        <f t="shared" ref="Q7" si="5">D7*F7</f>
        <v>4441.5</v>
      </c>
      <c r="R7" s="94">
        <f t="shared" ref="R7" si="6">E7*F7</f>
        <v>1480.5</v>
      </c>
    </row>
    <row r="8" spans="1:20" s="76" customFormat="1" x14ac:dyDescent="0.25">
      <c r="A8" s="22"/>
      <c r="B8" s="96" t="s">
        <v>19</v>
      </c>
      <c r="C8" s="27">
        <v>250</v>
      </c>
      <c r="D8" s="18">
        <v>366.6</v>
      </c>
      <c r="E8" s="18">
        <v>141</v>
      </c>
      <c r="F8" s="22">
        <v>12.5</v>
      </c>
      <c r="G8" s="22">
        <v>285</v>
      </c>
      <c r="H8" s="22" t="s">
        <v>12</v>
      </c>
      <c r="I8" s="22">
        <v>24</v>
      </c>
      <c r="J8" s="22"/>
      <c r="K8" s="78">
        <f>1+35/60</f>
        <v>1.5833333333333335</v>
      </c>
      <c r="L8" s="79">
        <v>9.44</v>
      </c>
      <c r="M8" s="78"/>
      <c r="N8" s="79">
        <f t="shared" si="0"/>
        <v>14.946666666666667</v>
      </c>
      <c r="O8" s="79"/>
      <c r="P8" s="22"/>
      <c r="Q8" s="94">
        <f>D8*F8</f>
        <v>4582.5</v>
      </c>
      <c r="R8" s="94">
        <f>E8*F8</f>
        <v>1762.5</v>
      </c>
      <c r="S8" s="75"/>
      <c r="T8" s="75"/>
    </row>
    <row r="9" spans="1:20" s="4" customFormat="1" x14ac:dyDescent="0.25">
      <c r="N9" s="107">
        <f>SUM(N3:N8)</f>
        <v>223.57999999999998</v>
      </c>
      <c r="Q9" s="95"/>
      <c r="R9" s="95"/>
    </row>
    <row r="10" spans="1:20" s="4" customFormat="1" x14ac:dyDescent="0.25">
      <c r="Q10" s="95"/>
      <c r="R10" s="95"/>
    </row>
    <row r="11" spans="1:20" x14ac:dyDescent="0.25">
      <c r="K11" s="77"/>
      <c r="L11" s="168" t="s">
        <v>58</v>
      </c>
      <c r="M11" s="168"/>
      <c r="N11" s="168" t="s">
        <v>63</v>
      </c>
      <c r="O11" s="168"/>
    </row>
    <row r="12" spans="1:20" x14ac:dyDescent="0.25">
      <c r="A12" s="19" t="s">
        <v>0</v>
      </c>
      <c r="B12" s="19" t="s">
        <v>1</v>
      </c>
      <c r="C12" s="19" t="s">
        <v>62</v>
      </c>
      <c r="D12" s="19" t="s">
        <v>53</v>
      </c>
      <c r="E12" s="19" t="s">
        <v>54</v>
      </c>
      <c r="F12" s="19" t="s">
        <v>55</v>
      </c>
      <c r="G12" s="19" t="s">
        <v>56</v>
      </c>
      <c r="H12" s="19" t="s">
        <v>6</v>
      </c>
      <c r="I12" s="19" t="s">
        <v>57</v>
      </c>
      <c r="J12" s="19" t="s">
        <v>5</v>
      </c>
      <c r="K12" s="19" t="s">
        <v>4</v>
      </c>
      <c r="L12" s="19" t="s">
        <v>3</v>
      </c>
      <c r="M12" s="19" t="s">
        <v>2</v>
      </c>
      <c r="N12" s="19" t="s">
        <v>3</v>
      </c>
      <c r="O12" s="19" t="s">
        <v>2</v>
      </c>
    </row>
    <row r="13" spans="1:20" x14ac:dyDescent="0.25">
      <c r="A13" s="30" t="s">
        <v>20</v>
      </c>
      <c r="B13" s="30" t="s">
        <v>23</v>
      </c>
      <c r="C13" s="22"/>
      <c r="D13" s="22">
        <v>211.5</v>
      </c>
      <c r="E13" s="22">
        <v>1410</v>
      </c>
      <c r="F13" s="22">
        <v>6.25</v>
      </c>
      <c r="G13" s="22">
        <v>356</v>
      </c>
      <c r="H13" s="22" t="s">
        <v>10</v>
      </c>
      <c r="I13" s="22">
        <v>25</v>
      </c>
      <c r="J13" s="22"/>
      <c r="K13" s="78">
        <f>54/60</f>
        <v>0.9</v>
      </c>
      <c r="L13" s="79">
        <v>5.59</v>
      </c>
      <c r="M13" s="79">
        <v>37.299999999999997</v>
      </c>
      <c r="N13" s="79">
        <f>L13*$K13</f>
        <v>5.0309999999999997</v>
      </c>
      <c r="O13" s="79">
        <f>M13*$K13</f>
        <v>33.57</v>
      </c>
      <c r="Q13" s="93">
        <f>D13*F13</f>
        <v>1321.875</v>
      </c>
      <c r="R13" s="93">
        <f>E13*F13</f>
        <v>8812.5</v>
      </c>
    </row>
    <row r="14" spans="1:20" x14ac:dyDescent="0.25">
      <c r="A14" s="34"/>
      <c r="B14" s="26" t="s">
        <v>16</v>
      </c>
      <c r="C14" s="27">
        <v>125</v>
      </c>
      <c r="D14" s="27">
        <v>564</v>
      </c>
      <c r="E14" s="27">
        <v>564</v>
      </c>
      <c r="F14" s="27">
        <v>6.25</v>
      </c>
      <c r="G14" s="27">
        <v>259</v>
      </c>
      <c r="H14" s="27" t="s">
        <v>12</v>
      </c>
      <c r="I14" s="22">
        <v>36</v>
      </c>
      <c r="J14" s="22"/>
      <c r="K14" s="78">
        <f>1+10/60</f>
        <v>1.1666666666666667</v>
      </c>
      <c r="L14" s="79">
        <v>28.9</v>
      </c>
      <c r="M14" s="79">
        <v>28.9</v>
      </c>
      <c r="N14" s="79">
        <f t="shared" ref="N14:O24" si="7">L14*$K14</f>
        <v>33.716666666666669</v>
      </c>
      <c r="O14" s="79">
        <f t="shared" ref="O14:O17" si="8">M14*$K14</f>
        <v>33.716666666666669</v>
      </c>
      <c r="Q14" s="93">
        <f t="shared" ref="Q14:Q16" si="9">D14*F14</f>
        <v>3525</v>
      </c>
      <c r="R14" s="93">
        <f t="shared" ref="R14:R17" si="10">E14*F14</f>
        <v>3525</v>
      </c>
    </row>
    <row r="15" spans="1:20" x14ac:dyDescent="0.25">
      <c r="A15" s="34"/>
      <c r="B15" s="26" t="s">
        <v>16</v>
      </c>
      <c r="C15" s="27">
        <v>125</v>
      </c>
      <c r="D15" s="27">
        <v>564</v>
      </c>
      <c r="E15" s="27">
        <v>564</v>
      </c>
      <c r="F15" s="27">
        <v>6.25</v>
      </c>
      <c r="G15" s="27">
        <v>259</v>
      </c>
      <c r="H15" s="27" t="s">
        <v>12</v>
      </c>
      <c r="I15" s="22">
        <v>36</v>
      </c>
      <c r="J15" s="22"/>
      <c r="K15" s="78">
        <f>1+10/60</f>
        <v>1.1666666666666667</v>
      </c>
      <c r="L15" s="79">
        <v>28.9</v>
      </c>
      <c r="M15" s="79">
        <v>28.9</v>
      </c>
      <c r="N15" s="79">
        <f>L15*$K15</f>
        <v>33.716666666666669</v>
      </c>
      <c r="O15" s="79">
        <f>M15*$K15</f>
        <v>33.716666666666669</v>
      </c>
      <c r="Q15" s="93">
        <f>D15*F15</f>
        <v>3525</v>
      </c>
      <c r="R15" s="93">
        <f>E15*F15</f>
        <v>3525</v>
      </c>
    </row>
    <row r="16" spans="1:20" x14ac:dyDescent="0.25">
      <c r="A16" s="34"/>
      <c r="B16" s="26" t="s">
        <v>16</v>
      </c>
      <c r="C16" s="27">
        <v>125</v>
      </c>
      <c r="D16" s="27">
        <v>564</v>
      </c>
      <c r="E16" s="27">
        <v>564</v>
      </c>
      <c r="F16" s="27">
        <v>6.25</v>
      </c>
      <c r="G16" s="27">
        <v>259</v>
      </c>
      <c r="H16" s="27" t="s">
        <v>12</v>
      </c>
      <c r="I16" s="22">
        <v>36</v>
      </c>
      <c r="J16" s="22"/>
      <c r="K16" s="78">
        <f>1+10/60</f>
        <v>1.1666666666666667</v>
      </c>
      <c r="L16" s="79">
        <v>28.9</v>
      </c>
      <c r="M16" s="79">
        <v>28.9</v>
      </c>
      <c r="N16" s="79">
        <f t="shared" ref="N16" si="11">L16*$K16</f>
        <v>33.716666666666669</v>
      </c>
      <c r="O16" s="79">
        <f t="shared" ref="O16" si="12">M16*$K16</f>
        <v>33.716666666666669</v>
      </c>
      <c r="Q16" s="93">
        <f t="shared" si="9"/>
        <v>3525</v>
      </c>
      <c r="R16" s="93">
        <f t="shared" si="10"/>
        <v>3525</v>
      </c>
    </row>
    <row r="17" spans="1:18" x14ac:dyDescent="0.25">
      <c r="A17" s="30" t="s">
        <v>20</v>
      </c>
      <c r="B17" s="30" t="s">
        <v>72</v>
      </c>
      <c r="C17" s="22">
        <v>750</v>
      </c>
      <c r="D17" s="18"/>
      <c r="E17" s="18">
        <v>465.3</v>
      </c>
      <c r="F17" s="18">
        <v>10.5</v>
      </c>
      <c r="G17" s="18">
        <v>294</v>
      </c>
      <c r="H17" s="18" t="s">
        <v>10</v>
      </c>
      <c r="I17" s="22">
        <v>28</v>
      </c>
      <c r="J17" s="22"/>
      <c r="K17" s="78">
        <f>1+45/60</f>
        <v>1.75</v>
      </c>
      <c r="L17" s="79"/>
      <c r="M17" s="79">
        <v>14.3</v>
      </c>
      <c r="N17" s="79"/>
      <c r="O17" s="79">
        <f t="shared" si="8"/>
        <v>25.025000000000002</v>
      </c>
      <c r="Q17" s="93"/>
      <c r="R17" s="93">
        <f t="shared" si="10"/>
        <v>4885.6500000000005</v>
      </c>
    </row>
    <row r="18" spans="1:18" x14ac:dyDescent="0.25">
      <c r="A18" s="34"/>
      <c r="B18" s="21" t="s">
        <v>22</v>
      </c>
      <c r="C18" s="22">
        <v>300</v>
      </c>
      <c r="D18" s="22">
        <v>141</v>
      </c>
      <c r="E18" s="22">
        <v>366.6</v>
      </c>
      <c r="F18" s="22">
        <v>12.5</v>
      </c>
      <c r="G18" s="22">
        <v>301</v>
      </c>
      <c r="H18" s="22" t="s">
        <v>10</v>
      </c>
      <c r="I18" s="22">
        <v>25</v>
      </c>
      <c r="J18" s="22"/>
      <c r="K18" s="78">
        <f>1+45/60</f>
        <v>1.75</v>
      </c>
      <c r="L18" s="78">
        <v>3.73</v>
      </c>
      <c r="M18" s="79">
        <v>9.6999999999999993</v>
      </c>
      <c r="N18" s="79">
        <f t="shared" si="7"/>
        <v>6.5274999999999999</v>
      </c>
      <c r="O18" s="79">
        <f t="shared" ref="O18" si="13">M18*$K18</f>
        <v>16.974999999999998</v>
      </c>
      <c r="Q18" s="94">
        <f t="shared" ref="Q18" si="14">D18*F18</f>
        <v>1762.5</v>
      </c>
      <c r="R18" s="94">
        <f t="shared" ref="R18" si="15">E18*F18</f>
        <v>4582.5</v>
      </c>
    </row>
    <row r="19" spans="1:18" x14ac:dyDescent="0.25">
      <c r="I19" s="4"/>
      <c r="J19" s="4"/>
      <c r="K19" s="4"/>
      <c r="L19" s="4"/>
      <c r="M19" s="4"/>
      <c r="N19" s="4"/>
      <c r="O19" s="107">
        <f>SUM(O13:O18)</f>
        <v>176.72</v>
      </c>
    </row>
    <row r="20" spans="1:18" x14ac:dyDescent="0.25">
      <c r="I20" s="4"/>
      <c r="J20" s="4"/>
      <c r="K20" s="4"/>
      <c r="L20" s="4"/>
      <c r="M20" s="4"/>
      <c r="N20" s="4"/>
      <c r="O20" s="4"/>
    </row>
    <row r="21" spans="1:18" x14ac:dyDescent="0.25">
      <c r="A21" s="112" t="s">
        <v>44</v>
      </c>
      <c r="B21" s="112" t="s">
        <v>35</v>
      </c>
      <c r="C21" s="22"/>
      <c r="D21" s="22">
        <v>252</v>
      </c>
      <c r="E21" s="98">
        <v>756</v>
      </c>
      <c r="F21" s="22">
        <v>5.25</v>
      </c>
      <c r="G21" s="22">
        <v>292</v>
      </c>
      <c r="H21" s="110" t="s">
        <v>8</v>
      </c>
      <c r="I21" s="22">
        <v>21</v>
      </c>
      <c r="J21" s="3"/>
      <c r="K21" s="78">
        <f>26/60</f>
        <v>0.43333333333333335</v>
      </c>
      <c r="L21" s="79">
        <v>6.06</v>
      </c>
      <c r="M21" s="79">
        <v>18.100000000000001</v>
      </c>
      <c r="N21" s="79">
        <f t="shared" si="7"/>
        <v>2.6259999999999999</v>
      </c>
      <c r="O21" s="79">
        <f t="shared" si="7"/>
        <v>7.8433333333333346</v>
      </c>
    </row>
    <row r="22" spans="1:18" x14ac:dyDescent="0.25">
      <c r="A22" s="34"/>
      <c r="B22" s="26" t="s">
        <v>16</v>
      </c>
      <c r="C22" s="27">
        <v>125</v>
      </c>
      <c r="D22" s="27">
        <v>564</v>
      </c>
      <c r="E22" s="27">
        <v>564</v>
      </c>
      <c r="F22" s="27">
        <v>6.25</v>
      </c>
      <c r="G22" s="27">
        <v>259</v>
      </c>
      <c r="H22" s="27" t="s">
        <v>12</v>
      </c>
      <c r="I22" s="111">
        <v>21</v>
      </c>
      <c r="J22" s="3"/>
      <c r="K22" s="78">
        <f>32/60</f>
        <v>0.53333333333333333</v>
      </c>
      <c r="L22" s="79">
        <v>12.1</v>
      </c>
      <c r="M22" s="79">
        <v>12.1</v>
      </c>
      <c r="N22" s="79">
        <f t="shared" si="7"/>
        <v>6.4533333333333331</v>
      </c>
      <c r="O22" s="79">
        <f t="shared" si="7"/>
        <v>6.4533333333333331</v>
      </c>
    </row>
    <row r="23" spans="1:18" x14ac:dyDescent="0.25">
      <c r="A23" s="34"/>
      <c r="B23" s="26" t="s">
        <v>36</v>
      </c>
      <c r="C23" s="27">
        <v>300</v>
      </c>
      <c r="D23" s="27">
        <v>252</v>
      </c>
      <c r="E23" s="27">
        <v>756</v>
      </c>
      <c r="F23" s="27">
        <v>5.25</v>
      </c>
      <c r="G23" s="27">
        <v>303</v>
      </c>
      <c r="H23" s="27" t="s">
        <v>12</v>
      </c>
      <c r="I23" s="111">
        <v>30</v>
      </c>
      <c r="J23" s="2"/>
      <c r="K23" s="78">
        <f>56/60</f>
        <v>0.93333333333333335</v>
      </c>
      <c r="L23" s="3"/>
      <c r="M23" s="3">
        <v>27.9</v>
      </c>
      <c r="N23" s="79"/>
      <c r="O23" s="79">
        <f t="shared" si="7"/>
        <v>26.04</v>
      </c>
    </row>
    <row r="24" spans="1:18" x14ac:dyDescent="0.25">
      <c r="A24" s="2"/>
      <c r="B24" s="2" t="s">
        <v>24</v>
      </c>
      <c r="C24" s="98">
        <v>1000</v>
      </c>
      <c r="D24" s="27">
        <v>775.5</v>
      </c>
      <c r="E24" s="27">
        <v>775.5</v>
      </c>
      <c r="F24" s="127">
        <v>10.5</v>
      </c>
      <c r="G24" s="27">
        <v>477</v>
      </c>
      <c r="H24" s="27" t="s">
        <v>12</v>
      </c>
      <c r="I24" s="3">
        <v>6</v>
      </c>
      <c r="J24" s="3"/>
      <c r="K24" s="3">
        <f>8/60</f>
        <v>0.13333333333333333</v>
      </c>
      <c r="L24" s="79">
        <v>10</v>
      </c>
      <c r="M24" s="79">
        <v>10</v>
      </c>
      <c r="N24" s="79">
        <f t="shared" si="7"/>
        <v>1.3333333333333333</v>
      </c>
      <c r="O24" s="79">
        <f t="shared" si="7"/>
        <v>1.3333333333333333</v>
      </c>
    </row>
  </sheetData>
  <mergeCells count="4">
    <mergeCell ref="L1:M1"/>
    <mergeCell ref="N1:O1"/>
    <mergeCell ref="L11:M11"/>
    <mergeCell ref="N11:O11"/>
  </mergeCells>
  <conditionalFormatting sqref="L3:L4 L6">
    <cfRule type="colorScale" priority="5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7 N5">
    <cfRule type="colorScale" priority="3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6">
    <cfRule type="colorScale" priority="3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6">
    <cfRule type="colorScale" priority="3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6">
    <cfRule type="colorScale" priority="3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7 N5">
    <cfRule type="colorScale" priority="3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8:B8">
    <cfRule type="colorScale" priority="3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8">
    <cfRule type="colorScale" priority="3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8">
    <cfRule type="colorScale" priority="3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8">
    <cfRule type="colorScale" priority="3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7">
    <cfRule type="colorScale" priority="2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7">
    <cfRule type="colorScale" priority="2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7">
    <cfRule type="colorScale" priority="2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7">
    <cfRule type="colorScale" priority="2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5">
    <cfRule type="colorScale" priority="2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5">
    <cfRule type="colorScale" priority="2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5">
    <cfRule type="colorScale" priority="2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5">
    <cfRule type="colorScale" priority="2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4">
    <cfRule type="colorScale" priority="2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4">
    <cfRule type="colorScale" priority="2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4">
    <cfRule type="colorScale" priority="2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6">
    <cfRule type="colorScale" priority="1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6">
    <cfRule type="colorScale" priority="1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6">
    <cfRule type="colorScale" priority="1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5">
    <cfRule type="colorScale" priority="13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:L4 L6">
    <cfRule type="colorScale" priority="13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:L4 L6">
    <cfRule type="colorScale" priority="13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3:Q7">
    <cfRule type="colorScale" priority="13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5">
    <cfRule type="colorScale" priority="13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8:B8 Q7 J8 P8:Q8 H8 Q5">
    <cfRule type="colorScale" priority="13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:N8">
    <cfRule type="colorScale" priority="14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3:Q8">
    <cfRule type="colorScale" priority="14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5">
    <cfRule type="colorScale" priority="14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:L4 L6 L8">
    <cfRule type="colorScale" priority="14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5">
    <cfRule type="colorScale" priority="14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:L8">
    <cfRule type="colorScale" priority="14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8 O18">
    <cfRule type="colorScale" priority="15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8 M18">
    <cfRule type="colorScale" priority="15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18">
    <cfRule type="colorScale" priority="15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">
    <cfRule type="colorScale" priority="16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5">
    <cfRule type="colorScale" priority="16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7:M18 M13:M14">
    <cfRule type="colorScale" priority="17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7:O18 O13:O14">
    <cfRule type="colorScale" priority="17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6:R18 R13:R14">
    <cfRule type="colorScale" priority="17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7:N8 N4:N5">
    <cfRule type="colorScale" priority="18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7:N8 N3:N5">
    <cfRule type="colorScale" priority="19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5">
    <cfRule type="colorScale" priority="19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7:M18 M13:M14">
    <cfRule type="colorScale" priority="19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4">
    <cfRule type="colorScale" priority="20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3:M14 M17">
    <cfRule type="colorScale" priority="20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7:M18 M13:M14">
    <cfRule type="colorScale" priority="20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7:R18 R13">
    <cfRule type="colorScale" priority="20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7:R18 R13:R14">
    <cfRule type="colorScale" priority="20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7:O18 O13:O14">
    <cfRule type="colorScale" priority="20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7:O18 O13">
    <cfRule type="colorScale" priority="20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9:Q10 Q7 Q3:Q5">
    <cfRule type="colorScale" priority="21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9:R10 R15">
    <cfRule type="colorScale" priority="21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:L8">
    <cfRule type="colorScale" priority="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:N8">
    <cfRule type="colorScale" priority="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3:Q8">
    <cfRule type="colorScale" priority="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3:M14 M17:M18">
    <cfRule type="colorScale" priority="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:O15 O17:O18">
    <cfRule type="colorScale" priority="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3:R18"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5">
    <cfRule type="colorScale" priority="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5">
    <cfRule type="colorScale" priority="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5">
    <cfRule type="colorScale" priority="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5">
    <cfRule type="colorScale" priority="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5">
    <cfRule type="colorScale" priority="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5">
    <cfRule type="colorScale" priority="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3:M15 M17:M18">
    <cfRule type="colorScale" priority="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6"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6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6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6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6"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6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6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6"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6">
    <cfRule type="colorScale" priority="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6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6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6"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3:M18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:O18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3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3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4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4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5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5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6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6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8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8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5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8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8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:D8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:E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3:D1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3:E1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2"/>
  <sheetViews>
    <sheetView workbookViewId="0">
      <selection activeCell="L19" sqref="L19"/>
    </sheetView>
  </sheetViews>
  <sheetFormatPr defaultRowHeight="15" x14ac:dyDescent="0.25"/>
  <cols>
    <col min="1" max="1" width="9.140625" style="53"/>
    <col min="2" max="2" width="9.5703125" style="49" customWidth="1"/>
    <col min="3" max="3" width="6.85546875" style="50" customWidth="1"/>
    <col min="4" max="4" width="7.140625" style="51" customWidth="1"/>
    <col min="5" max="5" width="6.85546875" style="52" customWidth="1"/>
    <col min="6" max="6" width="6.42578125" style="51" customWidth="1"/>
    <col min="7" max="7" width="6.28515625" style="52" customWidth="1"/>
    <col min="8" max="8" width="6.28515625" style="51" customWidth="1"/>
    <col min="9" max="9" width="6.85546875" style="52" customWidth="1"/>
    <col min="10" max="10" width="6.42578125" style="51" customWidth="1"/>
    <col min="11" max="11" width="6.140625" style="50" customWidth="1"/>
    <col min="12" max="12" width="6.5703125" style="51" customWidth="1"/>
    <col min="13" max="13" width="5.85546875" style="52" customWidth="1"/>
    <col min="14" max="14" width="6.7109375" style="51" customWidth="1"/>
    <col min="15" max="15" width="6.7109375" style="52" customWidth="1"/>
    <col min="16" max="16" width="7" style="51" customWidth="1"/>
    <col min="17" max="16384" width="9.140625" style="53"/>
  </cols>
  <sheetData>
    <row r="1" spans="2:20" x14ac:dyDescent="0.25">
      <c r="B1" s="49" t="s">
        <v>67</v>
      </c>
      <c r="C1" s="50">
        <f>SUM(C5:C34)</f>
        <v>34620</v>
      </c>
      <c r="D1" s="51">
        <f>SUM(D5:D34)</f>
        <v>49000</v>
      </c>
      <c r="E1" s="52">
        <f t="shared" ref="E1:P1" si="0">SUM(E5:E34)</f>
        <v>0</v>
      </c>
      <c r="F1" s="51">
        <f t="shared" si="0"/>
        <v>900</v>
      </c>
      <c r="G1" s="52">
        <f t="shared" si="0"/>
        <v>0</v>
      </c>
      <c r="H1" s="51">
        <f t="shared" si="0"/>
        <v>13500</v>
      </c>
      <c r="I1" s="52">
        <f t="shared" si="0"/>
        <v>1140</v>
      </c>
      <c r="J1" s="51">
        <f t="shared" si="0"/>
        <v>0</v>
      </c>
      <c r="K1" s="50">
        <f t="shared" si="0"/>
        <v>0</v>
      </c>
      <c r="L1" s="51">
        <f t="shared" si="0"/>
        <v>17600</v>
      </c>
      <c r="M1" s="52">
        <f t="shared" si="0"/>
        <v>0</v>
      </c>
      <c r="N1" s="51">
        <f t="shared" si="0"/>
        <v>40500</v>
      </c>
      <c r="O1" s="52">
        <f t="shared" si="0"/>
        <v>0</v>
      </c>
      <c r="P1" s="51">
        <f t="shared" si="0"/>
        <v>28000</v>
      </c>
    </row>
    <row r="3" spans="2:20" x14ac:dyDescent="0.25">
      <c r="B3" s="49" t="s">
        <v>65</v>
      </c>
      <c r="C3" s="173" t="s">
        <v>43</v>
      </c>
      <c r="D3" s="170"/>
      <c r="E3" s="171" t="s">
        <v>9</v>
      </c>
      <c r="F3" s="172"/>
      <c r="G3" s="171" t="s">
        <v>66</v>
      </c>
      <c r="H3" s="172"/>
      <c r="I3" s="171" t="s">
        <v>15</v>
      </c>
      <c r="J3" s="172"/>
      <c r="K3" s="171" t="s">
        <v>16</v>
      </c>
      <c r="L3" s="172"/>
      <c r="M3" s="169" t="s">
        <v>21</v>
      </c>
      <c r="N3" s="170"/>
      <c r="O3" s="169" t="s">
        <v>23</v>
      </c>
      <c r="P3" s="170"/>
    </row>
    <row r="4" spans="2:20" x14ac:dyDescent="0.25">
      <c r="C4" s="54" t="s">
        <v>3</v>
      </c>
      <c r="D4" s="54" t="s">
        <v>2</v>
      </c>
      <c r="E4" s="54" t="s">
        <v>3</v>
      </c>
      <c r="F4" s="54" t="s">
        <v>2</v>
      </c>
      <c r="G4" s="54" t="s">
        <v>3</v>
      </c>
      <c r="H4" s="54" t="s">
        <v>2</v>
      </c>
      <c r="I4" s="54" t="s">
        <v>3</v>
      </c>
      <c r="J4" s="54" t="s">
        <v>2</v>
      </c>
      <c r="K4" s="55" t="s">
        <v>3</v>
      </c>
      <c r="L4" s="54" t="s">
        <v>2</v>
      </c>
      <c r="M4" s="54" t="s">
        <v>3</v>
      </c>
      <c r="N4" s="54" t="s">
        <v>2</v>
      </c>
      <c r="O4" s="54" t="s">
        <v>3</v>
      </c>
      <c r="P4" s="54" t="s">
        <v>2</v>
      </c>
    </row>
    <row r="5" spans="2:20" x14ac:dyDescent="0.25">
      <c r="B5" s="56">
        <v>4</v>
      </c>
      <c r="C5" s="57"/>
      <c r="D5" s="58"/>
      <c r="E5" s="59"/>
      <c r="F5" s="58"/>
      <c r="G5" s="59"/>
      <c r="H5" s="58"/>
      <c r="I5" s="59">
        <f>60*3</f>
        <v>180</v>
      </c>
      <c r="J5" s="58"/>
      <c r="K5" s="57"/>
      <c r="L5" s="58"/>
      <c r="M5" s="59"/>
      <c r="N5" s="58"/>
      <c r="O5" s="59"/>
      <c r="P5" s="58"/>
      <c r="Q5" s="49"/>
      <c r="R5" s="49"/>
      <c r="S5" s="49"/>
      <c r="T5" s="49"/>
    </row>
    <row r="6" spans="2:20" x14ac:dyDescent="0.25">
      <c r="B6" s="56">
        <v>5</v>
      </c>
      <c r="C6" s="57"/>
      <c r="D6" s="58"/>
      <c r="E6" s="59"/>
      <c r="F6" s="58"/>
      <c r="G6" s="59"/>
      <c r="H6" s="58"/>
      <c r="I6" s="59"/>
      <c r="J6" s="58"/>
      <c r="K6" s="57"/>
      <c r="L6" s="58"/>
      <c r="M6" s="59"/>
      <c r="N6" s="58"/>
      <c r="O6" s="59"/>
      <c r="P6" s="58"/>
      <c r="Q6" s="49"/>
      <c r="R6" s="49"/>
      <c r="S6" s="49"/>
      <c r="T6" s="49"/>
    </row>
    <row r="7" spans="2:20" x14ac:dyDescent="0.25">
      <c r="B7" s="56">
        <v>6</v>
      </c>
      <c r="C7" s="57"/>
      <c r="D7" s="58"/>
      <c r="E7" s="59"/>
      <c r="F7" s="58"/>
      <c r="G7" s="59"/>
      <c r="H7" s="58"/>
      <c r="I7" s="59"/>
      <c r="J7" s="58"/>
      <c r="K7" s="57"/>
      <c r="L7" s="58"/>
      <c r="M7" s="59"/>
      <c r="N7" s="58"/>
      <c r="O7" s="59"/>
      <c r="P7" s="58"/>
      <c r="Q7" s="49"/>
      <c r="R7" s="49"/>
      <c r="S7" s="49"/>
      <c r="T7" s="49"/>
    </row>
    <row r="8" spans="2:20" x14ac:dyDescent="0.25">
      <c r="B8" s="56">
        <v>7</v>
      </c>
      <c r="C8" s="57"/>
      <c r="D8" s="58"/>
      <c r="E8" s="59"/>
      <c r="F8" s="58"/>
      <c r="G8" s="59"/>
      <c r="H8" s="58"/>
      <c r="I8" s="59">
        <f>320*3</f>
        <v>960</v>
      </c>
      <c r="J8" s="58"/>
      <c r="K8" s="57"/>
      <c r="L8" s="58"/>
      <c r="M8" s="59"/>
      <c r="N8" s="58"/>
      <c r="O8" s="59"/>
      <c r="P8" s="58"/>
      <c r="Q8" s="49"/>
      <c r="R8" s="49"/>
      <c r="S8" s="49"/>
      <c r="T8" s="49"/>
    </row>
    <row r="9" spans="2:20" x14ac:dyDescent="0.25">
      <c r="B9" s="56">
        <v>8</v>
      </c>
      <c r="C9" s="57"/>
      <c r="D9" s="58"/>
      <c r="E9" s="59"/>
      <c r="F9" s="58"/>
      <c r="G9" s="59"/>
      <c r="H9" s="58"/>
      <c r="I9" s="59"/>
      <c r="J9" s="58"/>
      <c r="K9" s="57"/>
      <c r="L9" s="58"/>
      <c r="M9" s="59"/>
      <c r="N9" s="58"/>
      <c r="O9" s="59"/>
      <c r="P9" s="58"/>
      <c r="Q9" s="49"/>
      <c r="R9" s="49"/>
      <c r="S9" s="49"/>
      <c r="T9" s="49"/>
    </row>
    <row r="10" spans="2:20" x14ac:dyDescent="0.25">
      <c r="B10" s="56">
        <v>9</v>
      </c>
      <c r="C10" s="57"/>
      <c r="D10" s="58">
        <v>21000</v>
      </c>
      <c r="E10" s="59"/>
      <c r="F10" s="58">
        <v>900</v>
      </c>
      <c r="G10" s="59"/>
      <c r="H10" s="58"/>
      <c r="I10" s="59"/>
      <c r="J10" s="58"/>
      <c r="K10" s="57"/>
      <c r="L10" s="58"/>
      <c r="M10" s="59"/>
      <c r="N10" s="58"/>
      <c r="O10" s="59"/>
      <c r="P10" s="58"/>
      <c r="Q10" s="49"/>
      <c r="R10" s="49"/>
      <c r="S10" s="49"/>
      <c r="T10" s="49"/>
    </row>
    <row r="11" spans="2:20" x14ac:dyDescent="0.25">
      <c r="B11" s="56">
        <v>10</v>
      </c>
      <c r="C11" s="57">
        <f>5710*3</f>
        <v>17130</v>
      </c>
      <c r="D11" s="58"/>
      <c r="E11" s="59"/>
      <c r="F11" s="58"/>
      <c r="G11" s="59"/>
      <c r="H11" s="58"/>
      <c r="I11" s="59"/>
      <c r="J11" s="58"/>
      <c r="K11" s="57"/>
      <c r="L11" s="58"/>
      <c r="M11" s="59"/>
      <c r="N11" s="58"/>
      <c r="O11" s="59"/>
      <c r="P11" s="58"/>
      <c r="Q11" s="49"/>
      <c r="R11" s="49"/>
      <c r="S11" s="49"/>
      <c r="T11" s="49"/>
    </row>
    <row r="12" spans="2:20" x14ac:dyDescent="0.25">
      <c r="B12" s="56">
        <v>11</v>
      </c>
      <c r="C12" s="57">
        <f>5830*3</f>
        <v>17490</v>
      </c>
      <c r="D12" s="58"/>
      <c r="E12" s="59"/>
      <c r="F12" s="58"/>
      <c r="G12" s="59"/>
      <c r="H12" s="58"/>
      <c r="I12" s="59"/>
      <c r="J12" s="58"/>
      <c r="K12" s="57"/>
      <c r="L12" s="58"/>
      <c r="M12" s="59"/>
      <c r="N12" s="58"/>
      <c r="O12" s="59"/>
      <c r="P12" s="58"/>
      <c r="Q12" s="49"/>
      <c r="R12" s="49"/>
      <c r="S12" s="49"/>
      <c r="T12" s="49"/>
    </row>
    <row r="13" spans="2:20" x14ac:dyDescent="0.25">
      <c r="B13" s="56">
        <v>12</v>
      </c>
      <c r="C13" s="57"/>
      <c r="D13" s="58">
        <v>28000</v>
      </c>
      <c r="E13" s="59"/>
      <c r="F13" s="58"/>
      <c r="G13" s="59"/>
      <c r="H13" s="58"/>
      <c r="I13" s="59"/>
      <c r="J13" s="58"/>
      <c r="K13" s="57"/>
      <c r="L13" s="58"/>
      <c r="M13" s="59"/>
      <c r="N13" s="58"/>
      <c r="O13" s="59"/>
      <c r="P13" s="58">
        <v>28000</v>
      </c>
      <c r="Q13" s="49"/>
      <c r="R13" s="49"/>
      <c r="S13" s="49"/>
      <c r="T13" s="49"/>
    </row>
    <row r="14" spans="2:20" x14ac:dyDescent="0.25">
      <c r="B14" s="56">
        <v>13</v>
      </c>
      <c r="C14" s="57"/>
      <c r="D14" s="58"/>
      <c r="E14" s="59"/>
      <c r="F14" s="58"/>
      <c r="G14" s="59"/>
      <c r="H14" s="58"/>
      <c r="I14" s="59"/>
      <c r="J14" s="58"/>
      <c r="K14" s="57"/>
      <c r="L14" s="58"/>
      <c r="M14" s="59"/>
      <c r="N14" s="58"/>
      <c r="O14" s="59"/>
      <c r="P14" s="58"/>
      <c r="Q14" s="49"/>
      <c r="R14" s="49"/>
      <c r="S14" s="49"/>
      <c r="T14" s="49"/>
    </row>
    <row r="15" spans="2:20" x14ac:dyDescent="0.25">
      <c r="B15" s="56">
        <v>14</v>
      </c>
      <c r="C15" s="57"/>
      <c r="D15" s="58"/>
      <c r="E15" s="59"/>
      <c r="F15" s="58"/>
      <c r="G15" s="59"/>
      <c r="H15" s="58"/>
      <c r="I15" s="59"/>
      <c r="J15" s="58"/>
      <c r="K15" s="57"/>
      <c r="L15" s="58"/>
      <c r="M15" s="59"/>
      <c r="N15" s="58"/>
      <c r="O15" s="59"/>
      <c r="P15" s="58"/>
      <c r="Q15" s="49"/>
      <c r="R15" s="49"/>
      <c r="S15" s="49"/>
      <c r="T15" s="49"/>
    </row>
    <row r="16" spans="2:20" x14ac:dyDescent="0.25">
      <c r="B16" s="56">
        <v>15</v>
      </c>
      <c r="C16" s="57"/>
      <c r="D16" s="58"/>
      <c r="E16" s="59"/>
      <c r="F16" s="58"/>
      <c r="G16" s="59"/>
      <c r="H16" s="58"/>
      <c r="I16" s="59"/>
      <c r="J16" s="58"/>
      <c r="K16" s="57"/>
      <c r="L16" s="58"/>
      <c r="M16" s="59"/>
      <c r="N16" s="58"/>
      <c r="O16" s="59"/>
      <c r="P16" s="58"/>
      <c r="Q16" s="49"/>
      <c r="R16" s="49"/>
      <c r="S16" s="49"/>
      <c r="T16" s="49"/>
    </row>
    <row r="17" spans="2:20" x14ac:dyDescent="0.25">
      <c r="B17" s="56">
        <v>16</v>
      </c>
      <c r="C17" s="57"/>
      <c r="D17" s="58"/>
      <c r="E17" s="59"/>
      <c r="F17" s="58"/>
      <c r="G17" s="59"/>
      <c r="H17" s="58"/>
      <c r="I17" s="59"/>
      <c r="J17" s="58"/>
      <c r="K17" s="57"/>
      <c r="L17" s="58"/>
      <c r="M17" s="59"/>
      <c r="N17" s="58"/>
      <c r="O17" s="59"/>
      <c r="P17" s="58"/>
      <c r="Q17" s="49"/>
      <c r="R17" s="49"/>
      <c r="S17" s="49"/>
      <c r="T17" s="49"/>
    </row>
    <row r="18" spans="2:20" x14ac:dyDescent="0.25">
      <c r="B18" s="56">
        <v>17</v>
      </c>
      <c r="C18" s="60"/>
      <c r="D18" s="61"/>
      <c r="E18" s="62"/>
      <c r="F18" s="61"/>
      <c r="G18" s="59"/>
      <c r="H18" s="58"/>
      <c r="I18" s="59"/>
      <c r="J18" s="58"/>
      <c r="K18" s="57"/>
      <c r="L18" s="58"/>
      <c r="M18" s="59"/>
      <c r="N18" s="58"/>
      <c r="O18" s="59"/>
      <c r="P18" s="58"/>
      <c r="Q18" s="49"/>
      <c r="R18" s="49"/>
      <c r="S18" s="49"/>
      <c r="T18" s="49"/>
    </row>
    <row r="19" spans="2:20" x14ac:dyDescent="0.25">
      <c r="B19" s="56">
        <v>18</v>
      </c>
      <c r="C19" s="57"/>
      <c r="D19" s="58"/>
      <c r="E19" s="59"/>
      <c r="F19" s="58"/>
      <c r="G19" s="59"/>
      <c r="H19" s="58">
        <v>13500</v>
      </c>
      <c r="I19" s="59"/>
      <c r="J19" s="58"/>
      <c r="K19" s="57"/>
      <c r="L19" s="58">
        <v>17600</v>
      </c>
      <c r="M19" s="59"/>
      <c r="N19" s="58">
        <v>40500</v>
      </c>
      <c r="O19" s="59"/>
      <c r="P19" s="58"/>
      <c r="Q19" s="49"/>
      <c r="R19" s="49"/>
      <c r="S19" s="49"/>
      <c r="T19" s="49"/>
    </row>
    <row r="20" spans="2:20" x14ac:dyDescent="0.25">
      <c r="B20" s="56">
        <v>19</v>
      </c>
      <c r="C20" s="57"/>
      <c r="D20" s="58"/>
      <c r="E20" s="59"/>
      <c r="F20" s="58"/>
      <c r="G20" s="59"/>
      <c r="H20" s="58"/>
      <c r="I20" s="59"/>
      <c r="J20" s="58"/>
      <c r="K20" s="57"/>
      <c r="L20" s="58"/>
      <c r="M20" s="59"/>
      <c r="N20" s="58"/>
      <c r="O20" s="59"/>
      <c r="P20" s="58"/>
      <c r="Q20" s="49"/>
      <c r="R20" s="49"/>
      <c r="S20" s="49"/>
      <c r="T20" s="49"/>
    </row>
    <row r="21" spans="2:20" x14ac:dyDescent="0.25">
      <c r="B21" s="56">
        <v>20</v>
      </c>
      <c r="C21" s="57"/>
      <c r="D21" s="58"/>
      <c r="E21" s="59"/>
      <c r="F21" s="58"/>
      <c r="G21" s="59"/>
      <c r="H21" s="58"/>
      <c r="I21" s="59"/>
      <c r="J21" s="58"/>
      <c r="K21" s="57"/>
      <c r="L21" s="58"/>
      <c r="M21" s="59"/>
      <c r="N21" s="58"/>
      <c r="O21" s="59"/>
      <c r="P21" s="58"/>
      <c r="Q21" s="49"/>
      <c r="R21" s="49"/>
      <c r="S21" s="49"/>
      <c r="T21" s="49"/>
    </row>
    <row r="22" spans="2:20" x14ac:dyDescent="0.25">
      <c r="B22" s="56">
        <v>21</v>
      </c>
      <c r="C22" s="57"/>
      <c r="D22" s="58"/>
      <c r="E22" s="59"/>
      <c r="F22" s="58"/>
      <c r="G22" s="59"/>
      <c r="H22" s="58"/>
      <c r="I22" s="59"/>
      <c r="J22" s="58"/>
      <c r="K22" s="57"/>
      <c r="L22" s="58"/>
      <c r="M22" s="59"/>
      <c r="N22" s="58"/>
      <c r="O22" s="59"/>
      <c r="P22" s="58"/>
      <c r="Q22" s="49"/>
      <c r="R22" s="49"/>
      <c r="S22" s="49"/>
      <c r="T22" s="49"/>
    </row>
    <row r="23" spans="2:20" x14ac:dyDescent="0.25">
      <c r="B23" s="56">
        <v>22</v>
      </c>
      <c r="C23" s="57"/>
      <c r="D23" s="58"/>
      <c r="E23" s="59"/>
      <c r="F23" s="58"/>
      <c r="G23" s="59"/>
      <c r="H23" s="58"/>
      <c r="I23" s="59"/>
      <c r="J23" s="58"/>
      <c r="K23" s="57"/>
      <c r="L23" s="58"/>
      <c r="M23" s="59"/>
      <c r="N23" s="58"/>
      <c r="O23" s="59"/>
      <c r="P23" s="58"/>
      <c r="Q23" s="49"/>
      <c r="R23" s="49"/>
      <c r="S23" s="49"/>
      <c r="T23" s="49"/>
    </row>
    <row r="24" spans="2:20" x14ac:dyDescent="0.25">
      <c r="B24" s="56">
        <v>23</v>
      </c>
      <c r="C24" s="57"/>
      <c r="D24" s="58"/>
      <c r="E24" s="59"/>
      <c r="F24" s="58"/>
      <c r="G24" s="59"/>
      <c r="H24" s="58"/>
      <c r="I24" s="59"/>
      <c r="J24" s="58"/>
      <c r="K24" s="57"/>
      <c r="L24" s="58"/>
      <c r="M24" s="59"/>
      <c r="N24" s="58"/>
      <c r="O24" s="59"/>
      <c r="P24" s="58"/>
      <c r="Q24" s="49"/>
      <c r="R24" s="49"/>
      <c r="S24" s="49"/>
      <c r="T24" s="49"/>
    </row>
    <row r="25" spans="2:20" x14ac:dyDescent="0.25">
      <c r="B25" s="56">
        <v>24</v>
      </c>
      <c r="C25" s="57"/>
      <c r="D25" s="58"/>
      <c r="E25" s="59"/>
      <c r="F25" s="58"/>
      <c r="G25" s="59"/>
      <c r="H25" s="58"/>
      <c r="I25" s="59"/>
      <c r="J25" s="58"/>
      <c r="K25" s="57"/>
      <c r="L25" s="58"/>
      <c r="M25" s="59"/>
      <c r="N25" s="58"/>
      <c r="O25" s="59"/>
      <c r="P25" s="58"/>
      <c r="Q25" s="49"/>
      <c r="R25" s="49"/>
      <c r="S25" s="49"/>
      <c r="T25" s="49"/>
    </row>
    <row r="26" spans="2:20" x14ac:dyDescent="0.25">
      <c r="B26" s="56">
        <v>25</v>
      </c>
      <c r="C26" s="57"/>
      <c r="D26" s="58"/>
      <c r="E26" s="59"/>
      <c r="F26" s="58"/>
      <c r="G26" s="59"/>
      <c r="H26" s="58"/>
      <c r="I26" s="59"/>
      <c r="J26" s="58"/>
      <c r="K26" s="57"/>
      <c r="L26" s="58"/>
      <c r="M26" s="59"/>
      <c r="N26" s="58"/>
      <c r="O26" s="59"/>
      <c r="P26" s="58"/>
      <c r="Q26" s="49"/>
      <c r="R26" s="49"/>
      <c r="S26" s="49"/>
      <c r="T26" s="49"/>
    </row>
    <row r="27" spans="2:20" x14ac:dyDescent="0.25">
      <c r="B27" s="56">
        <v>26</v>
      </c>
      <c r="C27" s="57"/>
      <c r="D27" s="58"/>
      <c r="E27" s="59"/>
      <c r="F27" s="58"/>
      <c r="G27" s="59"/>
      <c r="H27" s="58"/>
      <c r="I27" s="59"/>
      <c r="J27" s="58"/>
      <c r="K27" s="57"/>
      <c r="L27" s="58"/>
      <c r="M27" s="59"/>
      <c r="N27" s="58"/>
      <c r="O27" s="59"/>
      <c r="P27" s="58"/>
      <c r="Q27" s="49"/>
      <c r="R27" s="49"/>
      <c r="S27" s="49"/>
      <c r="T27" s="49"/>
    </row>
    <row r="28" spans="2:20" x14ac:dyDescent="0.25">
      <c r="B28" s="56">
        <v>27</v>
      </c>
      <c r="C28" s="57"/>
      <c r="D28" s="58"/>
      <c r="E28" s="59"/>
      <c r="F28" s="58"/>
      <c r="G28" s="59"/>
      <c r="H28" s="58"/>
      <c r="I28" s="59"/>
      <c r="J28" s="58"/>
      <c r="K28" s="57"/>
      <c r="L28" s="58"/>
      <c r="M28" s="59"/>
      <c r="N28" s="58"/>
      <c r="O28" s="59"/>
      <c r="P28" s="58"/>
      <c r="Q28" s="49"/>
      <c r="R28" s="49"/>
      <c r="S28" s="49"/>
      <c r="T28" s="49"/>
    </row>
    <row r="29" spans="2:20" x14ac:dyDescent="0.25">
      <c r="B29" s="56">
        <v>28</v>
      </c>
      <c r="C29" s="57"/>
      <c r="D29" s="58"/>
      <c r="E29" s="59"/>
      <c r="F29" s="58"/>
      <c r="G29" s="59"/>
      <c r="H29" s="58"/>
      <c r="I29" s="59"/>
      <c r="J29" s="58"/>
      <c r="K29" s="57"/>
      <c r="L29" s="58"/>
      <c r="M29" s="59"/>
      <c r="N29" s="58"/>
      <c r="O29" s="59"/>
      <c r="P29" s="58"/>
      <c r="Q29" s="49"/>
      <c r="R29" s="49"/>
      <c r="S29" s="49"/>
      <c r="T29" s="49"/>
    </row>
    <row r="30" spans="2:20" x14ac:dyDescent="0.25">
      <c r="B30" s="56">
        <v>29</v>
      </c>
      <c r="C30" s="57"/>
      <c r="D30" s="58"/>
      <c r="E30" s="59"/>
      <c r="F30" s="58"/>
      <c r="G30" s="59"/>
      <c r="H30" s="58"/>
      <c r="I30" s="59"/>
      <c r="J30" s="58"/>
      <c r="K30" s="57"/>
      <c r="L30" s="58"/>
      <c r="M30" s="59"/>
      <c r="N30" s="58"/>
      <c r="O30" s="59"/>
      <c r="P30" s="58"/>
      <c r="Q30" s="49"/>
      <c r="R30" s="49"/>
      <c r="S30" s="49"/>
      <c r="T30" s="49"/>
    </row>
    <row r="31" spans="2:20" x14ac:dyDescent="0.25">
      <c r="B31" s="56">
        <v>30</v>
      </c>
      <c r="C31" s="57"/>
      <c r="D31" s="58"/>
      <c r="E31" s="59"/>
      <c r="F31" s="58"/>
      <c r="G31" s="59"/>
      <c r="H31" s="58"/>
      <c r="I31" s="59"/>
      <c r="J31" s="58"/>
      <c r="K31" s="57"/>
      <c r="L31" s="58"/>
      <c r="M31" s="59"/>
      <c r="N31" s="58"/>
      <c r="O31" s="59"/>
      <c r="P31" s="58"/>
      <c r="Q31" s="49"/>
      <c r="R31" s="49"/>
      <c r="S31" s="49"/>
      <c r="T31" s="49"/>
    </row>
    <row r="32" spans="2:20" x14ac:dyDescent="0.25">
      <c r="B32" s="56">
        <v>31</v>
      </c>
      <c r="C32" s="57"/>
      <c r="D32" s="58"/>
      <c r="E32" s="59"/>
      <c r="F32" s="58"/>
      <c r="G32" s="59"/>
      <c r="H32" s="58"/>
      <c r="I32" s="59"/>
      <c r="J32" s="58"/>
      <c r="K32" s="57"/>
      <c r="L32" s="58"/>
      <c r="M32" s="59"/>
      <c r="N32" s="58"/>
      <c r="O32" s="59"/>
      <c r="P32" s="58"/>
      <c r="Q32" s="49"/>
      <c r="R32" s="49"/>
      <c r="S32" s="49"/>
      <c r="T32" s="49"/>
    </row>
    <row r="33" spans="2:20" x14ac:dyDescent="0.25">
      <c r="B33" s="56">
        <v>32</v>
      </c>
      <c r="C33" s="57"/>
      <c r="D33" s="58"/>
      <c r="E33" s="59"/>
      <c r="F33" s="58"/>
      <c r="G33" s="59"/>
      <c r="H33" s="58"/>
      <c r="I33" s="59"/>
      <c r="J33" s="58"/>
      <c r="K33" s="57"/>
      <c r="L33" s="58"/>
      <c r="M33" s="59"/>
      <c r="N33" s="58"/>
      <c r="O33" s="59"/>
      <c r="P33" s="58"/>
      <c r="Q33" s="49"/>
      <c r="R33" s="49"/>
      <c r="S33" s="49"/>
      <c r="T33" s="49"/>
    </row>
    <row r="34" spans="2:20" x14ac:dyDescent="0.25">
      <c r="B34" s="56">
        <v>33</v>
      </c>
      <c r="C34" s="57"/>
      <c r="D34" s="58"/>
      <c r="E34" s="59"/>
      <c r="F34" s="58"/>
      <c r="G34" s="59"/>
      <c r="H34" s="58"/>
      <c r="I34" s="59"/>
      <c r="J34" s="58"/>
      <c r="K34" s="57"/>
      <c r="L34" s="58"/>
      <c r="M34" s="59"/>
      <c r="N34" s="58"/>
      <c r="O34" s="59"/>
      <c r="P34" s="58"/>
    </row>
    <row r="35" spans="2:20" x14ac:dyDescent="0.25">
      <c r="B35" s="56">
        <v>34</v>
      </c>
      <c r="C35" s="57"/>
      <c r="D35" s="58"/>
      <c r="E35" s="59"/>
      <c r="F35" s="58"/>
      <c r="G35" s="59"/>
      <c r="H35" s="58"/>
      <c r="I35" s="59"/>
      <c r="J35" s="58"/>
      <c r="K35" s="57"/>
      <c r="L35" s="58"/>
      <c r="M35" s="59"/>
      <c r="N35" s="58"/>
      <c r="O35" s="59"/>
      <c r="P35" s="58"/>
    </row>
    <row r="36" spans="2:20" x14ac:dyDescent="0.25">
      <c r="B36" s="56">
        <v>35</v>
      </c>
      <c r="C36" s="57"/>
      <c r="D36" s="58"/>
      <c r="E36" s="59"/>
      <c r="F36" s="58"/>
      <c r="G36" s="59"/>
      <c r="H36" s="58"/>
      <c r="I36" s="59"/>
      <c r="J36" s="58"/>
      <c r="K36" s="57"/>
      <c r="L36" s="58"/>
      <c r="M36" s="59"/>
      <c r="N36" s="58"/>
      <c r="O36" s="59"/>
      <c r="P36" s="58"/>
    </row>
    <row r="37" spans="2:20" x14ac:dyDescent="0.25">
      <c r="B37" s="56">
        <v>36</v>
      </c>
      <c r="C37" s="57"/>
      <c r="D37" s="58"/>
      <c r="E37" s="59"/>
      <c r="F37" s="58"/>
      <c r="G37" s="59"/>
      <c r="H37" s="58"/>
      <c r="I37" s="59"/>
      <c r="J37" s="58"/>
      <c r="K37" s="57"/>
      <c r="L37" s="58"/>
      <c r="M37" s="59"/>
      <c r="N37" s="58"/>
      <c r="O37" s="59"/>
      <c r="P37" s="58"/>
    </row>
    <row r="38" spans="2:20" x14ac:dyDescent="0.25">
      <c r="B38" s="56">
        <v>37</v>
      </c>
      <c r="C38" s="57"/>
      <c r="D38" s="58"/>
      <c r="E38" s="59"/>
      <c r="F38" s="58"/>
      <c r="G38" s="59"/>
      <c r="H38" s="58"/>
      <c r="I38" s="59"/>
      <c r="J38" s="58"/>
      <c r="K38" s="57"/>
      <c r="L38" s="58"/>
      <c r="M38" s="59"/>
      <c r="N38" s="58"/>
      <c r="O38" s="59"/>
      <c r="P38" s="58"/>
    </row>
    <row r="39" spans="2:20" x14ac:dyDescent="0.25">
      <c r="B39" s="56">
        <v>38</v>
      </c>
      <c r="C39" s="57"/>
      <c r="D39" s="58"/>
      <c r="E39" s="59"/>
      <c r="F39" s="58"/>
      <c r="G39" s="59"/>
      <c r="H39" s="58"/>
      <c r="I39" s="59"/>
      <c r="J39" s="58"/>
      <c r="K39" s="57"/>
      <c r="L39" s="58"/>
      <c r="M39" s="59"/>
      <c r="N39" s="58"/>
      <c r="O39" s="59"/>
      <c r="P39" s="58"/>
    </row>
    <row r="40" spans="2:20" x14ac:dyDescent="0.25">
      <c r="B40" s="56">
        <v>39</v>
      </c>
      <c r="C40" s="57"/>
      <c r="D40" s="58"/>
      <c r="E40" s="59"/>
      <c r="F40" s="58"/>
      <c r="G40" s="59"/>
      <c r="H40" s="58"/>
      <c r="I40" s="59"/>
      <c r="J40" s="58"/>
      <c r="K40" s="57"/>
      <c r="L40" s="58"/>
      <c r="M40" s="59"/>
      <c r="N40" s="58"/>
      <c r="O40" s="59"/>
      <c r="P40" s="58"/>
    </row>
    <row r="41" spans="2:20" x14ac:dyDescent="0.25">
      <c r="B41" s="56">
        <v>40</v>
      </c>
      <c r="C41" s="57"/>
      <c r="D41" s="58"/>
      <c r="E41" s="59"/>
      <c r="F41" s="58"/>
      <c r="G41" s="59"/>
      <c r="H41" s="58"/>
      <c r="I41" s="59"/>
      <c r="J41" s="58"/>
      <c r="K41" s="57"/>
      <c r="L41" s="58"/>
      <c r="M41" s="59"/>
      <c r="N41" s="58"/>
      <c r="O41" s="59"/>
      <c r="P41" s="58"/>
    </row>
    <row r="42" spans="2:20" x14ac:dyDescent="0.25">
      <c r="B42" s="56">
        <v>41</v>
      </c>
      <c r="C42" s="57"/>
      <c r="D42" s="58"/>
      <c r="E42" s="59"/>
      <c r="F42" s="58"/>
      <c r="G42" s="59"/>
      <c r="H42" s="58"/>
      <c r="I42" s="59"/>
      <c r="J42" s="58"/>
      <c r="K42" s="57"/>
      <c r="L42" s="58"/>
      <c r="M42" s="59"/>
      <c r="N42" s="58"/>
      <c r="O42" s="59"/>
      <c r="P42" s="58"/>
    </row>
    <row r="43" spans="2:20" x14ac:dyDescent="0.25">
      <c r="B43" s="56">
        <v>42</v>
      </c>
      <c r="C43" s="57"/>
      <c r="D43" s="58"/>
      <c r="E43" s="59"/>
      <c r="F43" s="58"/>
      <c r="G43" s="59"/>
      <c r="H43" s="58"/>
      <c r="I43" s="59"/>
      <c r="J43" s="58"/>
      <c r="K43" s="57"/>
      <c r="L43" s="58"/>
      <c r="M43" s="59"/>
      <c r="N43" s="58"/>
      <c r="O43" s="59"/>
      <c r="P43" s="58"/>
    </row>
    <row r="44" spans="2:20" x14ac:dyDescent="0.25">
      <c r="B44" s="56">
        <v>43</v>
      </c>
      <c r="C44" s="57"/>
      <c r="D44" s="58"/>
      <c r="E44" s="59"/>
      <c r="F44" s="58"/>
      <c r="G44" s="59"/>
      <c r="H44" s="58"/>
      <c r="I44" s="59"/>
      <c r="J44" s="58"/>
      <c r="K44" s="57"/>
      <c r="L44" s="58"/>
      <c r="M44" s="59"/>
      <c r="N44" s="58"/>
      <c r="O44" s="59"/>
      <c r="P44" s="58"/>
    </row>
    <row r="45" spans="2:20" x14ac:dyDescent="0.25">
      <c r="B45" s="56">
        <v>44</v>
      </c>
      <c r="C45" s="57"/>
      <c r="D45" s="58"/>
      <c r="E45" s="59"/>
      <c r="F45" s="58"/>
      <c r="G45" s="59"/>
      <c r="H45" s="58"/>
      <c r="I45" s="59"/>
      <c r="J45" s="58"/>
      <c r="K45" s="57"/>
      <c r="L45" s="58"/>
      <c r="M45" s="59"/>
      <c r="N45" s="58"/>
      <c r="O45" s="59"/>
      <c r="P45" s="58"/>
    </row>
    <row r="46" spans="2:20" x14ac:dyDescent="0.25">
      <c r="B46" s="56">
        <v>45</v>
      </c>
      <c r="C46" s="57"/>
      <c r="D46" s="58"/>
      <c r="E46" s="59"/>
      <c r="F46" s="58"/>
      <c r="G46" s="59"/>
      <c r="H46" s="58"/>
      <c r="I46" s="59"/>
      <c r="J46" s="58"/>
      <c r="K46" s="57"/>
      <c r="L46" s="58"/>
      <c r="M46" s="59"/>
      <c r="N46" s="58"/>
      <c r="O46" s="59"/>
      <c r="P46" s="58"/>
    </row>
    <row r="47" spans="2:20" x14ac:dyDescent="0.25">
      <c r="B47" s="56">
        <v>46</v>
      </c>
      <c r="C47" s="57"/>
      <c r="D47" s="58"/>
      <c r="E47" s="59"/>
      <c r="F47" s="58"/>
      <c r="G47" s="59"/>
      <c r="H47" s="58"/>
      <c r="I47" s="59"/>
      <c r="J47" s="58"/>
      <c r="K47" s="57"/>
      <c r="L47" s="58"/>
      <c r="M47" s="59"/>
      <c r="N47" s="58"/>
      <c r="O47" s="59"/>
      <c r="P47" s="58"/>
    </row>
    <row r="48" spans="2:20" x14ac:dyDescent="0.25">
      <c r="B48" s="56">
        <v>47</v>
      </c>
      <c r="C48" s="57"/>
      <c r="D48" s="58"/>
      <c r="E48" s="59"/>
      <c r="F48" s="58"/>
      <c r="G48" s="59"/>
      <c r="H48" s="58"/>
      <c r="I48" s="59"/>
      <c r="J48" s="58"/>
      <c r="K48" s="57"/>
      <c r="L48" s="58"/>
      <c r="M48" s="59"/>
      <c r="N48" s="58"/>
      <c r="O48" s="59"/>
      <c r="P48" s="58"/>
    </row>
    <row r="49" spans="2:16" x14ac:dyDescent="0.25">
      <c r="B49" s="56">
        <v>48</v>
      </c>
      <c r="C49" s="57"/>
      <c r="D49" s="58"/>
      <c r="E49" s="59"/>
      <c r="F49" s="58"/>
      <c r="G49" s="59"/>
      <c r="H49" s="58"/>
      <c r="I49" s="59"/>
      <c r="J49" s="58"/>
      <c r="K49" s="57"/>
      <c r="L49" s="58"/>
      <c r="M49" s="59"/>
      <c r="N49" s="58"/>
      <c r="O49" s="59"/>
      <c r="P49" s="58"/>
    </row>
    <row r="50" spans="2:16" x14ac:dyDescent="0.25">
      <c r="B50" s="56">
        <v>49</v>
      </c>
      <c r="C50" s="57"/>
      <c r="D50" s="58"/>
      <c r="E50" s="59"/>
      <c r="F50" s="58"/>
      <c r="G50" s="59"/>
      <c r="H50" s="58"/>
      <c r="I50" s="59"/>
      <c r="J50" s="58"/>
      <c r="K50" s="57"/>
      <c r="L50" s="58"/>
      <c r="M50" s="59"/>
      <c r="N50" s="58"/>
      <c r="O50" s="59"/>
      <c r="P50" s="58"/>
    </row>
    <row r="51" spans="2:16" x14ac:dyDescent="0.25">
      <c r="B51" s="56">
        <v>50</v>
      </c>
    </row>
    <row r="52" spans="2:16" x14ac:dyDescent="0.25">
      <c r="B52" s="56">
        <v>51</v>
      </c>
    </row>
  </sheetData>
  <mergeCells count="7">
    <mergeCell ref="O3:P3"/>
    <mergeCell ref="E3:F3"/>
    <mergeCell ref="C3:D3"/>
    <mergeCell ref="G3:H3"/>
    <mergeCell ref="I3:J3"/>
    <mergeCell ref="K3:L3"/>
    <mergeCell ref="M3:N3"/>
  </mergeCells>
  <conditionalFormatting sqref="B5:B5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workbookViewId="0">
      <selection activeCell="B1" sqref="B1"/>
    </sheetView>
  </sheetViews>
  <sheetFormatPr defaultRowHeight="15" x14ac:dyDescent="0.25"/>
  <cols>
    <col min="2" max="2" width="13.42578125" customWidth="1"/>
    <col min="5" max="9" width="16.140625" customWidth="1"/>
  </cols>
  <sheetData>
    <row r="1" spans="1:9" x14ac:dyDescent="0.25">
      <c r="A1">
        <v>1</v>
      </c>
      <c r="B1" t="str">
        <f>IF(INDEX(Feed_D!$B$2:$ML$2,1,(A1-1)*6+1)=0,"",INDEX(Feed_D!$B$2:$ML$2,1,(A1-1)*6+1))</f>
        <v>Whispering Death</v>
      </c>
    </row>
    <row r="2" spans="1:9" x14ac:dyDescent="0.25">
      <c r="A2">
        <v>2</v>
      </c>
      <c r="B2" t="str">
        <f>IF(INDEX(Feed_D!$B$2:$ML$2,1,(A2-1)*6+1)=0,"",INDEX(Feed_D!$B$2:$ML$2,1,(A2-1)*6+1))</f>
        <v>Scauldron</v>
      </c>
      <c r="E2" t="s">
        <v>95</v>
      </c>
      <c r="F2" t="s">
        <v>96</v>
      </c>
      <c r="G2" t="s">
        <v>97</v>
      </c>
      <c r="H2" t="s">
        <v>98</v>
      </c>
      <c r="I2" t="s">
        <v>99</v>
      </c>
    </row>
    <row r="3" spans="1:9" x14ac:dyDescent="0.25">
      <c r="A3">
        <v>3</v>
      </c>
      <c r="B3" t="str">
        <f>IF(INDEX(Feed_D!$B$2:$ML$2,1,(A3-1)*6+1)=0,"",INDEX(Feed_D!$B$2:$ML$2,1,(A3-1)*6+1))</f>
        <v>Meatlug</v>
      </c>
      <c r="E3" t="s">
        <v>19</v>
      </c>
      <c r="F3" t="s">
        <v>13</v>
      </c>
      <c r="G3" t="s">
        <v>23</v>
      </c>
      <c r="H3" t="s">
        <v>43</v>
      </c>
      <c r="I3" t="s">
        <v>21</v>
      </c>
    </row>
    <row r="4" spans="1:9" x14ac:dyDescent="0.25">
      <c r="A4">
        <v>4</v>
      </c>
      <c r="B4" t="str">
        <f>IF(INDEX(Feed_D!$B$2:$ML$2,1,(A4-1)*6+1)=0,"",INDEX(Feed_D!$B$2:$ML$2,1,(A4-1)*6+1))</f>
        <v>Hookfang</v>
      </c>
      <c r="D4">
        <v>4</v>
      </c>
      <c r="E4">
        <f>IF(INDEX(Feed_D!$B$4:$EU$42,$D4-3,MATCH(E$3,Feed_D!$B$2:$EU$2,0)+5)=0,#N/A,INDEX(Feed_D!$B$4:$EU$42,$D4-3,MATCH(E$3,Feed_D!$B$2:$EU$2,0)+5))</f>
        <v>0.35860058309037901</v>
      </c>
      <c r="F4" t="e">
        <f>IF(INDEX(Feed_D!$B$4:$EU$42,$D4-3,MATCH(F$3,Feed_D!$B$2:$EU$2,0)+5)=0,#N/A,INDEX(Feed_D!$B$4:$EU$42,$D4-3,MATCH(F$3,Feed_D!$B$2:$EU$2,0)+5))</f>
        <v>#N/A</v>
      </c>
      <c r="G4" t="e">
        <f>IF(INDEX(Feed_D!$B$4:$EU$42,$D4-3,MATCH(G$3,Feed_D!$B$2:$EU$2,0)+5)=0,#N/A,INDEX(Feed_D!$B$4:$EU$42,$D4-3,MATCH(G$3,Feed_D!$B$2:$EU$2,0)+5))</f>
        <v>#N/A</v>
      </c>
      <c r="H4" t="e">
        <f>IF(INDEX(Feed_D!$B$4:$EU$42,$D4-3,MATCH(H$3,Feed_D!$B$2:$EU$2,0)+5)=0,#N/A,INDEX(Feed_D!$B$4:$EU$42,$D4-3,MATCH(H$3,Feed_D!$B$2:$EU$2,0)+5))</f>
        <v>#N/A</v>
      </c>
      <c r="I4" t="e">
        <f>IF(INDEX(Feed_D!$B$4:$EU$42,$D4-3,MATCH(I$3,Feed_D!$B$2:$EU$2,0)+5)=0,#N/A,INDEX(Feed_D!$B$4:$EU$42,$D4-3,MATCH(I$3,Feed_D!$B$2:$EU$2,0)+5))</f>
        <v>#N/A</v>
      </c>
    </row>
    <row r="5" spans="1:9" x14ac:dyDescent="0.25">
      <c r="A5">
        <v>5</v>
      </c>
      <c r="B5" t="str">
        <f>IF(INDEX(Feed_D!$B$2:$ML$2,1,(A5-1)*6+1)=0,"",INDEX(Feed_D!$B$2:$ML$2,1,(A5-1)*6+1))</f>
        <v>Thunderdrum</v>
      </c>
      <c r="D5">
        <v>5</v>
      </c>
      <c r="E5">
        <f>IF(INDEX(Feed_D!$B$4:$EU$42,$D5-3,MATCH(E$3,Feed_D!$B$2:$EU$2,0)+5)=0,#N/A,INDEX(Feed_D!$B$4:$EU$42,$D5-3,MATCH(E$3,Feed_D!$B$2:$EU$2,0)+5))</f>
        <v>0.84715025906735764</v>
      </c>
      <c r="F5">
        <f>IF(INDEX(Feed_D!$B$4:$EU$42,$D5-3,MATCH(F$3,Feed_D!$B$2:$EU$2,0)+5)=0,#N/A,INDEX(Feed_D!$B$4:$EU$42,$D5-3,MATCH(F$3,Feed_D!$B$2:$EU$2,0)+5))</f>
        <v>0.27192982456140347</v>
      </c>
      <c r="G5" t="e">
        <f>IF(INDEX(Feed_D!$B$4:$EU$42,$D5-3,MATCH(G$3,Feed_D!$B$2:$EU$2,0)+5)=0,#N/A,INDEX(Feed_D!$B$4:$EU$42,$D5-3,MATCH(G$3,Feed_D!$B$2:$EU$2,0)+5))</f>
        <v>#N/A</v>
      </c>
      <c r="H5" t="e">
        <f>IF(INDEX(Feed_D!$B$4:$EU$42,$D5-3,MATCH(H$3,Feed_D!$B$2:$EU$2,0)+5)=0,#N/A,INDEX(Feed_D!$B$4:$EU$42,$D5-3,MATCH(H$3,Feed_D!$B$2:$EU$2,0)+5))</f>
        <v>#N/A</v>
      </c>
      <c r="I5" t="e">
        <f>IF(INDEX(Feed_D!$B$4:$EU$42,$D5-3,MATCH(I$3,Feed_D!$B$2:$EU$2,0)+5)=0,#N/A,INDEX(Feed_D!$B$4:$EU$42,$D5-3,MATCH(I$3,Feed_D!$B$2:$EU$2,0)+5))</f>
        <v>#N/A</v>
      </c>
    </row>
    <row r="6" spans="1:9" x14ac:dyDescent="0.25">
      <c r="A6">
        <v>6</v>
      </c>
      <c r="B6" t="str">
        <f>IF(INDEX(Feed_D!$B$2:$ML$2,1,(A6-1)*6+1)=0,"",INDEX(Feed_D!$B$2:$ML$2,1,(A6-1)*6+1))</f>
        <v>Typhoomerang</v>
      </c>
      <c r="D6">
        <v>6</v>
      </c>
      <c r="E6">
        <f>IF(INDEX(Feed_D!$B$4:$EU$42,$D6-3,MATCH(E$3,Feed_D!$B$2:$EU$2,0)+5)=0,#N/A,INDEX(Feed_D!$B$4:$EU$42,$D6-3,MATCH(E$3,Feed_D!$B$2:$EU$2,0)+5))</f>
        <v>1.3813559322033897</v>
      </c>
      <c r="F6">
        <f>IF(INDEX(Feed_D!$B$4:$EU$42,$D6-3,MATCH(F$3,Feed_D!$B$2:$EU$2,0)+5)=0,#N/A,INDEX(Feed_D!$B$4:$EU$42,$D6-3,MATCH(F$3,Feed_D!$B$2:$EU$2,0)+5))</f>
        <v>0.18660287081339713</v>
      </c>
      <c r="G6" t="e">
        <f>IF(INDEX(Feed_D!$B$4:$EU$42,$D6-3,MATCH(G$3,Feed_D!$B$2:$EU$2,0)+5)=0,#N/A,INDEX(Feed_D!$B$4:$EU$42,$D6-3,MATCH(G$3,Feed_D!$B$2:$EU$2,0)+5))</f>
        <v>#N/A</v>
      </c>
      <c r="H6" t="e">
        <f>IF(INDEX(Feed_D!$B$4:$EU$42,$D6-3,MATCH(H$3,Feed_D!$B$2:$EU$2,0)+5)=0,#N/A,INDEX(Feed_D!$B$4:$EU$42,$D6-3,MATCH(H$3,Feed_D!$B$2:$EU$2,0)+5))</f>
        <v>#N/A</v>
      </c>
      <c r="I6" t="e">
        <f>IF(INDEX(Feed_D!$B$4:$EU$42,$D6-3,MATCH(I$3,Feed_D!$B$2:$EU$2,0)+5)=0,#N/A,INDEX(Feed_D!$B$4:$EU$42,$D6-3,MATCH(I$3,Feed_D!$B$2:$EU$2,0)+5))</f>
        <v>#N/A</v>
      </c>
    </row>
    <row r="7" spans="1:9" x14ac:dyDescent="0.25">
      <c r="A7">
        <v>7</v>
      </c>
      <c r="B7" t="str">
        <f>IF(INDEX(Feed_D!$B$2:$ML$2,1,(A7-1)*6+1)=0,"",INDEX(Feed_D!$B$2:$ML$2,1,(A7-1)*6+1))</f>
        <v>Deadly Nadder</v>
      </c>
      <c r="D7">
        <v>7</v>
      </c>
      <c r="E7">
        <f>IF(INDEX(Feed_D!$B$4:$EU$42,$D7-3,MATCH(E$3,Feed_D!$B$2:$EU$2,0)+5)=0,#N/A,INDEX(Feed_D!$B$4:$EU$42,$D7-3,MATCH(E$3,Feed_D!$B$2:$EU$2,0)+5))</f>
        <v>2.4969325153374236</v>
      </c>
      <c r="F7">
        <f>IF(INDEX(Feed_D!$B$4:$EU$42,$D7-3,MATCH(F$3,Feed_D!$B$2:$EU$2,0)+5)=0,#N/A,INDEX(Feed_D!$B$4:$EU$42,$D7-3,MATCH(F$3,Feed_D!$B$2:$EU$2,0)+5))</f>
        <v>0.22170900692840645</v>
      </c>
      <c r="G7" t="e">
        <f>IF(INDEX(Feed_D!$B$4:$EU$42,$D7-3,MATCH(G$3,Feed_D!$B$2:$EU$2,0)+5)=0,#N/A,INDEX(Feed_D!$B$4:$EU$42,$D7-3,MATCH(G$3,Feed_D!$B$2:$EU$2,0)+5))</f>
        <v>#N/A</v>
      </c>
      <c r="H7" t="e">
        <f>IF(INDEX(Feed_D!$B$4:$EU$42,$D7-3,MATCH(H$3,Feed_D!$B$2:$EU$2,0)+5)=0,#N/A,INDEX(Feed_D!$B$4:$EU$42,$D7-3,MATCH(H$3,Feed_D!$B$2:$EU$2,0)+5))</f>
        <v>#N/A</v>
      </c>
      <c r="I7" t="e">
        <f>IF(INDEX(Feed_D!$B$4:$EU$42,$D7-3,MATCH(I$3,Feed_D!$B$2:$EU$2,0)+5)=0,#N/A,INDEX(Feed_D!$B$4:$EU$42,$D7-3,MATCH(I$3,Feed_D!$B$2:$EU$2,0)+5))</f>
        <v>#N/A</v>
      </c>
    </row>
    <row r="8" spans="1:9" x14ac:dyDescent="0.25">
      <c r="A8">
        <v>8</v>
      </c>
      <c r="B8" t="str">
        <f>IF(INDEX(Feed_D!$B$2:$ML$2,1,(A8-1)*6+1)=0,"",INDEX(Feed_D!$B$2:$ML$2,1,(A8-1)*6+1))</f>
        <v>Stormfly</v>
      </c>
      <c r="D8">
        <v>8</v>
      </c>
      <c r="E8">
        <f>IF(INDEX(Feed_D!$B$4:$EU$42,$D8-3,MATCH(E$3,Feed_D!$B$2:$EU$2,0)+5)=0,#N/A,INDEX(Feed_D!$B$4:$EU$42,$D8-3,MATCH(E$3,Feed_D!$B$2:$EU$2,0)+5))</f>
        <v>4.508737864077669</v>
      </c>
      <c r="F8">
        <f>IF(INDEX(Feed_D!$B$4:$EU$42,$D8-3,MATCH(F$3,Feed_D!$B$2:$EU$2,0)+5)=0,#N/A,INDEX(Feed_D!$B$4:$EU$42,$D8-3,MATCH(F$3,Feed_D!$B$2:$EU$2,0)+5))</f>
        <v>0.23076923076923073</v>
      </c>
      <c r="G8" t="e">
        <f>IF(INDEX(Feed_D!$B$4:$EU$42,$D8-3,MATCH(G$3,Feed_D!$B$2:$EU$2,0)+5)=0,#N/A,INDEX(Feed_D!$B$4:$EU$42,$D8-3,MATCH(G$3,Feed_D!$B$2:$EU$2,0)+5))</f>
        <v>#N/A</v>
      </c>
      <c r="H8" t="e">
        <f>IF(INDEX(Feed_D!$B$4:$EU$42,$D8-3,MATCH(H$3,Feed_D!$B$2:$EU$2,0)+5)=0,#N/A,INDEX(Feed_D!$B$4:$EU$42,$D8-3,MATCH(H$3,Feed_D!$B$2:$EU$2,0)+5))</f>
        <v>#N/A</v>
      </c>
      <c r="I8" t="e">
        <f>IF(INDEX(Feed_D!$B$4:$EU$42,$D8-3,MATCH(I$3,Feed_D!$B$2:$EU$2,0)+5)=0,#N/A,INDEX(Feed_D!$B$4:$EU$42,$D8-3,MATCH(I$3,Feed_D!$B$2:$EU$2,0)+5))</f>
        <v>#N/A</v>
      </c>
    </row>
    <row r="9" spans="1:9" x14ac:dyDescent="0.25">
      <c r="A9">
        <v>9</v>
      </c>
      <c r="B9" t="str">
        <f>IF(INDEX(Feed_D!$B$2:$ML$2,1,(A9-1)*6+1)=0,"",INDEX(Feed_D!$B$2:$ML$2,1,(A9-1)*6+1))</f>
        <v>Hackatoo</v>
      </c>
      <c r="D9">
        <v>9</v>
      </c>
      <c r="E9">
        <f>IF(INDEX(Feed_D!$B$4:$EU$42,$D9-3,MATCH(E$3,Feed_D!$B$2:$EU$2,0)+5)=0,#N/A,INDEX(Feed_D!$B$4:$EU$42,$D9-3,MATCH(E$3,Feed_D!$B$2:$EU$2,0)+5))</f>
        <v>1.5555555555555554</v>
      </c>
      <c r="F9" t="e">
        <f>IF(INDEX(Feed_D!$B$4:$EU$42,$D9-3,MATCH(F$3,Feed_D!$B$2:$EU$2,0)+5)=0,#N/A,INDEX(Feed_D!$B$4:$EU$42,$D9-3,MATCH(F$3,Feed_D!$B$2:$EU$2,0)+5))</f>
        <v>#N/A</v>
      </c>
      <c r="G9" t="e">
        <f>IF(INDEX(Feed_D!$B$4:$EU$42,$D9-3,MATCH(G$3,Feed_D!$B$2:$EU$2,0)+5)=0,#N/A,INDEX(Feed_D!$B$4:$EU$42,$D9-3,MATCH(G$3,Feed_D!$B$2:$EU$2,0)+5))</f>
        <v>#N/A</v>
      </c>
      <c r="H9" t="e">
        <f>IF(INDEX(Feed_D!$B$4:$EU$42,$D9-3,MATCH(H$3,Feed_D!$B$2:$EU$2,0)+5)=0,#N/A,INDEX(Feed_D!$B$4:$EU$42,$D9-3,MATCH(H$3,Feed_D!$B$2:$EU$2,0)+5))</f>
        <v>#N/A</v>
      </c>
      <c r="I9" t="e">
        <f>IF(INDEX(Feed_D!$B$4:$EU$42,$D9-3,MATCH(I$3,Feed_D!$B$2:$EU$2,0)+5)=0,#N/A,INDEX(Feed_D!$B$4:$EU$42,$D9-3,MATCH(I$3,Feed_D!$B$2:$EU$2,0)+5))</f>
        <v>#N/A</v>
      </c>
    </row>
    <row r="10" spans="1:9" x14ac:dyDescent="0.25">
      <c r="A10">
        <v>10</v>
      </c>
      <c r="B10" t="str">
        <f>IF(INDEX(Feed_D!$B$2:$ML$2,1,(A10-1)*6+1)=0,"",INDEX(Feed_D!$B$2:$ML$2,1,(A10-1)*6+1))</f>
        <v>Shockjaw</v>
      </c>
      <c r="D10">
        <v>10</v>
      </c>
      <c r="E10">
        <f>IF(INDEX(Feed_D!$B$4:$EU$42,$D10-3,MATCH(E$3,Feed_D!$B$2:$EU$2,0)+5)=0,#N/A,INDEX(Feed_D!$B$4:$EU$42,$D10-3,MATCH(E$3,Feed_D!$B$2:$EU$2,0)+5))</f>
        <v>4.0754716981132066</v>
      </c>
      <c r="F10" t="e">
        <f>IF(INDEX(Feed_D!$B$4:$EU$42,$D10-3,MATCH(F$3,Feed_D!$B$2:$EU$2,0)+5)=0,#N/A,INDEX(Feed_D!$B$4:$EU$42,$D10-3,MATCH(F$3,Feed_D!$B$2:$EU$2,0)+5))</f>
        <v>#N/A</v>
      </c>
      <c r="G10" t="e">
        <f>IF(INDEX(Feed_D!$B$4:$EU$42,$D10-3,MATCH(G$3,Feed_D!$B$2:$EU$2,0)+5)=0,#N/A,INDEX(Feed_D!$B$4:$EU$42,$D10-3,MATCH(G$3,Feed_D!$B$2:$EU$2,0)+5))</f>
        <v>#N/A</v>
      </c>
      <c r="H10" t="e">
        <f>IF(INDEX(Feed_D!$B$4:$EU$42,$D10-3,MATCH(H$3,Feed_D!$B$2:$EU$2,0)+5)=0,#N/A,INDEX(Feed_D!$B$4:$EU$42,$D10-3,MATCH(H$3,Feed_D!$B$2:$EU$2,0)+5))</f>
        <v>#N/A</v>
      </c>
      <c r="I10" t="e">
        <f>IF(INDEX(Feed_D!$B$4:$EU$42,$D10-3,MATCH(I$3,Feed_D!$B$2:$EU$2,0)+5)=0,#N/A,INDEX(Feed_D!$B$4:$EU$42,$D10-3,MATCH(I$3,Feed_D!$B$2:$EU$2,0)+5))</f>
        <v>#N/A</v>
      </c>
    </row>
    <row r="11" spans="1:9" x14ac:dyDescent="0.25">
      <c r="A11">
        <v>11</v>
      </c>
      <c r="B11" t="str">
        <f>IF(INDEX(Feed_D!$B$2:$ML$2,1,(A11-1)*6+1)=0,"",INDEX(Feed_D!$B$2:$ML$2,1,(A11-1)*6+1))</f>
        <v>Exotic Hackatoo</v>
      </c>
      <c r="D11">
        <v>11</v>
      </c>
      <c r="E11">
        <f>IF(INDEX(Feed_D!$B$4:$EU$42,$D11-3,MATCH(E$3,Feed_D!$B$2:$EU$2,0)+5)=0,#N/A,INDEX(Feed_D!$B$4:$EU$42,$D11-3,MATCH(E$3,Feed_D!$B$2:$EU$2,0)+5))</f>
        <v>3.9320388349514563</v>
      </c>
      <c r="F11" t="e">
        <f>IF(INDEX(Feed_D!$B$4:$EU$42,$D11-3,MATCH(F$3,Feed_D!$B$2:$EU$2,0)+5)=0,#N/A,INDEX(Feed_D!$B$4:$EU$42,$D11-3,MATCH(F$3,Feed_D!$B$2:$EU$2,0)+5))</f>
        <v>#N/A</v>
      </c>
      <c r="G11" t="e">
        <f>IF(INDEX(Feed_D!$B$4:$EU$42,$D11-3,MATCH(G$3,Feed_D!$B$2:$EU$2,0)+5)=0,#N/A,INDEX(Feed_D!$B$4:$EU$42,$D11-3,MATCH(G$3,Feed_D!$B$2:$EU$2,0)+5))</f>
        <v>#N/A</v>
      </c>
      <c r="H11" t="e">
        <f>IF(INDEX(Feed_D!$B$4:$EU$42,$D11-3,MATCH(H$3,Feed_D!$B$2:$EU$2,0)+5)=0,#N/A,INDEX(Feed_D!$B$4:$EU$42,$D11-3,MATCH(H$3,Feed_D!$B$2:$EU$2,0)+5))</f>
        <v>#N/A</v>
      </c>
      <c r="I11" t="e">
        <f>IF(INDEX(Feed_D!$B$4:$EU$42,$D11-3,MATCH(I$3,Feed_D!$B$2:$EU$2,0)+5)=0,#N/A,INDEX(Feed_D!$B$4:$EU$42,$D11-3,MATCH(I$3,Feed_D!$B$2:$EU$2,0)+5))</f>
        <v>#N/A</v>
      </c>
    </row>
    <row r="12" spans="1:9" x14ac:dyDescent="0.25">
      <c r="A12">
        <v>12</v>
      </c>
      <c r="B12" t="str">
        <f>IF(INDEX(Feed_D!$B$2:$ML$2,1,(A12-1)*6+1)=0,"",INDEX(Feed_D!$B$2:$ML$2,1,(A12-1)*6+1))</f>
        <v>Exotic Shockjaw</v>
      </c>
      <c r="D12">
        <v>12</v>
      </c>
      <c r="E12">
        <f>IF(INDEX(Feed_D!$B$4:$EU$42,$D12-3,MATCH(E$3,Feed_D!$B$2:$EU$2,0)+5)=0,#N/A,INDEX(Feed_D!$B$4:$EU$42,$D12-3,MATCH(E$3,Feed_D!$B$2:$EU$2,0)+5))</f>
        <v>1.7701863354037268</v>
      </c>
      <c r="F12" t="e">
        <f>IF(INDEX(Feed_D!$B$4:$EU$42,$D12-3,MATCH(F$3,Feed_D!$B$2:$EU$2,0)+5)=0,#N/A,INDEX(Feed_D!$B$4:$EU$42,$D12-3,MATCH(F$3,Feed_D!$B$2:$EU$2,0)+5))</f>
        <v>#N/A</v>
      </c>
      <c r="G12">
        <f>IF(INDEX(Feed_D!$B$4:$EU$42,$D12-3,MATCH(G$3,Feed_D!$B$2:$EU$2,0)+5)=0,#N/A,INDEX(Feed_D!$B$4:$EU$42,$D12-3,MATCH(G$3,Feed_D!$B$2:$EU$2,0)+5))</f>
        <v>1.129032258064516</v>
      </c>
      <c r="H12">
        <f>IF(INDEX(Feed_D!$B$4:$EU$42,$D12-3,MATCH(H$3,Feed_D!$B$2:$EU$2,0)+5)=0,#N/A,INDEX(Feed_D!$B$4:$EU$42,$D12-3,MATCH(H$3,Feed_D!$B$2:$EU$2,0)+5))</f>
        <v>1.129032258064516</v>
      </c>
      <c r="I12" t="e">
        <f>IF(INDEX(Feed_D!$B$4:$EU$42,$D12-3,MATCH(I$3,Feed_D!$B$2:$EU$2,0)+5)=0,#N/A,INDEX(Feed_D!$B$4:$EU$42,$D12-3,MATCH(I$3,Feed_D!$B$2:$EU$2,0)+5))</f>
        <v>#N/A</v>
      </c>
    </row>
    <row r="13" spans="1:9" x14ac:dyDescent="0.25">
      <c r="A13">
        <v>13</v>
      </c>
      <c r="B13" t="str">
        <f>IF(INDEX(Feed_D!$B$2:$ML$2,1,(A13-1)*6+1)=0,"",INDEX(Feed_D!$B$2:$ML$2,1,(A13-1)*6+1))</f>
        <v>Timberjack</v>
      </c>
      <c r="D13">
        <v>13</v>
      </c>
      <c r="E13">
        <f>IF(INDEX(Feed_D!$B$4:$EU$42,$D13-3,MATCH(E$3,Feed_D!$B$2:$EU$2,0)+5)=0,#N/A,INDEX(Feed_D!$B$4:$EU$42,$D13-3,MATCH(E$3,Feed_D!$B$2:$EU$2,0)+5))</f>
        <v>3.8098159509202456</v>
      </c>
      <c r="F13" t="e">
        <f>IF(INDEX(Feed_D!$B$4:$EU$42,$D13-3,MATCH(F$3,Feed_D!$B$2:$EU$2,0)+5)=0,#N/A,INDEX(Feed_D!$B$4:$EU$42,$D13-3,MATCH(F$3,Feed_D!$B$2:$EU$2,0)+5))</f>
        <v>#N/A</v>
      </c>
      <c r="G13">
        <f>IF(INDEX(Feed_D!$B$4:$EU$42,$D13-3,MATCH(G$3,Feed_D!$B$2:$EU$2,0)+5)=0,#N/A,INDEX(Feed_D!$B$4:$EU$42,$D13-3,MATCH(G$3,Feed_D!$B$2:$EU$2,0)+5))</f>
        <v>0.71115537848605581</v>
      </c>
      <c r="H13">
        <f>IF(INDEX(Feed_D!$B$4:$EU$42,$D13-3,MATCH(H$3,Feed_D!$B$2:$EU$2,0)+5)=0,#N/A,INDEX(Feed_D!$B$4:$EU$42,$D13-3,MATCH(H$3,Feed_D!$B$2:$EU$2,0)+5))</f>
        <v>0.71115537848605581</v>
      </c>
      <c r="I13" t="e">
        <f>IF(INDEX(Feed_D!$B$4:$EU$42,$D13-3,MATCH(I$3,Feed_D!$B$2:$EU$2,0)+5)=0,#N/A,INDEX(Feed_D!$B$4:$EU$42,$D13-3,MATCH(I$3,Feed_D!$B$2:$EU$2,0)+5))</f>
        <v>#N/A</v>
      </c>
    </row>
    <row r="14" spans="1:9" x14ac:dyDescent="0.25">
      <c r="A14">
        <v>14</v>
      </c>
      <c r="B14" t="str">
        <f>IF(INDEX(Feed_D!$B$2:$ML$2,1,(A14-1)*6+1)=0,"",INDEX(Feed_D!$B$2:$ML$2,1,(A14-1)*6+1))</f>
        <v>Changewing</v>
      </c>
      <c r="D14">
        <v>14</v>
      </c>
      <c r="E14">
        <f>IF(INDEX(Feed_D!$B$4:$EU$42,$D14-3,MATCH(E$3,Feed_D!$B$2:$EU$2,0)+5)=0,#N/A,INDEX(Feed_D!$B$4:$EU$42,$D14-3,MATCH(E$3,Feed_D!$B$2:$EU$2,0)+5))</f>
        <v>3.8396369137670199</v>
      </c>
      <c r="F14" t="e">
        <f>IF(INDEX(Feed_D!$B$4:$EU$42,$D14-3,MATCH(F$3,Feed_D!$B$2:$EU$2,0)+5)=0,#N/A,INDEX(Feed_D!$B$4:$EU$42,$D14-3,MATCH(F$3,Feed_D!$B$2:$EU$2,0)+5))</f>
        <v>#N/A</v>
      </c>
      <c r="G14">
        <f>IF(INDEX(Feed_D!$B$4:$EU$42,$D14-3,MATCH(G$3,Feed_D!$B$2:$EU$2,0)+5)=0,#N/A,INDEX(Feed_D!$B$4:$EU$42,$D14-3,MATCH(G$3,Feed_D!$B$2:$EU$2,0)+5))</f>
        <v>0.90944881889763796</v>
      </c>
      <c r="H14">
        <f>IF(INDEX(Feed_D!$B$4:$EU$42,$D14-3,MATCH(H$3,Feed_D!$B$2:$EU$2,0)+5)=0,#N/A,INDEX(Feed_D!$B$4:$EU$42,$D14-3,MATCH(H$3,Feed_D!$B$2:$EU$2,0)+5))</f>
        <v>0.90944881889763796</v>
      </c>
      <c r="I14" t="e">
        <f>IF(INDEX(Feed_D!$B$4:$EU$42,$D14-3,MATCH(I$3,Feed_D!$B$2:$EU$2,0)+5)=0,#N/A,INDEX(Feed_D!$B$4:$EU$42,$D14-3,MATCH(I$3,Feed_D!$B$2:$EU$2,0)+5))</f>
        <v>#N/A</v>
      </c>
    </row>
    <row r="15" spans="1:9" x14ac:dyDescent="0.25">
      <c r="A15">
        <v>15</v>
      </c>
      <c r="B15" t="str">
        <f>IF(INDEX(Feed_D!$B$2:$ML$2,1,(A15-1)*6+1)=0,"",INDEX(Feed_D!$B$2:$ML$2,1,(A15-1)*6+1))</f>
        <v>Smothering Smokebreath</v>
      </c>
      <c r="D15">
        <v>15</v>
      </c>
      <c r="E15">
        <f>IF(INDEX(Feed_D!$B$4:$EU$42,$D15-3,MATCH(E$3,Feed_D!$B$2:$EU$2,0)+5)=0,#N/A,INDEX(Feed_D!$B$4:$EU$42,$D15-3,MATCH(E$3,Feed_D!$B$2:$EU$2,0)+5))</f>
        <v>2.2857142857142856</v>
      </c>
      <c r="F15" t="e">
        <f>IF(INDEX(Feed_D!$B$4:$EU$42,$D15-3,MATCH(F$3,Feed_D!$B$2:$EU$2,0)+5)=0,#N/A,INDEX(Feed_D!$B$4:$EU$42,$D15-3,MATCH(F$3,Feed_D!$B$2:$EU$2,0)+5))</f>
        <v>#N/A</v>
      </c>
      <c r="G15">
        <f>IF(INDEX(Feed_D!$B$4:$EU$42,$D15-3,MATCH(G$3,Feed_D!$B$2:$EU$2,0)+5)=0,#N/A,INDEX(Feed_D!$B$4:$EU$42,$D15-3,MATCH(G$3,Feed_D!$B$2:$EU$2,0)+5))</f>
        <v>0.5859375</v>
      </c>
      <c r="H15">
        <f>IF(INDEX(Feed_D!$B$4:$EU$42,$D15-3,MATCH(H$3,Feed_D!$B$2:$EU$2,0)+5)=0,#N/A,INDEX(Feed_D!$B$4:$EU$42,$D15-3,MATCH(H$3,Feed_D!$B$2:$EU$2,0)+5))</f>
        <v>0.5859375</v>
      </c>
      <c r="I15" t="e">
        <f>IF(INDEX(Feed_D!$B$4:$EU$42,$D15-3,MATCH(I$3,Feed_D!$B$2:$EU$2,0)+5)=0,#N/A,INDEX(Feed_D!$B$4:$EU$42,$D15-3,MATCH(I$3,Feed_D!$B$2:$EU$2,0)+5))</f>
        <v>#N/A</v>
      </c>
    </row>
    <row r="16" spans="1:9" x14ac:dyDescent="0.25">
      <c r="A16">
        <v>16</v>
      </c>
      <c r="B16" t="str">
        <f>IF(INDEX(Feed_D!$B$2:$ML$2,1,(A16-1)*6+1)=0,"",INDEX(Feed_D!$B$2:$ML$2,1,(A16-1)*6+1))</f>
        <v>Hotburple</v>
      </c>
      <c r="D16">
        <v>16</v>
      </c>
      <c r="E16">
        <f>IF(INDEX(Feed_D!$B$4:$EU$42,$D16-3,MATCH(E$3,Feed_D!$B$2:$EU$2,0)+5)=0,#N/A,INDEX(Feed_D!$B$4:$EU$42,$D16-3,MATCH(E$3,Feed_D!$B$2:$EU$2,0)+5))</f>
        <v>3.8744394618834082</v>
      </c>
      <c r="F16" t="e">
        <f>IF(INDEX(Feed_D!$B$4:$EU$42,$D16-3,MATCH(F$3,Feed_D!$B$2:$EU$2,0)+5)=0,#N/A,INDEX(Feed_D!$B$4:$EU$42,$D16-3,MATCH(F$3,Feed_D!$B$2:$EU$2,0)+5))</f>
        <v>#N/A</v>
      </c>
      <c r="G16">
        <f>IF(INDEX(Feed_D!$B$4:$EU$42,$D16-3,MATCH(G$3,Feed_D!$B$2:$EU$2,0)+5)=0,#N/A,INDEX(Feed_D!$B$4:$EU$42,$D16-3,MATCH(G$3,Feed_D!$B$2:$EU$2,0)+5))</f>
        <v>1.3073929961089492</v>
      </c>
      <c r="H16">
        <f>IF(INDEX(Feed_D!$B$4:$EU$42,$D16-3,MATCH(H$3,Feed_D!$B$2:$EU$2,0)+5)=0,#N/A,INDEX(Feed_D!$B$4:$EU$42,$D16-3,MATCH(H$3,Feed_D!$B$2:$EU$2,0)+5))</f>
        <v>1.3073929961089492</v>
      </c>
      <c r="I16" t="e">
        <f>IF(INDEX(Feed_D!$B$4:$EU$42,$D16-3,MATCH(I$3,Feed_D!$B$2:$EU$2,0)+5)=0,#N/A,INDEX(Feed_D!$B$4:$EU$42,$D16-3,MATCH(I$3,Feed_D!$B$2:$EU$2,0)+5))</f>
        <v>#N/A</v>
      </c>
    </row>
    <row r="17" spans="1:9" x14ac:dyDescent="0.25">
      <c r="A17">
        <v>17</v>
      </c>
      <c r="B17" t="str">
        <f>IF(INDEX(Feed_D!$B$2:$ML$2,1,(A17-1)*6+1)=0,"",INDEX(Feed_D!$B$2:$ML$2,1,(A17-1)*6+1))</f>
        <v>Hideous Zippleback</v>
      </c>
      <c r="D17">
        <v>17</v>
      </c>
      <c r="E17">
        <f>IF(INDEX(Feed_D!$B$4:$EU$42,$D17-3,MATCH(E$3,Feed_D!$B$2:$EU$2,0)+5)=0,#N/A,INDEX(Feed_D!$B$4:$EU$42,$D17-3,MATCH(E$3,Feed_D!$B$2:$EU$2,0)+5))</f>
        <v>3.925816023738872</v>
      </c>
      <c r="F17" t="e">
        <f>IF(INDEX(Feed_D!$B$4:$EU$42,$D17-3,MATCH(F$3,Feed_D!$B$2:$EU$2,0)+5)=0,#N/A,INDEX(Feed_D!$B$4:$EU$42,$D17-3,MATCH(F$3,Feed_D!$B$2:$EU$2,0)+5))</f>
        <v>#N/A</v>
      </c>
      <c r="G17">
        <f>IF(INDEX(Feed_D!$B$4:$EU$42,$D17-3,MATCH(G$3,Feed_D!$B$2:$EU$2,0)+5)=0,#N/A,INDEX(Feed_D!$B$4:$EU$42,$D17-3,MATCH(G$3,Feed_D!$B$2:$EU$2,0)+5))</f>
        <v>1.4594594594594594</v>
      </c>
      <c r="H17">
        <f>IF(INDEX(Feed_D!$B$4:$EU$42,$D17-3,MATCH(H$3,Feed_D!$B$2:$EU$2,0)+5)=0,#N/A,INDEX(Feed_D!$B$4:$EU$42,$D17-3,MATCH(H$3,Feed_D!$B$2:$EU$2,0)+5))</f>
        <v>1.4594594594594594</v>
      </c>
      <c r="I17" t="e">
        <f>IF(INDEX(Feed_D!$B$4:$EU$42,$D17-3,MATCH(I$3,Feed_D!$B$2:$EU$2,0)+5)=0,#N/A,INDEX(Feed_D!$B$4:$EU$42,$D17-3,MATCH(I$3,Feed_D!$B$2:$EU$2,0)+5))</f>
        <v>#N/A</v>
      </c>
    </row>
    <row r="18" spans="1:9" x14ac:dyDescent="0.25">
      <c r="A18">
        <v>18</v>
      </c>
      <c r="B18" t="str">
        <f>IF(INDEX(Feed_D!$B$2:$ML$2,1,(A18-1)*6+1)=0,"",INDEX(Feed_D!$B$2:$ML$2,1,(A18-1)*6+1))</f>
        <v>Toothless' Rival</v>
      </c>
      <c r="D18">
        <v>18</v>
      </c>
      <c r="E18">
        <f>IF(INDEX(Feed_D!$B$4:$EU$42,$D18-3,MATCH(E$3,Feed_D!$B$2:$EU$2,0)+5)=0,#N/A,INDEX(Feed_D!$B$4:$EU$42,$D18-3,MATCH(E$3,Feed_D!$B$2:$EU$2,0)+5))</f>
        <v>2.9941002949852504</v>
      </c>
      <c r="F18" t="e">
        <f>IF(INDEX(Feed_D!$B$4:$EU$42,$D18-3,MATCH(F$3,Feed_D!$B$2:$EU$2,0)+5)=0,#N/A,INDEX(Feed_D!$B$4:$EU$42,$D18-3,MATCH(F$3,Feed_D!$B$2:$EU$2,0)+5))</f>
        <v>#N/A</v>
      </c>
      <c r="G18">
        <f>IF(INDEX(Feed_D!$B$4:$EU$42,$D18-3,MATCH(G$3,Feed_D!$B$2:$EU$2,0)+5)=0,#N/A,INDEX(Feed_D!$B$4:$EU$42,$D18-3,MATCH(G$3,Feed_D!$B$2:$EU$2,0)+5))</f>
        <v>3.6206896551724137</v>
      </c>
      <c r="H18">
        <f>IF(INDEX(Feed_D!$B$4:$EU$42,$D18-3,MATCH(H$3,Feed_D!$B$2:$EU$2,0)+5)=0,#N/A,INDEX(Feed_D!$B$4:$EU$42,$D18-3,MATCH(H$3,Feed_D!$B$2:$EU$2,0)+5))</f>
        <v>3.6206896551724137</v>
      </c>
      <c r="I18">
        <f>IF(INDEX(Feed_D!$B$4:$EU$42,$D18-3,MATCH(I$3,Feed_D!$B$2:$EU$2,0)+5)=0,#N/A,INDEX(Feed_D!$B$4:$EU$42,$D18-3,MATCH(I$3,Feed_D!$B$2:$EU$2,0)+5))</f>
        <v>3.8571428571428572</v>
      </c>
    </row>
    <row r="19" spans="1:9" x14ac:dyDescent="0.25">
      <c r="A19">
        <v>19</v>
      </c>
      <c r="B19" t="str">
        <f>IF(INDEX(Feed_D!$B$2:$ML$2,1,(A19-1)*6+1)=0,"",INDEX(Feed_D!$B$2:$ML$2,1,(A19-1)*6+1))</f>
        <v>Torch's Brother</v>
      </c>
      <c r="D19">
        <v>19</v>
      </c>
      <c r="E19">
        <f>IF(INDEX(Feed_D!$B$4:$EU$42,$D19-3,MATCH(E$3,Feed_D!$B$2:$EU$2,0)+5)=0,#N/A,INDEX(Feed_D!$B$4:$EU$42,$D19-3,MATCH(E$3,Feed_D!$B$2:$EU$2,0)+5))</f>
        <v>3.7447988904299585</v>
      </c>
      <c r="F19" t="e">
        <f>IF(INDEX(Feed_D!$B$4:$EU$42,$D19-3,MATCH(F$3,Feed_D!$B$2:$EU$2,0)+5)=0,#N/A,INDEX(Feed_D!$B$4:$EU$42,$D19-3,MATCH(F$3,Feed_D!$B$2:$EU$2,0)+5))</f>
        <v>#N/A</v>
      </c>
      <c r="G19">
        <f>IF(INDEX(Feed_D!$B$4:$EU$42,$D19-3,MATCH(G$3,Feed_D!$B$2:$EU$2,0)+5)=0,#N/A,INDEX(Feed_D!$B$4:$EU$42,$D19-3,MATCH(G$3,Feed_D!$B$2:$EU$2,0)+5))</f>
        <v>4.5487364620938626</v>
      </c>
      <c r="H19">
        <f>IF(INDEX(Feed_D!$B$4:$EU$42,$D19-3,MATCH(H$3,Feed_D!$B$2:$EU$2,0)+5)=0,#N/A,INDEX(Feed_D!$B$4:$EU$42,$D19-3,MATCH(H$3,Feed_D!$B$2:$EU$2,0)+5))</f>
        <v>4.5487364620938626</v>
      </c>
      <c r="I19">
        <f>IF(INDEX(Feed_D!$B$4:$EU$42,$D19-3,MATCH(I$3,Feed_D!$B$2:$EU$2,0)+5)=0,#N/A,INDEX(Feed_D!$B$4:$EU$42,$D19-3,MATCH(I$3,Feed_D!$B$2:$EU$2,0)+5))</f>
        <v>4.8648648648648649</v>
      </c>
    </row>
    <row r="20" spans="1:9" x14ac:dyDescent="0.25">
      <c r="A20">
        <v>20</v>
      </c>
      <c r="B20" t="str">
        <f>IF(INDEX(Feed_D!$B$2:$ML$2,1,(A20-1)*6+1)=0,"",INDEX(Feed_D!$B$2:$ML$2,1,(A20-1)*6+1))</f>
        <v>Gronckle</v>
      </c>
      <c r="D20">
        <v>20</v>
      </c>
      <c r="E20">
        <f>IF(INDEX(Feed_D!$B$4:$EU$42,$D20-3,MATCH(E$3,Feed_D!$B$2:$EU$2,0)+5)=0,#N/A,INDEX(Feed_D!$B$4:$EU$42,$D20-3,MATCH(E$3,Feed_D!$B$2:$EU$2,0)+5))</f>
        <v>4.7682119205298008</v>
      </c>
      <c r="F20" t="e">
        <f>IF(INDEX(Feed_D!$B$4:$EU$42,$D20-3,MATCH(F$3,Feed_D!$B$2:$EU$2,0)+5)=0,#N/A,INDEX(Feed_D!$B$4:$EU$42,$D20-3,MATCH(F$3,Feed_D!$B$2:$EU$2,0)+5))</f>
        <v>#N/A</v>
      </c>
      <c r="G20">
        <f>IF(INDEX(Feed_D!$B$4:$EU$42,$D20-3,MATCH(G$3,Feed_D!$B$2:$EU$2,0)+5)=0,#N/A,INDEX(Feed_D!$B$4:$EU$42,$D20-3,MATCH(G$3,Feed_D!$B$2:$EU$2,0)+5))</f>
        <v>5.7931034482758621</v>
      </c>
      <c r="H20">
        <f>IF(INDEX(Feed_D!$B$4:$EU$42,$D20-3,MATCH(H$3,Feed_D!$B$2:$EU$2,0)+5)=0,#N/A,INDEX(Feed_D!$B$4:$EU$42,$D20-3,MATCH(H$3,Feed_D!$B$2:$EU$2,0)+5))</f>
        <v>5.7931034482758621</v>
      </c>
      <c r="I20">
        <f>IF(INDEX(Feed_D!$B$4:$EU$42,$D20-3,MATCH(I$3,Feed_D!$B$2:$EU$2,0)+5)=0,#N/A,INDEX(Feed_D!$B$4:$EU$42,$D20-3,MATCH(I$3,Feed_D!$B$2:$EU$2,0)+5))</f>
        <v>6.2068965517241388</v>
      </c>
    </row>
    <row r="21" spans="1:9" x14ac:dyDescent="0.25">
      <c r="A21">
        <v>21</v>
      </c>
      <c r="B21" t="str">
        <f>IF(INDEX(Feed_D!$B$2:$ML$2,1,(A21-1)*6+1)=0,"",INDEX(Feed_D!$B$2:$ML$2,1,(A21-1)*6+1))</f>
        <v>Flightmare</v>
      </c>
      <c r="D21">
        <v>21</v>
      </c>
      <c r="E21">
        <f>IF(INDEX(Feed_D!$B$4:$EU$42,$D21-3,MATCH(E$3,Feed_D!$B$2:$EU$2,0)+5)=0,#N/A,INDEX(Feed_D!$B$4:$EU$42,$D21-3,MATCH(E$3,Feed_D!$B$2:$EU$2,0)+5))</f>
        <v>7.6045627376425848</v>
      </c>
      <c r="F21">
        <f>IF(INDEX(Feed_D!$B$4:$EU$42,$D21-3,MATCH(F$3,Feed_D!$B$2:$EU$2,0)+5)=0,#N/A,INDEX(Feed_D!$B$4:$EU$42,$D21-3,MATCH(F$3,Feed_D!$B$2:$EU$2,0)+5))</f>
        <v>6.6006600660066006</v>
      </c>
      <c r="G21">
        <f>IF(INDEX(Feed_D!$B$4:$EU$42,$D21-3,MATCH(G$3,Feed_D!$B$2:$EU$2,0)+5)=0,#N/A,INDEX(Feed_D!$B$4:$EU$42,$D21-3,MATCH(G$3,Feed_D!$B$2:$EU$2,0)+5))</f>
        <v>3.2894736842105265</v>
      </c>
      <c r="H21">
        <f>IF(INDEX(Feed_D!$B$4:$EU$42,$D21-3,MATCH(H$3,Feed_D!$B$2:$EU$2,0)+5)=0,#N/A,INDEX(Feed_D!$B$4:$EU$42,$D21-3,MATCH(H$3,Feed_D!$B$2:$EU$2,0)+5))</f>
        <v>9.2105263157894743</v>
      </c>
      <c r="I21">
        <f>IF(INDEX(Feed_D!$B$4:$EU$42,$D21-3,MATCH(I$3,Feed_D!$B$2:$EU$2,0)+5)=0,#N/A,INDEX(Feed_D!$B$4:$EU$42,$D21-3,MATCH(I$3,Feed_D!$B$2:$EU$2,0)+5))</f>
        <v>7.4380165289256199</v>
      </c>
    </row>
    <row r="22" spans="1:9" x14ac:dyDescent="0.25">
      <c r="A22">
        <v>22</v>
      </c>
      <c r="B22" t="str">
        <f>IF(INDEX(Feed_D!$B$2:$ML$2,1,(A22-1)*6+1)=0,"",INDEX(Feed_D!$B$2:$ML$2,1,(A22-1)*6+1))</f>
        <v>Scuttleclaw</v>
      </c>
      <c r="D22">
        <v>22</v>
      </c>
      <c r="E22">
        <f>IF(INDEX(Feed_D!$B$4:$EU$42,$D22-3,MATCH(E$3,Feed_D!$B$2:$EU$2,0)+5)=0,#N/A,INDEX(Feed_D!$B$4:$EU$42,$D22-3,MATCH(E$3,Feed_D!$B$2:$EU$2,0)+5))</f>
        <v>5.7692307692307692</v>
      </c>
      <c r="F22">
        <f>IF(INDEX(Feed_D!$B$4:$EU$42,$D22-3,MATCH(F$3,Feed_D!$B$2:$EU$2,0)+5)=0,#N/A,INDEX(Feed_D!$B$4:$EU$42,$D22-3,MATCH(F$3,Feed_D!$B$2:$EU$2,0)+5))</f>
        <v>4.9802371541501973</v>
      </c>
      <c r="G22">
        <f>IF(INDEX(Feed_D!$B$4:$EU$42,$D22-3,MATCH(G$3,Feed_D!$B$2:$EU$2,0)+5)=0,#N/A,INDEX(Feed_D!$B$4:$EU$42,$D22-3,MATCH(G$3,Feed_D!$B$2:$EU$2,0)+5))</f>
        <v>7</v>
      </c>
      <c r="H22">
        <f>IF(INDEX(Feed_D!$B$4:$EU$42,$D22-3,MATCH(H$3,Feed_D!$B$2:$EU$2,0)+5)=0,#N/A,INDEX(Feed_D!$B$4:$EU$42,$D22-3,MATCH(H$3,Feed_D!$B$2:$EU$2,0)+5))</f>
        <v>7</v>
      </c>
      <c r="I22">
        <f>IF(INDEX(Feed_D!$B$4:$EU$42,$D22-3,MATCH(I$3,Feed_D!$B$2:$EU$2,0)+5)=0,#N/A,INDEX(Feed_D!$B$4:$EU$42,$D22-3,MATCH(I$3,Feed_D!$B$2:$EU$2,0)+5))</f>
        <v>7.5</v>
      </c>
    </row>
    <row r="23" spans="1:9" x14ac:dyDescent="0.25">
      <c r="A23">
        <v>23</v>
      </c>
      <c r="B23" t="str">
        <f>IF(INDEX(Feed_D!$B$2:$ML$2,1,(A23-1)*6+1)=0,"",INDEX(Feed_D!$B$2:$ML$2,1,(A23-1)*6+1))</f>
        <v>Raincutter</v>
      </c>
      <c r="D23">
        <v>23</v>
      </c>
      <c r="E23">
        <f>IF(INDEX(Feed_D!$B$4:$EU$42,$D23-3,MATCH(E$3,Feed_D!$B$2:$EU$2,0)+5)=0,#N/A,INDEX(Feed_D!$B$4:$EU$42,$D23-3,MATCH(E$3,Feed_D!$B$2:$EU$2,0)+5))</f>
        <v>7.331838565022422</v>
      </c>
      <c r="F23" t="e">
        <f>IF(INDEX(Feed_D!$B$4:$EU$42,$D23-3,MATCH(F$3,Feed_D!$B$2:$EU$2,0)+5)=0,#N/A,INDEX(Feed_D!$B$4:$EU$42,$D23-3,MATCH(F$3,Feed_D!$B$2:$EU$2,0)+5))</f>
        <v>#N/A</v>
      </c>
      <c r="G23">
        <f>IF(INDEX(Feed_D!$B$4:$EU$42,$D23-3,MATCH(G$3,Feed_D!$B$2:$EU$2,0)+5)=0,#N/A,INDEX(Feed_D!$B$4:$EU$42,$D23-3,MATCH(G$3,Feed_D!$B$2:$EU$2,0)+5))</f>
        <v>8.9212827988338201</v>
      </c>
      <c r="H23">
        <f>IF(INDEX(Feed_D!$B$4:$EU$42,$D23-3,MATCH(H$3,Feed_D!$B$2:$EU$2,0)+5)=0,#N/A,INDEX(Feed_D!$B$4:$EU$42,$D23-3,MATCH(H$3,Feed_D!$B$2:$EU$2,0)+5))</f>
        <v>8.9212827988338201</v>
      </c>
      <c r="I23">
        <f>IF(INDEX(Feed_D!$B$4:$EU$42,$D23-3,MATCH(I$3,Feed_D!$B$2:$EU$2,0)+5)=0,#N/A,INDEX(Feed_D!$B$4:$EU$42,$D23-3,MATCH(I$3,Feed_D!$B$2:$EU$2,0)+5))</f>
        <v>9.5255474452554747</v>
      </c>
    </row>
    <row r="24" spans="1:9" x14ac:dyDescent="0.25">
      <c r="A24">
        <v>24</v>
      </c>
      <c r="B24" t="str">
        <f>IF(INDEX(Feed_D!$B$2:$ML$2,1,(A24-1)*6+1)=0,"",INDEX(Feed_D!$B$2:$ML$2,1,(A24-1)*6+1))</f>
        <v>Hobblegrunt</v>
      </c>
      <c r="D24">
        <v>24</v>
      </c>
      <c r="E24">
        <f>IF(INDEX(Feed_D!$B$4:$EU$42,$D24-3,MATCH(E$3,Feed_D!$B$2:$EU$2,0)+5)=0,#N/A,INDEX(Feed_D!$B$4:$EU$42,$D24-3,MATCH(E$3,Feed_D!$B$2:$EU$2,0)+5))</f>
        <v>12.711864406779661</v>
      </c>
      <c r="F24" t="e">
        <f>IF(INDEX(Feed_D!$B$4:$EU$42,$D24-3,MATCH(F$3,Feed_D!$B$2:$EU$2,0)+5)=0,#N/A,INDEX(Feed_D!$B$4:$EU$42,$D24-3,MATCH(F$3,Feed_D!$B$2:$EU$2,0)+5))</f>
        <v>#N/A</v>
      </c>
      <c r="G24">
        <f>IF(INDEX(Feed_D!$B$4:$EU$42,$D24-3,MATCH(G$3,Feed_D!$B$2:$EU$2,0)+5)=0,#N/A,INDEX(Feed_D!$B$4:$EU$42,$D24-3,MATCH(G$3,Feed_D!$B$2:$EU$2,0)+5))</f>
        <v>15.426997245179063</v>
      </c>
      <c r="H24">
        <f>IF(INDEX(Feed_D!$B$4:$EU$42,$D24-3,MATCH(H$3,Feed_D!$B$2:$EU$2,0)+5)=0,#N/A,INDEX(Feed_D!$B$4:$EU$42,$D24-3,MATCH(H$3,Feed_D!$B$2:$EU$2,0)+5))</f>
        <v>15.426997245179063</v>
      </c>
      <c r="I24">
        <f>IF(INDEX(Feed_D!$B$4:$EU$42,$D24-3,MATCH(I$3,Feed_D!$B$2:$EU$2,0)+5)=0,#N/A,INDEX(Feed_D!$B$4:$EU$42,$D24-3,MATCH(I$3,Feed_D!$B$2:$EU$2,0)+5))</f>
        <v>19.310344827586206</v>
      </c>
    </row>
    <row r="25" spans="1:9" x14ac:dyDescent="0.25">
      <c r="A25">
        <v>25</v>
      </c>
      <c r="B25" t="str">
        <f>IF(INDEX(Feed_D!$B$2:$ML$2,1,(A25-1)*6+1)=0,"",INDEX(Feed_D!$B$2:$ML$2,1,(A25-1)*6+1))</f>
        <v>Snaptrapper</v>
      </c>
      <c r="D25">
        <v>25</v>
      </c>
      <c r="E25" t="e">
        <f>IF(INDEX(Feed_D!$B$4:$EU$42,$D25-3,MATCH(E$3,Feed_D!$B$2:$EU$2,0)+5)=0,#N/A,INDEX(Feed_D!$B$4:$EU$42,$D25-3,MATCH(E$3,Feed_D!$B$2:$EU$2,0)+5))</f>
        <v>#N/A</v>
      </c>
      <c r="F25" t="e">
        <f>IF(INDEX(Feed_D!$B$4:$EU$42,$D25-3,MATCH(F$3,Feed_D!$B$2:$EU$2,0)+5)=0,#N/A,INDEX(Feed_D!$B$4:$EU$42,$D25-3,MATCH(F$3,Feed_D!$B$2:$EU$2,0)+5))</f>
        <v>#N/A</v>
      </c>
      <c r="G25">
        <f>IF(INDEX(Feed_D!$B$4:$EU$42,$D25-3,MATCH(G$3,Feed_D!$B$2:$EU$2,0)+5)=0,#N/A,INDEX(Feed_D!$B$4:$EU$42,$D25-3,MATCH(G$3,Feed_D!$B$2:$EU$2,0)+5))</f>
        <v>14.11290322580645</v>
      </c>
      <c r="H25">
        <f>IF(INDEX(Feed_D!$B$4:$EU$42,$D25-3,MATCH(H$3,Feed_D!$B$2:$EU$2,0)+5)=0,#N/A,INDEX(Feed_D!$B$4:$EU$42,$D25-3,MATCH(H$3,Feed_D!$B$2:$EU$2,0)+5))</f>
        <v>14.075067024128687</v>
      </c>
      <c r="I25">
        <f>IF(INDEX(Feed_D!$B$4:$EU$42,$D25-3,MATCH(I$3,Feed_D!$B$2:$EU$2,0)+5)=0,#N/A,INDEX(Feed_D!$B$4:$EU$42,$D25-3,MATCH(I$3,Feed_D!$B$2:$EU$2,0)+5))</f>
        <v>15.100671140939596</v>
      </c>
    </row>
    <row r="26" spans="1:9" x14ac:dyDescent="0.25">
      <c r="A26">
        <v>26</v>
      </c>
      <c r="B26" t="str">
        <f>IF(INDEX(Feed_D!$B$2:$ML$2,1,(A26-1)*6+1)=0,"",INDEX(Feed_D!$B$2:$ML$2,1,(A26-1)*6+1))</f>
        <v/>
      </c>
      <c r="D26">
        <v>26</v>
      </c>
      <c r="E26" t="e">
        <f>IF(INDEX(Feed_D!$B$4:$EU$42,$D26-3,MATCH(E$3,Feed_D!$B$2:$EU$2,0)+5)=0,#N/A,INDEX(Feed_D!$B$4:$EU$42,$D26-3,MATCH(E$3,Feed_D!$B$2:$EU$2,0)+5))</f>
        <v>#N/A</v>
      </c>
      <c r="F26" t="e">
        <f>IF(INDEX(Feed_D!$B$4:$EU$42,$D26-3,MATCH(F$3,Feed_D!$B$2:$EU$2,0)+5)=0,#N/A,INDEX(Feed_D!$B$4:$EU$42,$D26-3,MATCH(F$3,Feed_D!$B$2:$EU$2,0)+5))</f>
        <v>#N/A</v>
      </c>
      <c r="G26">
        <f>IF(INDEX(Feed_D!$B$4:$EU$42,$D26-3,MATCH(G$3,Feed_D!$B$2:$EU$2,0)+5)=0,#N/A,INDEX(Feed_D!$B$4:$EU$42,$D26-3,MATCH(G$3,Feed_D!$B$2:$EU$2,0)+5))</f>
        <v>15.193798449612403</v>
      </c>
      <c r="H26">
        <f>IF(INDEX(Feed_D!$B$4:$EU$42,$D26-3,MATCH(H$3,Feed_D!$B$2:$EU$2,0)+5)=0,#N/A,INDEX(Feed_D!$B$4:$EU$42,$D26-3,MATCH(H$3,Feed_D!$B$2:$EU$2,0)+5))</f>
        <v>15.233160621761657</v>
      </c>
      <c r="I26">
        <f>IF(INDEX(Feed_D!$B$4:$EU$42,$D26-3,MATCH(I$3,Feed_D!$B$2:$EU$2,0)+5)=0,#N/A,INDEX(Feed_D!$B$4:$EU$42,$D26-3,MATCH(I$3,Feed_D!$B$2:$EU$2,0)+5))</f>
        <v>16.363636363636363</v>
      </c>
    </row>
    <row r="27" spans="1:9" x14ac:dyDescent="0.25">
      <c r="A27">
        <v>27</v>
      </c>
      <c r="B27" t="str">
        <f>IF(INDEX(Feed_D!$B$2:$ML$2,1,(A27-1)*6+1)=0,"",INDEX(Feed_D!$B$2:$ML$2,1,(A27-1)*6+1))</f>
        <v/>
      </c>
      <c r="D27">
        <v>27</v>
      </c>
      <c r="E27" t="e">
        <f>IF(INDEX(Feed_D!$B$4:$EU$42,$D27-3,MATCH(E$3,Feed_D!$B$2:$EU$2,0)+5)=0,#N/A,INDEX(Feed_D!$B$4:$EU$42,$D27-3,MATCH(E$3,Feed_D!$B$2:$EU$2,0)+5))</f>
        <v>#N/A</v>
      </c>
      <c r="F27" t="e">
        <f>IF(INDEX(Feed_D!$B$4:$EU$42,$D27-3,MATCH(F$3,Feed_D!$B$2:$EU$2,0)+5)=0,#N/A,INDEX(Feed_D!$B$4:$EU$42,$D27-3,MATCH(F$3,Feed_D!$B$2:$EU$2,0)+5))</f>
        <v>#N/A</v>
      </c>
      <c r="G27" t="e">
        <f>IF(INDEX(Feed_D!$B$4:$EU$42,$D27-3,MATCH(G$3,Feed_D!$B$2:$EU$2,0)+5)=0,#N/A,INDEX(Feed_D!$B$4:$EU$42,$D27-3,MATCH(G$3,Feed_D!$B$2:$EU$2,0)+5))</f>
        <v>#N/A</v>
      </c>
      <c r="H27">
        <f>IF(INDEX(Feed_D!$B$4:$EU$42,$D27-3,MATCH(H$3,Feed_D!$B$2:$EU$2,0)+5)=0,#N/A,INDEX(Feed_D!$B$4:$EU$42,$D27-3,MATCH(H$3,Feed_D!$B$2:$EU$2,0)+5))</f>
        <v>8.0200501253132845</v>
      </c>
      <c r="I27">
        <f>IF(INDEX(Feed_D!$B$4:$EU$42,$D27-3,MATCH(I$3,Feed_D!$B$2:$EU$2,0)+5)=0,#N/A,INDEX(Feed_D!$B$4:$EU$42,$D27-3,MATCH(I$3,Feed_D!$B$2:$EU$2,0)+5))</f>
        <v>18.75</v>
      </c>
    </row>
    <row r="28" spans="1:9" x14ac:dyDescent="0.25">
      <c r="A28">
        <v>28</v>
      </c>
      <c r="B28" t="str">
        <f>IF(INDEX(Feed_D!$B$2:$ML$2,1,(A28-1)*6+1)=0,"",INDEX(Feed_D!$B$2:$ML$2,1,(A28-1)*6+1))</f>
        <v/>
      </c>
      <c r="D28">
        <v>28</v>
      </c>
      <c r="E28" t="e">
        <f>IF(INDEX(Feed_D!$B$4:$EU$42,$D28-3,MATCH(E$3,Feed_D!$B$2:$EU$2,0)+5)=0,#N/A,INDEX(Feed_D!$B$4:$EU$42,$D28-3,MATCH(E$3,Feed_D!$B$2:$EU$2,0)+5))</f>
        <v>#N/A</v>
      </c>
      <c r="F28" t="e">
        <f>IF(INDEX(Feed_D!$B$4:$EU$42,$D28-3,MATCH(F$3,Feed_D!$B$2:$EU$2,0)+5)=0,#N/A,INDEX(Feed_D!$B$4:$EU$42,$D28-3,MATCH(F$3,Feed_D!$B$2:$EU$2,0)+5))</f>
        <v>#N/A</v>
      </c>
      <c r="G28" t="e">
        <f>IF(INDEX(Feed_D!$B$4:$EU$42,$D28-3,MATCH(G$3,Feed_D!$B$2:$EU$2,0)+5)=0,#N/A,INDEX(Feed_D!$B$4:$EU$42,$D28-3,MATCH(G$3,Feed_D!$B$2:$EU$2,0)+5))</f>
        <v>#N/A</v>
      </c>
      <c r="H28">
        <f>IF(INDEX(Feed_D!$B$4:$EU$42,$D28-3,MATCH(H$3,Feed_D!$B$2:$EU$2,0)+5)=0,#N/A,INDEX(Feed_D!$B$4:$EU$42,$D28-3,MATCH(H$3,Feed_D!$B$2:$EU$2,0)+5))</f>
        <v>14.583333333333332</v>
      </c>
      <c r="I28">
        <f>IF(INDEX(Feed_D!$B$4:$EU$42,$D28-3,MATCH(I$3,Feed_D!$B$2:$EU$2,0)+5)=0,#N/A,INDEX(Feed_D!$B$4:$EU$42,$D28-3,MATCH(I$3,Feed_D!$B$2:$EU$2,0)+5))</f>
        <v>15.60693641618497</v>
      </c>
    </row>
    <row r="29" spans="1:9" x14ac:dyDescent="0.25">
      <c r="A29">
        <v>29</v>
      </c>
      <c r="B29" t="str">
        <f>IF(INDEX(Feed_D!$B$2:$ML$2,1,(A29-1)*6+1)=0,"",INDEX(Feed_D!$B$2:$ML$2,1,(A29-1)*6+1))</f>
        <v/>
      </c>
      <c r="D29">
        <v>29</v>
      </c>
      <c r="E29" t="e">
        <f>IF(INDEX(Feed_D!$B$4:$EU$42,$D29-3,MATCH(E$3,Feed_D!$B$2:$EU$2,0)+5)=0,#N/A,INDEX(Feed_D!$B$4:$EU$42,$D29-3,MATCH(E$3,Feed_D!$B$2:$EU$2,0)+5))</f>
        <v>#N/A</v>
      </c>
      <c r="F29" t="e">
        <f>IF(INDEX(Feed_D!$B$4:$EU$42,$D29-3,MATCH(F$3,Feed_D!$B$2:$EU$2,0)+5)=0,#N/A,INDEX(Feed_D!$B$4:$EU$42,$D29-3,MATCH(F$3,Feed_D!$B$2:$EU$2,0)+5))</f>
        <v>#N/A</v>
      </c>
      <c r="G29" t="e">
        <f>IF(INDEX(Feed_D!$B$4:$EU$42,$D29-3,MATCH(G$3,Feed_D!$B$2:$EU$2,0)+5)=0,#N/A,INDEX(Feed_D!$B$4:$EU$42,$D29-3,MATCH(G$3,Feed_D!$B$2:$EU$2,0)+5))</f>
        <v>#N/A</v>
      </c>
      <c r="H29">
        <f>IF(INDEX(Feed_D!$B$4:$EU$42,$D29-3,MATCH(H$3,Feed_D!$B$2:$EU$2,0)+5)=0,#N/A,INDEX(Feed_D!$B$4:$EU$42,$D29-3,MATCH(H$3,Feed_D!$B$2:$EU$2,0)+5))</f>
        <v>19.599999999999998</v>
      </c>
      <c r="I29">
        <f>IF(INDEX(Feed_D!$B$4:$EU$42,$D29-3,MATCH(I$3,Feed_D!$B$2:$EU$2,0)+5)=0,#N/A,INDEX(Feed_D!$B$4:$EU$42,$D29-3,MATCH(I$3,Feed_D!$B$2:$EU$2,0)+5))</f>
        <v>21</v>
      </c>
    </row>
    <row r="30" spans="1:9" x14ac:dyDescent="0.25">
      <c r="A30">
        <v>30</v>
      </c>
      <c r="B30" t="str">
        <f>IF(INDEX(Feed_D!$B$2:$ML$2,1,(A30-1)*6+1)=0,"",INDEX(Feed_D!$B$2:$ML$2,1,(A30-1)*6+1))</f>
        <v/>
      </c>
      <c r="D30">
        <v>30</v>
      </c>
      <c r="E30" t="e">
        <f>IF(INDEX(Feed_D!$B$4:$EU$42,$D30-3,MATCH(E$3,Feed_D!$B$2:$EU$2,0)+5)=0,#N/A,INDEX(Feed_D!$B$4:$EU$42,$D30-3,MATCH(E$3,Feed_D!$B$2:$EU$2,0)+5))</f>
        <v>#N/A</v>
      </c>
      <c r="F30" t="e">
        <f>IF(INDEX(Feed_D!$B$4:$EU$42,$D30-3,MATCH(F$3,Feed_D!$B$2:$EU$2,0)+5)=0,#N/A,INDEX(Feed_D!$B$4:$EU$42,$D30-3,MATCH(F$3,Feed_D!$B$2:$EU$2,0)+5))</f>
        <v>#N/A</v>
      </c>
      <c r="G30" t="e">
        <f>IF(INDEX(Feed_D!$B$4:$EU$42,$D30-3,MATCH(G$3,Feed_D!$B$2:$EU$2,0)+5)=0,#N/A,INDEX(Feed_D!$B$4:$EU$42,$D30-3,MATCH(G$3,Feed_D!$B$2:$EU$2,0)+5))</f>
        <v>#N/A</v>
      </c>
      <c r="H30">
        <f>IF(INDEX(Feed_D!$B$4:$EU$42,$D30-3,MATCH(H$3,Feed_D!$B$2:$EU$2,0)+5)=0,#N/A,INDEX(Feed_D!$B$4:$EU$42,$D30-3,MATCH(H$3,Feed_D!$B$2:$EU$2,0)+5))</f>
        <v>22.580645161290324</v>
      </c>
      <c r="I30">
        <f>IF(INDEX(Feed_D!$B$4:$EU$42,$D30-3,MATCH(I$3,Feed_D!$B$2:$EU$2,0)+5)=0,#N/A,INDEX(Feed_D!$B$4:$EU$42,$D30-3,MATCH(I$3,Feed_D!$B$2:$EU$2,0)+5))</f>
        <v>24.193548387096776</v>
      </c>
    </row>
    <row r="31" spans="1:9" x14ac:dyDescent="0.25">
      <c r="A31">
        <v>31</v>
      </c>
      <c r="B31" t="str">
        <f>IF(INDEX(Feed_D!$B$2:$ML$2,1,(A31-1)*6+1)=0,"",INDEX(Feed_D!$B$2:$ML$2,1,(A31-1)*6+1))</f>
        <v/>
      </c>
      <c r="D31">
        <v>31</v>
      </c>
      <c r="E31" t="e">
        <f>IF(INDEX(Feed_D!$B$4:$EU$42,$D31-3,MATCH(E$3,Feed_D!$B$2:$EU$2,0)+5)=0,#N/A,INDEX(Feed_D!$B$4:$EU$42,$D31-3,MATCH(E$3,Feed_D!$B$2:$EU$2,0)+5))</f>
        <v>#N/A</v>
      </c>
      <c r="F31" t="e">
        <f>IF(INDEX(Feed_D!$B$4:$EU$42,$D31-3,MATCH(F$3,Feed_D!$B$2:$EU$2,0)+5)=0,#N/A,INDEX(Feed_D!$B$4:$EU$42,$D31-3,MATCH(F$3,Feed_D!$B$2:$EU$2,0)+5))</f>
        <v>#N/A</v>
      </c>
      <c r="G31" t="e">
        <f>IF(INDEX(Feed_D!$B$4:$EU$42,$D31-3,MATCH(G$3,Feed_D!$B$2:$EU$2,0)+5)=0,#N/A,INDEX(Feed_D!$B$4:$EU$42,$D31-3,MATCH(G$3,Feed_D!$B$2:$EU$2,0)+5))</f>
        <v>#N/A</v>
      </c>
      <c r="H31">
        <f>IF(INDEX(Feed_D!$B$4:$EU$42,$D31-3,MATCH(H$3,Feed_D!$B$2:$EU$2,0)+5)=0,#N/A,INDEX(Feed_D!$B$4:$EU$42,$D31-3,MATCH(H$3,Feed_D!$B$2:$EU$2,0)+5))</f>
        <v>25.454545454545457</v>
      </c>
      <c r="I31">
        <f>IF(INDEX(Feed_D!$B$4:$EU$42,$D31-3,MATCH(I$3,Feed_D!$B$2:$EU$2,0)+5)=0,#N/A,INDEX(Feed_D!$B$4:$EU$42,$D31-3,MATCH(I$3,Feed_D!$B$2:$EU$2,0)+5))</f>
        <v>27.272727272727273</v>
      </c>
    </row>
    <row r="32" spans="1:9" x14ac:dyDescent="0.25">
      <c r="A32">
        <v>32</v>
      </c>
      <c r="B32" t="str">
        <f>IF(INDEX(Feed_D!$B$2:$ML$2,1,(A32-1)*6+1)=0,"",INDEX(Feed_D!$B$2:$ML$2,1,(A32-1)*6+1))</f>
        <v/>
      </c>
      <c r="D32">
        <v>32</v>
      </c>
      <c r="E32" t="e">
        <f>IF(INDEX(Feed_D!$B$4:$EU$42,$D32-3,MATCH(E$3,Feed_D!$B$2:$EU$2,0)+5)=0,#N/A,INDEX(Feed_D!$B$4:$EU$42,$D32-3,MATCH(E$3,Feed_D!$B$2:$EU$2,0)+5))</f>
        <v>#N/A</v>
      </c>
      <c r="F32" t="e">
        <f>IF(INDEX(Feed_D!$B$4:$EU$42,$D32-3,MATCH(F$3,Feed_D!$B$2:$EU$2,0)+5)=0,#N/A,INDEX(Feed_D!$B$4:$EU$42,$D32-3,MATCH(F$3,Feed_D!$B$2:$EU$2,0)+5))</f>
        <v>#N/A</v>
      </c>
      <c r="G32" t="e">
        <f>IF(INDEX(Feed_D!$B$4:$EU$42,$D32-3,MATCH(G$3,Feed_D!$B$2:$EU$2,0)+5)=0,#N/A,INDEX(Feed_D!$B$4:$EU$42,$D32-3,MATCH(G$3,Feed_D!$B$2:$EU$2,0)+5))</f>
        <v>#N/A</v>
      </c>
      <c r="H32" t="e">
        <f>IF(INDEX(Feed_D!$B$4:$EU$42,$D32-3,MATCH(H$3,Feed_D!$B$2:$EU$2,0)+5)=0,#N/A,INDEX(Feed_D!$B$4:$EU$42,$D32-3,MATCH(H$3,Feed_D!$B$2:$EU$2,0)+5))</f>
        <v>#N/A</v>
      </c>
      <c r="I32">
        <f>IF(INDEX(Feed_D!$B$4:$EU$42,$D32-3,MATCH(I$3,Feed_D!$B$2:$EU$2,0)+5)=0,#N/A,INDEX(Feed_D!$B$4:$EU$42,$D32-3,MATCH(I$3,Feed_D!$B$2:$EU$2,0)+5))</f>
        <v>29.857819905213265</v>
      </c>
    </row>
    <row r="33" spans="1:9" x14ac:dyDescent="0.25">
      <c r="A33">
        <v>33</v>
      </c>
      <c r="B33" t="str">
        <f>IF(INDEX(Feed_D!$B$2:$ML$2,1,(A33-1)*6+1)=0,"",INDEX(Feed_D!$B$2:$ML$2,1,(A33-1)*6+1))</f>
        <v/>
      </c>
      <c r="D33">
        <v>33</v>
      </c>
      <c r="E33" t="e">
        <f>IF(INDEX(Feed_D!$B$4:$EU$42,$D33-3,MATCH(E$3,Feed_D!$B$2:$EU$2,0)+5)=0,#N/A,INDEX(Feed_D!$B$4:$EU$42,$D33-3,MATCH(E$3,Feed_D!$B$2:$EU$2,0)+5))</f>
        <v>#N/A</v>
      </c>
      <c r="F33" t="e">
        <f>IF(INDEX(Feed_D!$B$4:$EU$42,$D33-3,MATCH(F$3,Feed_D!$B$2:$EU$2,0)+5)=0,#N/A,INDEX(Feed_D!$B$4:$EU$42,$D33-3,MATCH(F$3,Feed_D!$B$2:$EU$2,0)+5))</f>
        <v>#N/A</v>
      </c>
      <c r="G33" t="e">
        <f>IF(INDEX(Feed_D!$B$4:$EU$42,$D33-3,MATCH(G$3,Feed_D!$B$2:$EU$2,0)+5)=0,#N/A,INDEX(Feed_D!$B$4:$EU$42,$D33-3,MATCH(G$3,Feed_D!$B$2:$EU$2,0)+5))</f>
        <v>#N/A</v>
      </c>
      <c r="H33" t="e">
        <f>IF(INDEX(Feed_D!$B$4:$EU$42,$D33-3,MATCH(H$3,Feed_D!$B$2:$EU$2,0)+5)=0,#N/A,INDEX(Feed_D!$B$4:$EU$42,$D33-3,MATCH(H$3,Feed_D!$B$2:$EU$2,0)+5))</f>
        <v>#N/A</v>
      </c>
      <c r="I33">
        <f>IF(INDEX(Feed_D!$B$4:$EU$42,$D33-3,MATCH(I$3,Feed_D!$B$2:$EU$2,0)+5)=0,#N/A,INDEX(Feed_D!$B$4:$EU$42,$D33-3,MATCH(I$3,Feed_D!$B$2:$EU$2,0)+5))</f>
        <v>25.210084033613445</v>
      </c>
    </row>
    <row r="34" spans="1:9" x14ac:dyDescent="0.25">
      <c r="A34">
        <v>34</v>
      </c>
      <c r="B34" t="str">
        <f>IF(INDEX(Feed_D!$B$2:$ML$2,1,(A34-1)*6+1)=0,"",INDEX(Feed_D!$B$2:$ML$2,1,(A34-1)*6+1))</f>
        <v/>
      </c>
      <c r="D34">
        <v>34</v>
      </c>
      <c r="E34" t="e">
        <f>IF(INDEX(Feed_D!$B$4:$EU$42,$D34-3,MATCH(E$3,Feed_D!$B$2:$EU$2,0)+5)=0,#N/A,INDEX(Feed_D!$B$4:$EU$42,$D34-3,MATCH(E$3,Feed_D!$B$2:$EU$2,0)+5))</f>
        <v>#N/A</v>
      </c>
      <c r="F34" t="e">
        <f>IF(INDEX(Feed_D!$B$4:$EU$42,$D34-3,MATCH(F$3,Feed_D!$B$2:$EU$2,0)+5)=0,#N/A,INDEX(Feed_D!$B$4:$EU$42,$D34-3,MATCH(F$3,Feed_D!$B$2:$EU$2,0)+5))</f>
        <v>#N/A</v>
      </c>
      <c r="G34" t="e">
        <f>IF(INDEX(Feed_D!$B$4:$EU$42,$D34-3,MATCH(G$3,Feed_D!$B$2:$EU$2,0)+5)=0,#N/A,INDEX(Feed_D!$B$4:$EU$42,$D34-3,MATCH(G$3,Feed_D!$B$2:$EU$2,0)+5))</f>
        <v>#N/A</v>
      </c>
      <c r="H34" t="e">
        <f>IF(INDEX(Feed_D!$B$4:$EU$42,$D34-3,MATCH(H$3,Feed_D!$B$2:$EU$2,0)+5)=0,#N/A,INDEX(Feed_D!$B$4:$EU$42,$D34-3,MATCH(H$3,Feed_D!$B$2:$EU$2,0)+5))</f>
        <v>#N/A</v>
      </c>
      <c r="I34">
        <f>IF(INDEX(Feed_D!$B$4:$EU$42,$D34-3,MATCH(I$3,Feed_D!$B$2:$EU$2,0)+5)=0,#N/A,INDEX(Feed_D!$B$4:$EU$42,$D34-3,MATCH(I$3,Feed_D!$B$2:$EU$2,0)+5))</f>
        <v>27.376425855513308</v>
      </c>
    </row>
    <row r="35" spans="1:9" x14ac:dyDescent="0.25">
      <c r="A35">
        <v>35</v>
      </c>
      <c r="B35" t="str">
        <f>IF(INDEX(Feed_D!$B$2:$ML$2,1,(A35-1)*6+1)=0,"",INDEX(Feed_D!$B$2:$ML$2,1,(A35-1)*6+1))</f>
        <v/>
      </c>
      <c r="D35">
        <v>35</v>
      </c>
      <c r="E35" t="e">
        <f>IF(INDEX(Feed_D!$B$4:$EU$42,$D35-3,MATCH(E$3,Feed_D!$B$2:$EU$2,0)+5)=0,#N/A,INDEX(Feed_D!$B$4:$EU$42,$D35-3,MATCH(E$3,Feed_D!$B$2:$EU$2,0)+5))</f>
        <v>#N/A</v>
      </c>
      <c r="F35" t="e">
        <f>IF(INDEX(Feed_D!$B$4:$EU$42,$D35-3,MATCH(F$3,Feed_D!$B$2:$EU$2,0)+5)=0,#N/A,INDEX(Feed_D!$B$4:$EU$42,$D35-3,MATCH(F$3,Feed_D!$B$2:$EU$2,0)+5))</f>
        <v>#N/A</v>
      </c>
      <c r="G35" t="e">
        <f>IF(INDEX(Feed_D!$B$4:$EU$42,$D35-3,MATCH(G$3,Feed_D!$B$2:$EU$2,0)+5)=0,#N/A,INDEX(Feed_D!$B$4:$EU$42,$D35-3,MATCH(G$3,Feed_D!$B$2:$EU$2,0)+5))</f>
        <v>#N/A</v>
      </c>
      <c r="H35" t="e">
        <f>IF(INDEX(Feed_D!$B$4:$EU$42,$D35-3,MATCH(H$3,Feed_D!$B$2:$EU$2,0)+5)=0,#N/A,INDEX(Feed_D!$B$4:$EU$42,$D35-3,MATCH(H$3,Feed_D!$B$2:$EU$2,0)+5))</f>
        <v>#N/A</v>
      </c>
      <c r="I35">
        <f>IF(INDEX(Feed_D!$B$4:$EU$42,$D35-3,MATCH(I$3,Feed_D!$B$2:$EU$2,0)+5)=0,#N/A,INDEX(Feed_D!$B$4:$EU$42,$D35-3,MATCH(I$3,Feed_D!$B$2:$EU$2,0)+5))</f>
        <v>29.34782608695652</v>
      </c>
    </row>
    <row r="36" spans="1:9" x14ac:dyDescent="0.25">
      <c r="A36">
        <v>36</v>
      </c>
      <c r="B36" t="str">
        <f>IF(INDEX(Feed_D!$B$2:$ML$2,1,(A36-1)*6+1)=0,"",INDEX(Feed_D!$B$2:$ML$2,1,(A36-1)*6+1))</f>
        <v/>
      </c>
      <c r="D36">
        <v>36</v>
      </c>
      <c r="E36" t="e">
        <f>IF(INDEX(Feed_D!$B$4:$EU$42,$D36-3,MATCH(E$3,Feed_D!$B$2:$EU$2,0)+5)=0,#N/A,INDEX(Feed_D!$B$4:$EU$42,$D36-3,MATCH(E$3,Feed_D!$B$2:$EU$2,0)+5))</f>
        <v>#N/A</v>
      </c>
      <c r="F36" t="e">
        <f>IF(INDEX(Feed_D!$B$4:$EU$42,$D36-3,MATCH(F$3,Feed_D!$B$2:$EU$2,0)+5)=0,#N/A,INDEX(Feed_D!$B$4:$EU$42,$D36-3,MATCH(F$3,Feed_D!$B$2:$EU$2,0)+5))</f>
        <v>#N/A</v>
      </c>
      <c r="G36" t="e">
        <f>IF(INDEX(Feed_D!$B$4:$EU$42,$D36-3,MATCH(G$3,Feed_D!$B$2:$EU$2,0)+5)=0,#N/A,INDEX(Feed_D!$B$4:$EU$42,$D36-3,MATCH(G$3,Feed_D!$B$2:$EU$2,0)+5))</f>
        <v>#N/A</v>
      </c>
      <c r="H36" t="e">
        <f>IF(INDEX(Feed_D!$B$4:$EU$42,$D36-3,MATCH(H$3,Feed_D!$B$2:$EU$2,0)+5)=0,#N/A,INDEX(Feed_D!$B$4:$EU$42,$D36-3,MATCH(H$3,Feed_D!$B$2:$EU$2,0)+5))</f>
        <v>#N/A</v>
      </c>
      <c r="I36">
        <f>IF(INDEX(Feed_D!$B$4:$EU$42,$D36-3,MATCH(I$3,Feed_D!$B$2:$EU$2,0)+5)=0,#N/A,INDEX(Feed_D!$B$4:$EU$42,$D36-3,MATCH(I$3,Feed_D!$B$2:$EU$2,0)+5))</f>
        <v>23.356401384083046</v>
      </c>
    </row>
    <row r="37" spans="1:9" x14ac:dyDescent="0.25">
      <c r="A37">
        <v>37</v>
      </c>
      <c r="B37" t="str">
        <f>IF(INDEX(Feed_D!$B$2:$ML$2,1,(A37-1)*6+1)=0,"",INDEX(Feed_D!$B$2:$ML$2,1,(A37-1)*6+1))</f>
        <v/>
      </c>
      <c r="D37">
        <v>37</v>
      </c>
      <c r="E37" t="e">
        <f>IF(INDEX(Feed_D!$B$4:$EU$42,$D37-3,MATCH(E$3,Feed_D!$B$2:$EU$2,0)+5)=0,#N/A,INDEX(Feed_D!$B$4:$EU$42,$D37-3,MATCH(E$3,Feed_D!$B$2:$EU$2,0)+5))</f>
        <v>#N/A</v>
      </c>
      <c r="F37" t="e">
        <f>IF(INDEX(Feed_D!$B$4:$EU$42,$D37-3,MATCH(F$3,Feed_D!$B$2:$EU$2,0)+5)=0,#N/A,INDEX(Feed_D!$B$4:$EU$42,$D37-3,MATCH(F$3,Feed_D!$B$2:$EU$2,0)+5))</f>
        <v>#N/A</v>
      </c>
      <c r="G37" t="e">
        <f>IF(INDEX(Feed_D!$B$4:$EU$42,$D37-3,MATCH(G$3,Feed_D!$B$2:$EU$2,0)+5)=0,#N/A,INDEX(Feed_D!$B$4:$EU$42,$D37-3,MATCH(G$3,Feed_D!$B$2:$EU$2,0)+5))</f>
        <v>#N/A</v>
      </c>
      <c r="H37" t="e">
        <f>IF(INDEX(Feed_D!$B$4:$EU$42,$D37-3,MATCH(H$3,Feed_D!$B$2:$EU$2,0)+5)=0,#N/A,INDEX(Feed_D!$B$4:$EU$42,$D37-3,MATCH(H$3,Feed_D!$B$2:$EU$2,0)+5))</f>
        <v>#N/A</v>
      </c>
      <c r="I37">
        <f>IF(INDEX(Feed_D!$B$4:$EU$42,$D37-3,MATCH(I$3,Feed_D!$B$2:$EU$2,0)+5)=0,#N/A,INDEX(Feed_D!$B$4:$EU$42,$D37-3,MATCH(I$3,Feed_D!$B$2:$EU$2,0)+5))</f>
        <v>36.363636363636367</v>
      </c>
    </row>
    <row r="38" spans="1:9" x14ac:dyDescent="0.25">
      <c r="A38">
        <v>38</v>
      </c>
      <c r="B38" t="str">
        <f>IF(INDEX(Feed_D!$B$2:$ML$2,1,(A38-1)*6+1)=0,"",INDEX(Feed_D!$B$2:$ML$2,1,(A38-1)*6+1))</f>
        <v/>
      </c>
      <c r="D38">
        <v>38</v>
      </c>
      <c r="E38" t="e">
        <f>IF(INDEX(Feed_D!$B$4:$EU$42,$D38-3,MATCH(E$3,Feed_D!$B$2:$EU$2,0)+5)=0,#N/A,INDEX(Feed_D!$B$4:$EU$42,$D38-3,MATCH(E$3,Feed_D!$B$2:$EU$2,0)+5))</f>
        <v>#N/A</v>
      </c>
      <c r="F38" t="e">
        <f>IF(INDEX(Feed_D!$B$4:$EU$42,$D38-3,MATCH(F$3,Feed_D!$B$2:$EU$2,0)+5)=0,#N/A,INDEX(Feed_D!$B$4:$EU$42,$D38-3,MATCH(F$3,Feed_D!$B$2:$EU$2,0)+5))</f>
        <v>#N/A</v>
      </c>
      <c r="G38" t="e">
        <f>IF(INDEX(Feed_D!$B$4:$EU$42,$D38-3,MATCH(G$3,Feed_D!$B$2:$EU$2,0)+5)=0,#N/A,INDEX(Feed_D!$B$4:$EU$42,$D38-3,MATCH(G$3,Feed_D!$B$2:$EU$2,0)+5))</f>
        <v>#N/A</v>
      </c>
      <c r="H38" t="e">
        <f>IF(INDEX(Feed_D!$B$4:$EU$42,$D38-3,MATCH(H$3,Feed_D!$B$2:$EU$2,0)+5)=0,#N/A,INDEX(Feed_D!$B$4:$EU$42,$D38-3,MATCH(H$3,Feed_D!$B$2:$EU$2,0)+5))</f>
        <v>#N/A</v>
      </c>
      <c r="I38">
        <f>IF(INDEX(Feed_D!$B$4:$EU$42,$D38-3,MATCH(I$3,Feed_D!$B$2:$EU$2,0)+5)=0,#N/A,INDEX(Feed_D!$B$4:$EU$42,$D38-3,MATCH(I$3,Feed_D!$B$2:$EU$2,0)+5))</f>
        <v>43.548387096774192</v>
      </c>
    </row>
    <row r="39" spans="1:9" x14ac:dyDescent="0.25">
      <c r="A39">
        <v>39</v>
      </c>
      <c r="B39" t="str">
        <f>IF(INDEX(Feed_D!$B$2:$ML$2,1,(A39-1)*6+1)=0,"",INDEX(Feed_D!$B$2:$ML$2,1,(A39-1)*6+1))</f>
        <v/>
      </c>
      <c r="D39">
        <v>39</v>
      </c>
      <c r="E39" t="e">
        <f>IF(INDEX(Feed_D!$B$4:$EU$42,$D39-3,MATCH(E$3,Feed_D!$B$2:$EU$2,0)+5)=0,#N/A,INDEX(Feed_D!$B$4:$EU$42,$D39-3,MATCH(E$3,Feed_D!$B$2:$EU$2,0)+5))</f>
        <v>#N/A</v>
      </c>
      <c r="F39" t="e">
        <f>IF(INDEX(Feed_D!$B$4:$EU$42,$D39-3,MATCH(F$3,Feed_D!$B$2:$EU$2,0)+5)=0,#N/A,INDEX(Feed_D!$B$4:$EU$42,$D39-3,MATCH(F$3,Feed_D!$B$2:$EU$2,0)+5))</f>
        <v>#N/A</v>
      </c>
      <c r="G39" t="e">
        <f>IF(INDEX(Feed_D!$B$4:$EU$42,$D39-3,MATCH(G$3,Feed_D!$B$2:$EU$2,0)+5)=0,#N/A,INDEX(Feed_D!$B$4:$EU$42,$D39-3,MATCH(G$3,Feed_D!$B$2:$EU$2,0)+5))</f>
        <v>#N/A</v>
      </c>
      <c r="H39" t="e">
        <f>IF(INDEX(Feed_D!$B$4:$EU$42,$D39-3,MATCH(H$3,Feed_D!$B$2:$EU$2,0)+5)=0,#N/A,INDEX(Feed_D!$B$4:$EU$42,$D39-3,MATCH(H$3,Feed_D!$B$2:$EU$2,0)+5))</f>
        <v>#N/A</v>
      </c>
      <c r="I39" t="e">
        <f>IF(INDEX(Feed_D!$B$4:$EU$42,$D39-3,MATCH(I$3,Feed_D!$B$2:$EU$2,0)+5)=0,#N/A,INDEX(Feed_D!$B$4:$EU$42,$D39-3,MATCH(I$3,Feed_D!$B$2:$EU$2,0)+5))</f>
        <v>#N/A</v>
      </c>
    </row>
    <row r="40" spans="1:9" x14ac:dyDescent="0.25">
      <c r="A40">
        <v>40</v>
      </c>
      <c r="B40" t="str">
        <f>IF(INDEX(Feed_D!$B$2:$ML$2,1,(A40-1)*6+1)=0,"",INDEX(Feed_D!$B$2:$ML$2,1,(A40-1)*6+1))</f>
        <v/>
      </c>
      <c r="D40">
        <v>40</v>
      </c>
      <c r="E40" t="e">
        <f>IF(INDEX(Feed_D!$B$4:$EU$42,$D40-3,MATCH(E$3,Feed_D!$B$2:$EU$2,0)+5)=0,#N/A,INDEX(Feed_D!$B$4:$EU$42,$D40-3,MATCH(E$3,Feed_D!$B$2:$EU$2,0)+5))</f>
        <v>#N/A</v>
      </c>
      <c r="F40" t="e">
        <f>IF(INDEX(Feed_D!$B$4:$EU$42,$D40-3,MATCH(F$3,Feed_D!$B$2:$EU$2,0)+5)=0,#N/A,INDEX(Feed_D!$B$4:$EU$42,$D40-3,MATCH(F$3,Feed_D!$B$2:$EU$2,0)+5))</f>
        <v>#N/A</v>
      </c>
      <c r="G40" t="e">
        <f>IF(INDEX(Feed_D!$B$4:$EU$42,$D40-3,MATCH(G$3,Feed_D!$B$2:$EU$2,0)+5)=0,#N/A,INDEX(Feed_D!$B$4:$EU$42,$D40-3,MATCH(G$3,Feed_D!$B$2:$EU$2,0)+5))</f>
        <v>#N/A</v>
      </c>
      <c r="H40" t="e">
        <f>IF(INDEX(Feed_D!$B$4:$EU$42,$D40-3,MATCH(H$3,Feed_D!$B$2:$EU$2,0)+5)=0,#N/A,INDEX(Feed_D!$B$4:$EU$42,$D40-3,MATCH(H$3,Feed_D!$B$2:$EU$2,0)+5))</f>
        <v>#N/A</v>
      </c>
      <c r="I40" t="e">
        <f>IF(INDEX(Feed_D!$B$4:$EU$42,$D40-3,MATCH(I$3,Feed_D!$B$2:$EU$2,0)+5)=0,#N/A,INDEX(Feed_D!$B$4:$EU$42,$D40-3,MATCH(I$3,Feed_D!$B$2:$EU$2,0)+5))</f>
        <v>#N/A</v>
      </c>
    </row>
    <row r="41" spans="1:9" x14ac:dyDescent="0.25">
      <c r="A41">
        <v>41</v>
      </c>
      <c r="B41" t="str">
        <f>IF(INDEX(Feed_D!$B$2:$ML$2,1,(A41-1)*6+1)=0,"",INDEX(Feed_D!$B$2:$ML$2,1,(A41-1)*6+1))</f>
        <v/>
      </c>
      <c r="D41">
        <v>41</v>
      </c>
      <c r="E41" t="e">
        <f>IF(INDEX(Feed_D!$B$4:$EU$42,$D41-3,MATCH(E$3,Feed_D!$B$2:$EU$2,0)+5)=0,#N/A,INDEX(Feed_D!$B$4:$EU$42,$D41-3,MATCH(E$3,Feed_D!$B$2:$EU$2,0)+5))</f>
        <v>#N/A</v>
      </c>
      <c r="F41" t="e">
        <f>IF(INDEX(Feed_D!$B$4:$EU$42,$D41-3,MATCH(F$3,Feed_D!$B$2:$EU$2,0)+5)=0,#N/A,INDEX(Feed_D!$B$4:$EU$42,$D41-3,MATCH(F$3,Feed_D!$B$2:$EU$2,0)+5))</f>
        <v>#N/A</v>
      </c>
      <c r="G41" t="e">
        <f>IF(INDEX(Feed_D!$B$4:$EU$42,$D41-3,MATCH(G$3,Feed_D!$B$2:$EU$2,0)+5)=0,#N/A,INDEX(Feed_D!$B$4:$EU$42,$D41-3,MATCH(G$3,Feed_D!$B$2:$EU$2,0)+5))</f>
        <v>#N/A</v>
      </c>
      <c r="H41" t="e">
        <f>IF(INDEX(Feed_D!$B$4:$EU$42,$D41-3,MATCH(H$3,Feed_D!$B$2:$EU$2,0)+5)=0,#N/A,INDEX(Feed_D!$B$4:$EU$42,$D41-3,MATCH(H$3,Feed_D!$B$2:$EU$2,0)+5))</f>
        <v>#N/A</v>
      </c>
      <c r="I41" t="e">
        <f>IF(INDEX(Feed_D!$B$4:$EU$42,$D41-3,MATCH(I$3,Feed_D!$B$2:$EU$2,0)+5)=0,#N/A,INDEX(Feed_D!$B$4:$EU$42,$D41-3,MATCH(I$3,Feed_D!$B$2:$EU$2,0)+5))</f>
        <v>#N/A</v>
      </c>
    </row>
    <row r="42" spans="1:9" x14ac:dyDescent="0.25">
      <c r="A42">
        <v>42</v>
      </c>
      <c r="B42" t="str">
        <f>IF(INDEX(Feed_D!$B$2:$ML$2,1,(A42-1)*6+1)=0,"",INDEX(Feed_D!$B$2:$ML$2,1,(A42-1)*6+1))</f>
        <v/>
      </c>
      <c r="D42">
        <v>42</v>
      </c>
      <c r="E42" t="e">
        <f>IF(INDEX(Feed_D!$B$4:$EU$42,$D42-3,MATCH(E$3,Feed_D!$B$2:$EU$2,0)+5)=0,#N/A,INDEX(Feed_D!$B$4:$EU$42,$D42-3,MATCH(E$3,Feed_D!$B$2:$EU$2,0)+5))</f>
        <v>#N/A</v>
      </c>
      <c r="F42" t="e">
        <f>IF(INDEX(Feed_D!$B$4:$EU$42,$D42-3,MATCH(F$3,Feed_D!$B$2:$EU$2,0)+5)=0,#N/A,INDEX(Feed_D!$B$4:$EU$42,$D42-3,MATCH(F$3,Feed_D!$B$2:$EU$2,0)+5))</f>
        <v>#N/A</v>
      </c>
      <c r="G42" t="e">
        <f>IF(INDEX(Feed_D!$B$4:$EU$42,$D42-3,MATCH(G$3,Feed_D!$B$2:$EU$2,0)+5)=0,#N/A,INDEX(Feed_D!$B$4:$EU$42,$D42-3,MATCH(G$3,Feed_D!$B$2:$EU$2,0)+5))</f>
        <v>#N/A</v>
      </c>
      <c r="H42" t="e">
        <f>IF(INDEX(Feed_D!$B$4:$EU$42,$D42-3,MATCH(H$3,Feed_D!$B$2:$EU$2,0)+5)=0,#N/A,INDEX(Feed_D!$B$4:$EU$42,$D42-3,MATCH(H$3,Feed_D!$B$2:$EU$2,0)+5))</f>
        <v>#N/A</v>
      </c>
      <c r="I42" t="e">
        <f>IF(INDEX(Feed_D!$B$4:$EU$42,$D42-3,MATCH(I$3,Feed_D!$B$2:$EU$2,0)+5)=0,#N/A,INDEX(Feed_D!$B$4:$EU$42,$D42-3,MATCH(I$3,Feed_D!$B$2:$EU$2,0)+5))</f>
        <v>#N/A</v>
      </c>
    </row>
    <row r="43" spans="1:9" x14ac:dyDescent="0.25">
      <c r="A43">
        <v>43</v>
      </c>
      <c r="B43" t="str">
        <f>IF(INDEX(Feed_D!$B$2:$ML$2,1,(A43-1)*6+1)=0,"",INDEX(Feed_D!$B$2:$ML$2,1,(A43-1)*6+1))</f>
        <v/>
      </c>
    </row>
    <row r="44" spans="1:9" x14ac:dyDescent="0.25">
      <c r="A44">
        <v>44</v>
      </c>
      <c r="B44" t="str">
        <f>IF(INDEX(Feed_D!$B$2:$ML$2,1,(A44-1)*6+1)=0,"",INDEX(Feed_D!$B$2:$ML$2,1,(A44-1)*6+1))</f>
        <v/>
      </c>
    </row>
    <row r="45" spans="1:9" x14ac:dyDescent="0.25">
      <c r="A45">
        <v>45</v>
      </c>
      <c r="B45" t="str">
        <f>IF(INDEX(Feed_D!$B$2:$ML$2,1,(A45-1)*6+1)=0,"",INDEX(Feed_D!$B$2:$ML$2,1,(A45-1)*6+1))</f>
        <v/>
      </c>
    </row>
    <row r="46" spans="1:9" x14ac:dyDescent="0.25">
      <c r="A46">
        <v>46</v>
      </c>
      <c r="B46" t="str">
        <f>IF(INDEX(Feed_D!$B$2:$ML$2,1,(A46-1)*6+1)=0,"",INDEX(Feed_D!$B$2:$ML$2,1,(A46-1)*6+1))</f>
        <v/>
      </c>
    </row>
    <row r="47" spans="1:9" x14ac:dyDescent="0.25">
      <c r="A47">
        <v>47</v>
      </c>
      <c r="B47" t="str">
        <f>IF(INDEX(Feed_D!$B$2:$ML$2,1,(A47-1)*6+1)=0,"",INDEX(Feed_D!$B$2:$ML$2,1,(A47-1)*6+1))</f>
        <v/>
      </c>
    </row>
    <row r="48" spans="1:9" x14ac:dyDescent="0.25">
      <c r="A48">
        <v>48</v>
      </c>
      <c r="B48" t="str">
        <f>IF(INDEX(Feed_D!$B$2:$ML$2,1,(A48-1)*6+1)=0,"",INDEX(Feed_D!$B$2:$ML$2,1,(A48-1)*6+1))</f>
        <v/>
      </c>
    </row>
    <row r="49" spans="1:2" x14ac:dyDescent="0.25">
      <c r="A49">
        <v>49</v>
      </c>
      <c r="B49" t="str">
        <f>IF(INDEX(Feed_D!$B$2:$ML$2,1,(A49-1)*6+1)=0,"",INDEX(Feed_D!$B$2:$ML$2,1,(A49-1)*6+1))</f>
        <v/>
      </c>
    </row>
    <row r="50" spans="1:2" x14ac:dyDescent="0.25">
      <c r="A50">
        <v>50</v>
      </c>
      <c r="B50" t="str">
        <f>IF(INDEX(Feed_D!$B$2:$ML$2,1,(A50-1)*6+1)=0,"",INDEX(Feed_D!$B$2:$ML$2,1,(A50-1)*6+1))</f>
        <v/>
      </c>
    </row>
  </sheetData>
  <dataValidations count="1">
    <dataValidation type="list" allowBlank="1" showInputMessage="1" showErrorMessage="1" sqref="E3:I3">
      <formula1>Whispering_Death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6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Лист1</vt:lpstr>
      <vt:lpstr>Denys</vt:lpstr>
      <vt:lpstr>Feed_D</vt:lpstr>
      <vt:lpstr>Elena</vt:lpstr>
      <vt:lpstr>Feeding</vt:lpstr>
      <vt:lpstr>графика с выбором</vt:lpstr>
      <vt:lpstr>Feed_Diag</vt:lpstr>
      <vt:lpstr>Whispering_Death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2015-02-20T14:17:29Z</dcterms:created>
  <dcterms:modified xsi:type="dcterms:W3CDTF">2015-02-20T16:33:09Z</dcterms:modified>
</cp:coreProperties>
</file>