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80" windowWidth="27795" windowHeight="12525" activeTab="2"/>
  </bookViews>
  <sheets>
    <sheet name="Лист1" sheetId="1" r:id="rId1"/>
    <sheet name="Denys" sheetId="2" r:id="rId2"/>
    <sheet name="Feed_D" sheetId="6" r:id="rId3"/>
    <sheet name="Feed_Diag" sheetId="8" r:id="rId4"/>
    <sheet name="Elena" sheetId="3" r:id="rId5"/>
    <sheet name="Feeding" sheetId="5" r:id="rId6"/>
  </sheets>
  <definedNames>
    <definedName name="_xlnm._FilterDatabase" localSheetId="2" hidden="1">Feed_D!$A$3:$FA$42</definedName>
    <definedName name="Whispering_Death">Feed_Diag!$B$1:$B$50</definedName>
  </definedNames>
  <calcPr calcId="145621"/>
</workbook>
</file>

<file path=xl/calcChain.xml><?xml version="1.0" encoding="utf-8"?>
<calcChain xmlns="http://schemas.openxmlformats.org/spreadsheetml/2006/main">
  <c r="EU21" i="6" l="1"/>
  <c r="ET21" i="6"/>
  <c r="EU20" i="6"/>
  <c r="ET20" i="6"/>
  <c r="BI48" i="6"/>
  <c r="BH48" i="6"/>
  <c r="BI47" i="6"/>
  <c r="BH47" i="6"/>
  <c r="EU19" i="6"/>
  <c r="ET19" i="6"/>
  <c r="BH15" i="6" l="1"/>
  <c r="BH14" i="6"/>
  <c r="BH13" i="6"/>
  <c r="BH12" i="6"/>
  <c r="BH11" i="6"/>
  <c r="EU18" i="6"/>
  <c r="ET18" i="6"/>
  <c r="EU17" i="6"/>
  <c r="ET17" i="6"/>
  <c r="EU16" i="6"/>
  <c r="ET16" i="6"/>
  <c r="AQ46" i="6"/>
  <c r="AP46" i="6"/>
  <c r="AQ45" i="6" l="1"/>
  <c r="AP45" i="6"/>
  <c r="K4" i="2"/>
  <c r="K5" i="2"/>
  <c r="BO47" i="6"/>
  <c r="BN47" i="6"/>
  <c r="EU15" i="6"/>
  <c r="ET15" i="6"/>
  <c r="EU14" i="6"/>
  <c r="ET14" i="6"/>
  <c r="EU13" i="6"/>
  <c r="ET13" i="6"/>
  <c r="EU12" i="6" l="1"/>
  <c r="ET12" i="6"/>
  <c r="EU11" i="6"/>
  <c r="EU10" i="6"/>
  <c r="ET10" i="6"/>
  <c r="K8" i="3"/>
  <c r="R8" i="3"/>
  <c r="Q8" i="3"/>
  <c r="K5" i="3"/>
  <c r="EU8" i="6"/>
  <c r="EU9" i="6"/>
  <c r="ET9" i="6"/>
  <c r="ET8" i="6"/>
  <c r="EU7" i="6"/>
  <c r="ET7" i="6"/>
  <c r="AQ44" i="6"/>
  <c r="AP44" i="6"/>
  <c r="EU5" i="6"/>
  <c r="EU6" i="6"/>
  <c r="ET6" i="6"/>
  <c r="ET5" i="6"/>
  <c r="ET4" i="6"/>
  <c r="BI46" i="6"/>
  <c r="BH46" i="6"/>
  <c r="AQ43" i="6"/>
  <c r="EI42" i="6"/>
  <c r="EI43" i="6"/>
  <c r="EH43" i="6"/>
  <c r="BI45" i="6"/>
  <c r="BH45" i="6"/>
  <c r="BI44" i="6"/>
  <c r="BH44" i="6"/>
  <c r="BO45" i="6"/>
  <c r="BO46" i="6"/>
  <c r="BN45" i="6"/>
  <c r="BN46" i="6"/>
  <c r="N8" i="3" l="1"/>
  <c r="N10" i="3" s="1"/>
  <c r="K4" i="3"/>
  <c r="AD33" i="6"/>
  <c r="BU23" i="6"/>
  <c r="BU24" i="6"/>
  <c r="BT24" i="6"/>
  <c r="BT23" i="6"/>
  <c r="BU22" i="6"/>
  <c r="S27" i="6"/>
  <c r="AP43" i="6"/>
  <c r="BB42" i="6"/>
  <c r="BC42" i="6"/>
  <c r="AQ42" i="6"/>
  <c r="BI43" i="6"/>
  <c r="BH43" i="6"/>
  <c r="BO43" i="6"/>
  <c r="BO44" i="6"/>
  <c r="BN44" i="6"/>
  <c r="BN43" i="6"/>
  <c r="FA24" i="6" l="1"/>
  <c r="FA25" i="6"/>
  <c r="FA26" i="6"/>
  <c r="FA27" i="6"/>
  <c r="FA28" i="6"/>
  <c r="FA29" i="6"/>
  <c r="FA30" i="6"/>
  <c r="FA23" i="6"/>
  <c r="EO22" i="6"/>
  <c r="EI6" i="6"/>
  <c r="EI7" i="6"/>
  <c r="EI8" i="6"/>
  <c r="EI9" i="6"/>
  <c r="EI10" i="6"/>
  <c r="EI11" i="6"/>
  <c r="EI12" i="6"/>
  <c r="EI13" i="6"/>
  <c r="EI14" i="6"/>
  <c r="EI15" i="6"/>
  <c r="EI16" i="6"/>
  <c r="EI17" i="6"/>
  <c r="EI18" i="6"/>
  <c r="EI19" i="6"/>
  <c r="EI20" i="6"/>
  <c r="EI21" i="6"/>
  <c r="EI22" i="6"/>
  <c r="EI23" i="6"/>
  <c r="EI24" i="6"/>
  <c r="EI25" i="6"/>
  <c r="EI26" i="6"/>
  <c r="EI27" i="6"/>
  <c r="EI28" i="6"/>
  <c r="EI29" i="6"/>
  <c r="EI30" i="6"/>
  <c r="EI31" i="6"/>
  <c r="EI32" i="6"/>
  <c r="EI33" i="6"/>
  <c r="EI34" i="6"/>
  <c r="EI35" i="6"/>
  <c r="EI36" i="6"/>
  <c r="EI37" i="6"/>
  <c r="EI38" i="6"/>
  <c r="EI39" i="6"/>
  <c r="EI40" i="6"/>
  <c r="EI41" i="6"/>
  <c r="EI5" i="6"/>
  <c r="EC6" i="6"/>
  <c r="EC7" i="6"/>
  <c r="EC8" i="6"/>
  <c r="EC9" i="6"/>
  <c r="EC10" i="6"/>
  <c r="EC11" i="6"/>
  <c r="EC12" i="6"/>
  <c r="EC13" i="6"/>
  <c r="EC14" i="6"/>
  <c r="EC15" i="6"/>
  <c r="EC16" i="6"/>
  <c r="EC17" i="6"/>
  <c r="EC18" i="6"/>
  <c r="EC19" i="6"/>
  <c r="EC20" i="6"/>
  <c r="EC21" i="6"/>
  <c r="EC22" i="6"/>
  <c r="EC23" i="6"/>
  <c r="EC24" i="6"/>
  <c r="EC25" i="6"/>
  <c r="EC5" i="6"/>
  <c r="DW6" i="6"/>
  <c r="DW7" i="6"/>
  <c r="DW8" i="6"/>
  <c r="DW9" i="6"/>
  <c r="DW10" i="6"/>
  <c r="DW5" i="6"/>
  <c r="DQ22" i="6"/>
  <c r="DQ6" i="6"/>
  <c r="DQ7" i="6"/>
  <c r="DQ8" i="6"/>
  <c r="DQ9" i="6"/>
  <c r="DQ10" i="6"/>
  <c r="DQ11" i="6"/>
  <c r="DQ5" i="6"/>
  <c r="DK31" i="6"/>
  <c r="DK32" i="6"/>
  <c r="DK33" i="6"/>
  <c r="DK34" i="6"/>
  <c r="DK35" i="6"/>
  <c r="DK36" i="6"/>
  <c r="DK37" i="6"/>
  <c r="DK38" i="6"/>
  <c r="DK39" i="6"/>
  <c r="DK30" i="6"/>
  <c r="DK27" i="6"/>
  <c r="DK6" i="6"/>
  <c r="DK7" i="6"/>
  <c r="DK8" i="6"/>
  <c r="DK9" i="6"/>
  <c r="DK10" i="6"/>
  <c r="DK11" i="6"/>
  <c r="DK12" i="6"/>
  <c r="DK13" i="6"/>
  <c r="DK14" i="6"/>
  <c r="DK15" i="6"/>
  <c r="DK16" i="6"/>
  <c r="DK17" i="6"/>
  <c r="DK18" i="6"/>
  <c r="DK19" i="6"/>
  <c r="DK20" i="6"/>
  <c r="DK21" i="6"/>
  <c r="DK22" i="6"/>
  <c r="DK23" i="6"/>
  <c r="DK24" i="6"/>
  <c r="DK5" i="6"/>
  <c r="DE6" i="6"/>
  <c r="DE7" i="6"/>
  <c r="DE8" i="6"/>
  <c r="DE9" i="6"/>
  <c r="DE10" i="6"/>
  <c r="DE11" i="6"/>
  <c r="DE12" i="6"/>
  <c r="DE13" i="6"/>
  <c r="DE14" i="6"/>
  <c r="DE15" i="6"/>
  <c r="DE16" i="6"/>
  <c r="DE17" i="6"/>
  <c r="DE18" i="6"/>
  <c r="DE19" i="6"/>
  <c r="DE20" i="6"/>
  <c r="DE21" i="6"/>
  <c r="DE22" i="6"/>
  <c r="DE23" i="6"/>
  <c r="DE24" i="6"/>
  <c r="DE25" i="6"/>
  <c r="DE26" i="6"/>
  <c r="DE27" i="6"/>
  <c r="DE28" i="6"/>
  <c r="DE29" i="6"/>
  <c r="DE30" i="6"/>
  <c r="DE31" i="6"/>
  <c r="DE32" i="6"/>
  <c r="DE33" i="6"/>
  <c r="DE34" i="6"/>
  <c r="DE35" i="6"/>
  <c r="DE36" i="6"/>
  <c r="DE37" i="6"/>
  <c r="DE5" i="6"/>
  <c r="CY17" i="6"/>
  <c r="CY18" i="6"/>
  <c r="CY19" i="6"/>
  <c r="CY20" i="6"/>
  <c r="CY21" i="6"/>
  <c r="CS6" i="6"/>
  <c r="CS7" i="6"/>
  <c r="CS8" i="6"/>
  <c r="CS9" i="6"/>
  <c r="CS10" i="6"/>
  <c r="CS11" i="6"/>
  <c r="CS12" i="6"/>
  <c r="CS13" i="6"/>
  <c r="CS5" i="6"/>
  <c r="CM21" i="6"/>
  <c r="CM22" i="6"/>
  <c r="CM20" i="6"/>
  <c r="CM6" i="6"/>
  <c r="CM5" i="6"/>
  <c r="CG6" i="6"/>
  <c r="CG7" i="6"/>
  <c r="CG8" i="6"/>
  <c r="CG9" i="6"/>
  <c r="CG10" i="6"/>
  <c r="CG11" i="6"/>
  <c r="CG12" i="6"/>
  <c r="CG13" i="6"/>
  <c r="CG14" i="6"/>
  <c r="CG15" i="6"/>
  <c r="CG16" i="6"/>
  <c r="CG17" i="6"/>
  <c r="CG18" i="6"/>
  <c r="CG19" i="6"/>
  <c r="CG20" i="6"/>
  <c r="CG21" i="6"/>
  <c r="CG22" i="6"/>
  <c r="CG23" i="6"/>
  <c r="CG24" i="6"/>
  <c r="CG5" i="6"/>
  <c r="CA6" i="6"/>
  <c r="CA7" i="6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CA33" i="6"/>
  <c r="CA34" i="6"/>
  <c r="CA5" i="6"/>
  <c r="BU6" i="6"/>
  <c r="BU7" i="6"/>
  <c r="BU8" i="6"/>
  <c r="BU9" i="6"/>
  <c r="BU10" i="6"/>
  <c r="BU11" i="6"/>
  <c r="BU12" i="6"/>
  <c r="BU13" i="6"/>
  <c r="BU14" i="6"/>
  <c r="BU15" i="6"/>
  <c r="BU16" i="6"/>
  <c r="BU17" i="6"/>
  <c r="BU18" i="6"/>
  <c r="BU19" i="6"/>
  <c r="BU20" i="6"/>
  <c r="BU21" i="6"/>
  <c r="BU5" i="6"/>
  <c r="BO6" i="6"/>
  <c r="BO7" i="6"/>
  <c r="BO8" i="6"/>
  <c r="BO9" i="6"/>
  <c r="BO10" i="6"/>
  <c r="BO11" i="6"/>
  <c r="BO12" i="6"/>
  <c r="BO13" i="6"/>
  <c r="BO14" i="6"/>
  <c r="BO15" i="6"/>
  <c r="BO16" i="6"/>
  <c r="BO17" i="6"/>
  <c r="BO18" i="6"/>
  <c r="BO19" i="6"/>
  <c r="BO20" i="6"/>
  <c r="BO21" i="6"/>
  <c r="BO22" i="6"/>
  <c r="BO23" i="6"/>
  <c r="BO24" i="6"/>
  <c r="BO25" i="6"/>
  <c r="BO26" i="6"/>
  <c r="BO27" i="6"/>
  <c r="BO28" i="6"/>
  <c r="BO29" i="6"/>
  <c r="BO30" i="6"/>
  <c r="BO31" i="6"/>
  <c r="BO32" i="6"/>
  <c r="BO33" i="6"/>
  <c r="BO34" i="6"/>
  <c r="BO35" i="6"/>
  <c r="BO36" i="6"/>
  <c r="BO37" i="6"/>
  <c r="BO38" i="6"/>
  <c r="BO39" i="6"/>
  <c r="BO40" i="6"/>
  <c r="BO41" i="6"/>
  <c r="BO5" i="6"/>
  <c r="BI6" i="6"/>
  <c r="BI7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4" i="6"/>
  <c r="BI25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0" i="6"/>
  <c r="BI41" i="6"/>
  <c r="BI5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13" i="6"/>
  <c r="BC6" i="6"/>
  <c r="BC7" i="6"/>
  <c r="BC8" i="6"/>
  <c r="BC9" i="6"/>
  <c r="BC5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19" i="6"/>
  <c r="AQ6" i="6"/>
  <c r="AQ7" i="6"/>
  <c r="AQ8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39" i="6"/>
  <c r="AQ40" i="6"/>
  <c r="AQ41" i="6"/>
  <c r="AQ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5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21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5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13" i="6"/>
  <c r="S17" i="6"/>
  <c r="S18" i="6"/>
  <c r="S19" i="6"/>
  <c r="S20" i="6"/>
  <c r="S21" i="6"/>
  <c r="S22" i="6"/>
  <c r="S23" i="6"/>
  <c r="S24" i="6"/>
  <c r="S25" i="6"/>
  <c r="S26" i="6"/>
  <c r="S16" i="6"/>
  <c r="M22" i="6"/>
  <c r="M7" i="6"/>
  <c r="M8" i="6"/>
  <c r="M6" i="6"/>
  <c r="G25" i="6"/>
  <c r="G7" i="6"/>
  <c r="G6" i="6"/>
  <c r="G5" i="6"/>
  <c r="G8" i="6"/>
  <c r="G9" i="6"/>
  <c r="G10" i="6"/>
  <c r="G11" i="6"/>
  <c r="G12" i="6"/>
  <c r="G20" i="6"/>
  <c r="G21" i="6"/>
  <c r="BN42" i="6"/>
  <c r="DJ40" i="6"/>
  <c r="EH42" i="6" l="1"/>
  <c r="BH42" i="6"/>
  <c r="AP42" i="6"/>
  <c r="BN41" i="6"/>
  <c r="G41" i="8"/>
  <c r="BB41" i="6"/>
  <c r="EH40" i="6"/>
  <c r="BH40" i="6"/>
  <c r="BB40" i="6"/>
  <c r="AP40" i="6"/>
  <c r="EH39" i="6"/>
  <c r="DJ39" i="6"/>
  <c r="I39" i="8"/>
  <c r="BN39" i="6"/>
  <c r="BH39" i="6"/>
  <c r="G39" i="8"/>
  <c r="BB39" i="6"/>
  <c r="EH38" i="6"/>
  <c r="DJ38" i="6"/>
  <c r="BN38" i="6"/>
  <c r="BH38" i="6"/>
  <c r="BB38" i="6"/>
  <c r="AP38" i="6"/>
  <c r="EH37" i="6"/>
  <c r="DJ37" i="6"/>
  <c r="DD37" i="6"/>
  <c r="BN37" i="6"/>
  <c r="BH37" i="6"/>
  <c r="BB37" i="6"/>
  <c r="AV37" i="6"/>
  <c r="AP37" i="6"/>
  <c r="AJ37" i="6"/>
  <c r="AD37" i="6"/>
  <c r="EH36" i="6"/>
  <c r="DJ36" i="6"/>
  <c r="DD36" i="6"/>
  <c r="BN36" i="6"/>
  <c r="BH36" i="6"/>
  <c r="BB36" i="6"/>
  <c r="AV36" i="6"/>
  <c r="AP36" i="6"/>
  <c r="AJ36" i="6"/>
  <c r="AD36" i="6"/>
  <c r="EH35" i="6"/>
  <c r="DJ35" i="6"/>
  <c r="DD35" i="6"/>
  <c r="BN35" i="6"/>
  <c r="BH35" i="6"/>
  <c r="BB35" i="6"/>
  <c r="AV35" i="6"/>
  <c r="AP35" i="6"/>
  <c r="AJ35" i="6"/>
  <c r="AD35" i="6"/>
  <c r="EH34" i="6"/>
  <c r="DJ34" i="6"/>
  <c r="DD34" i="6"/>
  <c r="BZ34" i="6"/>
  <c r="BN34" i="6"/>
  <c r="BH34" i="6"/>
  <c r="BB34" i="6"/>
  <c r="AV34" i="6"/>
  <c r="AP34" i="6"/>
  <c r="AJ34" i="6"/>
  <c r="AD34" i="6"/>
  <c r="EH33" i="6"/>
  <c r="DJ33" i="6"/>
  <c r="DD33" i="6"/>
  <c r="BZ33" i="6"/>
  <c r="BN33" i="6"/>
  <c r="BH33" i="6"/>
  <c r="BB33" i="6"/>
  <c r="AV33" i="6"/>
  <c r="AP33" i="6"/>
  <c r="AJ33" i="6"/>
  <c r="EH32" i="6"/>
  <c r="DJ32" i="6"/>
  <c r="DD32" i="6"/>
  <c r="BZ32" i="6"/>
  <c r="BN32" i="6"/>
  <c r="BH32" i="6"/>
  <c r="E32" i="8"/>
  <c r="AV32" i="6"/>
  <c r="AP32" i="6"/>
  <c r="AJ32" i="6"/>
  <c r="AD32" i="6"/>
  <c r="EH31" i="6"/>
  <c r="BZ31" i="6"/>
  <c r="BN31" i="6"/>
  <c r="AP31" i="6"/>
  <c r="AJ31" i="6"/>
  <c r="AD31" i="6"/>
  <c r="X31" i="6"/>
  <c r="EH30" i="6"/>
  <c r="DJ30" i="6"/>
  <c r="DD30" i="6"/>
  <c r="BZ30" i="6"/>
  <c r="BN30" i="6"/>
  <c r="BH30" i="6"/>
  <c r="BB30" i="6"/>
  <c r="F30" i="8" s="1"/>
  <c r="AV30" i="6"/>
  <c r="AP30" i="6"/>
  <c r="AJ30" i="6"/>
  <c r="AD30" i="6"/>
  <c r="X30" i="6"/>
  <c r="EZ29" i="6"/>
  <c r="EH29" i="6"/>
  <c r="DJ29" i="6"/>
  <c r="DD29" i="6"/>
  <c r="BZ29" i="6"/>
  <c r="BH29" i="6"/>
  <c r="BB29" i="6"/>
  <c r="AV29" i="6"/>
  <c r="AP29" i="6"/>
  <c r="AJ29" i="6"/>
  <c r="AD29" i="6"/>
  <c r="X29" i="6"/>
  <c r="EZ28" i="6"/>
  <c r="EH28" i="6"/>
  <c r="DD28" i="6"/>
  <c r="BZ28" i="6"/>
  <c r="BN28" i="6"/>
  <c r="BH28" i="6"/>
  <c r="BB28" i="6"/>
  <c r="AV28" i="6"/>
  <c r="AP28" i="6"/>
  <c r="X28" i="6"/>
  <c r="EZ27" i="6"/>
  <c r="EH27" i="6"/>
  <c r="DJ27" i="6"/>
  <c r="DD27" i="6"/>
  <c r="BN27" i="6"/>
  <c r="BH27" i="6"/>
  <c r="BB27" i="6"/>
  <c r="AV27" i="6"/>
  <c r="AJ27" i="6"/>
  <c r="AD27" i="6"/>
  <c r="EH26" i="6"/>
  <c r="DJ26" i="6"/>
  <c r="DD26" i="6"/>
  <c r="BZ26" i="6"/>
  <c r="I26" i="8"/>
  <c r="BN26" i="6"/>
  <c r="BH26" i="6"/>
  <c r="BB26" i="6"/>
  <c r="AV26" i="6"/>
  <c r="AP26" i="6"/>
  <c r="AJ26" i="6"/>
  <c r="AD26" i="6"/>
  <c r="X26" i="6"/>
  <c r="R26" i="6"/>
  <c r="EZ25" i="6"/>
  <c r="EH25" i="6"/>
  <c r="EB25" i="6"/>
  <c r="BZ25" i="6"/>
  <c r="BN25" i="6"/>
  <c r="BH25" i="6"/>
  <c r="BB25" i="6"/>
  <c r="F25" i="8" s="1"/>
  <c r="AV25" i="6"/>
  <c r="AP25" i="6"/>
  <c r="AJ25" i="6"/>
  <c r="AD25" i="6"/>
  <c r="X25" i="6"/>
  <c r="R25" i="6"/>
  <c r="F25" i="6"/>
  <c r="EH24" i="6"/>
  <c r="EB24" i="6"/>
  <c r="DJ24" i="6"/>
  <c r="DD24" i="6"/>
  <c r="CF24" i="6"/>
  <c r="BN24" i="6"/>
  <c r="BH24" i="6"/>
  <c r="BB24" i="6"/>
  <c r="AV24" i="6"/>
  <c r="AP24" i="6"/>
  <c r="AD24" i="6"/>
  <c r="X24" i="6"/>
  <c r="R24" i="6"/>
  <c r="EZ23" i="6"/>
  <c r="EH23" i="6"/>
  <c r="EB23" i="6"/>
  <c r="DJ23" i="6"/>
  <c r="DD23" i="6"/>
  <c r="BZ23" i="6"/>
  <c r="BN23" i="6"/>
  <c r="I23" i="8" s="1"/>
  <c r="BH23" i="6"/>
  <c r="BB23" i="6"/>
  <c r="AV23" i="6"/>
  <c r="AP23" i="6"/>
  <c r="AJ23" i="6"/>
  <c r="AD23" i="6"/>
  <c r="X23" i="6"/>
  <c r="R23" i="6"/>
  <c r="EZ22" i="6"/>
  <c r="EN22" i="6"/>
  <c r="EH22" i="6"/>
  <c r="EB22" i="6"/>
  <c r="CF22" i="6"/>
  <c r="BZ22" i="6"/>
  <c r="BN22" i="6"/>
  <c r="BH22" i="6"/>
  <c r="BB22" i="6"/>
  <c r="AP22" i="6"/>
  <c r="AJ22" i="6"/>
  <c r="AD22" i="6"/>
  <c r="X22" i="6"/>
  <c r="R22" i="6"/>
  <c r="EN21" i="6"/>
  <c r="EH21" i="6"/>
  <c r="EB21" i="6"/>
  <c r="DP21" i="6"/>
  <c r="DJ21" i="6"/>
  <c r="DD21" i="6"/>
  <c r="CX21" i="6"/>
  <c r="CL21" i="6"/>
  <c r="CF21" i="6"/>
  <c r="BZ21" i="6"/>
  <c r="BT21" i="6"/>
  <c r="BN21" i="6"/>
  <c r="BH21" i="6"/>
  <c r="BB21" i="6"/>
  <c r="AV21" i="6"/>
  <c r="AP21" i="6"/>
  <c r="X21" i="6"/>
  <c r="R21" i="6"/>
  <c r="L21" i="6"/>
  <c r="EH20" i="6"/>
  <c r="EB20" i="6"/>
  <c r="DJ20" i="6"/>
  <c r="DD20" i="6"/>
  <c r="CX20" i="6"/>
  <c r="CL20" i="6"/>
  <c r="BT20" i="6"/>
  <c r="BN20" i="6"/>
  <c r="BH20" i="6"/>
  <c r="BB20" i="6"/>
  <c r="AV20" i="6"/>
  <c r="AJ20" i="6"/>
  <c r="AD20" i="6"/>
  <c r="X20" i="6"/>
  <c r="EH19" i="6"/>
  <c r="EB19" i="6"/>
  <c r="DJ19" i="6"/>
  <c r="DD19" i="6"/>
  <c r="CX19" i="6"/>
  <c r="CL19" i="6"/>
  <c r="BZ19" i="6"/>
  <c r="BT19" i="6"/>
  <c r="BN19" i="6"/>
  <c r="BH19" i="6"/>
  <c r="BB19" i="6"/>
  <c r="AV19" i="6"/>
  <c r="AP19" i="6"/>
  <c r="AJ19" i="6"/>
  <c r="X19" i="6"/>
  <c r="R19" i="6"/>
  <c r="EB18" i="6"/>
  <c r="DJ18" i="6"/>
  <c r="DD18" i="6"/>
  <c r="CX18" i="6"/>
  <c r="CF18" i="6"/>
  <c r="BZ18" i="6"/>
  <c r="BT18" i="6"/>
  <c r="BN18" i="6"/>
  <c r="BH18" i="6"/>
  <c r="BB18" i="6"/>
  <c r="AV18" i="6"/>
  <c r="AP18" i="6"/>
  <c r="AJ18" i="6"/>
  <c r="AD18" i="6"/>
  <c r="X18" i="6"/>
  <c r="R18" i="6"/>
  <c r="EH17" i="6"/>
  <c r="EB17" i="6"/>
  <c r="DJ17" i="6"/>
  <c r="DD17" i="6"/>
  <c r="CX17" i="6"/>
  <c r="CF17" i="6"/>
  <c r="BZ17" i="6"/>
  <c r="BT17" i="6"/>
  <c r="BN17" i="6"/>
  <c r="I17" i="8" s="1"/>
  <c r="BH17" i="6"/>
  <c r="BB17" i="6"/>
  <c r="AP17" i="6"/>
  <c r="AJ17" i="6"/>
  <c r="AD17" i="6"/>
  <c r="X17" i="6"/>
  <c r="R17" i="6"/>
  <c r="EH16" i="6"/>
  <c r="EB16" i="6"/>
  <c r="DJ16" i="6"/>
  <c r="DD16" i="6"/>
  <c r="CX16" i="6"/>
  <c r="CF16" i="6"/>
  <c r="BZ16" i="6"/>
  <c r="BT16" i="6"/>
  <c r="BN16" i="6"/>
  <c r="I16" i="8" s="1"/>
  <c r="BH16" i="6"/>
  <c r="BB16" i="6"/>
  <c r="AP16" i="6"/>
  <c r="AJ16" i="6"/>
  <c r="AD16" i="6"/>
  <c r="X16" i="6"/>
  <c r="R16" i="6"/>
  <c r="EH15" i="6"/>
  <c r="EB15" i="6"/>
  <c r="DJ15" i="6"/>
  <c r="DD15" i="6"/>
  <c r="CF15" i="6"/>
  <c r="BT15" i="6"/>
  <c r="BN15" i="6"/>
  <c r="I15" i="8" s="1"/>
  <c r="BB15" i="6"/>
  <c r="AP15" i="6"/>
  <c r="AJ15" i="6"/>
  <c r="AD15" i="6"/>
  <c r="X15" i="6"/>
  <c r="R15" i="6"/>
  <c r="EH14" i="6"/>
  <c r="EB14" i="6"/>
  <c r="DJ14" i="6"/>
  <c r="DD14" i="6"/>
  <c r="BT14" i="6"/>
  <c r="BN14" i="6"/>
  <c r="I14" i="8" s="1"/>
  <c r="BB14" i="6"/>
  <c r="AP14" i="6"/>
  <c r="AJ14" i="6"/>
  <c r="AD14" i="6"/>
  <c r="X14" i="6"/>
  <c r="EH13" i="6"/>
  <c r="EB13" i="6"/>
  <c r="DJ13" i="6"/>
  <c r="DD13" i="6"/>
  <c r="CR13" i="6"/>
  <c r="CF13" i="6"/>
  <c r="BZ13" i="6"/>
  <c r="BT13" i="6"/>
  <c r="BN13" i="6"/>
  <c r="I13" i="8" s="1"/>
  <c r="BB13" i="6"/>
  <c r="AP13" i="6"/>
  <c r="AJ13" i="6"/>
  <c r="AD13" i="6"/>
  <c r="X13" i="6"/>
  <c r="EH12" i="6"/>
  <c r="EB12" i="6"/>
  <c r="DJ12" i="6"/>
  <c r="DD12" i="6"/>
  <c r="CR12" i="6"/>
  <c r="BZ12" i="6"/>
  <c r="BT12" i="6"/>
  <c r="BN12" i="6"/>
  <c r="F12" i="8"/>
  <c r="BB12" i="6"/>
  <c r="AP12" i="6"/>
  <c r="AJ12" i="6"/>
  <c r="AD12" i="6"/>
  <c r="X12" i="6"/>
  <c r="EH11" i="6"/>
  <c r="EB11" i="6"/>
  <c r="DP11" i="6"/>
  <c r="DJ11" i="6"/>
  <c r="DD11" i="6"/>
  <c r="CR11" i="6"/>
  <c r="CF11" i="6"/>
  <c r="BT11" i="6"/>
  <c r="BN11" i="6"/>
  <c r="I11" i="8" s="1"/>
  <c r="AP11" i="6"/>
  <c r="AJ11" i="6"/>
  <c r="AD11" i="6"/>
  <c r="EH10" i="6"/>
  <c r="EB10" i="6"/>
  <c r="DV10" i="6"/>
  <c r="DP10" i="6"/>
  <c r="DJ10" i="6"/>
  <c r="DD10" i="6"/>
  <c r="CR10" i="6"/>
  <c r="BZ10" i="6"/>
  <c r="BT10" i="6"/>
  <c r="I10" i="8"/>
  <c r="BN10" i="6"/>
  <c r="BH10" i="6"/>
  <c r="AP10" i="6"/>
  <c r="AJ10" i="6"/>
  <c r="AD10" i="6"/>
  <c r="EH9" i="6"/>
  <c r="EB9" i="6"/>
  <c r="DV9" i="6"/>
  <c r="DP9" i="6"/>
  <c r="DJ9" i="6"/>
  <c r="DD9" i="6"/>
  <c r="CR9" i="6"/>
  <c r="BZ9" i="6"/>
  <c r="BT9" i="6"/>
  <c r="BN9" i="6"/>
  <c r="I9" i="8" s="1"/>
  <c r="BH9" i="6"/>
  <c r="BB9" i="6"/>
  <c r="AP9" i="6"/>
  <c r="AJ9" i="6"/>
  <c r="AD9" i="6"/>
  <c r="EH8" i="6"/>
  <c r="EB8" i="6"/>
  <c r="DV8" i="6"/>
  <c r="DP8" i="6"/>
  <c r="DJ8" i="6"/>
  <c r="DD8" i="6"/>
  <c r="CR8" i="6"/>
  <c r="CF8" i="6"/>
  <c r="BT8" i="6"/>
  <c r="I8" i="8"/>
  <c r="BN8" i="6"/>
  <c r="BH8" i="6"/>
  <c r="BB8" i="6"/>
  <c r="AP8" i="6"/>
  <c r="AJ8" i="6"/>
  <c r="AD8" i="6"/>
  <c r="L8" i="6"/>
  <c r="EH7" i="6"/>
  <c r="EB7" i="6"/>
  <c r="DV7" i="6"/>
  <c r="DP7" i="6"/>
  <c r="DJ7" i="6"/>
  <c r="DD7" i="6"/>
  <c r="CR7" i="6"/>
  <c r="CF7" i="6"/>
  <c r="BT7" i="6"/>
  <c r="BN7" i="6"/>
  <c r="I7" i="8" s="1"/>
  <c r="BH7" i="6"/>
  <c r="BB7" i="6"/>
  <c r="AP7" i="6"/>
  <c r="AJ7" i="6"/>
  <c r="AD7" i="6"/>
  <c r="L7" i="6"/>
  <c r="F7" i="6"/>
  <c r="EH6" i="6"/>
  <c r="EB6" i="6"/>
  <c r="DV6" i="6"/>
  <c r="DP6" i="6"/>
  <c r="DJ6" i="6"/>
  <c r="DD6" i="6"/>
  <c r="CR6" i="6"/>
  <c r="CL6" i="6"/>
  <c r="CF6" i="6"/>
  <c r="BT6" i="6"/>
  <c r="BN6" i="6"/>
  <c r="I6" i="8" s="1"/>
  <c r="BH6" i="6"/>
  <c r="BB6" i="6"/>
  <c r="AP6" i="6"/>
  <c r="AJ6" i="6"/>
  <c r="AD6" i="6"/>
  <c r="L6" i="6"/>
  <c r="F6" i="6"/>
  <c r="EH5" i="6"/>
  <c r="EB5" i="6"/>
  <c r="DV5" i="6"/>
  <c r="DP5" i="6"/>
  <c r="DJ5" i="6"/>
  <c r="DD5" i="6"/>
  <c r="CR5" i="6"/>
  <c r="CL5" i="6"/>
  <c r="CF5" i="6"/>
  <c r="BT5" i="6"/>
  <c r="BN5" i="6"/>
  <c r="I5" i="8" s="1"/>
  <c r="BH5" i="6"/>
  <c r="BB5" i="6"/>
  <c r="AP5" i="6"/>
  <c r="AJ5" i="6"/>
  <c r="AD5" i="6"/>
  <c r="L5" i="6"/>
  <c r="F5" i="6"/>
  <c r="EH4" i="6"/>
  <c r="EB4" i="6"/>
  <c r="DV4" i="6"/>
  <c r="DP4" i="6"/>
  <c r="DJ4" i="6"/>
  <c r="DD4" i="6"/>
  <c r="CR4" i="6"/>
  <c r="CL4" i="6"/>
  <c r="CF4" i="6"/>
  <c r="BZ4" i="6"/>
  <c r="BT4" i="6"/>
  <c r="BN4" i="6"/>
  <c r="I4" i="8" s="1"/>
  <c r="BH4" i="6"/>
  <c r="BB4" i="6"/>
  <c r="AP4" i="6"/>
  <c r="AJ4" i="6"/>
  <c r="AD4" i="6"/>
  <c r="F4" i="6"/>
  <c r="DF2" i="6"/>
  <c r="H20" i="8" s="1"/>
  <c r="I40" i="8"/>
  <c r="I38" i="8"/>
  <c r="G36" i="8"/>
  <c r="I35" i="8"/>
  <c r="F33" i="8"/>
  <c r="I31" i="8"/>
  <c r="G29" i="8"/>
  <c r="E28" i="8"/>
  <c r="I19" i="8"/>
  <c r="I12" i="8"/>
  <c r="I27" i="8"/>
  <c r="E11" i="8"/>
  <c r="E17" i="8"/>
  <c r="F19" i="8"/>
  <c r="F21" i="8"/>
  <c r="F23" i="8"/>
  <c r="F27" i="8"/>
  <c r="F29" i="8"/>
  <c r="F31" i="8"/>
  <c r="F35" i="8"/>
  <c r="F37" i="8"/>
  <c r="F41" i="8"/>
  <c r="AA21" i="2"/>
  <c r="AA22" i="2"/>
  <c r="AA26" i="2"/>
  <c r="Z21" i="2"/>
  <c r="Z22" i="2"/>
  <c r="Z26" i="2"/>
  <c r="Z4" i="2"/>
  <c r="Z5" i="2"/>
  <c r="Z6" i="2"/>
  <c r="Z7" i="2"/>
  <c r="Z8" i="2"/>
  <c r="Z9" i="2"/>
  <c r="Z10" i="2"/>
  <c r="Z13" i="2"/>
  <c r="Z14" i="2"/>
  <c r="Z16" i="2"/>
  <c r="Z17" i="2"/>
  <c r="AA5" i="2"/>
  <c r="AA6" i="2"/>
  <c r="AA7" i="2"/>
  <c r="AA8" i="2"/>
  <c r="AA9" i="2"/>
  <c r="AA10" i="2"/>
  <c r="AA12" i="2"/>
  <c r="AA13" i="2"/>
  <c r="AA14" i="2"/>
  <c r="AA15" i="2"/>
  <c r="AA16" i="2"/>
  <c r="AA17" i="2"/>
  <c r="AA18" i="2"/>
  <c r="AA4" i="2"/>
  <c r="Q19" i="2"/>
  <c r="O19" i="2"/>
  <c r="M19" i="2"/>
  <c r="L11" i="2"/>
  <c r="P5" i="2"/>
  <c r="B50" i="8"/>
  <c r="B49" i="8"/>
  <c r="B48" i="8"/>
  <c r="B47" i="8"/>
  <c r="B46" i="8"/>
  <c r="B45" i="8"/>
  <c r="B44" i="8"/>
  <c r="B43" i="8"/>
  <c r="I42" i="8"/>
  <c r="G42" i="8"/>
  <c r="F42" i="8"/>
  <c r="E42" i="8"/>
  <c r="B42" i="8"/>
  <c r="I41" i="8"/>
  <c r="E41" i="8"/>
  <c r="B41" i="8"/>
  <c r="G40" i="8"/>
  <c r="F40" i="8"/>
  <c r="E40" i="8"/>
  <c r="B40" i="8"/>
  <c r="B39" i="8"/>
  <c r="H38" i="8"/>
  <c r="G38" i="8"/>
  <c r="F38" i="8"/>
  <c r="E38" i="8"/>
  <c r="B38" i="8"/>
  <c r="I37" i="8"/>
  <c r="G37" i="8"/>
  <c r="E37" i="8"/>
  <c r="B37" i="8"/>
  <c r="I36" i="8"/>
  <c r="E36" i="8"/>
  <c r="B36" i="8"/>
  <c r="G35" i="8"/>
  <c r="E35" i="8"/>
  <c r="B35" i="8"/>
  <c r="I34" i="8"/>
  <c r="H34" i="8"/>
  <c r="G34" i="8"/>
  <c r="F34" i="8"/>
  <c r="E34" i="8"/>
  <c r="B34" i="8"/>
  <c r="I33" i="8"/>
  <c r="G33" i="8"/>
  <c r="B33" i="8"/>
  <c r="I32" i="8"/>
  <c r="F32" i="8"/>
  <c r="B32" i="8"/>
  <c r="G31" i="8"/>
  <c r="E31" i="8"/>
  <c r="B31" i="8"/>
  <c r="I30" i="8"/>
  <c r="G30" i="8"/>
  <c r="B30" i="8"/>
  <c r="I29" i="8"/>
  <c r="E29" i="8"/>
  <c r="B29" i="8"/>
  <c r="I28" i="8"/>
  <c r="G28" i="8"/>
  <c r="B28" i="8"/>
  <c r="G27" i="8"/>
  <c r="E27" i="8"/>
  <c r="B27" i="8"/>
  <c r="E26" i="8"/>
  <c r="B26" i="8"/>
  <c r="I25" i="8"/>
  <c r="B25" i="8"/>
  <c r="I24" i="8"/>
  <c r="G24" i="8"/>
  <c r="F24" i="8"/>
  <c r="E24" i="8"/>
  <c r="B24" i="8"/>
  <c r="G23" i="8"/>
  <c r="E23" i="8"/>
  <c r="B23" i="8"/>
  <c r="I22" i="8"/>
  <c r="G22" i="8"/>
  <c r="B22" i="8"/>
  <c r="I21" i="8"/>
  <c r="G21" i="8"/>
  <c r="E21" i="8"/>
  <c r="B21" i="8"/>
  <c r="I20" i="8"/>
  <c r="E20" i="8"/>
  <c r="B20" i="8"/>
  <c r="G19" i="8"/>
  <c r="E19" i="8"/>
  <c r="I18" i="8"/>
  <c r="H18" i="8"/>
  <c r="G18" i="8"/>
  <c r="F18" i="8"/>
  <c r="E18" i="8"/>
  <c r="B18" i="8"/>
  <c r="F17" i="8"/>
  <c r="B17" i="8"/>
  <c r="H16" i="8"/>
  <c r="G16" i="8"/>
  <c r="F16" i="8"/>
  <c r="E16" i="8"/>
  <c r="B16" i="8"/>
  <c r="B15" i="8"/>
  <c r="B14" i="8"/>
  <c r="B13" i="8"/>
  <c r="G12" i="8"/>
  <c r="B12" i="8"/>
  <c r="F11" i="8"/>
  <c r="B11" i="8"/>
  <c r="G10" i="8"/>
  <c r="F10" i="8"/>
  <c r="E10" i="8"/>
  <c r="B10" i="8"/>
  <c r="B9" i="8"/>
  <c r="E8" i="8"/>
  <c r="B8" i="8"/>
  <c r="B7" i="8"/>
  <c r="B6" i="8"/>
  <c r="B5" i="8"/>
  <c r="B4" i="8"/>
  <c r="B3" i="8"/>
  <c r="B2" i="8"/>
  <c r="B1" i="8"/>
  <c r="H24" i="8" l="1"/>
  <c r="H8" i="8"/>
  <c r="H26" i="8"/>
  <c r="H11" i="8"/>
  <c r="H40" i="8"/>
  <c r="H42" i="8"/>
  <c r="H10" i="8"/>
  <c r="H17" i="8"/>
  <c r="H22" i="8"/>
  <c r="H5" i="8"/>
  <c r="E5" i="8"/>
  <c r="H9" i="8"/>
  <c r="E9" i="8"/>
  <c r="F9" i="8"/>
  <c r="E13" i="8"/>
  <c r="H13" i="8"/>
  <c r="H7" i="8"/>
  <c r="F7" i="8"/>
  <c r="E7" i="8"/>
  <c r="G14" i="8"/>
  <c r="F14" i="8"/>
  <c r="H14" i="8"/>
  <c r="E14" i="8"/>
  <c r="E4" i="8"/>
  <c r="G4" i="8"/>
  <c r="F4" i="8"/>
  <c r="E6" i="8"/>
  <c r="H6" i="8"/>
  <c r="G6" i="8"/>
  <c r="F6" i="8"/>
  <c r="F15" i="8"/>
  <c r="E15" i="8"/>
  <c r="H15" i="8"/>
  <c r="F8" i="8"/>
  <c r="H12" i="8"/>
  <c r="F26" i="8"/>
  <c r="H30" i="8"/>
  <c r="G32" i="8"/>
  <c r="E39" i="8"/>
  <c r="G26" i="8"/>
  <c r="E30" i="8"/>
  <c r="H32" i="8"/>
  <c r="G8" i="8"/>
  <c r="E12" i="8"/>
  <c r="F20" i="8"/>
  <c r="F5" i="8"/>
  <c r="F13" i="8"/>
  <c r="G20" i="8"/>
  <c r="E22" i="8"/>
  <c r="F22" i="8"/>
  <c r="F28" i="8"/>
  <c r="E33" i="8"/>
  <c r="H36" i="8"/>
  <c r="F39" i="8"/>
  <c r="E25" i="8"/>
  <c r="H28" i="8"/>
  <c r="F36" i="8"/>
  <c r="G25" i="8"/>
  <c r="G5" i="8"/>
  <c r="G7" i="8"/>
  <c r="G9" i="8"/>
  <c r="G11" i="8"/>
  <c r="G13" i="8"/>
  <c r="G15" i="8"/>
  <c r="G17" i="8"/>
  <c r="H19" i="8"/>
  <c r="H21" i="8"/>
  <c r="H23" i="8"/>
  <c r="H25" i="8"/>
  <c r="H27" i="8"/>
  <c r="H29" i="8"/>
  <c r="H31" i="8"/>
  <c r="H33" i="8"/>
  <c r="H35" i="8"/>
  <c r="H37" i="8"/>
  <c r="H39" i="8"/>
  <c r="H41" i="8"/>
  <c r="H4" i="8"/>
  <c r="O5" i="2"/>
  <c r="N5" i="2"/>
  <c r="Q5" i="2"/>
  <c r="K14" i="2"/>
  <c r="K12" i="2" l="1"/>
  <c r="K25" i="3" l="1"/>
  <c r="O25" i="3" s="1"/>
  <c r="K22" i="3"/>
  <c r="O22" i="3" s="1"/>
  <c r="K24" i="3"/>
  <c r="K13" i="2"/>
  <c r="F20" i="2"/>
  <c r="W20" i="2" s="1"/>
  <c r="N25" i="3" l="1"/>
  <c r="X20" i="2"/>
  <c r="F5" i="2" l="1"/>
  <c r="X5" i="2" s="1"/>
  <c r="W5" i="2" l="1"/>
  <c r="K10" i="2"/>
  <c r="K22" i="2" l="1"/>
  <c r="K7" i="2" l="1"/>
  <c r="P7" i="2" s="1"/>
  <c r="W7" i="2"/>
  <c r="X7" i="2"/>
  <c r="K6" i="2"/>
  <c r="O24" i="3"/>
  <c r="K14" i="3"/>
  <c r="K6" i="3"/>
  <c r="K15" i="3"/>
  <c r="K7" i="3"/>
  <c r="X46" i="2"/>
  <c r="W47" i="2"/>
  <c r="X47" i="2"/>
  <c r="F48" i="2"/>
  <c r="W48" i="2" s="1"/>
  <c r="W49" i="2"/>
  <c r="X49" i="2"/>
  <c r="W50" i="2"/>
  <c r="X50" i="2"/>
  <c r="W51" i="2"/>
  <c r="X51" i="2"/>
  <c r="O6" i="2" l="1"/>
  <c r="Q6" i="2"/>
  <c r="Q7" i="2"/>
  <c r="O7" i="2"/>
  <c r="N7" i="2"/>
  <c r="X48" i="2"/>
  <c r="P22" i="2" l="1"/>
  <c r="F53" i="2"/>
  <c r="W53" i="2" s="1"/>
  <c r="N22" i="2" l="1"/>
  <c r="Q22" i="2"/>
  <c r="O22" i="2"/>
  <c r="X53" i="2"/>
  <c r="F25" i="2"/>
  <c r="F30" i="2"/>
  <c r="W30" i="2" s="1"/>
  <c r="F33" i="2"/>
  <c r="F22" i="2"/>
  <c r="W22" i="2" s="1"/>
  <c r="F23" i="2"/>
  <c r="F24" i="2"/>
  <c r="F18" i="2"/>
  <c r="F26" i="2"/>
  <c r="F27" i="2"/>
  <c r="F42" i="2"/>
  <c r="F16" i="2"/>
  <c r="F28" i="2"/>
  <c r="K31" i="2"/>
  <c r="F31" i="2"/>
  <c r="K9" i="2"/>
  <c r="K8" i="2"/>
  <c r="X22" i="2" l="1"/>
  <c r="X30" i="2"/>
  <c r="K18" i="2"/>
  <c r="K16" i="2"/>
  <c r="K3" i="3" l="1"/>
  <c r="O7" i="3"/>
  <c r="N22" i="3" l="1"/>
  <c r="K17" i="3"/>
  <c r="N17" i="3" s="1"/>
  <c r="N19" i="3"/>
  <c r="K19" i="3"/>
  <c r="K18" i="3"/>
  <c r="K23" i="3"/>
  <c r="N23" i="3" s="1"/>
  <c r="O23" i="3" l="1"/>
  <c r="O17" i="3"/>
  <c r="K16" i="3"/>
  <c r="K26" i="3"/>
  <c r="W25" i="2"/>
  <c r="K15" i="2" l="1"/>
  <c r="W29" i="2" l="1"/>
  <c r="X29" i="2"/>
  <c r="O19" i="3" l="1"/>
  <c r="R19" i="3"/>
  <c r="Q19" i="3"/>
  <c r="R18" i="3"/>
  <c r="O18" i="3"/>
  <c r="R14" i="3"/>
  <c r="Q14" i="3"/>
  <c r="O14" i="3"/>
  <c r="R17" i="3"/>
  <c r="Q17" i="3"/>
  <c r="R15" i="3"/>
  <c r="Q15" i="3"/>
  <c r="O15" i="3"/>
  <c r="N15" i="3"/>
  <c r="R7" i="3"/>
  <c r="Q7" i="3"/>
  <c r="Q5" i="3"/>
  <c r="N5" i="3"/>
  <c r="N7" i="3"/>
  <c r="W23" i="2"/>
  <c r="X23" i="2"/>
  <c r="P6" i="2"/>
  <c r="N14" i="3" l="1"/>
  <c r="N6" i="2"/>
  <c r="W6" i="2" l="1"/>
  <c r="X6" i="2"/>
  <c r="W14" i="2"/>
  <c r="X14" i="2"/>
  <c r="W24" i="2" l="1"/>
  <c r="P14" i="2"/>
  <c r="N14" i="2"/>
  <c r="O14" i="2"/>
  <c r="K27" i="2"/>
  <c r="F54" i="2"/>
  <c r="X54" i="2" s="1"/>
  <c r="F45" i="2"/>
  <c r="X45" i="2" s="1"/>
  <c r="F44" i="2"/>
  <c r="X44" i="2" s="1"/>
  <c r="N26" i="3"/>
  <c r="X24" i="2" l="1"/>
  <c r="Q14" i="2"/>
  <c r="W45" i="2"/>
  <c r="O15" i="2"/>
  <c r="Q15" i="2" l="1"/>
  <c r="W34" i="2" l="1"/>
  <c r="X34" i="2"/>
  <c r="W33" i="2"/>
  <c r="X33" i="2"/>
  <c r="W9" i="2" l="1"/>
  <c r="X9" i="2"/>
  <c r="N9" i="2"/>
  <c r="K36" i="2"/>
  <c r="N13" i="2"/>
  <c r="P9" i="2" l="1"/>
  <c r="O9" i="2"/>
  <c r="Q9" i="2"/>
  <c r="P13" i="2"/>
  <c r="X15" i="2" l="1"/>
  <c r="E45" i="1" l="1"/>
  <c r="E43" i="1"/>
  <c r="I43" i="1" s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4" i="1"/>
  <c r="H45" i="1"/>
  <c r="H46" i="1"/>
  <c r="H43" i="1" l="1"/>
  <c r="N4" i="3"/>
  <c r="O6" i="3"/>
  <c r="R6" i="3"/>
  <c r="Q6" i="3"/>
  <c r="Q4" i="3"/>
  <c r="R4" i="3"/>
  <c r="O4" i="3" l="1"/>
  <c r="N6" i="3"/>
  <c r="K17" i="2" l="1"/>
  <c r="Q12" i="2"/>
  <c r="B19" i="8"/>
  <c r="O12" i="2" l="1"/>
  <c r="K38" i="2"/>
  <c r="N38" i="2" s="1"/>
  <c r="Q18" i="2"/>
  <c r="P26" i="2"/>
  <c r="X18" i="2"/>
  <c r="X12" i="2"/>
  <c r="X55" i="2"/>
  <c r="O18" i="2" l="1"/>
  <c r="O38" i="2"/>
  <c r="N26" i="2"/>
  <c r="Q38" i="2"/>
  <c r="P38" i="2"/>
  <c r="C12" i="5"/>
  <c r="C11" i="5"/>
  <c r="W26" i="2" l="1"/>
  <c r="C1" i="5" l="1"/>
  <c r="E1" i="5"/>
  <c r="F1" i="5"/>
  <c r="G1" i="5"/>
  <c r="H1" i="5"/>
  <c r="I1" i="5"/>
  <c r="J1" i="5"/>
  <c r="K1" i="5"/>
  <c r="L1" i="5"/>
  <c r="M1" i="5"/>
  <c r="N1" i="5"/>
  <c r="O1" i="5"/>
  <c r="P1" i="5"/>
  <c r="D1" i="5"/>
  <c r="I5" i="5"/>
  <c r="I8" i="5"/>
  <c r="W38" i="2"/>
  <c r="X38" i="2"/>
  <c r="K41" i="2"/>
  <c r="Q41" i="2" s="1"/>
  <c r="K35" i="2"/>
  <c r="P35" i="2" s="1"/>
  <c r="K37" i="2"/>
  <c r="K39" i="2"/>
  <c r="Q39" i="2" s="1"/>
  <c r="K28" i="2"/>
  <c r="K32" i="2"/>
  <c r="P32" i="2" l="1"/>
  <c r="N32" i="2"/>
  <c r="N39" i="2"/>
  <c r="P39" i="2"/>
  <c r="O41" i="2"/>
  <c r="O39" i="2"/>
  <c r="O35" i="2"/>
  <c r="P41" i="2"/>
  <c r="N35" i="2"/>
  <c r="Q35" i="2"/>
  <c r="N41" i="2"/>
  <c r="R26" i="3"/>
  <c r="Q26" i="3"/>
  <c r="R16" i="3"/>
  <c r="Q16" i="3"/>
  <c r="O16" i="3"/>
  <c r="O20" i="3" s="1"/>
  <c r="R3" i="3"/>
  <c r="Q3" i="3"/>
  <c r="N3" i="3"/>
  <c r="W10" i="2"/>
  <c r="X10" i="2"/>
  <c r="W8" i="2"/>
  <c r="X8" i="2"/>
  <c r="W21" i="2"/>
  <c r="X21" i="2"/>
  <c r="W4" i="2"/>
  <c r="X4" i="2"/>
  <c r="W40" i="2"/>
  <c r="X40" i="2"/>
  <c r="W17" i="2"/>
  <c r="X17" i="2"/>
  <c r="W13" i="2"/>
  <c r="X13" i="2"/>
  <c r="W42" i="2"/>
  <c r="X42" i="2"/>
  <c r="W16" i="2"/>
  <c r="X16" i="2"/>
  <c r="W27" i="2"/>
  <c r="X27" i="2"/>
  <c r="W28" i="2"/>
  <c r="X28" i="2"/>
  <c r="W31" i="2"/>
  <c r="X31" i="2"/>
  <c r="W32" i="2"/>
  <c r="X32" i="2"/>
  <c r="X36" i="2"/>
  <c r="W37" i="2"/>
  <c r="W35" i="2"/>
  <c r="X35" i="2"/>
  <c r="W39" i="2"/>
  <c r="X39" i="2"/>
  <c r="W56" i="2"/>
  <c r="X56" i="2"/>
  <c r="X41" i="2"/>
  <c r="W41" i="2"/>
  <c r="Q36" i="2"/>
  <c r="O36" i="2"/>
  <c r="P28" i="2"/>
  <c r="N28" i="2"/>
  <c r="N27" i="2"/>
  <c r="K42" i="2"/>
  <c r="K40" i="2"/>
  <c r="O3" i="3" l="1"/>
  <c r="N16" i="3"/>
  <c r="O27" i="2"/>
  <c r="P27" i="2"/>
  <c r="Q27" i="2"/>
  <c r="Q13" i="2"/>
  <c r="N16" i="2"/>
  <c r="O13" i="2" l="1"/>
  <c r="O16" i="2"/>
  <c r="Q16" i="2"/>
  <c r="P16" i="2"/>
  <c r="N37" i="2"/>
  <c r="N4" i="2"/>
  <c r="N11" i="2" s="1"/>
  <c r="Q31" i="2"/>
  <c r="Q21" i="2"/>
  <c r="N21" i="2"/>
  <c r="P21" i="2"/>
  <c r="O21" i="2"/>
  <c r="Q8" i="2"/>
  <c r="N8" i="2"/>
  <c r="P8" i="2"/>
  <c r="O40" i="2"/>
  <c r="P40" i="2"/>
  <c r="O10" i="2"/>
  <c r="Q17" i="2"/>
  <c r="P17" i="2"/>
  <c r="P42" i="2"/>
  <c r="O17" i="2"/>
  <c r="N17" i="2"/>
  <c r="Q4" i="2" l="1"/>
  <c r="P37" i="2"/>
  <c r="N10" i="2"/>
  <c r="O31" i="2"/>
  <c r="Q10" i="2"/>
  <c r="N40" i="2"/>
  <c r="P31" i="2"/>
  <c r="O4" i="2"/>
  <c r="O42" i="2"/>
  <c r="Q42" i="2"/>
  <c r="P10" i="2"/>
  <c r="Q40" i="2"/>
  <c r="O8" i="2"/>
  <c r="N31" i="2"/>
  <c r="P4" i="2"/>
  <c r="P11" i="2" s="1"/>
  <c r="N42" i="2"/>
</calcChain>
</file>

<file path=xl/sharedStrings.xml><?xml version="1.0" encoding="utf-8"?>
<sst xmlns="http://schemas.openxmlformats.org/spreadsheetml/2006/main" count="561" uniqueCount="100">
  <si>
    <t>Type</t>
  </si>
  <si>
    <t>Name</t>
  </si>
  <si>
    <t>Wood</t>
  </si>
  <si>
    <t>Fish</t>
  </si>
  <si>
    <t>Time</t>
  </si>
  <si>
    <t>Attack</t>
  </si>
  <si>
    <t>Type of Attack</t>
  </si>
  <si>
    <t>Monstrous Nightmare</t>
  </si>
  <si>
    <t>fire</t>
  </si>
  <si>
    <t>Gronckle</t>
  </si>
  <si>
    <t>health</t>
  </si>
  <si>
    <t>Terrible Terror</t>
  </si>
  <si>
    <t>shot</t>
  </si>
  <si>
    <t>Scauldron</t>
  </si>
  <si>
    <t>Smothering Smokebreath</t>
  </si>
  <si>
    <t>Whispering Death</t>
  </si>
  <si>
    <t>Deadly Nadder</t>
  </si>
  <si>
    <t>Hobblegrunt</t>
  </si>
  <si>
    <t>Snaptrapper</t>
  </si>
  <si>
    <t>Changewing</t>
  </si>
  <si>
    <t>Unique</t>
  </si>
  <si>
    <t>Stormfly</t>
  </si>
  <si>
    <t>Timberjack</t>
  </si>
  <si>
    <t>Meatlug</t>
  </si>
  <si>
    <t>Raincutter</t>
  </si>
  <si>
    <t>Battle</t>
  </si>
  <si>
    <t>Exclusive</t>
  </si>
  <si>
    <t>Barf&amp;Belch's Offspring</t>
  </si>
  <si>
    <t>Iggy</t>
  </si>
  <si>
    <t>Sharpshot</t>
  </si>
  <si>
    <t>Sneaky</t>
  </si>
  <si>
    <t>Butt</t>
  </si>
  <si>
    <t>Head</t>
  </si>
  <si>
    <t>Pain</t>
  </si>
  <si>
    <t>Snafflefang</t>
  </si>
  <si>
    <t>Shockjaw</t>
  </si>
  <si>
    <t>Hackatoo</t>
  </si>
  <si>
    <t>Hideous Zippleback</t>
  </si>
  <si>
    <t>Thunderdrum</t>
  </si>
  <si>
    <t>Typhoomerang</t>
  </si>
  <si>
    <t>Bing</t>
  </si>
  <si>
    <t>Bam</t>
  </si>
  <si>
    <t>Boom</t>
  </si>
  <si>
    <t>Hookfang</t>
  </si>
  <si>
    <t>Exotic</t>
  </si>
  <si>
    <t>Barf&amp;Belch's</t>
  </si>
  <si>
    <t>Sliquifier</t>
  </si>
  <si>
    <t>Flightmare</t>
  </si>
  <si>
    <t>Frozen Groncicle</t>
  </si>
  <si>
    <t>Limited Exclusive</t>
  </si>
  <si>
    <t>Thunderpede</t>
  </si>
  <si>
    <t>Hotburple</t>
  </si>
  <si>
    <t>Valka's Seashocker</t>
  </si>
  <si>
    <t>Fish 75</t>
  </si>
  <si>
    <t>Wood 75</t>
  </si>
  <si>
    <t>Time 75</t>
  </si>
  <si>
    <t>Attack 75</t>
  </si>
  <si>
    <t>Level</t>
  </si>
  <si>
    <t>Per Hour</t>
  </si>
  <si>
    <t>Per Full time</t>
  </si>
  <si>
    <t>Per 8 h</t>
  </si>
  <si>
    <t>Stormfly's Offspring</t>
  </si>
  <si>
    <t>Price</t>
  </si>
  <si>
    <t>Per Time</t>
  </si>
  <si>
    <t>Rate</t>
  </si>
  <si>
    <t>LVL</t>
  </si>
  <si>
    <t>Monstr Nightmare</t>
  </si>
  <si>
    <t>Всего</t>
  </si>
  <si>
    <t>Cost F</t>
  </si>
  <si>
    <t>Cost W</t>
  </si>
  <si>
    <t>Torch's Sister</t>
  </si>
  <si>
    <t>Torch's Brother</t>
  </si>
  <si>
    <t>Toothless' Rival</t>
  </si>
  <si>
    <t>Столбец1</t>
  </si>
  <si>
    <t>Столбец2</t>
  </si>
  <si>
    <t>Rare</t>
  </si>
  <si>
    <t>Fireworm Princess</t>
  </si>
  <si>
    <t>Submaripper</t>
  </si>
  <si>
    <t>Fireworm Queen</t>
  </si>
  <si>
    <t>Exotic Shockjaw</t>
  </si>
  <si>
    <t>Fish 80</t>
  </si>
  <si>
    <t>Wood 80</t>
  </si>
  <si>
    <t>Time 80</t>
  </si>
  <si>
    <t>Attack 80</t>
  </si>
  <si>
    <t>Scuttleclaw</t>
  </si>
  <si>
    <t>Dragon</t>
  </si>
  <si>
    <t>Boneknapper</t>
  </si>
  <si>
    <t>Rumblehorn</t>
  </si>
  <si>
    <t>Stormcutter</t>
  </si>
  <si>
    <t>Sand Wraith</t>
  </si>
  <si>
    <t>Lvl 25</t>
  </si>
  <si>
    <t>Exotic Hackatoo</t>
  </si>
  <si>
    <t>Shivertooth</t>
  </si>
  <si>
    <t>ряд1</t>
  </si>
  <si>
    <t>ряд2</t>
  </si>
  <si>
    <t>ряд3</t>
  </si>
  <si>
    <t>ряд4</t>
  </si>
  <si>
    <t>ряд5</t>
  </si>
  <si>
    <t>Lvl 37</t>
  </si>
  <si>
    <t xml:space="preserve">Lvl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</si>
</sst>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theme="0" tint="-0.1499984740745262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theme="0" tint="-0.14999847407452621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theme="0" tint="-0.14999847407452621"/>
      </patternFill>
    </fill>
    <fill>
      <patternFill patternType="solid">
        <fgColor rgb="FFFF3399"/>
        <bgColor theme="0" tint="-0.14999847407452621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8" xfId="0" applyBorder="1" applyAlignment="1"/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5" borderId="0" xfId="0" applyFill="1"/>
    <xf numFmtId="0" fontId="0" fillId="6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9" borderId="1" xfId="0" applyFont="1" applyFill="1" applyBorder="1"/>
    <xf numFmtId="0" fontId="0" fillId="5" borderId="1" xfId="0" applyFill="1" applyBorder="1"/>
    <xf numFmtId="0" fontId="0" fillId="7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/>
    </xf>
    <xf numFmtId="4" fontId="0" fillId="4" borderId="7" xfId="0" applyNumberFormat="1" applyFont="1" applyFill="1" applyBorder="1" applyAlignment="1">
      <alignment horizontal="center"/>
    </xf>
    <xf numFmtId="4" fontId="0" fillId="4" borderId="9" xfId="0" applyNumberFormat="1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2" fontId="0" fillId="5" borderId="0" xfId="0" applyNumberFormat="1" applyFill="1"/>
    <xf numFmtId="2" fontId="0" fillId="4" borderId="0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0" xfId="0" applyAlignment="1">
      <alignment shrinkToFit="1"/>
    </xf>
    <xf numFmtId="0" fontId="1" fillId="2" borderId="1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 shrinkToFit="1"/>
    </xf>
    <xf numFmtId="3" fontId="0" fillId="0" borderId="0" xfId="0" applyNumberFormat="1" applyAlignment="1">
      <alignment horizontal="center" shrinkToFit="1"/>
    </xf>
    <xf numFmtId="3" fontId="0" fillId="0" borderId="0" xfId="0" applyNumberFormat="1" applyBorder="1" applyAlignment="1">
      <alignment horizontal="center" shrinkToFit="1"/>
    </xf>
    <xf numFmtId="3" fontId="0" fillId="0" borderId="10" xfId="0" applyNumberFormat="1" applyBorder="1" applyAlignment="1">
      <alignment horizontal="center" shrinkToFit="1"/>
    </xf>
    <xf numFmtId="3" fontId="0" fillId="0" borderId="7" xfId="0" applyNumberFormat="1" applyBorder="1" applyAlignment="1">
      <alignment horizontal="center" shrinkToFit="1"/>
    </xf>
    <xf numFmtId="3" fontId="2" fillId="0" borderId="0" xfId="0" applyNumberFormat="1" applyFont="1" applyBorder="1" applyAlignment="1">
      <alignment horizontal="center" shrinkToFit="1"/>
    </xf>
    <xf numFmtId="3" fontId="2" fillId="0" borderId="10" xfId="0" applyNumberFormat="1" applyFont="1" applyBorder="1" applyAlignment="1">
      <alignment horizontal="center" shrinkToFit="1"/>
    </xf>
    <xf numFmtId="3" fontId="2" fillId="0" borderId="7" xfId="0" applyNumberFormat="1" applyFont="1" applyBorder="1" applyAlignment="1">
      <alignment horizontal="center" shrinkToFit="1"/>
    </xf>
    <xf numFmtId="2" fontId="0" fillId="0" borderId="10" xfId="0" applyNumberFormat="1" applyBorder="1"/>
    <xf numFmtId="2" fontId="0" fillId="0" borderId="0" xfId="0" applyNumberFormat="1" applyAlignment="1">
      <alignment shrinkToFit="1"/>
    </xf>
    <xf numFmtId="0" fontId="0" fillId="0" borderId="0" xfId="0" applyFill="1" applyBorder="1"/>
    <xf numFmtId="2" fontId="0" fillId="0" borderId="0" xfId="0" applyNumberFormat="1" applyBorder="1"/>
    <xf numFmtId="2" fontId="0" fillId="0" borderId="10" xfId="0" applyNumberFormat="1" applyBorder="1" applyAlignment="1">
      <alignment shrinkToFit="1"/>
    </xf>
    <xf numFmtId="0" fontId="0" fillId="0" borderId="0" xfId="0" applyFont="1"/>
    <xf numFmtId="3" fontId="0" fillId="0" borderId="0" xfId="0" applyNumberFormat="1" applyFont="1"/>
    <xf numFmtId="2" fontId="0" fillId="0" borderId="10" xfId="0" applyNumberFormat="1" applyFill="1" applyBorder="1"/>
    <xf numFmtId="2" fontId="0" fillId="0" borderId="0" xfId="0" applyNumberFormat="1" applyFill="1" applyBorder="1"/>
    <xf numFmtId="2" fontId="0" fillId="0" borderId="0" xfId="0" applyNumberFormat="1" applyBorder="1" applyAlignment="1">
      <alignment shrinkToFit="1"/>
    </xf>
    <xf numFmtId="0" fontId="0" fillId="0" borderId="0" xfId="0" applyBorder="1" applyAlignment="1">
      <alignment shrinkToFit="1"/>
    </xf>
    <xf numFmtId="2" fontId="1" fillId="2" borderId="1" xfId="0" applyNumberFormat="1" applyFont="1" applyFill="1" applyBorder="1" applyAlignment="1">
      <alignment horizontal="center" shrinkToFit="1"/>
    </xf>
    <xf numFmtId="0" fontId="3" fillId="0" borderId="0" xfId="0" applyFont="1" applyBorder="1"/>
    <xf numFmtId="0" fontId="3" fillId="0" borderId="0" xfId="0" applyFont="1"/>
    <xf numFmtId="0" fontId="0" fillId="0" borderId="0" xfId="0" applyBorder="1" applyAlignment="1"/>
    <xf numFmtId="2" fontId="0" fillId="4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5" fillId="0" borderId="7" xfId="0" applyFont="1" applyBorder="1"/>
    <xf numFmtId="0" fontId="5" fillId="0" borderId="0" xfId="0" applyFont="1" applyFill="1" applyBorder="1"/>
    <xf numFmtId="0" fontId="5" fillId="0" borderId="0" xfId="0" applyFont="1" applyBorder="1"/>
    <xf numFmtId="2" fontId="5" fillId="0" borderId="0" xfId="0" applyNumberFormat="1" applyFont="1" applyBorder="1"/>
    <xf numFmtId="2" fontId="5" fillId="0" borderId="10" xfId="0" applyNumberFormat="1" applyFont="1" applyBorder="1"/>
    <xf numFmtId="2" fontId="5" fillId="0" borderId="0" xfId="0" applyNumberFormat="1" applyFont="1" applyBorder="1" applyAlignment="1">
      <alignment shrinkToFit="1"/>
    </xf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4" borderId="1" xfId="0" applyFont="1" applyFill="1" applyBorder="1" applyAlignment="1">
      <alignment horizontal="left"/>
    </xf>
    <xf numFmtId="0" fontId="0" fillId="11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2" fontId="6" fillId="0" borderId="0" xfId="0" applyNumberFormat="1" applyFont="1" applyBorder="1"/>
    <xf numFmtId="2" fontId="6" fillId="0" borderId="10" xfId="0" applyNumberFormat="1" applyFont="1" applyBorder="1"/>
    <xf numFmtId="2" fontId="6" fillId="0" borderId="0" xfId="0" applyNumberFormat="1" applyFont="1" applyBorder="1" applyAlignment="1">
      <alignment shrinkToFit="1"/>
    </xf>
    <xf numFmtId="4" fontId="0" fillId="0" borderId="0" xfId="0" applyNumberFormat="1"/>
    <xf numFmtId="2" fontId="0" fillId="0" borderId="7" xfId="0" applyNumberFormat="1" applyBorder="1"/>
    <xf numFmtId="2" fontId="5" fillId="0" borderId="7" xfId="0" applyNumberFormat="1" applyFont="1" applyBorder="1"/>
    <xf numFmtId="0" fontId="0" fillId="0" borderId="7" xfId="0" applyFill="1" applyBorder="1"/>
    <xf numFmtId="164" fontId="7" fillId="0" borderId="0" xfId="0" applyNumberFormat="1" applyFont="1" applyBorder="1"/>
    <xf numFmtId="0" fontId="1" fillId="2" borderId="3" xfId="0" applyFont="1" applyFill="1" applyBorder="1" applyAlignment="1">
      <alignment horizontal="center" shrinkToFit="1"/>
    </xf>
    <xf numFmtId="2" fontId="0" fillId="0" borderId="7" xfId="0" applyNumberFormat="1" applyFill="1" applyBorder="1"/>
    <xf numFmtId="0" fontId="0" fillId="4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ont="1" applyFill="1" applyBorder="1"/>
    <xf numFmtId="0" fontId="1" fillId="2" borderId="16" xfId="0" applyFont="1" applyFill="1" applyBorder="1" applyAlignment="1">
      <alignment horizontal="center" shrinkToFit="1"/>
    </xf>
    <xf numFmtId="0" fontId="0" fillId="0" borderId="18" xfId="0" applyBorder="1"/>
    <xf numFmtId="2" fontId="0" fillId="0" borderId="19" xfId="0" applyNumberFormat="1" applyBorder="1"/>
    <xf numFmtId="0" fontId="1" fillId="2" borderId="3" xfId="0" applyFont="1" applyFill="1" applyBorder="1" applyAlignment="1">
      <alignment horizontal="center"/>
    </xf>
    <xf numFmtId="0" fontId="5" fillId="0" borderId="18" xfId="0" applyFont="1" applyBorder="1"/>
    <xf numFmtId="2" fontId="0" fillId="0" borderId="19" xfId="0" applyNumberFormat="1" applyFill="1" applyBorder="1"/>
    <xf numFmtId="2" fontId="0" fillId="0" borderId="18" xfId="0" applyNumberFormat="1" applyBorder="1"/>
    <xf numFmtId="2" fontId="5" fillId="0" borderId="18" xfId="0" applyNumberFormat="1" applyFont="1" applyBorder="1"/>
    <xf numFmtId="0" fontId="0" fillId="0" borderId="18" xfId="0" applyFill="1" applyBorder="1"/>
    <xf numFmtId="2" fontId="1" fillId="2" borderId="17" xfId="0" applyNumberFormat="1" applyFont="1" applyFill="1" applyBorder="1" applyAlignment="1">
      <alignment horizontal="center" shrinkToFit="1"/>
    </xf>
    <xf numFmtId="2" fontId="0" fillId="5" borderId="1" xfId="0" applyNumberFormat="1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shrinkToFit="1"/>
    </xf>
    <xf numFmtId="0" fontId="8" fillId="0" borderId="0" xfId="0" applyFont="1" applyBorder="1"/>
    <xf numFmtId="0" fontId="8" fillId="0" borderId="0" xfId="0" applyFont="1" applyFill="1" applyBorder="1"/>
    <xf numFmtId="2" fontId="8" fillId="0" borderId="0" xfId="0" applyNumberFormat="1" applyFont="1" applyBorder="1"/>
    <xf numFmtId="0" fontId="8" fillId="0" borderId="0" xfId="0" applyFont="1" applyAlignment="1">
      <alignment shrinkToFit="1"/>
    </xf>
    <xf numFmtId="2" fontId="8" fillId="0" borderId="18" xfId="0" applyNumberFormat="1" applyFont="1" applyBorder="1"/>
    <xf numFmtId="2" fontId="8" fillId="0" borderId="0" xfId="0" applyNumberFormat="1" applyFont="1" applyBorder="1" applyAlignment="1">
      <alignment shrinkToFit="1"/>
    </xf>
    <xf numFmtId="0" fontId="8" fillId="0" borderId="18" xfId="0" applyFont="1" applyBorder="1"/>
    <xf numFmtId="2" fontId="8" fillId="0" borderId="0" xfId="0" applyNumberFormat="1" applyFont="1" applyFill="1" applyBorder="1"/>
    <xf numFmtId="0" fontId="8" fillId="0" borderId="0" xfId="0" applyFont="1" applyBorder="1" applyAlignment="1">
      <alignment shrinkToFit="1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0" fillId="11" borderId="1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shrinkToFit="1"/>
    </xf>
    <xf numFmtId="0" fontId="8" fillId="0" borderId="18" xfId="0" applyFont="1" applyFill="1" applyBorder="1"/>
    <xf numFmtId="0" fontId="0" fillId="13" borderId="1" xfId="0" applyFill="1" applyBorder="1"/>
    <xf numFmtId="0" fontId="0" fillId="13" borderId="1" xfId="0" applyFont="1" applyFill="1" applyBorder="1"/>
    <xf numFmtId="0" fontId="0" fillId="13" borderId="1" xfId="0" applyFont="1" applyFill="1" applyBorder="1" applyAlignment="1">
      <alignment horizontal="center"/>
    </xf>
    <xf numFmtId="2" fontId="8" fillId="0" borderId="7" xfId="0" applyNumberFormat="1" applyFont="1" applyBorder="1"/>
    <xf numFmtId="0" fontId="8" fillId="0" borderId="0" xfId="0" applyFont="1" applyFill="1" applyBorder="1" applyAlignment="1">
      <alignment shrinkToFit="1"/>
    </xf>
    <xf numFmtId="3" fontId="9" fillId="0" borderId="0" xfId="0" applyNumberFormat="1" applyFont="1"/>
    <xf numFmtId="2" fontId="0" fillId="0" borderId="19" xfId="0" applyNumberFormat="1" applyBorder="1" applyAlignment="1">
      <alignment shrinkToFit="1"/>
    </xf>
    <xf numFmtId="2" fontId="1" fillId="2" borderId="3" xfId="0" applyNumberFormat="1" applyFont="1" applyFill="1" applyBorder="1" applyAlignment="1">
      <alignment horizontal="center" shrinkToFit="1"/>
    </xf>
    <xf numFmtId="0" fontId="8" fillId="0" borderId="7" xfId="0" applyFont="1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13" borderId="14" xfId="0" applyFill="1" applyBorder="1" applyAlignment="1">
      <alignment horizontal="center"/>
    </xf>
    <xf numFmtId="0" fontId="0" fillId="15" borderId="6" xfId="0" applyFill="1" applyBorder="1" applyAlignment="1">
      <alignment horizontal="center" shrinkToFit="1"/>
    </xf>
    <xf numFmtId="0" fontId="0" fillId="15" borderId="8" xfId="0" applyFill="1" applyBorder="1" applyAlignment="1">
      <alignment horizontal="center" shrinkToFit="1"/>
    </xf>
    <xf numFmtId="0" fontId="0" fillId="15" borderId="4" xfId="0" applyFill="1" applyBorder="1" applyAlignment="1">
      <alignment horizontal="center" shrinkToFit="1"/>
    </xf>
    <xf numFmtId="0" fontId="0" fillId="0" borderId="14" xfId="0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7" borderId="7" xfId="0" applyFill="1" applyBorder="1" applyAlignment="1">
      <alignment horizontal="center" shrinkToFit="1"/>
    </xf>
    <xf numFmtId="0" fontId="0" fillId="7" borderId="10" xfId="0" applyFill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7" borderId="0" xfId="0" applyFill="1" applyBorder="1" applyAlignment="1">
      <alignment horizontal="center" shrinkToFit="1"/>
    </xf>
  </cellXfs>
  <cellStyles count="1">
    <cellStyle name="Normal" xfId="0" builtinId="0"/>
  </cellStyles>
  <dxfs count="13"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206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FF"/>
      <color rgb="FFCCE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Feed_Diag!$E$3</c:f>
              <c:strCache>
                <c:ptCount val="1"/>
                <c:pt idx="0">
                  <c:v>Exotic Hackatoo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Feed_Diag!$D$4:$D$42</c:f>
              <c:numCache>
                <c:formatCode>General</c:formatCode>
                <c:ptCount val="3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Feed_Diag!$E$4:$E$42</c:f>
              <c:numCache>
                <c:formatCode>General</c:formatCode>
                <c:ptCount val="39"/>
                <c:pt idx="0">
                  <c:v>#N/A</c:v>
                </c:pt>
                <c:pt idx="1">
                  <c:v>1.2121212121212115</c:v>
                </c:pt>
                <c:pt idx="2">
                  <c:v>0.53333333333333344</c:v>
                </c:pt>
                <c:pt idx="3">
                  <c:v>3.8399999999999967</c:v>
                </c:pt>
                <c:pt idx="4">
                  <c:v>3.0400000000000014</c:v>
                </c:pt>
                <c:pt idx="5">
                  <c:v>5.9999999999999947</c:v>
                </c:pt>
                <c:pt idx="6">
                  <c:v>3.5999999999999996</c:v>
                </c:pt>
                <c:pt idx="7">
                  <c:v>3.84</c:v>
                </c:pt>
                <c:pt idx="8">
                  <c:v>10.666666666666705</c:v>
                </c:pt>
                <c:pt idx="9">
                  <c:v>20.399999999999711</c:v>
                </c:pt>
                <c:pt idx="10">
                  <c:v>26.400000000000095</c:v>
                </c:pt>
                <c:pt idx="11">
                  <c:v>0</c:v>
                </c:pt>
                <c:pt idx="12">
                  <c:v>38.400000000000134</c:v>
                </c:pt>
                <c:pt idx="13">
                  <c:v>0</c:v>
                </c:pt>
                <c:pt idx="14">
                  <c:v>108.0000000000004</c:v>
                </c:pt>
                <c:pt idx="15">
                  <c:v>28.799999999999997</c:v>
                </c:pt>
                <c:pt idx="16">
                  <c:v>38.400000000000006</c:v>
                </c:pt>
                <c:pt idx="17">
                  <c:v>91.428571428571516</c:v>
                </c:pt>
                <c:pt idx="18">
                  <c:v>29.333333333333325</c:v>
                </c:pt>
                <c:pt idx="19">
                  <c:v>86.999999999999915</c:v>
                </c:pt>
                <c:pt idx="20">
                  <c:v>91.428571428571516</c:v>
                </c:pt>
                <c:pt idx="21">
                  <c:v>199.99999999999952</c:v>
                </c:pt>
                <c:pt idx="22">
                  <c:v>134.39999999999998</c:v>
                </c:pt>
                <c:pt idx="23">
                  <c:v>239.99999999999977</c:v>
                </c:pt>
                <c:pt idx="24">
                  <c:v>65.454545454545482</c:v>
                </c:pt>
                <c:pt idx="25">
                  <c:v>168.00000000000011</c:v>
                </c:pt>
                <c:pt idx="26">
                  <c:v>266.66666666666606</c:v>
                </c:pt>
                <c:pt idx="27">
                  <c:v>144</c:v>
                </c:pt>
                <c:pt idx="28">
                  <c:v>152.72727272727303</c:v>
                </c:pt>
                <c:pt idx="29">
                  <c:v>72.727272727272634</c:v>
                </c:pt>
                <c:pt idx="30">
                  <c:v>93.658536585365979</c:v>
                </c:pt>
                <c:pt idx="31">
                  <c:v>196.36363636363612</c:v>
                </c:pt>
                <c:pt idx="32">
                  <c:v>163.63636363636343</c:v>
                </c:pt>
                <c:pt idx="33">
                  <c:v>411.42857142857184</c:v>
                </c:pt>
                <c:pt idx="34">
                  <c:v>342.85714285714261</c:v>
                </c:pt>
                <c:pt idx="35">
                  <c:v>200.0000000000004</c:v>
                </c:pt>
                <c:pt idx="36">
                  <c:v>359.99999999999955</c:v>
                </c:pt>
                <c:pt idx="37">
                  <c:v>436.36363636363723</c:v>
                </c:pt>
                <c:pt idx="38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Feed_Diag!$F$3</c:f>
              <c:strCache>
                <c:ptCount val="1"/>
                <c:pt idx="0">
                  <c:v>Shockjaw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Feed_Diag!$D$4:$D$42</c:f>
              <c:numCache>
                <c:formatCode>General</c:formatCode>
                <c:ptCount val="3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Feed_Diag!$F$4:$F$42</c:f>
              <c:numCache>
                <c:formatCode>General</c:formatCode>
                <c:ptCount val="39"/>
                <c:pt idx="0">
                  <c:v>#N/A</c:v>
                </c:pt>
                <c:pt idx="1">
                  <c:v>1.3333333333333333</c:v>
                </c:pt>
                <c:pt idx="2">
                  <c:v>0.58947368421052626</c:v>
                </c:pt>
                <c:pt idx="3">
                  <c:v>3.8399999999999967</c:v>
                </c:pt>
                <c:pt idx="4">
                  <c:v>3.6479999999999997</c:v>
                </c:pt>
                <c:pt idx="5">
                  <c:v>6.000000000000008</c:v>
                </c:pt>
                <c:pt idx="6">
                  <c:v>3.9999999999999982</c:v>
                </c:pt>
                <c:pt idx="7">
                  <c:v>4.2666666666666648</c:v>
                </c:pt>
                <c:pt idx="8">
                  <c:v>12.8</c:v>
                </c:pt>
                <c:pt idx="9">
                  <c:v>96.000000000000355</c:v>
                </c:pt>
                <c:pt idx="10">
                  <c:v>131.99999999999932</c:v>
                </c:pt>
                <c:pt idx="11">
                  <c:v>0</c:v>
                </c:pt>
                <c:pt idx="12">
                  <c:v>288.00000000000102</c:v>
                </c:pt>
                <c:pt idx="13">
                  <c:v>0</c:v>
                </c:pt>
                <c:pt idx="14">
                  <c:v>108.0000000000004</c:v>
                </c:pt>
                <c:pt idx="15">
                  <c:v>28.799999999999947</c:v>
                </c:pt>
                <c:pt idx="16">
                  <c:v>48.000000000000178</c:v>
                </c:pt>
                <c:pt idx="17">
                  <c:v>79.999999999999929</c:v>
                </c:pt>
                <c:pt idx="18">
                  <c:v>32.999999999999972</c:v>
                </c:pt>
                <c:pt idx="19">
                  <c:v>86.999999999999915</c:v>
                </c:pt>
                <c:pt idx="20">
                  <c:v>106.66666666666673</c:v>
                </c:pt>
                <c:pt idx="21">
                  <c:v>200.00000000000071</c:v>
                </c:pt>
                <c:pt idx="22">
                  <c:v>167.99999999999983</c:v>
                </c:pt>
                <c:pt idx="23">
                  <c:v>239.99999999999977</c:v>
                </c:pt>
                <c:pt idx="24">
                  <c:v>75.789473684210577</c:v>
                </c:pt>
                <c:pt idx="25">
                  <c:v>201.60000000000002</c:v>
                </c:pt>
                <c:pt idx="26">
                  <c:v>240</c:v>
                </c:pt>
                <c:pt idx="27">
                  <c:v>159.99999999999994</c:v>
                </c:pt>
                <c:pt idx="28">
                  <c:v>31.69811320754717</c:v>
                </c:pt>
                <c:pt idx="29">
                  <c:v>82.051282051282001</c:v>
                </c:pt>
                <c:pt idx="30">
                  <c:v>101.05263157894744</c:v>
                </c:pt>
                <c:pt idx="31">
                  <c:v>216</c:v>
                </c:pt>
                <c:pt idx="32">
                  <c:v>180</c:v>
                </c:pt>
                <c:pt idx="33">
                  <c:v>479.99999999999886</c:v>
                </c:pt>
                <c:pt idx="34">
                  <c:v>360</c:v>
                </c:pt>
                <c:pt idx="35">
                  <c:v>220</c:v>
                </c:pt>
                <c:pt idx="36">
                  <c:v>416.8421052631582</c:v>
                </c:pt>
                <c:pt idx="37">
                  <c:v>480</c:v>
                </c:pt>
                <c:pt idx="38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Feed_Diag!$G$3</c:f>
              <c:strCache>
                <c:ptCount val="1"/>
                <c:pt idx="0">
                  <c:v>Deadly Nadder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Feed_Diag!$D$4:$D$42</c:f>
              <c:numCache>
                <c:formatCode>General</c:formatCode>
                <c:ptCount val="3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Feed_Diag!$G$4:$G$42</c:f>
              <c:numCache>
                <c:formatCode>General</c:formatCode>
                <c:ptCount val="39"/>
                <c:pt idx="0">
                  <c:v>#N/A</c:v>
                </c:pt>
                <c:pt idx="1">
                  <c:v>3.9090909090909083</c:v>
                </c:pt>
                <c:pt idx="2">
                  <c:v>2.2196969696969706</c:v>
                </c:pt>
                <c:pt idx="3">
                  <c:v>11.076923076923086</c:v>
                </c:pt>
                <c:pt idx="4">
                  <c:v>7.7999999999999936</c:v>
                </c:pt>
                <c:pt idx="5">
                  <c:v>7.3584905660377444</c:v>
                </c:pt>
                <c:pt idx="6">
                  <c:v>5.9999999999999876</c:v>
                </c:pt>
                <c:pt idx="7">
                  <c:v>6.2307692307692362</c:v>
                </c:pt>
                <c:pt idx="8">
                  <c:v>12.999999999999989</c:v>
                </c:pt>
                <c:pt idx="9">
                  <c:v>33.300000000000118</c:v>
                </c:pt>
                <c:pt idx="10">
                  <c:v>42.900000000000155</c:v>
                </c:pt>
                <c:pt idx="11">
                  <c:v>97.500000000000341</c:v>
                </c:pt>
                <c:pt idx="12">
                  <c:v>62.399999999999118</c:v>
                </c:pt>
                <c:pt idx="13">
                  <c:v>70.200000000000244</c:v>
                </c:pt>
                <c:pt idx="14">
                  <c:v>176.00000000000063</c:v>
                </c:pt>
                <c:pt idx="15">
                  <c:v>39.000000000000021</c:v>
                </c:pt>
                <c:pt idx="16">
                  <c:v>62.400000000000006</c:v>
                </c:pt>
                <c:pt idx="17">
                  <c:v>104</c:v>
                </c:pt>
                <c:pt idx="18">
                  <c:v>39.000000000000014</c:v>
                </c:pt>
                <c:pt idx="19">
                  <c:v>113.39999999999999</c:v>
                </c:pt>
                <c:pt idx="20">
                  <c:v>129.99999999999989</c:v>
                </c:pt>
                <c:pt idx="21">
                  <c:v>243.74999999999977</c:v>
                </c:pt>
                <c:pt idx="22">
                  <c:v>218.39999999999998</c:v>
                </c:pt>
                <c:pt idx="23">
                  <c:v>260.00000000000017</c:v>
                </c:pt>
                <c:pt idx="24">
                  <c:v>89.999999999999957</c:v>
                </c:pt>
                <c:pt idx="25">
                  <c:v>234.00000000000026</c:v>
                </c:pt>
                <c:pt idx="26">
                  <c:v>324.9999999999992</c:v>
                </c:pt>
                <c:pt idx="27">
                  <c:v>195.00000000000011</c:v>
                </c:pt>
                <c:pt idx="28">
                  <c:v>209.99999999999989</c:v>
                </c:pt>
                <c:pt idx="29">
                  <c:v>96.296296296296319</c:v>
                </c:pt>
                <c:pt idx="30">
                  <c:v>130.00000000000009</c:v>
                </c:pt>
                <c:pt idx="31">
                  <c:v>250.71428571428532</c:v>
                </c:pt>
                <c:pt idx="32">
                  <c:v>217.69230769230816</c:v>
                </c:pt>
                <c:pt idx="33">
                  <c:v>584.99999999999943</c:v>
                </c:pt>
                <c:pt idx="34">
                  <c:v>449.99999999999977</c:v>
                </c:pt>
                <c:pt idx="35">
                  <c:v>275.38461538461598</c:v>
                </c:pt>
                <c:pt idx="36">
                  <c:v>458.57142857142674</c:v>
                </c:pt>
                <c:pt idx="37">
                  <c:v>597.69230769230899</c:v>
                </c:pt>
                <c:pt idx="38">
                  <c:v>649.99999999999841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Feed_Diag!$H$3</c:f>
              <c:strCache>
                <c:ptCount val="1"/>
                <c:pt idx="0">
                  <c:v>Raincutter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Feed_Diag!$D$4:$D$42</c:f>
              <c:numCache>
                <c:formatCode>General</c:formatCode>
                <c:ptCount val="3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Feed_Diag!$H$4:$H$42</c:f>
              <c:numCache>
                <c:formatCode>General</c:formatCode>
                <c:ptCount val="39"/>
                <c:pt idx="0">
                  <c:v>#N/A</c:v>
                </c:pt>
                <c:pt idx="1">
                  <c:v>2.272727272727272</c:v>
                </c:pt>
                <c:pt idx="2">
                  <c:v>1</c:v>
                </c:pt>
                <c:pt idx="3">
                  <c:v>7.9999999999999822</c:v>
                </c:pt>
                <c:pt idx="4">
                  <c:v>5.6999999999999993</c:v>
                </c:pt>
                <c:pt idx="5">
                  <c:v>10.714285714285726</c:v>
                </c:pt>
                <c:pt idx="6">
                  <c:v>7.012499999999994</c:v>
                </c:pt>
                <c:pt idx="7">
                  <c:v>6.6666666666666776</c:v>
                </c:pt>
                <c:pt idx="8">
                  <c:v>24.999999999999979</c:v>
                </c:pt>
                <c:pt idx="9">
                  <c:v>149.9999999999992</c:v>
                </c:pt>
                <c:pt idx="10">
                  <c:v>205.50000000000071</c:v>
                </c:pt>
                <c:pt idx="11">
                  <c:v>0</c:v>
                </c:pt>
                <c:pt idx="12">
                  <c:v>450.00000000000159</c:v>
                </c:pt>
                <c:pt idx="13">
                  <c:v>0</c:v>
                </c:pt>
                <c:pt idx="14">
                  <c:v>168.49999999999912</c:v>
                </c:pt>
                <c:pt idx="15">
                  <c:v>60.000000000000078</c:v>
                </c:pt>
                <c:pt idx="16">
                  <c:v>66.666666666666643</c:v>
                </c:pt>
                <c:pt idx="17">
                  <c:v>166.66666666666626</c:v>
                </c:pt>
                <c:pt idx="18">
                  <c:v>55</c:v>
                </c:pt>
                <c:pt idx="19">
                  <c:v>155.14285714285731</c:v>
                </c:pt>
                <c:pt idx="20">
                  <c:v>181.81818181818218</c:v>
                </c:pt>
                <c:pt idx="21">
                  <c:v>382.20000000000005</c:v>
                </c:pt>
                <c:pt idx="22">
                  <c:v>328.12499999999972</c:v>
                </c:pt>
                <c:pt idx="23">
                  <c:v>428.57142857142901</c:v>
                </c:pt>
                <c:pt idx="24">
                  <c:v>208.33333333333326</c:v>
                </c:pt>
                <c:pt idx="25">
                  <c:v>450</c:v>
                </c:pt>
                <c:pt idx="26">
                  <c:v>499.99999999999955</c:v>
                </c:pt>
                <c:pt idx="27">
                  <c:v>330.00000000000011</c:v>
                </c:pt>
                <c:pt idx="28">
                  <c:v>328.3333333333332</c:v>
                </c:pt>
                <c:pt idx="29">
                  <c:v>145.83333333333329</c:v>
                </c:pt>
                <c:pt idx="30">
                  <c:v>171.42857142857142</c:v>
                </c:pt>
                <c:pt idx="31">
                  <c:v>375.00000000000057</c:v>
                </c:pt>
                <c:pt idx="32">
                  <c:v>312.22222222222149</c:v>
                </c:pt>
                <c:pt idx="33">
                  <c:v>750.00000000000261</c:v>
                </c:pt>
                <c:pt idx="34">
                  <c:v>624.99999999999852</c:v>
                </c:pt>
                <c:pt idx="35">
                  <c:v>381.66666666666725</c:v>
                </c:pt>
                <c:pt idx="36">
                  <c:v>686.66666666666777</c:v>
                </c:pt>
                <c:pt idx="37">
                  <c:v>833.33333333333132</c:v>
                </c:pt>
                <c:pt idx="38">
                  <c:v>833.33333333333462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Feed_Diag!$I$3</c:f>
              <c:strCache>
                <c:ptCount val="1"/>
                <c:pt idx="0">
                  <c:v>Hackatoo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Feed_Diag!$D$4:$D$42</c:f>
              <c:numCache>
                <c:formatCode>General</c:formatCode>
                <c:ptCount val="3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</c:numCache>
            </c:numRef>
          </c:xVal>
          <c:yVal>
            <c:numRef>
              <c:f>Feed_Diag!$I$4:$I$42</c:f>
              <c:numCache>
                <c:formatCode>General</c:formatCode>
                <c:ptCount val="39"/>
                <c:pt idx="0">
                  <c:v>#N/A</c:v>
                </c:pt>
                <c:pt idx="1">
                  <c:v>1.3333333333333333</c:v>
                </c:pt>
                <c:pt idx="2">
                  <c:v>0.58947368421052626</c:v>
                </c:pt>
                <c:pt idx="3">
                  <c:v>3.8399999999999967</c:v>
                </c:pt>
                <c:pt idx="4">
                  <c:v>3.6479999999999997</c:v>
                </c:pt>
                <c:pt idx="5">
                  <c:v>6.000000000000008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258.00000000000091</c:v>
                </c:pt>
                <c:pt idx="10">
                  <c:v>87.999999999999801</c:v>
                </c:pt>
                <c:pt idx="11">
                  <c:v>0</c:v>
                </c:pt>
                <c:pt idx="12">
                  <c:v>288.00000000000102</c:v>
                </c:pt>
                <c:pt idx="13">
                  <c:v>0</c:v>
                </c:pt>
                <c:pt idx="14">
                  <c:v>108.0000000000004</c:v>
                </c:pt>
                <c:pt idx="15">
                  <c:v>31.999999999999986</c:v>
                </c:pt>
                <c:pt idx="16">
                  <c:v>42.666666666666742</c:v>
                </c:pt>
                <c:pt idx="17">
                  <c:v>91.428571428571061</c:v>
                </c:pt>
                <c:pt idx="18">
                  <c:v>31.058823529411779</c:v>
                </c:pt>
                <c:pt idx="19">
                  <c:v>99.428571428571516</c:v>
                </c:pt>
                <c:pt idx="20">
                  <c:v>106.66666666666673</c:v>
                </c:pt>
                <c:pt idx="21">
                  <c:v>199.99999999999952</c:v>
                </c:pt>
                <c:pt idx="22">
                  <c:v>149.33333333333354</c:v>
                </c:pt>
                <c:pt idx="23">
                  <c:v>274.28571428571456</c:v>
                </c:pt>
                <c:pt idx="24">
                  <c:v>72</c:v>
                </c:pt>
                <c:pt idx="25">
                  <c:v>183.27272727272705</c:v>
                </c:pt>
                <c:pt idx="26">
                  <c:v>266.66666666666708</c:v>
                </c:pt>
                <c:pt idx="27">
                  <c:v>159.99999999999994</c:v>
                </c:pt>
                <c:pt idx="28">
                  <c:v>32</c:v>
                </c:pt>
                <c:pt idx="29">
                  <c:v>80</c:v>
                </c:pt>
                <c:pt idx="30">
                  <c:v>101.05263157894744</c:v>
                </c:pt>
                <c:pt idx="31">
                  <c:v>216</c:v>
                </c:pt>
                <c:pt idx="32">
                  <c:v>180</c:v>
                </c:pt>
                <c:pt idx="33">
                  <c:v>479.99999999999886</c:v>
                </c:pt>
                <c:pt idx="34">
                  <c:v>360</c:v>
                </c:pt>
                <c:pt idx="35">
                  <c:v>220</c:v>
                </c:pt>
                <c:pt idx="36">
                  <c:v>416.8421052631582</c:v>
                </c:pt>
                <c:pt idx="37">
                  <c:v>480</c:v>
                </c:pt>
                <c:pt idx="38">
                  <c:v>533.33333333333417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222912"/>
        <c:axId val="299225088"/>
      </c:scatterChart>
      <c:valAx>
        <c:axId val="2992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225088"/>
        <c:crosses val="autoZero"/>
        <c:crossBetween val="midCat"/>
      </c:valAx>
      <c:valAx>
        <c:axId val="29922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222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4761</xdr:colOff>
      <xdr:row>3</xdr:row>
      <xdr:rowOff>4762</xdr:rowOff>
    </xdr:from>
    <xdr:to>
      <xdr:col>15</xdr:col>
      <xdr:colOff>133350</xdr:colOff>
      <xdr:row>36</xdr:row>
      <xdr:rowOff>38100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I46" totalsRowShown="0" headerRowDxfId="12" dataDxfId="10" headerRowBorderDxfId="11" tableBorderDxfId="9" totalsRowBorderDxfId="8">
  <autoFilter ref="A1:I46"/>
  <tableColumns count="9">
    <tableColumn id="1" name="Type" dataDxfId="7"/>
    <tableColumn id="2" name="Name"/>
    <tableColumn id="3" name="Fish" dataDxfId="6"/>
    <tableColumn id="4" name="Wood" dataDxfId="5"/>
    <tableColumn id="5" name="Time" dataDxfId="4"/>
    <tableColumn id="6" name="Attack" dataDxfId="3"/>
    <tableColumn id="7" name="Type of Attack" dataDxfId="2"/>
    <tableColumn id="8" name="Столбец1" dataDxfId="1">
      <calculatedColumnFormula>Таблица1[[#This Row],[Fish]]*Таблица1[[#This Row],[Time]]</calculatedColumnFormula>
    </tableColumn>
    <tableColumn id="9" name="Столбец2" dataDxfId="0">
      <calculatedColumnFormula>Таблица1[[#This Row],[Wood]]*Таблица1[[#This Row],[Time]]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C8" sqref="C8"/>
    </sheetView>
  </sheetViews>
  <sheetFormatPr defaultRowHeight="15" x14ac:dyDescent="0.25"/>
  <cols>
    <col min="1" max="1" width="20.7109375" customWidth="1"/>
    <col min="2" max="2" width="33.85546875" customWidth="1"/>
    <col min="3" max="6" width="9.140625" style="1"/>
    <col min="7" max="7" width="15.7109375" style="1" customWidth="1"/>
  </cols>
  <sheetData>
    <row r="1" spans="1:9" x14ac:dyDescent="0.25">
      <c r="A1" s="13" t="s">
        <v>0</v>
      </c>
      <c r="B1" s="14" t="s">
        <v>1</v>
      </c>
      <c r="C1" s="14" t="s">
        <v>3</v>
      </c>
      <c r="D1" s="14" t="s">
        <v>2</v>
      </c>
      <c r="E1" s="14" t="s">
        <v>4</v>
      </c>
      <c r="F1" s="14" t="s">
        <v>5</v>
      </c>
      <c r="G1" s="15" t="s">
        <v>6</v>
      </c>
      <c r="H1" s="83" t="s">
        <v>73</v>
      </c>
      <c r="I1" s="83" t="s">
        <v>74</v>
      </c>
    </row>
    <row r="2" spans="1:9" x14ac:dyDescent="0.25">
      <c r="A2" s="9"/>
      <c r="B2" s="2" t="s">
        <v>11</v>
      </c>
      <c r="C2" s="3">
        <v>239</v>
      </c>
      <c r="D2" s="3">
        <v>239</v>
      </c>
      <c r="E2" s="3">
        <v>5.25</v>
      </c>
      <c r="F2" s="3">
        <v>226</v>
      </c>
      <c r="G2" s="11" t="s">
        <v>12</v>
      </c>
      <c r="H2" s="82">
        <f>Таблица1[[#This Row],[Fish]]*Таблица1[[#This Row],[Time]]</f>
        <v>1254.75</v>
      </c>
      <c r="I2" s="82">
        <f>Таблица1[[#This Row],[Wood]]*Таблица1[[#This Row],[Time]]</f>
        <v>1254.75</v>
      </c>
    </row>
    <row r="3" spans="1:9" x14ac:dyDescent="0.25">
      <c r="A3" s="9"/>
      <c r="B3" s="2" t="s">
        <v>9</v>
      </c>
      <c r="C3" s="3">
        <v>189</v>
      </c>
      <c r="D3" s="3">
        <v>252</v>
      </c>
      <c r="E3" s="3">
        <v>10.5</v>
      </c>
      <c r="F3" s="3">
        <v>235</v>
      </c>
      <c r="G3" s="11" t="s">
        <v>10</v>
      </c>
      <c r="H3" s="3">
        <f>Таблица1[[#This Row],[Fish]]*Таблица1[[#This Row],[Time]]</f>
        <v>1984.5</v>
      </c>
      <c r="I3" s="3">
        <f>Таблица1[[#This Row],[Wood]]*Таблица1[[#This Row],[Time]]</f>
        <v>2646</v>
      </c>
    </row>
    <row r="4" spans="1:9" x14ac:dyDescent="0.25">
      <c r="A4" s="9" t="s">
        <v>26</v>
      </c>
      <c r="B4" s="2" t="s">
        <v>61</v>
      </c>
      <c r="C4" s="3">
        <v>302</v>
      </c>
      <c r="D4" s="3">
        <v>302</v>
      </c>
      <c r="E4" s="3">
        <v>8.25</v>
      </c>
      <c r="F4" s="3">
        <v>237</v>
      </c>
      <c r="G4" s="11" t="s">
        <v>12</v>
      </c>
      <c r="H4" s="3">
        <f>Таблица1[[#This Row],[Fish]]*Таблица1[[#This Row],[Time]]</f>
        <v>2491.5</v>
      </c>
      <c r="I4" s="3">
        <f>Таблица1[[#This Row],[Wood]]*Таблица1[[#This Row],[Time]]</f>
        <v>2491.5</v>
      </c>
    </row>
    <row r="5" spans="1:9" x14ac:dyDescent="0.25">
      <c r="A5" s="9"/>
      <c r="B5" s="2" t="s">
        <v>7</v>
      </c>
      <c r="C5" s="3">
        <v>252</v>
      </c>
      <c r="D5" s="3">
        <v>189</v>
      </c>
      <c r="E5" s="3">
        <v>10.5</v>
      </c>
      <c r="F5" s="3">
        <v>245</v>
      </c>
      <c r="G5" s="11" t="s">
        <v>8</v>
      </c>
      <c r="H5" s="3">
        <f>Таблица1[[#This Row],[Fish]]*Таблица1[[#This Row],[Time]]</f>
        <v>2646</v>
      </c>
      <c r="I5" s="3">
        <f>Таблица1[[#This Row],[Wood]]*Таблица1[[#This Row],[Time]]</f>
        <v>1984.5</v>
      </c>
    </row>
    <row r="6" spans="1:9" x14ac:dyDescent="0.25">
      <c r="A6" s="9"/>
      <c r="B6" s="2" t="s">
        <v>15</v>
      </c>
      <c r="C6" s="3"/>
      <c r="D6" s="3">
        <v>290</v>
      </c>
      <c r="E6" s="3">
        <v>10.5</v>
      </c>
      <c r="F6" s="3">
        <v>245</v>
      </c>
      <c r="G6" s="11" t="s">
        <v>10</v>
      </c>
      <c r="H6" s="3">
        <f>Таблица1[[#This Row],[Fish]]*Таблица1[[#This Row],[Time]]</f>
        <v>0</v>
      </c>
      <c r="I6" s="3">
        <f>Таблица1[[#This Row],[Wood]]*Таблица1[[#This Row],[Time]]</f>
        <v>3045</v>
      </c>
    </row>
    <row r="7" spans="1:9" x14ac:dyDescent="0.25">
      <c r="A7" s="9"/>
      <c r="B7" s="2" t="s">
        <v>14</v>
      </c>
      <c r="C7" s="3">
        <v>139</v>
      </c>
      <c r="D7" s="3">
        <v>139</v>
      </c>
      <c r="E7" s="3">
        <v>21</v>
      </c>
      <c r="F7" s="3">
        <v>247</v>
      </c>
      <c r="G7" s="11" t="s">
        <v>12</v>
      </c>
      <c r="H7" s="3">
        <f>Таблица1[[#This Row],[Fish]]*Таблица1[[#This Row],[Time]]</f>
        <v>2919</v>
      </c>
      <c r="I7" s="3">
        <f>Таблица1[[#This Row],[Wood]]*Таблица1[[#This Row],[Time]]</f>
        <v>2919</v>
      </c>
    </row>
    <row r="8" spans="1:9" x14ac:dyDescent="0.25">
      <c r="A8" s="9"/>
      <c r="B8" s="2" t="s">
        <v>13</v>
      </c>
      <c r="C8" s="3">
        <v>290</v>
      </c>
      <c r="D8" s="3"/>
      <c r="E8" s="3">
        <v>10.5</v>
      </c>
      <c r="F8" s="3">
        <v>257</v>
      </c>
      <c r="G8" s="11" t="s">
        <v>8</v>
      </c>
      <c r="H8" s="3">
        <f>Таблица1[[#This Row],[Fish]]*Таблица1[[#This Row],[Time]]</f>
        <v>3045</v>
      </c>
      <c r="I8" s="3">
        <f>Таблица1[[#This Row],[Wood]]*Таблица1[[#This Row],[Time]]</f>
        <v>0</v>
      </c>
    </row>
    <row r="9" spans="1:9" x14ac:dyDescent="0.25">
      <c r="A9" s="9"/>
      <c r="B9" s="2" t="s">
        <v>16</v>
      </c>
      <c r="C9" s="3">
        <v>504</v>
      </c>
      <c r="D9" s="3">
        <v>504</v>
      </c>
      <c r="E9" s="3">
        <v>6.25</v>
      </c>
      <c r="F9" s="3">
        <v>259</v>
      </c>
      <c r="G9" s="11" t="s">
        <v>12</v>
      </c>
      <c r="H9" s="3">
        <f>Таблица1[[#This Row],[Fish]]*Таблица1[[#This Row],[Time]]</f>
        <v>3150</v>
      </c>
      <c r="I9" s="3">
        <f>Таблица1[[#This Row],[Wood]]*Таблица1[[#This Row],[Time]]</f>
        <v>3150</v>
      </c>
    </row>
    <row r="10" spans="1:9" x14ac:dyDescent="0.25">
      <c r="A10" s="9" t="s">
        <v>20</v>
      </c>
      <c r="B10" s="2" t="s">
        <v>28</v>
      </c>
      <c r="C10" s="3">
        <v>378</v>
      </c>
      <c r="D10" s="3">
        <v>378</v>
      </c>
      <c r="E10" s="3">
        <v>9.25</v>
      </c>
      <c r="F10" s="3">
        <v>259</v>
      </c>
      <c r="G10" s="11" t="s">
        <v>12</v>
      </c>
      <c r="H10" s="3">
        <f>Таблица1[[#This Row],[Fish]]*Таблица1[[#This Row],[Time]]</f>
        <v>3496.5</v>
      </c>
      <c r="I10" s="3">
        <f>Таблица1[[#This Row],[Wood]]*Таблица1[[#This Row],[Time]]</f>
        <v>3496.5</v>
      </c>
    </row>
    <row r="11" spans="1:9" x14ac:dyDescent="0.25">
      <c r="A11" s="9" t="s">
        <v>20</v>
      </c>
      <c r="B11" s="2" t="s">
        <v>29</v>
      </c>
      <c r="C11" s="3">
        <v>227</v>
      </c>
      <c r="D11" s="3">
        <v>227</v>
      </c>
      <c r="E11" s="3">
        <v>15.5</v>
      </c>
      <c r="F11" s="3">
        <v>259</v>
      </c>
      <c r="G11" s="11" t="s">
        <v>12</v>
      </c>
      <c r="H11" s="3">
        <f>Таблица1[[#This Row],[Fish]]*Таблица1[[#This Row],[Time]]</f>
        <v>3518.5</v>
      </c>
      <c r="I11" s="3">
        <f>Таблица1[[#This Row],[Wood]]*Таблица1[[#This Row],[Time]]</f>
        <v>3518.5</v>
      </c>
    </row>
    <row r="12" spans="1:9" x14ac:dyDescent="0.25">
      <c r="A12" s="9" t="s">
        <v>20</v>
      </c>
      <c r="B12" s="2" t="s">
        <v>30</v>
      </c>
      <c r="C12" s="3">
        <v>378</v>
      </c>
      <c r="D12" s="3">
        <v>214</v>
      </c>
      <c r="E12" s="3">
        <v>10.5</v>
      </c>
      <c r="F12" s="3">
        <v>259</v>
      </c>
      <c r="G12" s="11" t="s">
        <v>12</v>
      </c>
      <c r="H12" s="3">
        <f>Таблица1[[#This Row],[Fish]]*Таблица1[[#This Row],[Time]]</f>
        <v>3969</v>
      </c>
      <c r="I12" s="3">
        <f>Таблица1[[#This Row],[Wood]]*Таблица1[[#This Row],[Time]]</f>
        <v>2247</v>
      </c>
    </row>
    <row r="13" spans="1:9" x14ac:dyDescent="0.25">
      <c r="A13" s="9" t="s">
        <v>20</v>
      </c>
      <c r="B13" s="2" t="s">
        <v>31</v>
      </c>
      <c r="C13" s="3">
        <v>126</v>
      </c>
      <c r="D13" s="3">
        <v>252</v>
      </c>
      <c r="E13" s="3">
        <v>15.5</v>
      </c>
      <c r="F13" s="3">
        <v>259</v>
      </c>
      <c r="G13" s="11" t="s">
        <v>12</v>
      </c>
      <c r="H13" s="3">
        <f>Таблица1[[#This Row],[Fish]]*Таблица1[[#This Row],[Time]]</f>
        <v>1953</v>
      </c>
      <c r="I13" s="3">
        <f>Таблица1[[#This Row],[Wood]]*Таблица1[[#This Row],[Time]]</f>
        <v>3906</v>
      </c>
    </row>
    <row r="14" spans="1:9" x14ac:dyDescent="0.25">
      <c r="A14" s="9" t="s">
        <v>20</v>
      </c>
      <c r="B14" s="2" t="s">
        <v>32</v>
      </c>
      <c r="C14" s="3">
        <v>252</v>
      </c>
      <c r="D14" s="3">
        <v>126</v>
      </c>
      <c r="E14" s="3">
        <v>15.5</v>
      </c>
      <c r="F14" s="3">
        <v>259</v>
      </c>
      <c r="G14" s="11" t="s">
        <v>12</v>
      </c>
      <c r="H14" s="3">
        <f>Таблица1[[#This Row],[Fish]]*Таблица1[[#This Row],[Time]]</f>
        <v>3906</v>
      </c>
      <c r="I14" s="3">
        <f>Таблица1[[#This Row],[Wood]]*Таблица1[[#This Row],[Time]]</f>
        <v>1953</v>
      </c>
    </row>
    <row r="15" spans="1:9" x14ac:dyDescent="0.25">
      <c r="A15" s="9" t="s">
        <v>20</v>
      </c>
      <c r="B15" s="2" t="s">
        <v>33</v>
      </c>
      <c r="C15" s="3">
        <v>214</v>
      </c>
      <c r="D15" s="3">
        <v>378</v>
      </c>
      <c r="E15" s="3">
        <v>10.5</v>
      </c>
      <c r="F15" s="3">
        <v>259</v>
      </c>
      <c r="G15" s="11" t="s">
        <v>12</v>
      </c>
      <c r="H15" s="3">
        <f>Таблица1[[#This Row],[Fish]]*Таблица1[[#This Row],[Time]]</f>
        <v>2247</v>
      </c>
      <c r="I15" s="3">
        <f>Таблица1[[#This Row],[Wood]]*Таблица1[[#This Row],[Time]]</f>
        <v>3969</v>
      </c>
    </row>
    <row r="16" spans="1:9" x14ac:dyDescent="0.25">
      <c r="A16" s="9"/>
      <c r="B16" s="2" t="s">
        <v>17</v>
      </c>
      <c r="C16" s="3">
        <v>151</v>
      </c>
      <c r="D16" s="3">
        <v>139</v>
      </c>
      <c r="E16" s="3">
        <v>26</v>
      </c>
      <c r="F16" s="3">
        <v>270</v>
      </c>
      <c r="G16" s="11" t="s">
        <v>10</v>
      </c>
      <c r="H16" s="3">
        <f>Таблица1[[#This Row],[Fish]]*Таблица1[[#This Row],[Time]]</f>
        <v>3926</v>
      </c>
      <c r="I16" s="3">
        <f>Таблица1[[#This Row],[Wood]]*Таблица1[[#This Row],[Time]]</f>
        <v>3614</v>
      </c>
    </row>
    <row r="17" spans="1:9" x14ac:dyDescent="0.25">
      <c r="A17" s="9"/>
      <c r="B17" s="2" t="s">
        <v>34</v>
      </c>
      <c r="C17" s="3">
        <v>139</v>
      </c>
      <c r="D17" s="3">
        <v>151</v>
      </c>
      <c r="E17" s="3">
        <v>26</v>
      </c>
      <c r="F17" s="3">
        <v>270</v>
      </c>
      <c r="G17" s="11" t="s">
        <v>10</v>
      </c>
      <c r="H17" s="3">
        <f>Таблица1[[#This Row],[Fish]]*Таблица1[[#This Row],[Time]]</f>
        <v>3614</v>
      </c>
      <c r="I17" s="3">
        <f>Таблица1[[#This Row],[Wood]]*Таблица1[[#This Row],[Time]]</f>
        <v>3926</v>
      </c>
    </row>
    <row r="18" spans="1:9" x14ac:dyDescent="0.25">
      <c r="A18" s="9" t="s">
        <v>20</v>
      </c>
      <c r="B18" s="2" t="s">
        <v>40</v>
      </c>
      <c r="C18" s="3">
        <v>302</v>
      </c>
      <c r="D18" s="3">
        <v>302</v>
      </c>
      <c r="E18" s="3">
        <v>15.5</v>
      </c>
      <c r="F18" s="3">
        <v>283</v>
      </c>
      <c r="G18" s="11" t="s">
        <v>10</v>
      </c>
      <c r="H18" s="3">
        <f>Таблица1[[#This Row],[Fish]]*Таблица1[[#This Row],[Time]]</f>
        <v>4681</v>
      </c>
      <c r="I18" s="3">
        <f>Таблица1[[#This Row],[Wood]]*Таблица1[[#This Row],[Time]]</f>
        <v>4681</v>
      </c>
    </row>
    <row r="19" spans="1:9" x14ac:dyDescent="0.25">
      <c r="A19" s="9" t="s">
        <v>20</v>
      </c>
      <c r="B19" s="2" t="s">
        <v>41</v>
      </c>
      <c r="C19" s="3">
        <v>340</v>
      </c>
      <c r="D19" s="3">
        <v>126</v>
      </c>
      <c r="E19" s="3">
        <v>15.5</v>
      </c>
      <c r="F19" s="3">
        <v>283</v>
      </c>
      <c r="G19" s="11" t="s">
        <v>10</v>
      </c>
      <c r="H19" s="3">
        <f>Таблица1[[#This Row],[Fish]]*Таблица1[[#This Row],[Time]]</f>
        <v>5270</v>
      </c>
      <c r="I19" s="3">
        <f>Таблица1[[#This Row],[Wood]]*Таблица1[[#This Row],[Time]]</f>
        <v>1953</v>
      </c>
    </row>
    <row r="20" spans="1:9" x14ac:dyDescent="0.25">
      <c r="A20" s="9" t="s">
        <v>20</v>
      </c>
      <c r="B20" s="2" t="s">
        <v>42</v>
      </c>
      <c r="C20" s="3">
        <v>126</v>
      </c>
      <c r="D20" s="3">
        <v>340</v>
      </c>
      <c r="E20" s="3">
        <v>15.5</v>
      </c>
      <c r="F20" s="3">
        <v>283</v>
      </c>
      <c r="G20" s="11" t="s">
        <v>10</v>
      </c>
      <c r="H20" s="3">
        <f>Таблица1[[#This Row],[Fish]]*Таблица1[[#This Row],[Time]]</f>
        <v>1953</v>
      </c>
      <c r="I20" s="3">
        <f>Таблица1[[#This Row],[Wood]]*Таблица1[[#This Row],[Time]]</f>
        <v>5270</v>
      </c>
    </row>
    <row r="21" spans="1:9" x14ac:dyDescent="0.25">
      <c r="A21" s="9"/>
      <c r="B21" s="2" t="s">
        <v>19</v>
      </c>
      <c r="C21" s="3">
        <v>328</v>
      </c>
      <c r="D21" s="3">
        <v>126</v>
      </c>
      <c r="E21" s="3">
        <v>12.5</v>
      </c>
      <c r="F21" s="3">
        <v>285</v>
      </c>
      <c r="G21" s="11" t="s">
        <v>12</v>
      </c>
      <c r="H21" s="3">
        <f>Таблица1[[#This Row],[Fish]]*Таблица1[[#This Row],[Time]]</f>
        <v>4100</v>
      </c>
      <c r="I21" s="3">
        <f>Таблица1[[#This Row],[Wood]]*Таблица1[[#This Row],[Time]]</f>
        <v>1575</v>
      </c>
    </row>
    <row r="22" spans="1:9" x14ac:dyDescent="0.25">
      <c r="A22" s="9" t="s">
        <v>44</v>
      </c>
      <c r="B22" s="2" t="s">
        <v>35</v>
      </c>
      <c r="C22" s="3">
        <v>252</v>
      </c>
      <c r="D22" s="3">
        <v>756</v>
      </c>
      <c r="E22" s="3">
        <v>5.25</v>
      </c>
      <c r="F22" s="3">
        <v>292</v>
      </c>
      <c r="G22" s="11" t="s">
        <v>8</v>
      </c>
      <c r="H22" s="3">
        <f>Таблица1[[#This Row],[Fish]]*Таблица1[[#This Row],[Time]]</f>
        <v>1323</v>
      </c>
      <c r="I22" s="3">
        <f>Таблица1[[#This Row],[Wood]]*Таблица1[[#This Row],[Time]]</f>
        <v>3969</v>
      </c>
    </row>
    <row r="23" spans="1:9" x14ac:dyDescent="0.25">
      <c r="A23" s="9" t="s">
        <v>25</v>
      </c>
      <c r="B23" s="2" t="s">
        <v>9</v>
      </c>
      <c r="C23" s="3">
        <v>170</v>
      </c>
      <c r="D23" s="3">
        <v>227</v>
      </c>
      <c r="E23" s="3">
        <v>10.5</v>
      </c>
      <c r="F23" s="3">
        <v>294</v>
      </c>
      <c r="G23" s="11" t="s">
        <v>10</v>
      </c>
      <c r="H23" s="3">
        <f>Таблица1[[#This Row],[Fish]]*Таблица1[[#This Row],[Time]]</f>
        <v>1785</v>
      </c>
      <c r="I23" s="3">
        <f>Таблица1[[#This Row],[Wood]]*Таблица1[[#This Row],[Time]]</f>
        <v>2383.5</v>
      </c>
    </row>
    <row r="24" spans="1:9" x14ac:dyDescent="0.25">
      <c r="A24" s="9"/>
      <c r="B24" s="2" t="s">
        <v>22</v>
      </c>
      <c r="C24" s="3">
        <v>126</v>
      </c>
      <c r="D24" s="3">
        <v>328</v>
      </c>
      <c r="E24" s="3">
        <v>12.5</v>
      </c>
      <c r="F24" s="3">
        <v>301</v>
      </c>
      <c r="G24" s="11" t="s">
        <v>10</v>
      </c>
      <c r="H24" s="3">
        <f>Таблица1[[#This Row],[Fish]]*Таблица1[[#This Row],[Time]]</f>
        <v>1575</v>
      </c>
      <c r="I24" s="3">
        <f>Таблица1[[#This Row],[Wood]]*Таблица1[[#This Row],[Time]]</f>
        <v>4100</v>
      </c>
    </row>
    <row r="25" spans="1:9" x14ac:dyDescent="0.25">
      <c r="A25" s="9"/>
      <c r="B25" s="2" t="s">
        <v>36</v>
      </c>
      <c r="C25" s="3">
        <v>252</v>
      </c>
      <c r="D25" s="3">
        <v>756</v>
      </c>
      <c r="E25" s="3">
        <v>5.25</v>
      </c>
      <c r="F25" s="3">
        <v>303</v>
      </c>
      <c r="G25" s="11" t="s">
        <v>12</v>
      </c>
      <c r="H25" s="3">
        <f>Таблица1[[#This Row],[Fish]]*Таблица1[[#This Row],[Time]]</f>
        <v>1323</v>
      </c>
      <c r="I25" s="3">
        <f>Таблица1[[#This Row],[Wood]]*Таблица1[[#This Row],[Time]]</f>
        <v>3969</v>
      </c>
    </row>
    <row r="26" spans="1:9" x14ac:dyDescent="0.25">
      <c r="A26" s="9" t="s">
        <v>25</v>
      </c>
      <c r="B26" s="2" t="s">
        <v>7</v>
      </c>
      <c r="C26" s="3">
        <v>227</v>
      </c>
      <c r="D26" s="3">
        <v>170</v>
      </c>
      <c r="E26" s="3">
        <v>10.5</v>
      </c>
      <c r="F26" s="3">
        <v>308</v>
      </c>
      <c r="G26" s="11" t="s">
        <v>8</v>
      </c>
      <c r="H26" s="3">
        <f>Таблица1[[#This Row],[Fish]]*Таблица1[[#This Row],[Time]]</f>
        <v>2383.5</v>
      </c>
      <c r="I26" s="3">
        <f>Таблица1[[#This Row],[Wood]]*Таблица1[[#This Row],[Time]]</f>
        <v>1785</v>
      </c>
    </row>
    <row r="27" spans="1:9" x14ac:dyDescent="0.25">
      <c r="A27" s="9" t="s">
        <v>20</v>
      </c>
      <c r="B27" s="2" t="s">
        <v>21</v>
      </c>
      <c r="C27" s="3">
        <v>504</v>
      </c>
      <c r="D27" s="3">
        <v>504</v>
      </c>
      <c r="E27" s="3">
        <v>10.5</v>
      </c>
      <c r="F27" s="3">
        <v>310</v>
      </c>
      <c r="G27" s="11" t="s">
        <v>12</v>
      </c>
      <c r="H27" s="3">
        <f>Таблица1[[#This Row],[Fish]]*Таблица1[[#This Row],[Time]]</f>
        <v>5292</v>
      </c>
      <c r="I27" s="3">
        <f>Таблица1[[#This Row],[Wood]]*Таблица1[[#This Row],[Time]]</f>
        <v>5292</v>
      </c>
    </row>
    <row r="28" spans="1:9" x14ac:dyDescent="0.25">
      <c r="A28" s="9" t="s">
        <v>25</v>
      </c>
      <c r="B28" s="2" t="s">
        <v>14</v>
      </c>
      <c r="C28" s="3">
        <v>125</v>
      </c>
      <c r="D28" s="3">
        <v>125</v>
      </c>
      <c r="E28" s="3">
        <v>21</v>
      </c>
      <c r="F28" s="3">
        <v>311</v>
      </c>
      <c r="G28" s="11" t="s">
        <v>12</v>
      </c>
      <c r="H28" s="3">
        <f>Таблица1[[#This Row],[Fish]]*Таблица1[[#This Row],[Time]]</f>
        <v>2625</v>
      </c>
      <c r="I28" s="3">
        <f>Таблица1[[#This Row],[Wood]]*Таблица1[[#This Row],[Time]]</f>
        <v>2625</v>
      </c>
    </row>
    <row r="29" spans="1:9" x14ac:dyDescent="0.25">
      <c r="A29" s="9"/>
      <c r="B29" s="2" t="s">
        <v>35</v>
      </c>
      <c r="C29" s="3">
        <v>756</v>
      </c>
      <c r="D29" s="3">
        <v>252</v>
      </c>
      <c r="E29" s="3">
        <v>5.25</v>
      </c>
      <c r="F29" s="3">
        <v>313</v>
      </c>
      <c r="G29" s="11" t="s">
        <v>8</v>
      </c>
      <c r="H29" s="3">
        <f>Таблица1[[#This Row],[Fish]]*Таблица1[[#This Row],[Time]]</f>
        <v>3969</v>
      </c>
      <c r="I29" s="3">
        <f>Таблица1[[#This Row],[Wood]]*Таблица1[[#This Row],[Time]]</f>
        <v>1323</v>
      </c>
    </row>
    <row r="30" spans="1:9" x14ac:dyDescent="0.25">
      <c r="A30" s="9"/>
      <c r="B30" s="2" t="s">
        <v>38</v>
      </c>
      <c r="C30" s="3">
        <v>391</v>
      </c>
      <c r="D30" s="3"/>
      <c r="E30" s="3">
        <v>12</v>
      </c>
      <c r="F30" s="3">
        <v>320</v>
      </c>
      <c r="G30" s="11" t="s">
        <v>10</v>
      </c>
      <c r="H30" s="3">
        <f>Таблица1[[#This Row],[Fish]]*Таблица1[[#This Row],[Time]]</f>
        <v>4692</v>
      </c>
      <c r="I30" s="3">
        <f>Таблица1[[#This Row],[Wood]]*Таблица1[[#This Row],[Time]]</f>
        <v>0</v>
      </c>
    </row>
    <row r="31" spans="1:9" x14ac:dyDescent="0.25">
      <c r="A31" s="9"/>
      <c r="B31" s="2" t="s">
        <v>18</v>
      </c>
      <c r="C31" s="3">
        <v>214</v>
      </c>
      <c r="D31" s="3">
        <v>214</v>
      </c>
      <c r="E31" s="3">
        <v>16.5</v>
      </c>
      <c r="F31" s="3">
        <v>321</v>
      </c>
      <c r="G31" s="11" t="s">
        <v>8</v>
      </c>
      <c r="H31" s="3">
        <f>Таблица1[[#This Row],[Fish]]*Таблица1[[#This Row],[Time]]</f>
        <v>3531</v>
      </c>
      <c r="I31" s="3">
        <f>Таблица1[[#This Row],[Wood]]*Таблица1[[#This Row],[Time]]</f>
        <v>3531</v>
      </c>
    </row>
    <row r="32" spans="1:9" x14ac:dyDescent="0.25">
      <c r="A32" s="10" t="s">
        <v>25</v>
      </c>
      <c r="B32" s="6" t="s">
        <v>16</v>
      </c>
      <c r="C32" s="7">
        <v>454</v>
      </c>
      <c r="D32" s="7">
        <v>454</v>
      </c>
      <c r="E32" s="7">
        <v>6.25</v>
      </c>
      <c r="F32" s="7">
        <v>324</v>
      </c>
      <c r="G32" s="12" t="s">
        <v>12</v>
      </c>
      <c r="H32" s="3">
        <f>Таблица1[[#This Row],[Fish]]*Таблица1[[#This Row],[Time]]</f>
        <v>2837.5</v>
      </c>
      <c r="I32" s="3">
        <f>Таблица1[[#This Row],[Wood]]*Таблица1[[#This Row],[Time]]</f>
        <v>2837.5</v>
      </c>
    </row>
    <row r="33" spans="1:9" x14ac:dyDescent="0.25">
      <c r="A33" s="9"/>
      <c r="B33" s="2" t="s">
        <v>39</v>
      </c>
      <c r="C33" s="3"/>
      <c r="D33" s="3">
        <v>391</v>
      </c>
      <c r="E33" s="3">
        <v>12</v>
      </c>
      <c r="F33" s="3">
        <v>333</v>
      </c>
      <c r="G33" s="11" t="s">
        <v>8</v>
      </c>
      <c r="H33" s="3">
        <f>Таблица1[[#This Row],[Fish]]*Таблица1[[#This Row],[Time]]</f>
        <v>0</v>
      </c>
      <c r="I33" s="3">
        <f>Таблица1[[#This Row],[Wood]]*Таблица1[[#This Row],[Time]]</f>
        <v>4692</v>
      </c>
    </row>
    <row r="34" spans="1:9" x14ac:dyDescent="0.25">
      <c r="A34" s="9"/>
      <c r="B34" s="2" t="s">
        <v>37</v>
      </c>
      <c r="C34" s="3">
        <v>227</v>
      </c>
      <c r="D34" s="3">
        <v>227</v>
      </c>
      <c r="E34" s="3">
        <v>18</v>
      </c>
      <c r="F34" s="3">
        <v>343</v>
      </c>
      <c r="G34" s="11" t="s">
        <v>8</v>
      </c>
      <c r="H34" s="3">
        <f>Таблица1[[#This Row],[Fish]]*Таблица1[[#This Row],[Time]]</f>
        <v>4086</v>
      </c>
      <c r="I34" s="3">
        <f>Таблица1[[#This Row],[Wood]]*Таблица1[[#This Row],[Time]]</f>
        <v>4086</v>
      </c>
    </row>
    <row r="35" spans="1:9" x14ac:dyDescent="0.25">
      <c r="A35" s="9" t="s">
        <v>20</v>
      </c>
      <c r="B35" s="2" t="s">
        <v>23</v>
      </c>
      <c r="C35" s="3">
        <v>189</v>
      </c>
      <c r="D35" s="3">
        <v>252</v>
      </c>
      <c r="E35" s="3">
        <v>26</v>
      </c>
      <c r="F35" s="3">
        <v>356</v>
      </c>
      <c r="G35" s="11" t="s">
        <v>10</v>
      </c>
      <c r="H35" s="3">
        <f>Таблица1[[#This Row],[Fish]]*Таблица1[[#This Row],[Time]]</f>
        <v>4914</v>
      </c>
      <c r="I35" s="3">
        <f>Таблица1[[#This Row],[Wood]]*Таблица1[[#This Row],[Time]]</f>
        <v>6552</v>
      </c>
    </row>
    <row r="36" spans="1:9" x14ac:dyDescent="0.25">
      <c r="A36" s="10"/>
      <c r="B36" s="6" t="s">
        <v>24</v>
      </c>
      <c r="C36" s="7">
        <v>693</v>
      </c>
      <c r="D36" s="7">
        <v>693</v>
      </c>
      <c r="E36" s="7">
        <v>10.5</v>
      </c>
      <c r="F36" s="7">
        <v>356</v>
      </c>
      <c r="G36" s="12" t="s">
        <v>12</v>
      </c>
      <c r="H36" s="3">
        <f>Таблица1[[#This Row],[Fish]]*Таблица1[[#This Row],[Time]]</f>
        <v>7276.5</v>
      </c>
      <c r="I36" s="3">
        <f>Таблица1[[#This Row],[Wood]]*Таблица1[[#This Row],[Time]]</f>
        <v>7276.5</v>
      </c>
    </row>
    <row r="37" spans="1:9" x14ac:dyDescent="0.25">
      <c r="A37" s="9"/>
      <c r="B37" s="2" t="s">
        <v>47</v>
      </c>
      <c r="C37" s="3">
        <v>454</v>
      </c>
      <c r="D37" s="3">
        <v>252</v>
      </c>
      <c r="E37" s="3">
        <v>13.5</v>
      </c>
      <c r="F37" s="3">
        <v>356</v>
      </c>
      <c r="G37" s="11" t="s">
        <v>12</v>
      </c>
      <c r="H37" s="3">
        <f>Таблица1[[#This Row],[Fish]]*Таблица1[[#This Row],[Time]]</f>
        <v>6129</v>
      </c>
      <c r="I37" s="3">
        <f>Таблица1[[#This Row],[Wood]]*Таблица1[[#This Row],[Time]]</f>
        <v>3402</v>
      </c>
    </row>
    <row r="38" spans="1:9" x14ac:dyDescent="0.25">
      <c r="A38" s="9"/>
      <c r="B38" s="8" t="s">
        <v>51</v>
      </c>
      <c r="C38" s="3">
        <v>252</v>
      </c>
      <c r="D38" s="3">
        <v>454</v>
      </c>
      <c r="E38" s="3">
        <v>13.5</v>
      </c>
      <c r="F38" s="3">
        <v>356</v>
      </c>
      <c r="G38" s="11" t="s">
        <v>10</v>
      </c>
      <c r="H38" s="3">
        <f>Таблица1[[#This Row],[Fish]]*Таблица1[[#This Row],[Time]]</f>
        <v>3402</v>
      </c>
      <c r="I38" s="3">
        <f>Таблица1[[#This Row],[Wood]]*Таблица1[[#This Row],[Time]]</f>
        <v>6129</v>
      </c>
    </row>
    <row r="39" spans="1:9" x14ac:dyDescent="0.25">
      <c r="A39" s="9" t="s">
        <v>20</v>
      </c>
      <c r="B39" s="2" t="s">
        <v>43</v>
      </c>
      <c r="C39" s="3">
        <v>252</v>
      </c>
      <c r="D39" s="3">
        <v>189</v>
      </c>
      <c r="E39" s="3">
        <v>26</v>
      </c>
      <c r="F39" s="3">
        <v>374</v>
      </c>
      <c r="G39" s="11" t="s">
        <v>8</v>
      </c>
      <c r="H39" s="3">
        <f>Таблица1[[#This Row],[Fish]]*Таблица1[[#This Row],[Time]]</f>
        <v>6552</v>
      </c>
      <c r="I39" s="3">
        <f>Таблица1[[#This Row],[Wood]]*Таблица1[[#This Row],[Time]]</f>
        <v>4914</v>
      </c>
    </row>
    <row r="40" spans="1:9" x14ac:dyDescent="0.25">
      <c r="A40" s="9"/>
      <c r="B40" s="8" t="s">
        <v>50</v>
      </c>
      <c r="C40" s="3">
        <v>164</v>
      </c>
      <c r="D40" s="3">
        <v>202</v>
      </c>
      <c r="E40" s="3">
        <v>26</v>
      </c>
      <c r="F40" s="3">
        <v>382</v>
      </c>
      <c r="G40" s="11" t="s">
        <v>10</v>
      </c>
      <c r="H40" s="3">
        <f>Таблица1[[#This Row],[Fish]]*Таблица1[[#This Row],[Time]]</f>
        <v>4264</v>
      </c>
      <c r="I40" s="3">
        <f>Таблица1[[#This Row],[Wood]]*Таблица1[[#This Row],[Time]]</f>
        <v>5252</v>
      </c>
    </row>
    <row r="41" spans="1:9" x14ac:dyDescent="0.25">
      <c r="A41" s="9"/>
      <c r="B41" s="2" t="s">
        <v>46</v>
      </c>
      <c r="C41" s="3">
        <v>202</v>
      </c>
      <c r="D41" s="3">
        <v>164</v>
      </c>
      <c r="E41" s="3">
        <v>26</v>
      </c>
      <c r="F41" s="3">
        <v>396</v>
      </c>
      <c r="G41" s="11" t="s">
        <v>8</v>
      </c>
      <c r="H41" s="3">
        <f>Таблица1[[#This Row],[Fish]]*Таблица1[[#This Row],[Time]]</f>
        <v>5252</v>
      </c>
      <c r="I41" s="3">
        <f>Таблица1[[#This Row],[Wood]]*Таблица1[[#This Row],[Time]]</f>
        <v>4264</v>
      </c>
    </row>
    <row r="42" spans="1:9" x14ac:dyDescent="0.25">
      <c r="A42" s="10" t="s">
        <v>26</v>
      </c>
      <c r="B42" s="6" t="s">
        <v>27</v>
      </c>
      <c r="C42" s="7">
        <v>290</v>
      </c>
      <c r="D42" s="7">
        <v>290</v>
      </c>
      <c r="E42" s="7">
        <v>31</v>
      </c>
      <c r="F42" s="7">
        <v>452</v>
      </c>
      <c r="G42" s="12" t="s">
        <v>8</v>
      </c>
      <c r="H42" s="3">
        <f>Таблица1[[#This Row],[Fish]]*Таблица1[[#This Row],[Time]]</f>
        <v>8990</v>
      </c>
      <c r="I42" s="3">
        <f>Таблица1[[#This Row],[Wood]]*Таблица1[[#This Row],[Time]]</f>
        <v>8990</v>
      </c>
    </row>
    <row r="43" spans="1:9" x14ac:dyDescent="0.25">
      <c r="A43" s="9" t="s">
        <v>20</v>
      </c>
      <c r="B43" s="2" t="s">
        <v>45</v>
      </c>
      <c r="C43" s="3">
        <v>227</v>
      </c>
      <c r="D43" s="3">
        <v>227</v>
      </c>
      <c r="E43" s="3">
        <f>24+18</f>
        <v>42</v>
      </c>
      <c r="F43" s="3">
        <v>506</v>
      </c>
      <c r="G43" s="11" t="s">
        <v>8</v>
      </c>
      <c r="H43" s="3">
        <f>Таблица1[[#This Row],[Fish]]*Таблица1[[#This Row],[Time]]</f>
        <v>9534</v>
      </c>
      <c r="I43" s="3">
        <f>Таблица1[[#This Row],[Wood]]*Таблица1[[#This Row],[Time]]</f>
        <v>9534</v>
      </c>
    </row>
    <row r="44" spans="1:9" x14ac:dyDescent="0.25">
      <c r="A44" s="8" t="s">
        <v>49</v>
      </c>
      <c r="B44" s="8" t="s">
        <v>48</v>
      </c>
      <c r="C44" s="16">
        <v>630</v>
      </c>
      <c r="D44" s="16">
        <v>630</v>
      </c>
      <c r="E44" s="16">
        <v>26</v>
      </c>
      <c r="F44" s="16">
        <v>624</v>
      </c>
      <c r="G44" s="16" t="s">
        <v>10</v>
      </c>
      <c r="H44" s="3">
        <f>Таблица1[[#This Row],[Fish]]*Таблица1[[#This Row],[Time]]</f>
        <v>16380</v>
      </c>
      <c r="I44" s="3">
        <f>Таблица1[[#This Row],[Wood]]*Таблица1[[#This Row],[Time]]</f>
        <v>16380</v>
      </c>
    </row>
    <row r="45" spans="1:9" x14ac:dyDescent="0.25">
      <c r="A45" s="8" t="s">
        <v>20</v>
      </c>
      <c r="B45" s="8" t="s">
        <v>52</v>
      </c>
      <c r="C45" s="16">
        <v>2020</v>
      </c>
      <c r="D45" s="16">
        <v>252</v>
      </c>
      <c r="E45" s="16">
        <f>4+10/60</f>
        <v>4.166666666666667</v>
      </c>
      <c r="F45" s="16">
        <v>627</v>
      </c>
      <c r="G45" s="16" t="s">
        <v>8</v>
      </c>
      <c r="H45" s="3">
        <f>Таблица1[[#This Row],[Fish]]*Таблица1[[#This Row],[Time]]</f>
        <v>8416.6666666666679</v>
      </c>
      <c r="I45" s="3">
        <f>Таблица1[[#This Row],[Wood]]*Таблица1[[#This Row],[Time]]</f>
        <v>1050</v>
      </c>
    </row>
    <row r="46" spans="1:9" x14ac:dyDescent="0.25">
      <c r="A46" s="79" t="s">
        <v>20</v>
      </c>
      <c r="B46" s="4" t="s">
        <v>72</v>
      </c>
      <c r="C46" s="80"/>
      <c r="D46" s="80">
        <v>416</v>
      </c>
      <c r="E46" s="80">
        <v>10.5</v>
      </c>
      <c r="F46" s="80">
        <v>294</v>
      </c>
      <c r="G46" s="81" t="s">
        <v>10</v>
      </c>
      <c r="H46" s="80">
        <f>Таблица1[[#This Row],[Fish]]*Таблица1[[#This Row],[Time]]</f>
        <v>0</v>
      </c>
      <c r="I46" s="80">
        <f>Таблица1[[#This Row],[Wood]]*Таблица1[[#This Row],[Time]]</f>
        <v>4368</v>
      </c>
    </row>
    <row r="47" spans="1:9" x14ac:dyDescent="0.25">
      <c r="A47" s="4"/>
      <c r="B47" s="4"/>
      <c r="C47" s="5"/>
      <c r="D47" s="5"/>
      <c r="E47" s="5"/>
      <c r="F47" s="5"/>
      <c r="G47" s="5"/>
    </row>
    <row r="48" spans="1:9" x14ac:dyDescent="0.25">
      <c r="A48" s="4"/>
      <c r="B48" s="4"/>
      <c r="C48" s="5"/>
      <c r="D48" s="5"/>
      <c r="E48" s="5"/>
      <c r="F48" s="5"/>
      <c r="G48" s="5"/>
    </row>
    <row r="49" spans="1:7" x14ac:dyDescent="0.25">
      <c r="A49" s="4"/>
      <c r="B49" s="4"/>
      <c r="C49" s="5"/>
      <c r="D49" s="5"/>
      <c r="E49" s="5"/>
      <c r="F49" s="5"/>
      <c r="G49" s="5"/>
    </row>
    <row r="50" spans="1:7" x14ac:dyDescent="0.25">
      <c r="A50" s="4"/>
      <c r="B50" s="4"/>
      <c r="C50" s="5"/>
      <c r="D50" s="5"/>
      <c r="E50" s="5"/>
      <c r="F50" s="5"/>
      <c r="G50" s="5"/>
    </row>
  </sheetData>
  <sortState ref="A2:G43">
    <sortCondition ref="F43"/>
  </sortState>
  <conditionalFormatting sqref="H1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workbookViewId="0">
      <selection activeCell="I3" sqref="I3"/>
    </sheetView>
  </sheetViews>
  <sheetFormatPr defaultRowHeight="15" x14ac:dyDescent="0.25"/>
  <cols>
    <col min="2" max="2" width="20.5703125" bestFit="1" customWidth="1"/>
    <col min="3" max="3" width="8" customWidth="1"/>
    <col min="6" max="6" width="9.140625" style="124"/>
    <col min="8" max="8" width="13.7109375" bestFit="1" customWidth="1"/>
    <col min="19" max="21" width="9.140625" style="1"/>
    <col min="26" max="27" width="9.140625" style="147"/>
  </cols>
  <sheetData>
    <row r="1" spans="1:27" x14ac:dyDescent="0.25">
      <c r="K1" s="20"/>
      <c r="L1" s="151" t="s">
        <v>58</v>
      </c>
      <c r="M1" s="151"/>
      <c r="N1" s="151" t="s">
        <v>60</v>
      </c>
      <c r="O1" s="151"/>
      <c r="P1" s="151" t="s">
        <v>59</v>
      </c>
      <c r="Q1" s="151"/>
      <c r="S1" s="151" t="s">
        <v>64</v>
      </c>
      <c r="T1" s="151"/>
      <c r="U1" s="151"/>
    </row>
    <row r="2" spans="1:27" x14ac:dyDescent="0.25">
      <c r="A2" s="19" t="s">
        <v>0</v>
      </c>
      <c r="B2" s="19" t="s">
        <v>1</v>
      </c>
      <c r="C2" s="19" t="s">
        <v>62</v>
      </c>
      <c r="D2" s="19" t="s">
        <v>80</v>
      </c>
      <c r="E2" s="19" t="s">
        <v>81</v>
      </c>
      <c r="F2" s="125" t="s">
        <v>82</v>
      </c>
      <c r="G2" s="19" t="s">
        <v>83</v>
      </c>
      <c r="H2" s="19" t="s">
        <v>6</v>
      </c>
      <c r="I2" s="19" t="s">
        <v>57</v>
      </c>
      <c r="J2" s="19" t="s">
        <v>5</v>
      </c>
      <c r="K2" s="19" t="s">
        <v>4</v>
      </c>
      <c r="L2" s="19" t="s">
        <v>3</v>
      </c>
      <c r="M2" s="19" t="s">
        <v>2</v>
      </c>
      <c r="N2" s="19" t="s">
        <v>3</v>
      </c>
      <c r="O2" s="19" t="s">
        <v>2</v>
      </c>
      <c r="P2" s="19" t="s">
        <v>3</v>
      </c>
      <c r="Q2" s="19" t="s">
        <v>2</v>
      </c>
      <c r="S2" s="19" t="s">
        <v>90</v>
      </c>
      <c r="T2" s="19" t="s">
        <v>98</v>
      </c>
      <c r="U2" s="19" t="s">
        <v>99</v>
      </c>
      <c r="W2" s="19" t="s">
        <v>3</v>
      </c>
      <c r="X2" s="19" t="s">
        <v>2</v>
      </c>
    </row>
    <row r="3" spans="1:27" x14ac:dyDescent="0.25">
      <c r="A3" s="19" t="s">
        <v>3</v>
      </c>
    </row>
    <row r="4" spans="1:27" x14ac:dyDescent="0.25">
      <c r="A4" s="34"/>
      <c r="B4" s="26" t="s">
        <v>24</v>
      </c>
      <c r="C4" s="97">
        <v>1000</v>
      </c>
      <c r="D4" s="27">
        <v>775.5</v>
      </c>
      <c r="E4" s="27">
        <v>775.5</v>
      </c>
      <c r="F4" s="122">
        <v>10.5</v>
      </c>
      <c r="G4" s="27">
        <v>477</v>
      </c>
      <c r="H4" s="27" t="s">
        <v>12</v>
      </c>
      <c r="I4" s="28">
        <v>43</v>
      </c>
      <c r="J4" s="23">
        <v>70</v>
      </c>
      <c r="K4" s="25">
        <f>4+50/60</f>
        <v>4.833333333333333</v>
      </c>
      <c r="L4" s="42">
        <v>49.3</v>
      </c>
      <c r="M4" s="42">
        <v>49.3</v>
      </c>
      <c r="N4" s="43">
        <f t="shared" ref="N4:O6" si="0">IF($K4&lt;8,L4*$K4,10*L4)</f>
        <v>238.2833333333333</v>
      </c>
      <c r="O4" s="44">
        <f t="shared" si="0"/>
        <v>238.2833333333333</v>
      </c>
      <c r="P4" s="44">
        <f t="shared" ref="P4:Q6" si="1">L4*$K4</f>
        <v>238.2833333333333</v>
      </c>
      <c r="Q4" s="44">
        <f t="shared" si="1"/>
        <v>238.2833333333333</v>
      </c>
      <c r="S4" s="41">
        <v>9.3699999999999992</v>
      </c>
      <c r="T4" s="41">
        <v>22</v>
      </c>
      <c r="W4" s="40">
        <f>D4*F4</f>
        <v>8142.75</v>
      </c>
      <c r="X4" s="40">
        <f>E4*F4</f>
        <v>8142.75</v>
      </c>
      <c r="Z4" s="147">
        <f>W4/$S4</f>
        <v>869.02347918890086</v>
      </c>
      <c r="AA4" s="147">
        <f>X4/$S4</f>
        <v>869.02347918890086</v>
      </c>
    </row>
    <row r="5" spans="1:27" x14ac:dyDescent="0.25">
      <c r="A5" s="142" t="s">
        <v>44</v>
      </c>
      <c r="B5" s="143" t="s">
        <v>36</v>
      </c>
      <c r="C5" s="144"/>
      <c r="D5" s="22">
        <v>930.6</v>
      </c>
      <c r="E5" s="22">
        <v>310.2</v>
      </c>
      <c r="F5" s="77">
        <f>5+45/60</f>
        <v>5.75</v>
      </c>
      <c r="G5" s="22">
        <v>406</v>
      </c>
      <c r="H5" s="18" t="s">
        <v>12</v>
      </c>
      <c r="I5" s="28">
        <v>47</v>
      </c>
      <c r="J5" s="23">
        <v>73</v>
      </c>
      <c r="K5" s="25">
        <f>3+45/60</f>
        <v>3.75</v>
      </c>
      <c r="L5" s="42">
        <v>60.9</v>
      </c>
      <c r="M5" s="42">
        <v>20.3</v>
      </c>
      <c r="N5" s="43">
        <f t="shared" si="0"/>
        <v>228.375</v>
      </c>
      <c r="O5" s="44">
        <f t="shared" si="0"/>
        <v>76.125</v>
      </c>
      <c r="P5" s="46">
        <f t="shared" si="1"/>
        <v>228.375</v>
      </c>
      <c r="Q5" s="44">
        <f t="shared" si="1"/>
        <v>76.125</v>
      </c>
      <c r="S5" s="41">
        <v>4.9000000000000004</v>
      </c>
      <c r="T5" s="41">
        <v>11.73</v>
      </c>
      <c r="W5" s="40">
        <f t="shared" ref="W5" si="2">D5*F5</f>
        <v>5350.95</v>
      </c>
      <c r="X5" s="40">
        <f t="shared" ref="X5" si="3">E5*F5</f>
        <v>1783.6499999999999</v>
      </c>
      <c r="Z5" s="147">
        <f t="shared" ref="Z5:AA18" si="4">W5/$S5</f>
        <v>1092.0306122448978</v>
      </c>
      <c r="AA5" s="147">
        <f t="shared" si="4"/>
        <v>364.01020408163259</v>
      </c>
    </row>
    <row r="6" spans="1:27" x14ac:dyDescent="0.25">
      <c r="A6" s="34"/>
      <c r="B6" s="17" t="s">
        <v>35</v>
      </c>
      <c r="C6" s="97">
        <v>450</v>
      </c>
      <c r="D6" s="18">
        <v>846</v>
      </c>
      <c r="E6" s="18">
        <v>282</v>
      </c>
      <c r="F6" s="126">
        <v>5.25</v>
      </c>
      <c r="G6" s="18">
        <v>412</v>
      </c>
      <c r="H6" s="18" t="s">
        <v>8</v>
      </c>
      <c r="I6" s="28">
        <v>42</v>
      </c>
      <c r="J6" s="23">
        <v>67</v>
      </c>
      <c r="K6" s="25">
        <f>2+10/60</f>
        <v>2.1666666666666665</v>
      </c>
      <c r="L6" s="42">
        <v>53.4</v>
      </c>
      <c r="M6" s="42">
        <v>17.8</v>
      </c>
      <c r="N6" s="43">
        <f t="shared" si="0"/>
        <v>115.69999999999999</v>
      </c>
      <c r="O6" s="44">
        <f t="shared" si="0"/>
        <v>38.566666666666663</v>
      </c>
      <c r="P6" s="46">
        <f t="shared" si="1"/>
        <v>115.69999999999999</v>
      </c>
      <c r="Q6" s="44">
        <f t="shared" si="1"/>
        <v>38.566666666666663</v>
      </c>
      <c r="S6" s="41">
        <v>5.36</v>
      </c>
      <c r="T6" s="41">
        <v>12.91</v>
      </c>
      <c r="W6" s="40">
        <f>D6*F6</f>
        <v>4441.5</v>
      </c>
      <c r="X6" s="40">
        <f>E6*F6</f>
        <v>1480.5</v>
      </c>
      <c r="Z6" s="147">
        <f t="shared" si="4"/>
        <v>828.63805970149247</v>
      </c>
      <c r="AA6" s="147">
        <f t="shared" si="4"/>
        <v>276.21268656716416</v>
      </c>
    </row>
    <row r="7" spans="1:27" x14ac:dyDescent="0.25">
      <c r="A7" s="34"/>
      <c r="B7" s="26" t="s">
        <v>16</v>
      </c>
      <c r="C7" s="27">
        <v>240</v>
      </c>
      <c r="D7" s="27">
        <v>564</v>
      </c>
      <c r="E7" s="27">
        <v>564</v>
      </c>
      <c r="F7" s="122">
        <v>5.25</v>
      </c>
      <c r="G7" s="27">
        <v>341</v>
      </c>
      <c r="H7" s="27" t="s">
        <v>12</v>
      </c>
      <c r="I7" s="28">
        <v>42</v>
      </c>
      <c r="J7" s="23">
        <v>56</v>
      </c>
      <c r="K7" s="25">
        <f>2+10/60</f>
        <v>2.1666666666666665</v>
      </c>
      <c r="L7" s="42">
        <v>35.6</v>
      </c>
      <c r="M7" s="42">
        <v>35.6</v>
      </c>
      <c r="N7" s="43">
        <f t="shared" ref="N7:O8" si="5">IF($K7&lt;8,L7*$K7,10*L7)</f>
        <v>77.133333333333326</v>
      </c>
      <c r="O7" s="44">
        <f t="shared" si="5"/>
        <v>77.133333333333326</v>
      </c>
      <c r="P7" s="44">
        <f t="shared" ref="P7:Q8" si="6">L7*$K7</f>
        <v>77.133333333333326</v>
      </c>
      <c r="Q7" s="44">
        <f t="shared" si="6"/>
        <v>77.133333333333326</v>
      </c>
      <c r="S7" s="41">
        <v>6.54</v>
      </c>
      <c r="T7" s="41">
        <v>15.76</v>
      </c>
      <c r="W7" s="40">
        <f t="shared" ref="W7:W39" si="7">D7*F7</f>
        <v>2961</v>
      </c>
      <c r="X7" s="40">
        <f t="shared" ref="X7:X39" si="8">E7*F7</f>
        <v>2961</v>
      </c>
      <c r="Z7" s="147">
        <f t="shared" si="4"/>
        <v>452.75229357798167</v>
      </c>
      <c r="AA7" s="147">
        <f t="shared" si="4"/>
        <v>452.75229357798167</v>
      </c>
    </row>
    <row r="8" spans="1:27" x14ac:dyDescent="0.25">
      <c r="A8" s="34"/>
      <c r="B8" s="26" t="s">
        <v>16</v>
      </c>
      <c r="C8" s="27">
        <v>240</v>
      </c>
      <c r="D8" s="27">
        <v>564</v>
      </c>
      <c r="E8" s="27">
        <v>564</v>
      </c>
      <c r="F8" s="122">
        <v>5.25</v>
      </c>
      <c r="G8" s="27">
        <v>341</v>
      </c>
      <c r="H8" s="27" t="s">
        <v>12</v>
      </c>
      <c r="I8" s="28">
        <v>42</v>
      </c>
      <c r="J8" s="23">
        <v>56</v>
      </c>
      <c r="K8" s="25">
        <f t="shared" ref="K8:K9" si="9">2+10/60</f>
        <v>2.1666666666666665</v>
      </c>
      <c r="L8" s="42">
        <v>35.6</v>
      </c>
      <c r="M8" s="42">
        <v>35.6</v>
      </c>
      <c r="N8" s="43">
        <f t="shared" si="5"/>
        <v>77.133333333333326</v>
      </c>
      <c r="O8" s="44">
        <f t="shared" si="5"/>
        <v>77.133333333333326</v>
      </c>
      <c r="P8" s="44">
        <f t="shared" si="6"/>
        <v>77.133333333333326</v>
      </c>
      <c r="Q8" s="44">
        <f t="shared" si="6"/>
        <v>77.133333333333326</v>
      </c>
      <c r="S8" s="41">
        <v>6.54</v>
      </c>
      <c r="T8" s="41">
        <v>15.76</v>
      </c>
      <c r="W8" s="40">
        <f t="shared" si="7"/>
        <v>2961</v>
      </c>
      <c r="X8" s="40">
        <f t="shared" si="8"/>
        <v>2961</v>
      </c>
      <c r="Z8" s="147">
        <f t="shared" si="4"/>
        <v>452.75229357798167</v>
      </c>
      <c r="AA8" s="147">
        <f t="shared" si="4"/>
        <v>452.75229357798167</v>
      </c>
    </row>
    <row r="9" spans="1:27" x14ac:dyDescent="0.25">
      <c r="A9" s="34"/>
      <c r="B9" s="26" t="s">
        <v>16</v>
      </c>
      <c r="C9" s="27">
        <v>240</v>
      </c>
      <c r="D9" s="27">
        <v>564</v>
      </c>
      <c r="E9" s="27">
        <v>564</v>
      </c>
      <c r="F9" s="122">
        <v>5.25</v>
      </c>
      <c r="G9" s="27">
        <v>341</v>
      </c>
      <c r="H9" s="27" t="s">
        <v>12</v>
      </c>
      <c r="I9" s="28">
        <v>42</v>
      </c>
      <c r="J9" s="23">
        <v>56</v>
      </c>
      <c r="K9" s="25">
        <f t="shared" si="9"/>
        <v>2.1666666666666665</v>
      </c>
      <c r="L9" s="42">
        <v>35.6</v>
      </c>
      <c r="M9" s="42">
        <v>35.6</v>
      </c>
      <c r="N9" s="43">
        <f t="shared" ref="N9:O10" si="10">IF($K9&lt;8,L9*$K9,10*L9)</f>
        <v>77.133333333333326</v>
      </c>
      <c r="O9" s="44">
        <f t="shared" si="10"/>
        <v>77.133333333333326</v>
      </c>
      <c r="P9" s="46">
        <f t="shared" ref="P9:Q10" si="11">L9*$K9</f>
        <v>77.133333333333326</v>
      </c>
      <c r="Q9" s="44">
        <f t="shared" si="11"/>
        <v>77.133333333333326</v>
      </c>
      <c r="S9" s="41">
        <v>6.54</v>
      </c>
      <c r="T9" s="41">
        <v>15.76</v>
      </c>
      <c r="W9" s="40">
        <f t="shared" ref="W9" si="12">D9*F9</f>
        <v>2961</v>
      </c>
      <c r="X9" s="40">
        <f t="shared" ref="X9" si="13">E9*F9</f>
        <v>2961</v>
      </c>
      <c r="Z9" s="147">
        <f t="shared" si="4"/>
        <v>452.75229357798167</v>
      </c>
      <c r="AA9" s="147">
        <f t="shared" si="4"/>
        <v>452.75229357798167</v>
      </c>
    </row>
    <row r="10" spans="1:27" x14ac:dyDescent="0.25">
      <c r="A10" s="31" t="s">
        <v>20</v>
      </c>
      <c r="B10" s="31" t="s">
        <v>43</v>
      </c>
      <c r="C10" s="35"/>
      <c r="D10" s="27">
        <v>1410</v>
      </c>
      <c r="E10" s="27">
        <v>211.5</v>
      </c>
      <c r="F10" s="122">
        <v>6.25</v>
      </c>
      <c r="G10" s="27">
        <v>484</v>
      </c>
      <c r="H10" s="27" t="s">
        <v>8</v>
      </c>
      <c r="I10" s="23">
        <v>31</v>
      </c>
      <c r="J10" s="23">
        <v>53</v>
      </c>
      <c r="K10" s="25">
        <f>1+10/60</f>
        <v>1.1666666666666667</v>
      </c>
      <c r="L10" s="42">
        <v>49.5</v>
      </c>
      <c r="M10" s="42">
        <v>7.4249999999999998</v>
      </c>
      <c r="N10" s="43">
        <f t="shared" si="10"/>
        <v>57.750000000000007</v>
      </c>
      <c r="O10" s="44">
        <f t="shared" si="10"/>
        <v>8.6624999999999996</v>
      </c>
      <c r="P10" s="44">
        <f t="shared" si="11"/>
        <v>57.750000000000007</v>
      </c>
      <c r="Q10" s="44">
        <f t="shared" si="11"/>
        <v>8.6624999999999996</v>
      </c>
      <c r="S10" s="41">
        <v>14.08</v>
      </c>
      <c r="T10" s="41"/>
      <c r="W10" s="40">
        <f>D10*F10</f>
        <v>8812.5</v>
      </c>
      <c r="X10" s="40">
        <f>E10*F10</f>
        <v>1321.875</v>
      </c>
      <c r="Z10" s="147">
        <f t="shared" si="4"/>
        <v>625.88778409090912</v>
      </c>
      <c r="AA10" s="147">
        <f t="shared" si="4"/>
        <v>93.88316761363636</v>
      </c>
    </row>
    <row r="11" spans="1:27" x14ac:dyDescent="0.25">
      <c r="A11" s="19" t="s">
        <v>2</v>
      </c>
      <c r="L11" s="102">
        <f>SUM(L4:L10)</f>
        <v>319.89999999999998</v>
      </c>
      <c r="N11" s="102">
        <f>SUM(N4:N10)</f>
        <v>871.50833333333333</v>
      </c>
      <c r="P11" s="102">
        <f>SUM(P4:P10)</f>
        <v>871.50833333333333</v>
      </c>
      <c r="S11" s="41"/>
      <c r="T11" s="41"/>
    </row>
    <row r="12" spans="1:27" s="67" customFormat="1" x14ac:dyDescent="0.25">
      <c r="A12" s="30" t="s">
        <v>20</v>
      </c>
      <c r="B12" s="30" t="s">
        <v>71</v>
      </c>
      <c r="C12" s="37"/>
      <c r="D12" s="18"/>
      <c r="E12" s="18">
        <v>1071.5999999999999</v>
      </c>
      <c r="F12" s="126">
        <v>5.25</v>
      </c>
      <c r="G12" s="18">
        <v>416</v>
      </c>
      <c r="H12" s="18" t="s">
        <v>8</v>
      </c>
      <c r="I12" s="23">
        <v>38</v>
      </c>
      <c r="J12" s="23">
        <v>60</v>
      </c>
      <c r="K12" s="25">
        <f>1.5</f>
        <v>1.5</v>
      </c>
      <c r="L12" s="42"/>
      <c r="M12" s="42">
        <v>59</v>
      </c>
      <c r="N12" s="43"/>
      <c r="O12" s="44">
        <f>IF($K12&lt;8,M12*$K12,10*M12)</f>
        <v>88.5</v>
      </c>
      <c r="Q12" s="44">
        <f>M12*$K12</f>
        <v>88.5</v>
      </c>
      <c r="S12" s="137">
        <v>7</v>
      </c>
      <c r="T12" s="84">
        <v>15.96</v>
      </c>
      <c r="X12" s="68">
        <f>E12*F12</f>
        <v>5625.9</v>
      </c>
      <c r="Z12" s="147"/>
      <c r="AA12" s="147">
        <f t="shared" si="4"/>
        <v>803.69999999999993</v>
      </c>
    </row>
    <row r="13" spans="1:27" x14ac:dyDescent="0.25">
      <c r="A13" s="34"/>
      <c r="B13" s="26" t="s">
        <v>36</v>
      </c>
      <c r="C13" s="97">
        <v>550</v>
      </c>
      <c r="D13" s="27">
        <v>282</v>
      </c>
      <c r="E13" s="27">
        <v>846</v>
      </c>
      <c r="F13" s="122">
        <v>5.25</v>
      </c>
      <c r="G13" s="27">
        <v>403</v>
      </c>
      <c r="H13" s="27" t="s">
        <v>12</v>
      </c>
      <c r="I13" s="28">
        <v>42</v>
      </c>
      <c r="J13" s="23">
        <v>62</v>
      </c>
      <c r="K13" s="25">
        <f>2+10/60</f>
        <v>2.1666666666666665</v>
      </c>
      <c r="L13" s="42">
        <v>17.8</v>
      </c>
      <c r="M13" s="42">
        <v>53.4</v>
      </c>
      <c r="N13" s="43">
        <f>IF($K13&lt;8,L13*$K13,10*L13)</f>
        <v>38.566666666666663</v>
      </c>
      <c r="O13" s="44">
        <f>IF($K13&lt;8,M13*$K13,10*M13)</f>
        <v>115.69999999999999</v>
      </c>
      <c r="P13" s="44">
        <f>L13*$K13</f>
        <v>38.566666666666663</v>
      </c>
      <c r="Q13" s="44">
        <f>M13*$K13</f>
        <v>115.69999999999999</v>
      </c>
      <c r="S13" s="41">
        <v>5.36</v>
      </c>
      <c r="T13" s="41">
        <v>12.91</v>
      </c>
      <c r="W13" s="40">
        <f>D13*F13</f>
        <v>1480.5</v>
      </c>
      <c r="X13" s="40">
        <f>E13*F13</f>
        <v>4441.5</v>
      </c>
      <c r="Z13" s="147">
        <f t="shared" si="4"/>
        <v>276.21268656716416</v>
      </c>
      <c r="AA13" s="147">
        <f t="shared" si="4"/>
        <v>828.63805970149247</v>
      </c>
    </row>
    <row r="14" spans="1:27" x14ac:dyDescent="0.25">
      <c r="A14" s="34"/>
      <c r="B14" s="26" t="s">
        <v>16</v>
      </c>
      <c r="C14" s="27">
        <v>240</v>
      </c>
      <c r="D14" s="22">
        <v>564</v>
      </c>
      <c r="E14" s="22">
        <v>564</v>
      </c>
      <c r="F14" s="77">
        <v>5.25</v>
      </c>
      <c r="G14" s="22">
        <v>341</v>
      </c>
      <c r="H14" s="27" t="s">
        <v>12</v>
      </c>
      <c r="I14" s="28">
        <v>42</v>
      </c>
      <c r="J14" s="23">
        <v>56</v>
      </c>
      <c r="K14" s="25">
        <f>2+10/60</f>
        <v>2.1666666666666665</v>
      </c>
      <c r="L14" s="42">
        <v>35.6</v>
      </c>
      <c r="M14" s="42">
        <v>35.6</v>
      </c>
      <c r="N14" s="43">
        <f>IF($K14&lt;8,L14*$K14,10*L14)</f>
        <v>77.133333333333326</v>
      </c>
      <c r="O14" s="44">
        <f>IF($K14&lt;8,M14*$K14,10*M14)</f>
        <v>77.133333333333326</v>
      </c>
      <c r="P14" s="44">
        <f>L14*$K14</f>
        <v>77.133333333333326</v>
      </c>
      <c r="Q14" s="44">
        <f>M14*$K14</f>
        <v>77.133333333333326</v>
      </c>
      <c r="S14" s="41">
        <v>6.54</v>
      </c>
      <c r="T14" s="41">
        <v>15.76</v>
      </c>
      <c r="W14" s="40">
        <f t="shared" ref="W14" si="14">D14*F14</f>
        <v>2961</v>
      </c>
      <c r="X14" s="40">
        <f t="shared" ref="X14" si="15">E14*F14</f>
        <v>2961</v>
      </c>
      <c r="Z14" s="147">
        <f t="shared" si="4"/>
        <v>452.75229357798167</v>
      </c>
      <c r="AA14" s="147">
        <f t="shared" si="4"/>
        <v>452.75229357798167</v>
      </c>
    </row>
    <row r="15" spans="1:27" s="67" customFormat="1" x14ac:dyDescent="0.25">
      <c r="A15" s="30" t="s">
        <v>20</v>
      </c>
      <c r="B15" s="30" t="s">
        <v>72</v>
      </c>
      <c r="C15" s="37"/>
      <c r="D15" s="18"/>
      <c r="E15" s="18">
        <v>465.3</v>
      </c>
      <c r="F15" s="126">
        <v>10.5</v>
      </c>
      <c r="G15" s="18">
        <v>384</v>
      </c>
      <c r="H15" s="18" t="s">
        <v>10</v>
      </c>
      <c r="I15" s="23">
        <v>37</v>
      </c>
      <c r="J15" s="23">
        <v>56</v>
      </c>
      <c r="K15" s="25">
        <f>2+40/60</f>
        <v>2.6666666666666665</v>
      </c>
      <c r="L15" s="42"/>
      <c r="M15" s="42">
        <v>24.5</v>
      </c>
      <c r="N15" s="43"/>
      <c r="O15" s="44">
        <f t="shared" ref="O15:O18" si="16">IF($K15&lt;8,M15*$K15,10*M15)</f>
        <v>65.333333333333329</v>
      </c>
      <c r="P15" s="46"/>
      <c r="Q15" s="44">
        <f t="shared" ref="Q15:Q18" si="17">M15*$K15</f>
        <v>65.333333333333329</v>
      </c>
      <c r="S15" s="138">
        <v>10.68</v>
      </c>
      <c r="T15" s="84">
        <v>25.71</v>
      </c>
      <c r="W15" s="68"/>
      <c r="X15" s="68">
        <f>E15*F15</f>
        <v>4885.6500000000005</v>
      </c>
      <c r="Z15" s="147"/>
      <c r="AA15" s="147">
        <f t="shared" si="4"/>
        <v>457.4578651685394</v>
      </c>
    </row>
    <row r="16" spans="1:27" x14ac:dyDescent="0.25">
      <c r="A16" s="34"/>
      <c r="B16" s="21" t="s">
        <v>22</v>
      </c>
      <c r="C16" s="97">
        <v>550</v>
      </c>
      <c r="D16" s="22">
        <v>141</v>
      </c>
      <c r="E16" s="22">
        <v>366.6</v>
      </c>
      <c r="F16" s="122">
        <f>12+35/60</f>
        <v>12.583333333333334</v>
      </c>
      <c r="G16" s="22">
        <v>301</v>
      </c>
      <c r="H16" s="22" t="s">
        <v>10</v>
      </c>
      <c r="I16" s="28">
        <v>34</v>
      </c>
      <c r="J16" s="23">
        <v>51</v>
      </c>
      <c r="K16" s="25">
        <f>2+40/60</f>
        <v>2.6666666666666665</v>
      </c>
      <c r="L16" s="42">
        <v>6.57</v>
      </c>
      <c r="M16" s="42">
        <v>17</v>
      </c>
      <c r="N16" s="43">
        <f>IF($K16&lt;8,L16*$K16,10*L16)</f>
        <v>17.52</v>
      </c>
      <c r="O16" s="44">
        <f t="shared" si="16"/>
        <v>45.333333333333329</v>
      </c>
      <c r="P16" s="44">
        <f>L16*$K16</f>
        <v>17.52</v>
      </c>
      <c r="Q16" s="44">
        <f t="shared" si="17"/>
        <v>45.333333333333329</v>
      </c>
      <c r="S16" s="41">
        <v>11.6</v>
      </c>
      <c r="T16" s="41"/>
      <c r="W16" s="40">
        <f t="shared" si="7"/>
        <v>1774.25</v>
      </c>
      <c r="X16" s="40">
        <f t="shared" si="8"/>
        <v>4613.05</v>
      </c>
      <c r="Z16" s="147">
        <f t="shared" si="4"/>
        <v>152.95258620689657</v>
      </c>
      <c r="AA16" s="147">
        <f t="shared" si="4"/>
        <v>397.67672413793105</v>
      </c>
    </row>
    <row r="17" spans="1:27" x14ac:dyDescent="0.25">
      <c r="A17" s="30" t="s">
        <v>20</v>
      </c>
      <c r="B17" s="30" t="s">
        <v>23</v>
      </c>
      <c r="C17" s="37"/>
      <c r="D17" s="22">
        <v>211.5</v>
      </c>
      <c r="E17" s="22">
        <v>1410</v>
      </c>
      <c r="F17" s="77">
        <v>6.25</v>
      </c>
      <c r="G17" s="22">
        <v>466</v>
      </c>
      <c r="H17" s="22" t="s">
        <v>10</v>
      </c>
      <c r="I17" s="28">
        <v>26</v>
      </c>
      <c r="J17" s="23">
        <v>33</v>
      </c>
      <c r="K17" s="25">
        <f>55/60</f>
        <v>0.91666666666666663</v>
      </c>
      <c r="L17" s="42">
        <v>5.79</v>
      </c>
      <c r="M17" s="42">
        <v>38.6</v>
      </c>
      <c r="N17" s="43">
        <f>IF($K17&lt;8,L17*$K17,10*L17)</f>
        <v>5.3075000000000001</v>
      </c>
      <c r="O17" s="44">
        <f>IF($K17&lt;8,M17*$K17,10*M17)</f>
        <v>35.383333333333333</v>
      </c>
      <c r="P17" s="44">
        <f>L17*$K17</f>
        <v>5.3075000000000001</v>
      </c>
      <c r="Q17" s="44">
        <f>M17*$K17</f>
        <v>35.383333333333333</v>
      </c>
      <c r="S17" s="41">
        <v>14.08</v>
      </c>
      <c r="T17" s="41"/>
      <c r="W17" s="40">
        <f>D17*F17</f>
        <v>1321.875</v>
      </c>
      <c r="X17" s="40">
        <f>E17*F17</f>
        <v>8812.5</v>
      </c>
      <c r="Z17" s="147">
        <f t="shared" si="4"/>
        <v>93.88316761363636</v>
      </c>
      <c r="AA17" s="147">
        <f t="shared" si="4"/>
        <v>625.88778409090912</v>
      </c>
    </row>
    <row r="18" spans="1:27" x14ac:dyDescent="0.25">
      <c r="A18" s="34"/>
      <c r="B18" s="17" t="s">
        <v>39</v>
      </c>
      <c r="C18" s="97">
        <v>750</v>
      </c>
      <c r="D18" s="18"/>
      <c r="E18" s="18">
        <v>437.1</v>
      </c>
      <c r="F18" s="126">
        <f>12+5/60</f>
        <v>12.083333333333334</v>
      </c>
      <c r="G18" s="18">
        <v>434</v>
      </c>
      <c r="H18" s="18" t="s">
        <v>8</v>
      </c>
      <c r="I18" s="28">
        <v>37</v>
      </c>
      <c r="J18" s="23">
        <v>60</v>
      </c>
      <c r="K18" s="25">
        <f>3</f>
        <v>3</v>
      </c>
      <c r="L18" s="42"/>
      <c r="M18" s="42">
        <v>23</v>
      </c>
      <c r="N18" s="43"/>
      <c r="O18" s="44">
        <f t="shared" si="16"/>
        <v>69</v>
      </c>
      <c r="P18" s="46"/>
      <c r="Q18" s="44">
        <f t="shared" si="17"/>
        <v>69</v>
      </c>
      <c r="S18" s="41">
        <v>12.93</v>
      </c>
      <c r="T18" s="41">
        <v>31.3</v>
      </c>
      <c r="W18" s="40"/>
      <c r="X18" s="40">
        <f>E18*F18</f>
        <v>5281.6250000000009</v>
      </c>
      <c r="AA18" s="147">
        <f t="shared" si="4"/>
        <v>408.47834493426149</v>
      </c>
    </row>
    <row r="19" spans="1:27" x14ac:dyDescent="0.25">
      <c r="A19" s="29"/>
      <c r="B19" s="29"/>
      <c r="C19" s="39"/>
      <c r="D19" s="29"/>
      <c r="E19" s="29"/>
      <c r="F19" s="45"/>
      <c r="G19" s="29"/>
      <c r="H19" s="29"/>
      <c r="M19" s="102">
        <f>SUM(M12:M18)</f>
        <v>251.1</v>
      </c>
      <c r="O19" s="102">
        <f>SUM(O12:O18)</f>
        <v>496.38333333333327</v>
      </c>
      <c r="Q19" s="102">
        <f>SUM(Q12:Q18)</f>
        <v>496.38333333333327</v>
      </c>
      <c r="S19" s="41"/>
      <c r="T19" s="41"/>
      <c r="W19" s="40"/>
      <c r="X19" s="40"/>
    </row>
    <row r="20" spans="1:27" x14ac:dyDescent="0.25">
      <c r="A20" s="96" t="s">
        <v>75</v>
      </c>
      <c r="B20" s="96" t="s">
        <v>92</v>
      </c>
      <c r="C20" s="139">
        <v>2600</v>
      </c>
      <c r="D20" s="27">
        <v>1833</v>
      </c>
      <c r="E20" s="27">
        <v>1833</v>
      </c>
      <c r="F20" s="122">
        <f>3+40/60</f>
        <v>3.6666666666666665</v>
      </c>
      <c r="G20" s="27">
        <v>801</v>
      </c>
      <c r="H20" s="27" t="s">
        <v>12</v>
      </c>
      <c r="I20" s="28"/>
      <c r="J20" s="23"/>
      <c r="K20" s="25"/>
      <c r="L20" s="42"/>
      <c r="M20" s="42"/>
      <c r="N20" s="43"/>
      <c r="O20" s="44"/>
      <c r="P20" s="44"/>
      <c r="Q20" s="44"/>
      <c r="S20" s="41"/>
      <c r="T20" s="41"/>
      <c r="W20" s="40">
        <f t="shared" ref="W20:W26" si="18">D20*F20</f>
        <v>6721</v>
      </c>
      <c r="X20" s="40">
        <f>E20*F20</f>
        <v>6721</v>
      </c>
    </row>
    <row r="21" spans="1:27" x14ac:dyDescent="0.25">
      <c r="A21" s="31" t="s">
        <v>20</v>
      </c>
      <c r="B21" s="31" t="s">
        <v>21</v>
      </c>
      <c r="C21" s="35"/>
      <c r="D21" s="27">
        <v>564</v>
      </c>
      <c r="E21" s="27">
        <v>564</v>
      </c>
      <c r="F21" s="122">
        <v>10.5</v>
      </c>
      <c r="G21" s="27">
        <v>406</v>
      </c>
      <c r="H21" s="27" t="s">
        <v>12</v>
      </c>
      <c r="I21" s="28">
        <v>38</v>
      </c>
      <c r="J21" s="23">
        <v>55</v>
      </c>
      <c r="K21" s="25">
        <v>3</v>
      </c>
      <c r="L21" s="42">
        <v>31</v>
      </c>
      <c r="M21" s="42">
        <v>31</v>
      </c>
      <c r="N21" s="43">
        <f>IF($K21&lt;8,L21*$K21,10*L21)</f>
        <v>93</v>
      </c>
      <c r="O21" s="44">
        <f>IF($K21&lt;8,M21*$K21,10*M21)</f>
        <v>93</v>
      </c>
      <c r="P21" s="44">
        <f>L21*$K21</f>
        <v>93</v>
      </c>
      <c r="Q21" s="44">
        <f>M21*$K21</f>
        <v>93</v>
      </c>
      <c r="S21" s="41">
        <v>15.1</v>
      </c>
      <c r="T21" s="41">
        <v>36.36</v>
      </c>
      <c r="W21" s="40">
        <f>D21*F21</f>
        <v>5922</v>
      </c>
      <c r="X21" s="40">
        <f>E21*F21</f>
        <v>5922</v>
      </c>
      <c r="Z21" s="147">
        <f t="shared" ref="Z21:AA26" si="19">W21/$S21</f>
        <v>392.18543046357615</v>
      </c>
      <c r="AA21" s="147">
        <f t="shared" si="19"/>
        <v>392.18543046357615</v>
      </c>
    </row>
    <row r="22" spans="1:27" x14ac:dyDescent="0.25">
      <c r="A22" s="34"/>
      <c r="B22" s="26" t="s">
        <v>84</v>
      </c>
      <c r="C22" s="97">
        <v>1400</v>
      </c>
      <c r="D22" s="27">
        <v>493.5</v>
      </c>
      <c r="E22" s="27">
        <v>493.5</v>
      </c>
      <c r="F22" s="122">
        <f>18+25/60</f>
        <v>18.416666666666668</v>
      </c>
      <c r="G22" s="27">
        <v>557</v>
      </c>
      <c r="H22" s="27" t="s">
        <v>12</v>
      </c>
      <c r="I22" s="28">
        <v>24</v>
      </c>
      <c r="J22" s="23">
        <v>27</v>
      </c>
      <c r="K22" s="25">
        <f>2+20/60</f>
        <v>2.3333333333333335</v>
      </c>
      <c r="L22" s="42">
        <v>12.7</v>
      </c>
      <c r="M22" s="42">
        <v>12.7</v>
      </c>
      <c r="N22" s="43">
        <f t="shared" ref="N22" si="20">IF($K22&lt;8,L22*$K22,10*L22)</f>
        <v>29.633333333333333</v>
      </c>
      <c r="O22" s="44">
        <f t="shared" ref="O22" si="21">IF($K22&lt;8,M22*$K22,10*M22)</f>
        <v>29.633333333333333</v>
      </c>
      <c r="P22" s="44">
        <f t="shared" ref="P22" si="22">L22*$K22</f>
        <v>29.633333333333333</v>
      </c>
      <c r="Q22" s="44">
        <f t="shared" ref="Q22" si="23">M22*$K22</f>
        <v>29.633333333333333</v>
      </c>
      <c r="S22" s="41">
        <v>18.23</v>
      </c>
      <c r="T22" s="41"/>
      <c r="W22" s="40">
        <f t="shared" si="18"/>
        <v>9088.625</v>
      </c>
      <c r="X22" s="40">
        <f>E22*F22</f>
        <v>9088.625</v>
      </c>
      <c r="Z22" s="147">
        <f t="shared" si="19"/>
        <v>498.55320899616015</v>
      </c>
      <c r="AA22" s="147">
        <f t="shared" si="19"/>
        <v>498.55320899616015</v>
      </c>
    </row>
    <row r="23" spans="1:27" x14ac:dyDescent="0.25">
      <c r="A23" s="34"/>
      <c r="B23" s="26" t="s">
        <v>51</v>
      </c>
      <c r="C23" s="97">
        <v>1100</v>
      </c>
      <c r="D23" s="27">
        <v>282</v>
      </c>
      <c r="E23" s="27">
        <v>507.6</v>
      </c>
      <c r="F23" s="122">
        <f>13+40/60</f>
        <v>13.666666666666666</v>
      </c>
      <c r="G23" s="27">
        <v>466</v>
      </c>
      <c r="H23" s="22" t="s">
        <v>10</v>
      </c>
      <c r="I23" s="28"/>
      <c r="J23" s="23"/>
      <c r="K23" s="25"/>
      <c r="L23" s="42"/>
      <c r="M23" s="42"/>
      <c r="N23" s="43"/>
      <c r="O23" s="44"/>
      <c r="P23" s="44"/>
      <c r="Q23" s="44"/>
      <c r="S23" s="41"/>
      <c r="T23" s="41"/>
      <c r="W23" s="40">
        <f t="shared" si="18"/>
        <v>3854</v>
      </c>
      <c r="X23" s="40">
        <f>E23*F23</f>
        <v>6937.2</v>
      </c>
    </row>
    <row r="24" spans="1:27" x14ac:dyDescent="0.25">
      <c r="A24" s="34"/>
      <c r="B24" s="26" t="s">
        <v>47</v>
      </c>
      <c r="C24" s="97">
        <v>1100</v>
      </c>
      <c r="D24" s="27">
        <v>507.6</v>
      </c>
      <c r="E24" s="27">
        <v>282</v>
      </c>
      <c r="F24" s="122">
        <f>13+40/60</f>
        <v>13.666666666666666</v>
      </c>
      <c r="G24" s="27">
        <v>477</v>
      </c>
      <c r="H24" s="27" t="s">
        <v>12</v>
      </c>
      <c r="I24" s="28"/>
      <c r="J24" s="23"/>
      <c r="K24" s="25"/>
      <c r="L24" s="42"/>
      <c r="M24" s="42"/>
      <c r="N24" s="43"/>
      <c r="O24" s="44"/>
      <c r="P24" s="44"/>
      <c r="Q24" s="44"/>
      <c r="S24" s="41"/>
      <c r="T24" s="41"/>
      <c r="W24" s="40">
        <f t="shared" si="18"/>
        <v>6937.2</v>
      </c>
      <c r="X24" s="40">
        <f>E24*F24</f>
        <v>3854</v>
      </c>
    </row>
    <row r="25" spans="1:27" x14ac:dyDescent="0.25">
      <c r="A25" s="33" t="s">
        <v>25</v>
      </c>
      <c r="B25" s="33" t="s">
        <v>38</v>
      </c>
      <c r="C25" s="36"/>
      <c r="D25" s="22">
        <v>393.39</v>
      </c>
      <c r="E25" s="22"/>
      <c r="F25" s="77">
        <f>12+5/60</f>
        <v>12.083333333333334</v>
      </c>
      <c r="G25" s="22">
        <v>535</v>
      </c>
      <c r="H25" s="22" t="s">
        <v>10</v>
      </c>
      <c r="I25" s="28"/>
      <c r="J25" s="23"/>
      <c r="K25" s="25"/>
      <c r="L25" s="42"/>
      <c r="M25" s="42"/>
      <c r="N25" s="43"/>
      <c r="O25" s="44"/>
      <c r="P25" s="46"/>
      <c r="Q25" s="44"/>
      <c r="S25" s="41"/>
      <c r="T25" s="41"/>
      <c r="W25" s="40">
        <f t="shared" si="18"/>
        <v>4753.4624999999996</v>
      </c>
      <c r="X25" s="40"/>
    </row>
    <row r="26" spans="1:27" x14ac:dyDescent="0.25">
      <c r="A26" s="34"/>
      <c r="B26" s="21" t="s">
        <v>38</v>
      </c>
      <c r="C26" s="97">
        <v>750</v>
      </c>
      <c r="D26" s="22">
        <v>437.1</v>
      </c>
      <c r="E26" s="22"/>
      <c r="F26" s="77">
        <f>12+5/60</f>
        <v>12.083333333333334</v>
      </c>
      <c r="G26" s="22">
        <v>418</v>
      </c>
      <c r="H26" s="22" t="s">
        <v>10</v>
      </c>
      <c r="I26" s="28">
        <v>37</v>
      </c>
      <c r="J26" s="23">
        <v>58</v>
      </c>
      <c r="K26" s="25">
        <v>3</v>
      </c>
      <c r="L26" s="42">
        <v>23</v>
      </c>
      <c r="M26" s="42"/>
      <c r="N26" s="43">
        <f>IF($K26&lt;8,L26*$K26,10*L26)</f>
        <v>69</v>
      </c>
      <c r="O26" s="44"/>
      <c r="P26" s="46">
        <f>L26*$K26</f>
        <v>69</v>
      </c>
      <c r="Q26" s="44"/>
      <c r="S26" s="41">
        <v>12.93</v>
      </c>
      <c r="T26" s="41">
        <v>31.3</v>
      </c>
      <c r="W26" s="40">
        <f t="shared" si="18"/>
        <v>5281.6250000000009</v>
      </c>
      <c r="X26" s="40"/>
      <c r="Z26" s="147">
        <f t="shared" si="19"/>
        <v>408.47834493426149</v>
      </c>
      <c r="AA26" s="147">
        <f t="shared" si="19"/>
        <v>0</v>
      </c>
    </row>
    <row r="27" spans="1:27" x14ac:dyDescent="0.25">
      <c r="A27" s="34"/>
      <c r="B27" s="21" t="s">
        <v>37</v>
      </c>
      <c r="C27" s="97">
        <v>750</v>
      </c>
      <c r="D27" s="22">
        <v>253.8</v>
      </c>
      <c r="E27" s="22">
        <v>253.8</v>
      </c>
      <c r="F27" s="77">
        <f>18+25/60</f>
        <v>18.416666666666668</v>
      </c>
      <c r="G27" s="22">
        <v>450</v>
      </c>
      <c r="H27" s="18" t="s">
        <v>8</v>
      </c>
      <c r="I27" s="28">
        <v>16</v>
      </c>
      <c r="J27" s="23">
        <v>11</v>
      </c>
      <c r="K27" s="25">
        <f>55/60</f>
        <v>0.91666666666666663</v>
      </c>
      <c r="L27" s="42">
        <v>4.63</v>
      </c>
      <c r="M27" s="42">
        <v>4.63</v>
      </c>
      <c r="N27" s="43">
        <f>IF($K27&lt;8,L27*$K27,10*L27)</f>
        <v>4.2441666666666666</v>
      </c>
      <c r="O27" s="44">
        <f>IF($K27&lt;8,M27*$K27,10*M27)</f>
        <v>4.2441666666666666</v>
      </c>
      <c r="P27" s="46">
        <f>L27*$K27</f>
        <v>4.2441666666666666</v>
      </c>
      <c r="Q27" s="44">
        <f>M27*$K27</f>
        <v>4.2441666666666666</v>
      </c>
      <c r="T27" s="41"/>
      <c r="U27" s="41"/>
      <c r="W27" s="40">
        <f t="shared" si="7"/>
        <v>4674.1500000000005</v>
      </c>
      <c r="X27" s="40">
        <f t="shared" si="8"/>
        <v>4674.1500000000005</v>
      </c>
    </row>
    <row r="28" spans="1:27" x14ac:dyDescent="0.25">
      <c r="A28" s="34"/>
      <c r="B28" s="17" t="s">
        <v>19</v>
      </c>
      <c r="C28" s="97">
        <v>450</v>
      </c>
      <c r="D28" s="18">
        <v>366.6</v>
      </c>
      <c r="E28" s="18">
        <v>141</v>
      </c>
      <c r="F28" s="122">
        <f>12+35/60</f>
        <v>12.583333333333334</v>
      </c>
      <c r="G28" s="18">
        <v>376</v>
      </c>
      <c r="H28" s="18" t="s">
        <v>12</v>
      </c>
      <c r="I28" s="28">
        <v>22</v>
      </c>
      <c r="J28" s="23">
        <v>10</v>
      </c>
      <c r="K28" s="25">
        <f>1+10/60</f>
        <v>1.1666666666666667</v>
      </c>
      <c r="L28" s="42">
        <v>8.58</v>
      </c>
      <c r="M28" s="42"/>
      <c r="N28" s="43">
        <f>IF($K28&lt;8,L28*$K28,10*L28)</f>
        <v>10.010000000000002</v>
      </c>
      <c r="O28" s="44"/>
      <c r="P28" s="46">
        <f>L28*$K28</f>
        <v>10.010000000000002</v>
      </c>
      <c r="Q28" s="44"/>
      <c r="T28" s="41"/>
      <c r="U28" s="41"/>
      <c r="W28" s="40">
        <f t="shared" si="7"/>
        <v>4613.05</v>
      </c>
      <c r="X28" s="40">
        <f t="shared" si="8"/>
        <v>1774.25</v>
      </c>
    </row>
    <row r="29" spans="1:27" x14ac:dyDescent="0.25">
      <c r="A29" s="34"/>
      <c r="B29" s="17" t="s">
        <v>34</v>
      </c>
      <c r="C29" s="18">
        <v>430</v>
      </c>
      <c r="D29" s="18">
        <v>155.1</v>
      </c>
      <c r="E29" s="18">
        <v>169.2</v>
      </c>
      <c r="F29" s="126">
        <v>26</v>
      </c>
      <c r="G29" s="18">
        <v>351</v>
      </c>
      <c r="H29" s="22" t="s">
        <v>10</v>
      </c>
      <c r="I29" s="28"/>
      <c r="J29" s="23"/>
      <c r="K29" s="25"/>
      <c r="L29" s="42"/>
      <c r="M29" s="42"/>
      <c r="N29" s="43"/>
      <c r="O29" s="44"/>
      <c r="P29" s="46"/>
      <c r="Q29" s="44"/>
      <c r="T29" s="41"/>
      <c r="U29" s="41"/>
      <c r="W29" s="40">
        <f t="shared" si="7"/>
        <v>4032.6</v>
      </c>
      <c r="X29" s="40">
        <f t="shared" si="8"/>
        <v>4399.2</v>
      </c>
    </row>
    <row r="30" spans="1:27" x14ac:dyDescent="0.25">
      <c r="A30" s="33" t="s">
        <v>25</v>
      </c>
      <c r="B30" s="33" t="s">
        <v>18</v>
      </c>
      <c r="C30" s="36"/>
      <c r="D30" s="18">
        <v>215.73</v>
      </c>
      <c r="E30" s="18">
        <v>215.73</v>
      </c>
      <c r="F30" s="126">
        <f>16+50/60</f>
        <v>16.833333333333332</v>
      </c>
      <c r="G30" s="18">
        <v>535</v>
      </c>
      <c r="H30" s="18" t="s">
        <v>8</v>
      </c>
      <c r="I30" s="28"/>
      <c r="J30" s="23"/>
      <c r="K30" s="25"/>
      <c r="L30" s="42"/>
      <c r="M30" s="42"/>
      <c r="N30" s="43"/>
      <c r="O30" s="44"/>
      <c r="P30" s="46"/>
      <c r="Q30" s="44"/>
      <c r="T30" s="41"/>
      <c r="U30" s="41"/>
      <c r="W30" s="40">
        <f t="shared" ref="W30" si="24">D30*F30</f>
        <v>3631.4549999999995</v>
      </c>
      <c r="X30" s="40">
        <f t="shared" ref="X30" si="25">E30*F30</f>
        <v>3631.4549999999995</v>
      </c>
    </row>
    <row r="31" spans="1:27" x14ac:dyDescent="0.25">
      <c r="A31" s="34"/>
      <c r="B31" s="26" t="s">
        <v>18</v>
      </c>
      <c r="C31" s="27">
        <v>380</v>
      </c>
      <c r="D31" s="27">
        <v>239.7</v>
      </c>
      <c r="E31" s="27">
        <v>239.7</v>
      </c>
      <c r="F31" s="122">
        <f>16+50/60</f>
        <v>16.833333333333332</v>
      </c>
      <c r="G31" s="27">
        <v>416</v>
      </c>
      <c r="H31" s="27" t="s">
        <v>8</v>
      </c>
      <c r="I31" s="28">
        <v>31</v>
      </c>
      <c r="J31" s="23">
        <v>44</v>
      </c>
      <c r="K31" s="25">
        <f>3+10/60</f>
        <v>3.1666666666666665</v>
      </c>
      <c r="L31" s="42">
        <v>8.4149999999999991</v>
      </c>
      <c r="M31" s="42">
        <v>8.4149999999999991</v>
      </c>
      <c r="N31" s="43">
        <f>IF($K31&lt;8,L31*$K31,10*L31)</f>
        <v>26.647499999999997</v>
      </c>
      <c r="O31" s="44">
        <f>IF($K31&lt;8,M31*$K31,10*M31)</f>
        <v>26.647499999999997</v>
      </c>
      <c r="P31" s="44">
        <f>L31*$K31</f>
        <v>26.647499999999997</v>
      </c>
      <c r="Q31" s="44">
        <f>M31*$K31</f>
        <v>26.647499999999997</v>
      </c>
      <c r="T31" s="41"/>
      <c r="U31" s="41"/>
      <c r="W31" s="40">
        <f>D31*F31</f>
        <v>4034.9499999999994</v>
      </c>
      <c r="X31" s="40">
        <f>E31*F31</f>
        <v>4034.9499999999994</v>
      </c>
    </row>
    <row r="32" spans="1:27" x14ac:dyDescent="0.25">
      <c r="A32" s="34"/>
      <c r="B32" s="21" t="s">
        <v>17</v>
      </c>
      <c r="C32" s="22">
        <v>300</v>
      </c>
      <c r="D32" s="22">
        <v>169.2</v>
      </c>
      <c r="E32" s="22">
        <v>155.1</v>
      </c>
      <c r="F32" s="77">
        <v>26</v>
      </c>
      <c r="G32" s="22">
        <v>351</v>
      </c>
      <c r="H32" s="22" t="s">
        <v>10</v>
      </c>
      <c r="I32" s="28">
        <v>21</v>
      </c>
      <c r="J32" s="23">
        <v>12</v>
      </c>
      <c r="K32" s="25">
        <f>2+15/60</f>
        <v>2.25</v>
      </c>
      <c r="L32" s="42">
        <v>3.64</v>
      </c>
      <c r="M32" s="42"/>
      <c r="N32" s="43">
        <f t="shared" ref="N32" si="26">IF($K32&lt;8,L32*$K32,10*L32)</f>
        <v>8.19</v>
      </c>
      <c r="O32" s="44"/>
      <c r="P32" s="44">
        <f t="shared" ref="P32" si="27">L32*$K32</f>
        <v>8.19</v>
      </c>
      <c r="Q32" s="44"/>
      <c r="T32" s="41"/>
      <c r="U32" s="41"/>
      <c r="W32" s="40">
        <f t="shared" si="7"/>
        <v>4399.2</v>
      </c>
      <c r="X32" s="40">
        <f t="shared" si="8"/>
        <v>4032.6</v>
      </c>
    </row>
    <row r="33" spans="1:27" x14ac:dyDescent="0.25">
      <c r="A33" s="33" t="s">
        <v>25</v>
      </c>
      <c r="B33" s="33" t="s">
        <v>16</v>
      </c>
      <c r="C33" s="36"/>
      <c r="D33" s="22">
        <v>507.6</v>
      </c>
      <c r="E33" s="22">
        <v>507.6</v>
      </c>
      <c r="F33" s="77">
        <f>5+15/60</f>
        <v>5.25</v>
      </c>
      <c r="G33" s="22">
        <v>436</v>
      </c>
      <c r="H33" s="18" t="s">
        <v>12</v>
      </c>
      <c r="I33" s="28"/>
      <c r="J33" s="24"/>
      <c r="K33" s="25"/>
      <c r="L33" s="42"/>
      <c r="M33" s="42"/>
      <c r="N33" s="43"/>
      <c r="O33" s="44"/>
      <c r="P33" s="46"/>
      <c r="Q33" s="44"/>
      <c r="T33" s="41"/>
      <c r="U33" s="41"/>
      <c r="W33" s="40">
        <f t="shared" ref="W33" si="28">D33*F33</f>
        <v>2664.9</v>
      </c>
      <c r="X33" s="40">
        <f t="shared" ref="X33" si="29">E33*F33</f>
        <v>2664.9</v>
      </c>
    </row>
    <row r="34" spans="1:27" x14ac:dyDescent="0.25">
      <c r="A34" s="33" t="s">
        <v>25</v>
      </c>
      <c r="B34" s="33" t="s">
        <v>14</v>
      </c>
      <c r="C34" s="36"/>
      <c r="D34" s="22">
        <v>139.59</v>
      </c>
      <c r="E34" s="22">
        <v>139.59</v>
      </c>
      <c r="F34" s="77">
        <v>21</v>
      </c>
      <c r="G34" s="22">
        <v>417</v>
      </c>
      <c r="H34" s="18" t="s">
        <v>12</v>
      </c>
      <c r="I34" s="23"/>
      <c r="J34" s="24"/>
      <c r="K34" s="25"/>
      <c r="L34" s="42"/>
      <c r="M34" s="42"/>
      <c r="N34" s="43"/>
      <c r="O34" s="44"/>
      <c r="P34" s="44"/>
      <c r="Q34" s="44"/>
      <c r="T34" s="41"/>
      <c r="U34" s="41"/>
      <c r="W34" s="40">
        <f t="shared" ref="W34" si="30">D34*F34</f>
        <v>2931.39</v>
      </c>
      <c r="X34" s="40">
        <f t="shared" ref="X34" si="31">E34*F34</f>
        <v>2931.39</v>
      </c>
    </row>
    <row r="35" spans="1:27" x14ac:dyDescent="0.25">
      <c r="A35" s="34"/>
      <c r="B35" s="17" t="s">
        <v>14</v>
      </c>
      <c r="C35" s="18">
        <v>200</v>
      </c>
      <c r="D35" s="18">
        <v>155.1</v>
      </c>
      <c r="E35" s="18">
        <v>155.1</v>
      </c>
      <c r="F35" s="126">
        <v>21</v>
      </c>
      <c r="G35" s="18">
        <v>328</v>
      </c>
      <c r="H35" s="18" t="s">
        <v>12</v>
      </c>
      <c r="I35" s="23">
        <v>19</v>
      </c>
      <c r="J35" s="23">
        <v>6</v>
      </c>
      <c r="K35" s="25">
        <f>1+35/60</f>
        <v>1.5833333333333335</v>
      </c>
      <c r="L35" s="42">
        <v>3.05</v>
      </c>
      <c r="M35" s="42">
        <v>3.05</v>
      </c>
      <c r="N35" s="43">
        <f t="shared" ref="N35:N38" si="32">IF($K35&lt;8,L35*$K35,10*L35)</f>
        <v>4.8291666666666666</v>
      </c>
      <c r="O35" s="44">
        <f t="shared" ref="O35:O38" si="33">IF($K35&lt;8,M35*$K35,10*M35)</f>
        <v>4.8291666666666666</v>
      </c>
      <c r="P35" s="44">
        <f t="shared" ref="P35:P38" si="34">L35*$K35</f>
        <v>4.8291666666666666</v>
      </c>
      <c r="Q35" s="44">
        <f t="shared" ref="Q35:Q38" si="35">M35*$K35</f>
        <v>4.8291666666666666</v>
      </c>
      <c r="T35" s="41"/>
      <c r="U35" s="41"/>
      <c r="W35" s="40">
        <f t="shared" si="7"/>
        <v>3257.1</v>
      </c>
      <c r="X35" s="40">
        <f t="shared" si="8"/>
        <v>3257.1</v>
      </c>
    </row>
    <row r="36" spans="1:27" x14ac:dyDescent="0.25">
      <c r="A36" s="34"/>
      <c r="B36" s="21" t="s">
        <v>15</v>
      </c>
      <c r="C36" s="22">
        <v>200</v>
      </c>
      <c r="D36" s="22"/>
      <c r="E36" s="22">
        <v>324.3</v>
      </c>
      <c r="F36" s="77">
        <v>10.5</v>
      </c>
      <c r="G36" s="22">
        <v>318</v>
      </c>
      <c r="H36" s="22" t="s">
        <v>10</v>
      </c>
      <c r="I36" s="28">
        <v>24</v>
      </c>
      <c r="J36" s="23">
        <v>13</v>
      </c>
      <c r="K36" s="25">
        <f>1+20/60</f>
        <v>1.3333333333333333</v>
      </c>
      <c r="L36" s="42"/>
      <c r="M36" s="42">
        <v>8.35</v>
      </c>
      <c r="N36" s="43"/>
      <c r="O36" s="44">
        <f>IF($K36&lt;8,M36*$K36,10*M36)</f>
        <v>11.133333333333333</v>
      </c>
      <c r="P36" s="45"/>
      <c r="Q36" s="44">
        <f>M36*$K36</f>
        <v>11.133333333333333</v>
      </c>
      <c r="T36" s="41"/>
      <c r="U36" s="41"/>
      <c r="W36" s="40"/>
      <c r="X36" s="40">
        <f>E36*F36</f>
        <v>3405.15</v>
      </c>
    </row>
    <row r="37" spans="1:27" x14ac:dyDescent="0.25">
      <c r="A37" s="34"/>
      <c r="B37" s="21" t="s">
        <v>13</v>
      </c>
      <c r="C37" s="22">
        <v>200</v>
      </c>
      <c r="D37" s="22">
        <v>324.3</v>
      </c>
      <c r="E37" s="22"/>
      <c r="F37" s="77">
        <v>10.5</v>
      </c>
      <c r="G37" s="22">
        <v>334</v>
      </c>
      <c r="H37" s="22" t="s">
        <v>8</v>
      </c>
      <c r="I37" s="23">
        <v>19</v>
      </c>
      <c r="J37" s="24">
        <v>9</v>
      </c>
      <c r="K37" s="25">
        <f>48/60</f>
        <v>0.8</v>
      </c>
      <c r="L37" s="43">
        <v>6.38</v>
      </c>
      <c r="M37" s="43"/>
      <c r="N37" s="43">
        <f>IF($K37&lt;8,L37*$K37,10*L37)</f>
        <v>5.1040000000000001</v>
      </c>
      <c r="O37" s="44"/>
      <c r="P37" s="44">
        <f>L37*$K37</f>
        <v>5.1040000000000001</v>
      </c>
      <c r="Q37" s="44"/>
      <c r="T37" s="41"/>
      <c r="U37" s="41"/>
      <c r="W37" s="40">
        <f>D37*F37</f>
        <v>3405.15</v>
      </c>
      <c r="X37" s="40"/>
    </row>
    <row r="38" spans="1:27" x14ac:dyDescent="0.25">
      <c r="A38" s="33" t="s">
        <v>25</v>
      </c>
      <c r="B38" s="33" t="s">
        <v>9</v>
      </c>
      <c r="C38" s="36"/>
      <c r="D38" s="18">
        <v>190.35</v>
      </c>
      <c r="E38" s="18">
        <v>253.8</v>
      </c>
      <c r="F38" s="126">
        <v>10.5</v>
      </c>
      <c r="G38" s="18">
        <v>384</v>
      </c>
      <c r="H38" s="22" t="s">
        <v>10</v>
      </c>
      <c r="I38" s="23">
        <v>12</v>
      </c>
      <c r="J38" s="23">
        <v>6</v>
      </c>
      <c r="K38" s="25">
        <f>20/60</f>
        <v>0.33333333333333331</v>
      </c>
      <c r="L38" s="42">
        <v>3.34</v>
      </c>
      <c r="M38" s="42">
        <v>4.46</v>
      </c>
      <c r="N38" s="43">
        <f t="shared" si="32"/>
        <v>1.1133333333333333</v>
      </c>
      <c r="O38" s="44">
        <f t="shared" si="33"/>
        <v>1.4866666666666666</v>
      </c>
      <c r="P38" s="44">
        <f t="shared" si="34"/>
        <v>1.1133333333333333</v>
      </c>
      <c r="Q38" s="44">
        <f t="shared" si="35"/>
        <v>1.4866666666666666</v>
      </c>
      <c r="T38" s="41"/>
      <c r="U38" s="41"/>
      <c r="W38" s="40">
        <f t="shared" si="7"/>
        <v>1998.675</v>
      </c>
      <c r="X38" s="40">
        <f t="shared" si="8"/>
        <v>2664.9</v>
      </c>
    </row>
    <row r="39" spans="1:27" x14ac:dyDescent="0.25">
      <c r="A39" s="34"/>
      <c r="B39" s="17" t="s">
        <v>9</v>
      </c>
      <c r="C39" s="18">
        <v>150</v>
      </c>
      <c r="D39" s="18">
        <v>211.5</v>
      </c>
      <c r="E39" s="18">
        <v>282</v>
      </c>
      <c r="F39" s="126">
        <v>10.5</v>
      </c>
      <c r="G39" s="18">
        <v>303</v>
      </c>
      <c r="H39" s="18" t="s">
        <v>10</v>
      </c>
      <c r="I39" s="23">
        <v>21</v>
      </c>
      <c r="J39" s="23">
        <v>9</v>
      </c>
      <c r="K39" s="25">
        <f>55/60</f>
        <v>0.91666666666666663</v>
      </c>
      <c r="L39" s="42">
        <v>4.55</v>
      </c>
      <c r="M39" s="42">
        <v>6.07</v>
      </c>
      <c r="N39" s="43">
        <f t="shared" ref="N39" si="36">IF($K39&lt;8,L39*$K39,10*L39)</f>
        <v>4.1708333333333334</v>
      </c>
      <c r="O39" s="44">
        <f t="shared" ref="O39" si="37">IF($K39&lt;8,M39*$K39,10*M39)</f>
        <v>5.5641666666666669</v>
      </c>
      <c r="P39" s="44">
        <f t="shared" ref="P39" si="38">L39*$K39</f>
        <v>4.1708333333333334</v>
      </c>
      <c r="Q39" s="44">
        <f t="shared" ref="Q39" si="39">M39*$K39</f>
        <v>5.5641666666666669</v>
      </c>
      <c r="T39" s="41"/>
      <c r="U39" s="41"/>
      <c r="W39" s="40">
        <f t="shared" si="7"/>
        <v>2220.75</v>
      </c>
      <c r="X39" s="40">
        <f t="shared" si="8"/>
        <v>2961</v>
      </c>
    </row>
    <row r="40" spans="1:27" x14ac:dyDescent="0.25">
      <c r="A40" s="33" t="s">
        <v>25</v>
      </c>
      <c r="B40" s="33" t="s">
        <v>7</v>
      </c>
      <c r="C40" s="36"/>
      <c r="D40" s="22">
        <v>253.8</v>
      </c>
      <c r="E40" s="22">
        <v>190.35</v>
      </c>
      <c r="F40" s="77">
        <v>10.5</v>
      </c>
      <c r="G40" s="22">
        <v>397</v>
      </c>
      <c r="H40" s="22" t="s">
        <v>8</v>
      </c>
      <c r="I40" s="28">
        <v>30</v>
      </c>
      <c r="J40" s="23">
        <v>37</v>
      </c>
      <c r="K40" s="25">
        <f>1+55/60</f>
        <v>1.9166666666666665</v>
      </c>
      <c r="L40" s="42">
        <v>8.3800000000000008</v>
      </c>
      <c r="M40" s="42">
        <v>6.28</v>
      </c>
      <c r="N40" s="43">
        <f>IF($K40&lt;8,L40*$K40,10*L40)</f>
        <v>16.061666666666667</v>
      </c>
      <c r="O40" s="44">
        <f>IF($K40&lt;8,M40*$K40,10*M40)</f>
        <v>12.036666666666667</v>
      </c>
      <c r="P40" s="44">
        <f>L40*$K40</f>
        <v>16.061666666666667</v>
      </c>
      <c r="Q40" s="44">
        <f>M40*$K40</f>
        <v>12.036666666666667</v>
      </c>
      <c r="T40" s="41"/>
      <c r="U40" s="41"/>
      <c r="W40" s="40">
        <f>D40*F40</f>
        <v>2664.9</v>
      </c>
      <c r="X40" s="40">
        <f>E40*F40</f>
        <v>1998.675</v>
      </c>
    </row>
    <row r="41" spans="1:27" x14ac:dyDescent="0.25">
      <c r="A41" s="34"/>
      <c r="B41" s="17" t="s">
        <v>7</v>
      </c>
      <c r="C41" s="18">
        <v>100</v>
      </c>
      <c r="D41" s="18">
        <v>282</v>
      </c>
      <c r="E41" s="18">
        <v>211.5</v>
      </c>
      <c r="F41" s="126">
        <v>10.5</v>
      </c>
      <c r="G41" s="18">
        <v>315</v>
      </c>
      <c r="H41" s="18" t="s">
        <v>8</v>
      </c>
      <c r="I41" s="23">
        <v>15</v>
      </c>
      <c r="J41" s="23">
        <v>5</v>
      </c>
      <c r="K41" s="25">
        <f>30/60</f>
        <v>0.5</v>
      </c>
      <c r="L41" s="42">
        <v>5.12</v>
      </c>
      <c r="M41" s="42">
        <v>3.84</v>
      </c>
      <c r="N41" s="43">
        <f t="shared" ref="N41" si="40">IF($K41&lt;8,L41*$K41,10*L41)</f>
        <v>2.56</v>
      </c>
      <c r="O41" s="44">
        <f t="shared" ref="O41" si="41">IF($K41&lt;8,M41*$K41,10*M41)</f>
        <v>1.92</v>
      </c>
      <c r="P41" s="44">
        <f t="shared" ref="P41" si="42">L41*$K41</f>
        <v>2.56</v>
      </c>
      <c r="Q41" s="44">
        <f t="shared" ref="Q41" si="43">M41*$K41</f>
        <v>1.92</v>
      </c>
      <c r="T41" s="41"/>
      <c r="U41" s="41"/>
      <c r="W41" s="40">
        <f>D41*F41</f>
        <v>2961</v>
      </c>
      <c r="X41" s="40">
        <f>E41*F41</f>
        <v>2220.75</v>
      </c>
    </row>
    <row r="42" spans="1:27" x14ac:dyDescent="0.25">
      <c r="A42" s="32" t="s">
        <v>26</v>
      </c>
      <c r="B42" s="32" t="s">
        <v>61</v>
      </c>
      <c r="C42" s="38"/>
      <c r="D42" s="22">
        <v>338.4</v>
      </c>
      <c r="E42" s="22">
        <v>338.4</v>
      </c>
      <c r="F42" s="122">
        <f>8+25/60</f>
        <v>8.4166666666666661</v>
      </c>
      <c r="G42" s="22">
        <v>311</v>
      </c>
      <c r="H42" s="22" t="s">
        <v>12</v>
      </c>
      <c r="I42" s="23">
        <v>30</v>
      </c>
      <c r="J42" s="23">
        <v>17</v>
      </c>
      <c r="K42" s="25">
        <f>1.5</f>
        <v>1.5</v>
      </c>
      <c r="L42" s="42">
        <v>11.2</v>
      </c>
      <c r="M42" s="42">
        <v>11.2</v>
      </c>
      <c r="N42" s="43">
        <f>IF($K42&lt;8,L42*$K42,10*L42)</f>
        <v>16.799999999999997</v>
      </c>
      <c r="O42" s="44">
        <f>IF($K42&lt;8,M42*$K42,10*M42)</f>
        <v>16.799999999999997</v>
      </c>
      <c r="P42" s="44">
        <f>L42*$K42</f>
        <v>16.799999999999997</v>
      </c>
      <c r="Q42" s="44">
        <f>M42*$K42</f>
        <v>16.799999999999997</v>
      </c>
      <c r="T42" s="41"/>
      <c r="U42" s="41"/>
      <c r="W42" s="40">
        <f>D42*F42</f>
        <v>2848.2</v>
      </c>
      <c r="X42" s="40">
        <f>E42*F42</f>
        <v>2848.2</v>
      </c>
    </row>
    <row r="43" spans="1:27" x14ac:dyDescent="0.25">
      <c r="A43" s="29"/>
      <c r="B43" s="29"/>
      <c r="C43" s="29"/>
      <c r="D43" s="29"/>
      <c r="E43" s="29"/>
      <c r="F43" s="45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T43" s="41"/>
      <c r="U43" s="41"/>
      <c r="W43" s="40"/>
      <c r="X43" s="40"/>
    </row>
    <row r="44" spans="1:27" s="67" customFormat="1" x14ac:dyDescent="0.25">
      <c r="A44" s="96" t="s">
        <v>75</v>
      </c>
      <c r="B44" s="96" t="s">
        <v>76</v>
      </c>
      <c r="C44" s="123">
        <v>1750</v>
      </c>
      <c r="D44" s="22"/>
      <c r="E44" s="22">
        <v>353</v>
      </c>
      <c r="F44" s="77">
        <f>24+18</f>
        <v>42</v>
      </c>
      <c r="G44" s="22">
        <v>659</v>
      </c>
      <c r="H44" s="18" t="s">
        <v>8</v>
      </c>
      <c r="I44" s="23"/>
      <c r="J44" s="23"/>
      <c r="K44" s="25"/>
      <c r="L44" s="42"/>
      <c r="M44" s="42"/>
      <c r="N44" s="43"/>
      <c r="O44" s="44"/>
      <c r="P44" s="46"/>
      <c r="Q44" s="44"/>
      <c r="S44" s="98"/>
      <c r="T44" s="84"/>
      <c r="U44" s="84"/>
      <c r="W44" s="68"/>
      <c r="X44" s="68">
        <f t="shared" ref="X44:X54" si="44">E44*F44</f>
        <v>14826</v>
      </c>
      <c r="Z44" s="147"/>
      <c r="AA44" s="147"/>
    </row>
    <row r="45" spans="1:27" s="67" customFormat="1" x14ac:dyDescent="0.25">
      <c r="A45" s="96" t="s">
        <v>75</v>
      </c>
      <c r="B45" s="96" t="s">
        <v>77</v>
      </c>
      <c r="C45" s="123">
        <v>2200</v>
      </c>
      <c r="D45" s="22">
        <v>2002</v>
      </c>
      <c r="E45" s="22">
        <v>252</v>
      </c>
      <c r="F45" s="77">
        <f>4+40/60</f>
        <v>4.666666666666667</v>
      </c>
      <c r="G45" s="22">
        <v>624</v>
      </c>
      <c r="H45" s="18" t="s">
        <v>10</v>
      </c>
      <c r="I45" s="23"/>
      <c r="J45" s="23"/>
      <c r="K45" s="25"/>
      <c r="L45" s="42"/>
      <c r="M45" s="42"/>
      <c r="N45" s="43"/>
      <c r="O45" s="44"/>
      <c r="P45" s="46"/>
      <c r="Q45" s="44"/>
      <c r="S45" s="98"/>
      <c r="T45" s="84"/>
      <c r="U45" s="84"/>
      <c r="W45" s="68">
        <f t="shared" ref="W45:W50" si="45">D45*F45</f>
        <v>9342.6666666666679</v>
      </c>
      <c r="X45" s="68">
        <f t="shared" si="44"/>
        <v>1176</v>
      </c>
      <c r="Z45" s="147"/>
      <c r="AA45" s="147"/>
    </row>
    <row r="46" spans="1:27" s="67" customFormat="1" x14ac:dyDescent="0.25">
      <c r="A46" s="96" t="s">
        <v>75</v>
      </c>
      <c r="B46" s="96" t="s">
        <v>88</v>
      </c>
      <c r="C46" s="139">
        <v>1700</v>
      </c>
      <c r="D46" s="22"/>
      <c r="E46" s="22">
        <v>606.29999999999995</v>
      </c>
      <c r="F46" s="77">
        <v>21</v>
      </c>
      <c r="G46" s="22">
        <v>708</v>
      </c>
      <c r="H46" s="18" t="s">
        <v>8</v>
      </c>
      <c r="I46" s="23"/>
      <c r="J46" s="23"/>
      <c r="K46" s="25"/>
      <c r="L46" s="42"/>
      <c r="M46" s="42"/>
      <c r="N46" s="43"/>
      <c r="O46" s="44"/>
      <c r="P46" s="46"/>
      <c r="Q46" s="44"/>
      <c r="S46" s="98"/>
      <c r="T46" s="84"/>
      <c r="U46" s="84"/>
      <c r="W46" s="68"/>
      <c r="X46" s="68">
        <f t="shared" si="44"/>
        <v>12732.3</v>
      </c>
      <c r="Z46" s="147"/>
      <c r="AA46" s="147"/>
    </row>
    <row r="47" spans="1:27" s="67" customFormat="1" x14ac:dyDescent="0.25">
      <c r="A47" s="96" t="s">
        <v>75</v>
      </c>
      <c r="B47" s="96" t="s">
        <v>89</v>
      </c>
      <c r="C47" s="139">
        <v>1700</v>
      </c>
      <c r="D47" s="22">
        <v>564</v>
      </c>
      <c r="E47" s="22">
        <v>564</v>
      </c>
      <c r="F47" s="77">
        <v>21</v>
      </c>
      <c r="G47" s="22">
        <v>655</v>
      </c>
      <c r="H47" s="22" t="s">
        <v>12</v>
      </c>
      <c r="I47" s="23"/>
      <c r="J47" s="23"/>
      <c r="K47" s="25"/>
      <c r="L47" s="42"/>
      <c r="M47" s="42"/>
      <c r="N47" s="43"/>
      <c r="O47" s="44"/>
      <c r="P47" s="46"/>
      <c r="Q47" s="44"/>
      <c r="S47" s="98"/>
      <c r="T47" s="84"/>
      <c r="U47" s="84"/>
      <c r="W47" s="68">
        <f t="shared" si="45"/>
        <v>11844</v>
      </c>
      <c r="X47" s="68">
        <f t="shared" si="44"/>
        <v>11844</v>
      </c>
      <c r="Z47" s="147"/>
      <c r="AA47" s="147"/>
    </row>
    <row r="48" spans="1:27" s="67" customFormat="1" x14ac:dyDescent="0.25">
      <c r="A48" s="34"/>
      <c r="B48" s="21" t="s">
        <v>87</v>
      </c>
      <c r="C48" s="22">
        <v>1400</v>
      </c>
      <c r="D48" s="22">
        <v>310.2</v>
      </c>
      <c r="E48" s="22">
        <v>310.2</v>
      </c>
      <c r="F48" s="77">
        <f>24+7</f>
        <v>31</v>
      </c>
      <c r="G48" s="22">
        <v>583</v>
      </c>
      <c r="H48" s="18" t="s">
        <v>10</v>
      </c>
      <c r="I48" s="23"/>
      <c r="J48" s="23"/>
      <c r="K48" s="25"/>
      <c r="L48" s="42"/>
      <c r="M48" s="42"/>
      <c r="N48" s="43"/>
      <c r="O48" s="44"/>
      <c r="P48" s="46"/>
      <c r="Q48" s="44"/>
      <c r="S48" s="98"/>
      <c r="T48" s="84"/>
      <c r="U48" s="84"/>
      <c r="W48" s="68">
        <f t="shared" si="45"/>
        <v>9616.1999999999989</v>
      </c>
      <c r="X48" s="68">
        <f t="shared" si="44"/>
        <v>9616.1999999999989</v>
      </c>
      <c r="Z48" s="147"/>
      <c r="AA48" s="147"/>
    </row>
    <row r="49" spans="1:27" s="67" customFormat="1" x14ac:dyDescent="0.25">
      <c r="A49" s="96" t="s">
        <v>75</v>
      </c>
      <c r="B49" s="96" t="s">
        <v>86</v>
      </c>
      <c r="C49" s="139">
        <v>1400</v>
      </c>
      <c r="D49" s="22">
        <v>1269</v>
      </c>
      <c r="E49" s="22">
        <v>1269</v>
      </c>
      <c r="F49" s="77">
        <v>6.25</v>
      </c>
      <c r="G49" s="22">
        <v>575</v>
      </c>
      <c r="H49" s="18" t="s">
        <v>8</v>
      </c>
      <c r="I49" s="23"/>
      <c r="J49" s="23"/>
      <c r="K49" s="25"/>
      <c r="L49" s="42"/>
      <c r="M49" s="42"/>
      <c r="N49" s="43"/>
      <c r="O49" s="44"/>
      <c r="P49" s="46"/>
      <c r="Q49" s="44"/>
      <c r="S49" s="98"/>
      <c r="T49" s="84"/>
      <c r="U49" s="84"/>
      <c r="W49" s="68">
        <f t="shared" ref="W49" si="46">D49*F49</f>
        <v>7931.25</v>
      </c>
      <c r="X49" s="68">
        <f t="shared" ref="X49" si="47">E49*F49</f>
        <v>7931.25</v>
      </c>
      <c r="Z49" s="147"/>
      <c r="AA49" s="147"/>
    </row>
    <row r="50" spans="1:27" s="67" customFormat="1" x14ac:dyDescent="0.25">
      <c r="A50" s="34"/>
      <c r="B50" s="21" t="s">
        <v>50</v>
      </c>
      <c r="C50" s="22">
        <v>1100</v>
      </c>
      <c r="D50" s="22">
        <v>183.3</v>
      </c>
      <c r="E50" s="22">
        <v>225.6</v>
      </c>
      <c r="F50" s="77">
        <v>26</v>
      </c>
      <c r="G50" s="22">
        <v>500</v>
      </c>
      <c r="H50" s="18" t="s">
        <v>10</v>
      </c>
      <c r="I50" s="23"/>
      <c r="J50" s="23"/>
      <c r="K50" s="25"/>
      <c r="L50" s="42"/>
      <c r="M50" s="42"/>
      <c r="N50" s="43"/>
      <c r="O50" s="44"/>
      <c r="P50" s="46"/>
      <c r="Q50" s="44"/>
      <c r="S50" s="98"/>
      <c r="T50" s="84"/>
      <c r="U50" s="84"/>
      <c r="W50" s="68">
        <f t="shared" si="45"/>
        <v>4765.8</v>
      </c>
      <c r="X50" s="68">
        <f t="shared" si="44"/>
        <v>5865.5999999999995</v>
      </c>
      <c r="Z50" s="147"/>
      <c r="AA50" s="147"/>
    </row>
    <row r="51" spans="1:27" s="67" customFormat="1" x14ac:dyDescent="0.25">
      <c r="A51" s="34"/>
      <c r="B51" s="21" t="s">
        <v>46</v>
      </c>
      <c r="C51" s="22">
        <v>1000</v>
      </c>
      <c r="D51" s="22">
        <v>225.6</v>
      </c>
      <c r="E51" s="22">
        <v>183.3</v>
      </c>
      <c r="F51" s="77">
        <v>26</v>
      </c>
      <c r="G51" s="22">
        <v>515</v>
      </c>
      <c r="H51" s="18" t="s">
        <v>8</v>
      </c>
      <c r="I51" s="23"/>
      <c r="J51" s="23"/>
      <c r="K51" s="25"/>
      <c r="L51" s="42"/>
      <c r="M51" s="42"/>
      <c r="N51" s="43"/>
      <c r="O51" s="44"/>
      <c r="P51" s="46"/>
      <c r="Q51" s="44"/>
      <c r="S51" s="98"/>
      <c r="T51" s="84"/>
      <c r="U51" s="84"/>
      <c r="W51" s="68">
        <f t="shared" ref="W51" si="48">D51*F51</f>
        <v>5865.5999999999995</v>
      </c>
      <c r="X51" s="68">
        <f t="shared" ref="X51" si="49">E51*F51</f>
        <v>4765.8</v>
      </c>
      <c r="Z51" s="147"/>
      <c r="AA51" s="147"/>
    </row>
    <row r="52" spans="1:27" s="67" customFormat="1" x14ac:dyDescent="0.25">
      <c r="A52" s="34"/>
      <c r="B52" s="21" t="s">
        <v>50</v>
      </c>
      <c r="C52" s="22">
        <v>1100</v>
      </c>
      <c r="D52" s="22">
        <v>183.3</v>
      </c>
      <c r="E52" s="22">
        <v>225.6</v>
      </c>
      <c r="F52" s="77">
        <v>26</v>
      </c>
      <c r="G52" s="22">
        <v>500</v>
      </c>
      <c r="H52" s="18" t="s">
        <v>10</v>
      </c>
      <c r="I52" s="23"/>
      <c r="J52" s="23"/>
      <c r="K52" s="25"/>
      <c r="L52" s="42"/>
      <c r="M52" s="42"/>
      <c r="N52" s="43"/>
      <c r="O52" s="44"/>
      <c r="P52" s="46"/>
      <c r="Q52" s="44"/>
      <c r="S52" s="98"/>
      <c r="T52" s="84"/>
      <c r="U52" s="84"/>
      <c r="W52" s="68"/>
      <c r="X52" s="68"/>
      <c r="Z52" s="147"/>
      <c r="AA52" s="147"/>
    </row>
    <row r="53" spans="1:27" s="67" customFormat="1" x14ac:dyDescent="0.25">
      <c r="A53" s="30" t="s">
        <v>20</v>
      </c>
      <c r="B53" s="30" t="s">
        <v>85</v>
      </c>
      <c r="C53" s="37"/>
      <c r="D53" s="22">
        <v>338.4</v>
      </c>
      <c r="E53" s="22">
        <v>338.4</v>
      </c>
      <c r="F53" s="77">
        <f>10.5</f>
        <v>10.5</v>
      </c>
      <c r="G53" s="22">
        <v>1374</v>
      </c>
      <c r="H53" s="18" t="s">
        <v>8</v>
      </c>
      <c r="I53" s="23"/>
      <c r="J53" s="23"/>
      <c r="K53" s="25"/>
      <c r="L53" s="42"/>
      <c r="M53" s="42"/>
      <c r="N53" s="43"/>
      <c r="O53" s="44"/>
      <c r="P53" s="46"/>
      <c r="Q53" s="44"/>
      <c r="S53" s="98"/>
      <c r="T53" s="84"/>
      <c r="U53" s="84"/>
      <c r="W53" s="68">
        <f t="shared" ref="W53" si="50">D53*F53</f>
        <v>3553.2</v>
      </c>
      <c r="X53" s="68">
        <f t="shared" ref="X53" si="51">E53*F53</f>
        <v>3553.2</v>
      </c>
      <c r="Z53" s="147"/>
      <c r="AA53" s="147"/>
    </row>
    <row r="54" spans="1:27" s="67" customFormat="1" x14ac:dyDescent="0.25">
      <c r="A54" s="30" t="s">
        <v>20</v>
      </c>
      <c r="B54" s="30" t="s">
        <v>78</v>
      </c>
      <c r="C54" s="37"/>
      <c r="D54" s="22"/>
      <c r="E54" s="22">
        <v>378</v>
      </c>
      <c r="F54" s="77">
        <f>48+15</f>
        <v>63</v>
      </c>
      <c r="G54" s="22">
        <v>935</v>
      </c>
      <c r="H54" s="18" t="s">
        <v>8</v>
      </c>
      <c r="I54" s="23"/>
      <c r="J54" s="23"/>
      <c r="K54" s="25"/>
      <c r="L54" s="42"/>
      <c r="M54" s="42"/>
      <c r="N54" s="43"/>
      <c r="O54" s="44"/>
      <c r="P54" s="46"/>
      <c r="Q54" s="44"/>
      <c r="S54" s="98"/>
      <c r="T54" s="84"/>
      <c r="U54" s="84"/>
      <c r="W54" s="68"/>
      <c r="X54" s="68">
        <f t="shared" si="44"/>
        <v>23814</v>
      </c>
      <c r="Z54" s="147"/>
      <c r="AA54" s="147"/>
    </row>
    <row r="55" spans="1:27" s="67" customFormat="1" x14ac:dyDescent="0.25">
      <c r="A55" s="30" t="s">
        <v>20</v>
      </c>
      <c r="B55" s="30" t="s">
        <v>70</v>
      </c>
      <c r="C55" s="37"/>
      <c r="D55" s="18"/>
      <c r="E55" s="97">
        <v>1760</v>
      </c>
      <c r="F55" s="126">
        <v>2</v>
      </c>
      <c r="G55" s="18">
        <v>321</v>
      </c>
      <c r="H55" s="18" t="s">
        <v>8</v>
      </c>
      <c r="I55" s="23"/>
      <c r="J55" s="23"/>
      <c r="K55" s="25"/>
      <c r="L55" s="42"/>
      <c r="M55" s="42"/>
      <c r="N55" s="43"/>
      <c r="O55" s="44"/>
      <c r="Q55" s="44"/>
      <c r="S55" s="98"/>
      <c r="T55" s="84"/>
      <c r="U55" s="84"/>
      <c r="X55" s="68">
        <f>E55*F55</f>
        <v>3520</v>
      </c>
      <c r="Z55" s="147"/>
      <c r="AA55" s="147"/>
    </row>
    <row r="56" spans="1:27" s="67" customFormat="1" x14ac:dyDescent="0.25">
      <c r="A56" s="26"/>
      <c r="B56" s="21" t="s">
        <v>11</v>
      </c>
      <c r="C56" s="97">
        <v>150</v>
      </c>
      <c r="D56" s="22">
        <v>267.89999999999998</v>
      </c>
      <c r="E56" s="22">
        <v>267.89999999999998</v>
      </c>
      <c r="F56" s="77">
        <v>5.25</v>
      </c>
      <c r="G56" s="22">
        <v>294</v>
      </c>
      <c r="H56" s="22" t="s">
        <v>12</v>
      </c>
      <c r="J56" s="23"/>
      <c r="K56" s="25"/>
      <c r="L56" s="42"/>
      <c r="M56" s="42"/>
      <c r="N56" s="43"/>
      <c r="O56" s="44"/>
      <c r="P56" s="44"/>
      <c r="Q56" s="44"/>
      <c r="S56" s="98"/>
      <c r="T56" s="84"/>
      <c r="U56" s="84"/>
      <c r="W56" s="68">
        <f>D56*F56</f>
        <v>1406.4749999999999</v>
      </c>
      <c r="X56" s="68">
        <f>E56*F56</f>
        <v>1406.4749999999999</v>
      </c>
      <c r="Z56" s="147"/>
      <c r="AA56" s="147"/>
    </row>
  </sheetData>
  <sortState ref="B16:Q23">
    <sortCondition descending="1" ref="C16"/>
  </sortState>
  <mergeCells count="4">
    <mergeCell ref="P1:Q1"/>
    <mergeCell ref="N1:O1"/>
    <mergeCell ref="L1:M1"/>
    <mergeCell ref="S1:U1"/>
  </mergeCells>
  <conditionalFormatting sqref="D1:D104857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G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1048576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7:S102 S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:T10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7:U102 S4:S2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:W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:X104857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:S3 S27:S10485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T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:U3 U27:U1048576 S4:S2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:L18 L4:L10 L20:L102">
    <cfRule type="colorScale" priority="2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2:M18 M4:M10 M20:M102">
    <cfRule type="colorScale" priority="2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:N18 N4:N10 N20:N102">
    <cfRule type="colorScale" priority="2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:O18 O4:O10 O20:O102">
    <cfRule type="colorScale" priority="2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:Z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:AA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A7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U20" sqref="EU20:EU21"/>
    </sheetView>
  </sheetViews>
  <sheetFormatPr defaultRowHeight="15" x14ac:dyDescent="0.25"/>
  <cols>
    <col min="1" max="1" width="6.28515625" bestFit="1" customWidth="1"/>
    <col min="2" max="2" width="5.7109375" style="113" customWidth="1"/>
    <col min="3" max="6" width="5.7109375" style="4" customWidth="1"/>
    <col min="7" max="7" width="5.7109375" style="66" customWidth="1"/>
    <col min="8" max="12" width="5.7109375" style="4" customWidth="1"/>
    <col min="13" max="13" width="5.7109375" style="114" customWidth="1"/>
    <col min="14" max="14" width="5.7109375" style="113" customWidth="1"/>
    <col min="15" max="17" width="5.7109375" style="4" customWidth="1"/>
    <col min="18" max="18" width="5.7109375" style="65" customWidth="1"/>
    <col min="19" max="19" width="5.7109375" style="66" customWidth="1"/>
    <col min="20" max="23" width="5.7109375" style="4" customWidth="1"/>
    <col min="24" max="24" width="5.7109375" style="65" customWidth="1"/>
    <col min="25" max="25" width="5.7109375" style="148" customWidth="1"/>
    <col min="26" max="26" width="5.7109375" style="113" customWidth="1"/>
    <col min="27" max="30" width="5.7109375" style="4" customWidth="1"/>
    <col min="31" max="31" width="5.7109375" style="66" customWidth="1"/>
    <col min="32" max="36" width="5.7109375" style="4" customWidth="1"/>
    <col min="37" max="37" width="5.7109375" style="148" customWidth="1"/>
    <col min="38" max="41" width="5.7109375" style="4" customWidth="1"/>
    <col min="42" max="42" width="5.7109375" style="65" customWidth="1"/>
    <col min="43" max="43" width="5.7109375" style="66" customWidth="1"/>
    <col min="44" max="44" width="5.7109375" style="47" customWidth="1"/>
    <col min="45" max="47" width="5.7109375" style="4" customWidth="1"/>
    <col min="48" max="48" width="5.7109375" style="65" customWidth="1"/>
    <col min="49" max="49" width="5.7109375" style="66" customWidth="1"/>
    <col min="50" max="50" width="5.7109375" style="113" customWidth="1"/>
    <col min="51" max="53" width="5.7109375" style="4" customWidth="1"/>
    <col min="54" max="54" width="5.7109375" style="65" customWidth="1"/>
    <col min="55" max="55" width="5.7109375" style="62" customWidth="1"/>
    <col min="56" max="58" width="5.7109375" style="4" customWidth="1"/>
    <col min="59" max="59" width="5.7109375" style="72" customWidth="1"/>
    <col min="60" max="60" width="5.7109375" style="65" customWidth="1"/>
    <col min="61" max="61" width="5.7109375" style="114" customWidth="1"/>
    <col min="62" max="63" width="5.7109375" style="65" customWidth="1"/>
    <col min="64" max="65" width="5.7109375" style="71" customWidth="1"/>
    <col min="66" max="67" width="5.7109375" style="65" customWidth="1"/>
    <col min="68" max="68" width="5.7109375" style="47" customWidth="1"/>
    <col min="69" max="70" width="5.7109375" style="4" customWidth="1"/>
    <col min="71" max="71" width="5.7109375" style="72" customWidth="1"/>
    <col min="72" max="72" width="5.7109375" style="4" customWidth="1"/>
    <col min="73" max="73" width="5.7109375" style="62" customWidth="1"/>
    <col min="74" max="74" width="5.7109375" style="113" customWidth="1"/>
    <col min="75" max="78" width="5.7109375" style="4" customWidth="1"/>
    <col min="79" max="79" width="5.7109375" style="62" customWidth="1"/>
    <col min="80" max="80" width="5.7109375" style="47" customWidth="1"/>
    <col min="81" max="82" width="5.7109375" style="4" customWidth="1"/>
    <col min="83" max="83" width="5.7109375" style="72" customWidth="1"/>
    <col min="84" max="84" width="5.7109375" style="4" customWidth="1"/>
    <col min="85" max="85" width="5.7109375" style="114" customWidth="1"/>
    <col min="86" max="90" width="5.7109375" style="4" customWidth="1"/>
    <col min="91" max="91" width="5.7109375" style="62" customWidth="1"/>
    <col min="92" max="96" width="5.7109375" style="4" customWidth="1"/>
    <col min="97" max="97" width="5.7109375" style="65" customWidth="1"/>
    <col min="98" max="98" width="5.7109375" style="47" customWidth="1"/>
    <col min="99" max="102" width="5.7109375" style="4" customWidth="1"/>
    <col min="103" max="103" width="5.7109375" style="62" customWidth="1"/>
    <col min="104" max="108" width="5.7109375" style="4" customWidth="1"/>
    <col min="109" max="109" width="5.7109375" style="62" customWidth="1"/>
    <col min="110" max="113" width="5.7109375" style="4" customWidth="1"/>
    <col min="114" max="114" width="5.7109375" style="71" customWidth="1"/>
    <col min="115" max="115" width="5.7109375" style="62" customWidth="1"/>
    <col min="116" max="120" width="5.7109375" style="4" customWidth="1"/>
    <col min="121" max="121" width="5.7109375" style="65" customWidth="1"/>
    <col min="122" max="122" width="5.7109375" style="47" customWidth="1"/>
    <col min="123" max="126" width="5.7109375" style="4" customWidth="1"/>
    <col min="127" max="127" width="5.7109375" style="62" customWidth="1"/>
    <col min="128" max="130" width="5.7109375" style="4" customWidth="1"/>
    <col min="131" max="131" width="5.7109375" style="71" customWidth="1"/>
    <col min="132" max="132" width="5.7109375" style="65" customWidth="1"/>
    <col min="133" max="133" width="5.7109375" style="62" customWidth="1"/>
    <col min="134" max="137" width="5.7109375" style="52" customWidth="1"/>
    <col min="138" max="138" width="5.7109375" style="63" customWidth="1"/>
    <col min="139" max="139" width="5.7109375" style="66" customWidth="1"/>
    <col min="140" max="144" width="5.7109375" style="71" customWidth="1"/>
    <col min="145" max="145" width="5.7109375" style="66" customWidth="1"/>
    <col min="146" max="151" width="5.7109375" style="71" customWidth="1"/>
    <col min="152" max="152" width="5.7109375" style="47" customWidth="1"/>
    <col min="153" max="156" width="5.7109375" style="4" customWidth="1"/>
    <col min="157" max="157" width="5.7109375" style="62" customWidth="1"/>
  </cols>
  <sheetData>
    <row r="2" spans="1:157" x14ac:dyDescent="0.25">
      <c r="A2" s="115" t="s">
        <v>1</v>
      </c>
      <c r="B2" s="165" t="s">
        <v>15</v>
      </c>
      <c r="C2" s="151"/>
      <c r="D2" s="151"/>
      <c r="E2" s="151"/>
      <c r="F2" s="151"/>
      <c r="G2" s="154"/>
      <c r="H2" s="152" t="s">
        <v>13</v>
      </c>
      <c r="I2" s="151"/>
      <c r="J2" s="151"/>
      <c r="K2" s="151"/>
      <c r="L2" s="151"/>
      <c r="M2" s="153"/>
      <c r="N2" s="169" t="s">
        <v>23</v>
      </c>
      <c r="O2" s="167"/>
      <c r="P2" s="167"/>
      <c r="Q2" s="167"/>
      <c r="R2" s="167"/>
      <c r="S2" s="170"/>
      <c r="T2" s="166" t="s">
        <v>43</v>
      </c>
      <c r="U2" s="167"/>
      <c r="V2" s="167"/>
      <c r="W2" s="167"/>
      <c r="X2" s="167"/>
      <c r="Y2" s="168"/>
      <c r="Z2" s="165" t="s">
        <v>38</v>
      </c>
      <c r="AA2" s="151"/>
      <c r="AB2" s="151"/>
      <c r="AC2" s="151"/>
      <c r="AD2" s="151"/>
      <c r="AE2" s="151"/>
      <c r="AF2" s="152" t="s">
        <v>39</v>
      </c>
      <c r="AG2" s="151"/>
      <c r="AH2" s="151"/>
      <c r="AI2" s="151"/>
      <c r="AJ2" s="151"/>
      <c r="AK2" s="153"/>
      <c r="AL2" s="152" t="s">
        <v>16</v>
      </c>
      <c r="AM2" s="151"/>
      <c r="AN2" s="151"/>
      <c r="AO2" s="151"/>
      <c r="AP2" s="151"/>
      <c r="AQ2" s="154"/>
      <c r="AR2" s="166" t="s">
        <v>21</v>
      </c>
      <c r="AS2" s="167"/>
      <c r="AT2" s="167"/>
      <c r="AU2" s="167"/>
      <c r="AV2" s="167"/>
      <c r="AW2" s="170"/>
      <c r="AX2" s="165" t="s">
        <v>36</v>
      </c>
      <c r="AY2" s="151"/>
      <c r="AZ2" s="151"/>
      <c r="BA2" s="151"/>
      <c r="BB2" s="151"/>
      <c r="BC2" s="154"/>
      <c r="BD2" s="152" t="s">
        <v>35</v>
      </c>
      <c r="BE2" s="151"/>
      <c r="BF2" s="151"/>
      <c r="BG2" s="151"/>
      <c r="BH2" s="151"/>
      <c r="BI2" s="153"/>
      <c r="BJ2" s="161" t="s">
        <v>91</v>
      </c>
      <c r="BK2" s="156"/>
      <c r="BL2" s="156"/>
      <c r="BM2" s="156"/>
      <c r="BN2" s="156"/>
      <c r="BO2" s="157"/>
      <c r="BP2" s="155" t="s">
        <v>79</v>
      </c>
      <c r="BQ2" s="156"/>
      <c r="BR2" s="156"/>
      <c r="BS2" s="156"/>
      <c r="BT2" s="156"/>
      <c r="BU2" s="157"/>
      <c r="BV2" s="165" t="s">
        <v>22</v>
      </c>
      <c r="BW2" s="151"/>
      <c r="BX2" s="151"/>
      <c r="BY2" s="151"/>
      <c r="BZ2" s="151"/>
      <c r="CA2" s="154"/>
      <c r="CB2" s="152" t="s">
        <v>19</v>
      </c>
      <c r="CC2" s="151"/>
      <c r="CD2" s="151"/>
      <c r="CE2" s="151"/>
      <c r="CF2" s="151"/>
      <c r="CG2" s="153"/>
      <c r="CH2" s="152" t="s">
        <v>14</v>
      </c>
      <c r="CI2" s="151"/>
      <c r="CJ2" s="151"/>
      <c r="CK2" s="151"/>
      <c r="CL2" s="151"/>
      <c r="CM2" s="154"/>
      <c r="CN2" s="152" t="s">
        <v>51</v>
      </c>
      <c r="CO2" s="151"/>
      <c r="CP2" s="151"/>
      <c r="CQ2" s="151"/>
      <c r="CR2" s="151"/>
      <c r="CS2" s="154"/>
      <c r="CT2" s="152" t="s">
        <v>37</v>
      </c>
      <c r="CU2" s="151"/>
      <c r="CV2" s="151"/>
      <c r="CW2" s="151"/>
      <c r="CX2" s="151"/>
      <c r="CY2" s="154"/>
      <c r="CZ2" s="166" t="s">
        <v>72</v>
      </c>
      <c r="DA2" s="167"/>
      <c r="DB2" s="167"/>
      <c r="DC2" s="167"/>
      <c r="DD2" s="167"/>
      <c r="DE2" s="170"/>
      <c r="DF2" s="166" t="str">
        <f>Denys!B12</f>
        <v>Torch's Brother</v>
      </c>
      <c r="DG2" s="167"/>
      <c r="DH2" s="167"/>
      <c r="DI2" s="167"/>
      <c r="DJ2" s="167"/>
      <c r="DK2" s="170"/>
      <c r="DL2" s="152" t="s">
        <v>9</v>
      </c>
      <c r="DM2" s="151"/>
      <c r="DN2" s="151"/>
      <c r="DO2" s="151"/>
      <c r="DP2" s="151"/>
      <c r="DQ2" s="154"/>
      <c r="DR2" s="152" t="s">
        <v>47</v>
      </c>
      <c r="DS2" s="151"/>
      <c r="DT2" s="151"/>
      <c r="DU2" s="151"/>
      <c r="DV2" s="151"/>
      <c r="DW2" s="154"/>
      <c r="DX2" s="152" t="s">
        <v>84</v>
      </c>
      <c r="DY2" s="151"/>
      <c r="DZ2" s="151"/>
      <c r="EA2" s="151"/>
      <c r="EB2" s="151"/>
      <c r="EC2" s="154"/>
      <c r="ED2" s="158" t="s">
        <v>24</v>
      </c>
      <c r="EE2" s="159"/>
      <c r="EF2" s="159"/>
      <c r="EG2" s="159"/>
      <c r="EH2" s="159"/>
      <c r="EI2" s="160"/>
      <c r="EJ2" s="158" t="s">
        <v>17</v>
      </c>
      <c r="EK2" s="159"/>
      <c r="EL2" s="159"/>
      <c r="EM2" s="159"/>
      <c r="EN2" s="159"/>
      <c r="EO2" s="160"/>
      <c r="EP2" s="162" t="s">
        <v>92</v>
      </c>
      <c r="EQ2" s="163"/>
      <c r="ER2" s="163"/>
      <c r="ES2" s="163"/>
      <c r="ET2" s="163"/>
      <c r="EU2" s="164"/>
      <c r="EV2" s="152" t="s">
        <v>18</v>
      </c>
      <c r="EW2" s="151"/>
      <c r="EX2" s="151"/>
      <c r="EY2" s="151"/>
      <c r="EZ2" s="151"/>
      <c r="FA2" s="154"/>
    </row>
    <row r="3" spans="1:157" s="52" customFormat="1" x14ac:dyDescent="0.25">
      <c r="A3" s="107" t="s">
        <v>57</v>
      </c>
      <c r="B3" s="112" t="s">
        <v>3</v>
      </c>
      <c r="C3" s="53" t="s">
        <v>2</v>
      </c>
      <c r="D3" s="53" t="s">
        <v>68</v>
      </c>
      <c r="E3" s="53" t="s">
        <v>69</v>
      </c>
      <c r="F3" s="73" t="s">
        <v>4</v>
      </c>
      <c r="G3" s="73" t="s">
        <v>64</v>
      </c>
      <c r="H3" s="54" t="s">
        <v>3</v>
      </c>
      <c r="I3" s="53" t="s">
        <v>2</v>
      </c>
      <c r="J3" s="53" t="s">
        <v>68</v>
      </c>
      <c r="K3" s="53" t="s">
        <v>69</v>
      </c>
      <c r="L3" s="73" t="s">
        <v>4</v>
      </c>
      <c r="M3" s="121" t="s">
        <v>64</v>
      </c>
      <c r="N3" s="112" t="s">
        <v>3</v>
      </c>
      <c r="O3" s="53" t="s">
        <v>2</v>
      </c>
      <c r="P3" s="53" t="s">
        <v>68</v>
      </c>
      <c r="Q3" s="53" t="s">
        <v>69</v>
      </c>
      <c r="R3" s="73" t="s">
        <v>4</v>
      </c>
      <c r="S3" s="73" t="s">
        <v>64</v>
      </c>
      <c r="T3" s="54" t="s">
        <v>3</v>
      </c>
      <c r="U3" s="53" t="s">
        <v>2</v>
      </c>
      <c r="V3" s="53" t="s">
        <v>68</v>
      </c>
      <c r="W3" s="53" t="s">
        <v>69</v>
      </c>
      <c r="X3" s="73" t="s">
        <v>4</v>
      </c>
      <c r="Y3" s="121" t="s">
        <v>64</v>
      </c>
      <c r="Z3" s="112" t="s">
        <v>3</v>
      </c>
      <c r="AA3" s="53" t="s">
        <v>2</v>
      </c>
      <c r="AB3" s="53" t="s">
        <v>68</v>
      </c>
      <c r="AC3" s="53" t="s">
        <v>69</v>
      </c>
      <c r="AD3" s="73" t="s">
        <v>4</v>
      </c>
      <c r="AE3" s="73" t="s">
        <v>64</v>
      </c>
      <c r="AF3" s="54" t="s">
        <v>3</v>
      </c>
      <c r="AG3" s="53" t="s">
        <v>2</v>
      </c>
      <c r="AH3" s="53" t="s">
        <v>68</v>
      </c>
      <c r="AI3" s="53" t="s">
        <v>69</v>
      </c>
      <c r="AJ3" s="73" t="s">
        <v>4</v>
      </c>
      <c r="AK3" s="121" t="s">
        <v>64</v>
      </c>
      <c r="AL3" s="54" t="s">
        <v>3</v>
      </c>
      <c r="AM3" s="53" t="s">
        <v>2</v>
      </c>
      <c r="AN3" s="53" t="s">
        <v>68</v>
      </c>
      <c r="AO3" s="53" t="s">
        <v>69</v>
      </c>
      <c r="AP3" s="73" t="s">
        <v>4</v>
      </c>
      <c r="AQ3" s="73" t="s">
        <v>64</v>
      </c>
      <c r="AR3" s="53" t="s">
        <v>3</v>
      </c>
      <c r="AS3" s="53" t="s">
        <v>2</v>
      </c>
      <c r="AT3" s="53" t="s">
        <v>68</v>
      </c>
      <c r="AU3" s="53" t="s">
        <v>69</v>
      </c>
      <c r="AV3" s="73" t="s">
        <v>4</v>
      </c>
      <c r="AW3" s="73" t="s">
        <v>64</v>
      </c>
      <c r="AX3" s="112" t="s">
        <v>3</v>
      </c>
      <c r="AY3" s="53" t="s">
        <v>2</v>
      </c>
      <c r="AZ3" s="53" t="s">
        <v>68</v>
      </c>
      <c r="BA3" s="53" t="s">
        <v>69</v>
      </c>
      <c r="BB3" s="73" t="s">
        <v>4</v>
      </c>
      <c r="BC3" s="73" t="s">
        <v>64</v>
      </c>
      <c r="BD3" s="54" t="s">
        <v>3</v>
      </c>
      <c r="BE3" s="53" t="s">
        <v>2</v>
      </c>
      <c r="BF3" s="53" t="s">
        <v>68</v>
      </c>
      <c r="BG3" s="53" t="s">
        <v>69</v>
      </c>
      <c r="BH3" s="73" t="s">
        <v>4</v>
      </c>
      <c r="BI3" s="121" t="s">
        <v>64</v>
      </c>
      <c r="BJ3" s="53" t="s">
        <v>3</v>
      </c>
      <c r="BK3" s="53" t="s">
        <v>2</v>
      </c>
      <c r="BL3" s="73" t="s">
        <v>68</v>
      </c>
      <c r="BM3" s="73" t="s">
        <v>69</v>
      </c>
      <c r="BN3" s="73" t="s">
        <v>4</v>
      </c>
      <c r="BO3" s="73" t="s">
        <v>64</v>
      </c>
      <c r="BP3" s="53" t="s">
        <v>3</v>
      </c>
      <c r="BQ3" s="53" t="s">
        <v>2</v>
      </c>
      <c r="BR3" s="53" t="s">
        <v>68</v>
      </c>
      <c r="BS3" s="53" t="s">
        <v>69</v>
      </c>
      <c r="BT3" s="73" t="s">
        <v>4</v>
      </c>
      <c r="BU3" s="73" t="s">
        <v>64</v>
      </c>
      <c r="BV3" s="112" t="s">
        <v>3</v>
      </c>
      <c r="BW3" s="53" t="s">
        <v>2</v>
      </c>
      <c r="BX3" s="53" t="s">
        <v>68</v>
      </c>
      <c r="BY3" s="53" t="s">
        <v>69</v>
      </c>
      <c r="BZ3" s="73" t="s">
        <v>4</v>
      </c>
      <c r="CA3" s="73" t="s">
        <v>64</v>
      </c>
      <c r="CB3" s="53" t="s">
        <v>3</v>
      </c>
      <c r="CC3" s="53" t="s">
        <v>2</v>
      </c>
      <c r="CD3" s="53" t="s">
        <v>68</v>
      </c>
      <c r="CE3" s="53" t="s">
        <v>69</v>
      </c>
      <c r="CF3" s="73" t="s">
        <v>4</v>
      </c>
      <c r="CG3" s="121" t="s">
        <v>64</v>
      </c>
      <c r="CH3" s="54" t="s">
        <v>3</v>
      </c>
      <c r="CI3" s="53" t="s">
        <v>2</v>
      </c>
      <c r="CJ3" s="53" t="s">
        <v>68</v>
      </c>
      <c r="CK3" s="53" t="s">
        <v>69</v>
      </c>
      <c r="CL3" s="73" t="s">
        <v>4</v>
      </c>
      <c r="CM3" s="73" t="s">
        <v>64</v>
      </c>
      <c r="CN3" s="53" t="s">
        <v>3</v>
      </c>
      <c r="CO3" s="53" t="s">
        <v>2</v>
      </c>
      <c r="CP3" s="53" t="s">
        <v>68</v>
      </c>
      <c r="CQ3" s="53" t="s">
        <v>69</v>
      </c>
      <c r="CR3" s="73" t="s">
        <v>4</v>
      </c>
      <c r="CS3" s="149" t="s">
        <v>64</v>
      </c>
      <c r="CT3" s="53" t="s">
        <v>3</v>
      </c>
      <c r="CU3" s="53" t="s">
        <v>2</v>
      </c>
      <c r="CV3" s="53" t="s">
        <v>68</v>
      </c>
      <c r="CW3" s="53" t="s">
        <v>69</v>
      </c>
      <c r="CX3" s="73" t="s">
        <v>4</v>
      </c>
      <c r="CY3" s="73" t="s">
        <v>64</v>
      </c>
      <c r="CZ3" s="54" t="s">
        <v>3</v>
      </c>
      <c r="DA3" s="53" t="s">
        <v>2</v>
      </c>
      <c r="DB3" s="53" t="s">
        <v>68</v>
      </c>
      <c r="DC3" s="53" t="s">
        <v>69</v>
      </c>
      <c r="DD3" s="73" t="s">
        <v>4</v>
      </c>
      <c r="DE3" s="73" t="s">
        <v>64</v>
      </c>
      <c r="DF3" s="54" t="s">
        <v>3</v>
      </c>
      <c r="DG3" s="53" t="s">
        <v>2</v>
      </c>
      <c r="DH3" s="53" t="s">
        <v>68</v>
      </c>
      <c r="DI3" s="53" t="s">
        <v>69</v>
      </c>
      <c r="DJ3" s="73" t="s">
        <v>4</v>
      </c>
      <c r="DK3" s="73" t="s">
        <v>64</v>
      </c>
      <c r="DL3" s="54" t="s">
        <v>3</v>
      </c>
      <c r="DM3" s="53" t="s">
        <v>2</v>
      </c>
      <c r="DN3" s="53" t="s">
        <v>68</v>
      </c>
      <c r="DO3" s="53" t="s">
        <v>69</v>
      </c>
      <c r="DP3" s="73" t="s">
        <v>4</v>
      </c>
      <c r="DQ3" s="149" t="s">
        <v>64</v>
      </c>
      <c r="DR3" s="53" t="s">
        <v>3</v>
      </c>
      <c r="DS3" s="53" t="s">
        <v>2</v>
      </c>
      <c r="DT3" s="53" t="s">
        <v>68</v>
      </c>
      <c r="DU3" s="53" t="s">
        <v>69</v>
      </c>
      <c r="DV3" s="73" t="s">
        <v>4</v>
      </c>
      <c r="DW3" s="73" t="s">
        <v>64</v>
      </c>
      <c r="DX3" s="54" t="s">
        <v>3</v>
      </c>
      <c r="DY3" s="53" t="s">
        <v>2</v>
      </c>
      <c r="DZ3" s="53" t="s">
        <v>68</v>
      </c>
      <c r="EA3" s="73" t="s">
        <v>69</v>
      </c>
      <c r="EB3" s="73" t="s">
        <v>4</v>
      </c>
      <c r="EC3" s="73" t="s">
        <v>64</v>
      </c>
      <c r="ED3" s="54" t="s">
        <v>3</v>
      </c>
      <c r="EE3" s="53" t="s">
        <v>2</v>
      </c>
      <c r="EF3" s="53" t="s">
        <v>68</v>
      </c>
      <c r="EG3" s="53" t="s">
        <v>69</v>
      </c>
      <c r="EH3" s="73" t="s">
        <v>4</v>
      </c>
      <c r="EI3" s="73" t="s">
        <v>64</v>
      </c>
      <c r="EJ3" s="54" t="s">
        <v>3</v>
      </c>
      <c r="EK3" s="53" t="s">
        <v>2</v>
      </c>
      <c r="EL3" s="53" t="s">
        <v>68</v>
      </c>
      <c r="EM3" s="53" t="s">
        <v>69</v>
      </c>
      <c r="EN3" s="73" t="s">
        <v>4</v>
      </c>
      <c r="EO3" s="73" t="s">
        <v>64</v>
      </c>
      <c r="EP3" s="53" t="s">
        <v>3</v>
      </c>
      <c r="EQ3" s="53" t="s">
        <v>2</v>
      </c>
      <c r="ER3" s="53" t="s">
        <v>68</v>
      </c>
      <c r="ES3" s="53" t="s">
        <v>69</v>
      </c>
      <c r="ET3" s="73" t="s">
        <v>4</v>
      </c>
      <c r="EU3" s="73" t="s">
        <v>64</v>
      </c>
      <c r="EV3" s="53" t="s">
        <v>3</v>
      </c>
      <c r="EW3" s="53" t="s">
        <v>2</v>
      </c>
      <c r="EX3" s="53" t="s">
        <v>68</v>
      </c>
      <c r="EY3" s="53" t="s">
        <v>69</v>
      </c>
      <c r="EZ3" s="73" t="s">
        <v>4</v>
      </c>
      <c r="FA3" s="73" t="s">
        <v>64</v>
      </c>
    </row>
    <row r="4" spans="1:157" x14ac:dyDescent="0.25">
      <c r="A4">
        <v>4</v>
      </c>
      <c r="C4" s="4">
        <v>3.04</v>
      </c>
      <c r="D4" s="4">
        <v>0.3</v>
      </c>
      <c r="F4" s="4">
        <f>2/60</f>
        <v>3.3333333333333333E-2</v>
      </c>
      <c r="H4" s="65"/>
      <c r="I4" s="65"/>
      <c r="J4" s="65"/>
      <c r="K4" s="65"/>
      <c r="L4" s="65"/>
      <c r="Z4" s="113">
        <v>4.09</v>
      </c>
      <c r="AB4" s="4">
        <v>0.43</v>
      </c>
      <c r="AC4" s="71"/>
      <c r="AD4" s="4">
        <f>2/60</f>
        <v>3.3333333333333333E-2</v>
      </c>
      <c r="AF4" s="65"/>
      <c r="AG4" s="65">
        <v>4.09</v>
      </c>
      <c r="AH4" s="65">
        <v>0.43</v>
      </c>
      <c r="AI4" s="65"/>
      <c r="AJ4" s="65">
        <f>2/60</f>
        <v>3.3333333333333333E-2</v>
      </c>
      <c r="AK4" s="66"/>
      <c r="AL4" s="4">
        <v>5.28</v>
      </c>
      <c r="AM4" s="4">
        <v>5.28</v>
      </c>
      <c r="AN4" s="4">
        <v>0.39</v>
      </c>
      <c r="AP4" s="65">
        <f>2/60</f>
        <v>3.3333333333333333E-2</v>
      </c>
      <c r="AX4" s="118"/>
      <c r="AY4" s="65">
        <v>7.92</v>
      </c>
      <c r="AZ4" s="65">
        <v>0.44800000000000001</v>
      </c>
      <c r="BA4" s="71"/>
      <c r="BB4" s="65">
        <f>1/60</f>
        <v>1.6666666666666666E-2</v>
      </c>
      <c r="BC4" s="66"/>
      <c r="BD4" s="130">
        <v>7.92</v>
      </c>
      <c r="BE4" s="130"/>
      <c r="BF4" s="130">
        <v>0.44800000000000001</v>
      </c>
      <c r="BG4" s="133"/>
      <c r="BH4" s="130">
        <f>1/60</f>
        <v>1.6666666666666666E-2</v>
      </c>
      <c r="BI4" s="66"/>
      <c r="BJ4" s="130">
        <v>8.7119999999999997</v>
      </c>
      <c r="BK4" s="130">
        <v>2.9039999999999999</v>
      </c>
      <c r="BL4" s="133">
        <v>0.44800000000000001</v>
      </c>
      <c r="BM4" s="133"/>
      <c r="BN4" s="130">
        <f>1/60</f>
        <v>1.6666666666666666E-2</v>
      </c>
      <c r="BO4" s="66"/>
      <c r="BP4" s="103">
        <v>2.64</v>
      </c>
      <c r="BR4" s="65">
        <v>0.43</v>
      </c>
      <c r="BS4" s="71"/>
      <c r="BT4" s="65">
        <f>1/60</f>
        <v>1.6666666666666666E-2</v>
      </c>
      <c r="BU4" s="66"/>
      <c r="BV4" s="118"/>
      <c r="BW4" s="65">
        <v>3.43</v>
      </c>
      <c r="BX4" s="65">
        <v>0.41</v>
      </c>
      <c r="BY4" s="65"/>
      <c r="BZ4" s="65">
        <f>2/60</f>
        <v>3.3333333333333333E-2</v>
      </c>
      <c r="CA4" s="66"/>
      <c r="CB4" s="103">
        <v>3.43</v>
      </c>
      <c r="CC4" s="65"/>
      <c r="CD4" s="65">
        <v>0.41</v>
      </c>
      <c r="CE4" s="71"/>
      <c r="CF4" s="65">
        <f>2/60</f>
        <v>3.3333333333333333E-2</v>
      </c>
      <c r="CG4" s="66"/>
      <c r="CH4" s="65">
        <v>1.31</v>
      </c>
      <c r="CI4" s="65">
        <v>1.31</v>
      </c>
      <c r="CJ4" s="65">
        <v>0.315</v>
      </c>
      <c r="CK4" s="65"/>
      <c r="CL4" s="65">
        <f>4/60</f>
        <v>6.6666666666666666E-2</v>
      </c>
      <c r="CM4" s="66"/>
      <c r="CN4" s="65"/>
      <c r="CO4" s="65">
        <v>4.75</v>
      </c>
      <c r="CP4" s="65">
        <v>0.45</v>
      </c>
      <c r="CQ4" s="65"/>
      <c r="CR4" s="65">
        <f>3/60</f>
        <v>0.05</v>
      </c>
      <c r="CS4" s="66"/>
      <c r="CT4" s="103"/>
      <c r="CU4" s="65"/>
      <c r="CV4" s="65"/>
      <c r="CW4" s="65"/>
      <c r="CX4" s="65"/>
      <c r="CZ4" s="65"/>
      <c r="DA4" s="65">
        <v>4.3600000000000003</v>
      </c>
      <c r="DB4" s="65">
        <v>0.32</v>
      </c>
      <c r="DC4" s="65"/>
      <c r="DD4" s="65">
        <f>2/60</f>
        <v>3.3333333333333333E-2</v>
      </c>
      <c r="DE4" s="66"/>
      <c r="DF4" s="65"/>
      <c r="DG4" s="65">
        <v>10</v>
      </c>
      <c r="DH4" s="65">
        <v>0.46</v>
      </c>
      <c r="DI4" s="71"/>
      <c r="DJ4" s="71">
        <f>1/60</f>
        <v>1.6666666666666666E-2</v>
      </c>
      <c r="DK4" s="66"/>
      <c r="DL4" s="65"/>
      <c r="DM4" s="65">
        <v>2.64</v>
      </c>
      <c r="DN4" s="65">
        <v>0.06</v>
      </c>
      <c r="DO4" s="65"/>
      <c r="DP4" s="65">
        <f>2/60</f>
        <v>3.3333333333333333E-2</v>
      </c>
      <c r="DQ4" s="66"/>
      <c r="DR4" s="103">
        <v>4.75</v>
      </c>
      <c r="DS4" s="65"/>
      <c r="DT4" s="65">
        <v>0.45</v>
      </c>
      <c r="DU4" s="65"/>
      <c r="DV4" s="65">
        <f>3/60</f>
        <v>0.05</v>
      </c>
      <c r="DW4" s="66"/>
      <c r="DX4" s="130">
        <v>4.62</v>
      </c>
      <c r="DY4" s="130">
        <v>4.62</v>
      </c>
      <c r="DZ4" s="130">
        <v>0.86799999999999999</v>
      </c>
      <c r="EA4" s="133"/>
      <c r="EB4" s="130">
        <f>3/60</f>
        <v>0.05</v>
      </c>
      <c r="EC4" s="66"/>
      <c r="ED4" s="133">
        <v>7.26</v>
      </c>
      <c r="EE4" s="127">
        <v>7.26</v>
      </c>
      <c r="EF4" s="127">
        <v>0.7</v>
      </c>
      <c r="EG4" s="127"/>
      <c r="EH4" s="127">
        <f>2/60</f>
        <v>3.3333333333333333E-2</v>
      </c>
      <c r="EP4" s="133">
        <v>17.100000000000001</v>
      </c>
      <c r="EQ4" s="133">
        <v>17.100000000000001</v>
      </c>
      <c r="ER4" s="133">
        <v>1.75</v>
      </c>
      <c r="ES4" s="133"/>
      <c r="ET4" s="133">
        <f>0.5/60</f>
        <v>8.3333333333333332E-3</v>
      </c>
      <c r="EV4" s="103"/>
      <c r="EW4" s="65"/>
      <c r="EX4" s="65"/>
      <c r="EY4" s="65"/>
      <c r="EZ4" s="65"/>
    </row>
    <row r="5" spans="1:157" x14ac:dyDescent="0.25">
      <c r="A5">
        <v>5</v>
      </c>
      <c r="C5" s="4">
        <v>3.42</v>
      </c>
      <c r="D5" s="4">
        <v>0.31</v>
      </c>
      <c r="F5" s="4">
        <f>4/60</f>
        <v>6.6666666666666666E-2</v>
      </c>
      <c r="G5" s="66">
        <f>((3*D5)+E5)/(MAX(B5-B4,C5-C4))</f>
        <v>2.4473684210526323</v>
      </c>
      <c r="H5" s="65">
        <v>3.42</v>
      </c>
      <c r="I5" s="65"/>
      <c r="J5" s="65">
        <v>0.31</v>
      </c>
      <c r="K5" s="65"/>
      <c r="L5" s="65">
        <f>4/60</f>
        <v>6.6666666666666666E-2</v>
      </c>
      <c r="M5" s="66"/>
      <c r="Z5" s="113">
        <v>4.5999999999999996</v>
      </c>
      <c r="AB5" s="4">
        <v>1.1399999999999999</v>
      </c>
      <c r="AC5" s="71"/>
      <c r="AD5" s="4">
        <f>5/60</f>
        <v>8.3333333333333329E-2</v>
      </c>
      <c r="AE5" s="66">
        <f>((3*AB5)+AC5)/(MAX(Z5-Z4,AA5-AA4))</f>
        <v>6.7058823529411793</v>
      </c>
      <c r="AF5" s="65"/>
      <c r="AG5" s="65">
        <v>4.5999999999999996</v>
      </c>
      <c r="AH5" s="65">
        <v>1.1399999999999999</v>
      </c>
      <c r="AI5" s="65"/>
      <c r="AJ5" s="65">
        <f>5/60</f>
        <v>8.3333333333333329E-2</v>
      </c>
      <c r="AK5" s="66">
        <f>((3*AH5)+AI5)/(MAX(AF5-AF4,AG5-AG4))</f>
        <v>6.7058823529411793</v>
      </c>
      <c r="AL5" s="4">
        <v>5.94</v>
      </c>
      <c r="AM5" s="4">
        <v>5.94</v>
      </c>
      <c r="AN5" s="4">
        <v>0.86</v>
      </c>
      <c r="AP5" s="65">
        <f>3/60</f>
        <v>0.05</v>
      </c>
      <c r="AQ5" s="66">
        <f>((3*AN5)+AO5)/(MAX(AL5-AL4,AM5-AM4))</f>
        <v>3.9090909090909083</v>
      </c>
      <c r="AX5" s="118"/>
      <c r="AY5" s="65">
        <v>9</v>
      </c>
      <c r="AZ5" s="65">
        <v>0.48</v>
      </c>
      <c r="BA5" s="71"/>
      <c r="BB5" s="65">
        <f>2/60</f>
        <v>3.3333333333333333E-2</v>
      </c>
      <c r="BC5" s="66">
        <f>((3*AZ5)+BA5)/(MAX(AX5-AX4,AY5-AY4))</f>
        <v>1.3333333333333333</v>
      </c>
      <c r="BD5" s="130">
        <v>9</v>
      </c>
      <c r="BE5" s="130"/>
      <c r="BF5" s="130">
        <v>0.48</v>
      </c>
      <c r="BG5" s="133"/>
      <c r="BH5" s="130">
        <f>2/60</f>
        <v>3.3333333333333333E-2</v>
      </c>
      <c r="BI5" s="66">
        <f>((3*BF5)+BG5)/(MAX(BD5-BD4,BE5-BE4))</f>
        <v>1.3333333333333333</v>
      </c>
      <c r="BJ5" s="130">
        <v>9.9</v>
      </c>
      <c r="BK5" s="130">
        <v>3.3</v>
      </c>
      <c r="BL5" s="133">
        <v>0.48</v>
      </c>
      <c r="BM5" s="133"/>
      <c r="BN5" s="130">
        <f>2/60</f>
        <v>3.3333333333333333E-2</v>
      </c>
      <c r="BO5" s="66">
        <f>((3*BL5)+BM5)/(MAX(BJ5-BJ4,BK5-BK4))</f>
        <v>1.2121212121212115</v>
      </c>
      <c r="BP5" s="103">
        <v>2.97</v>
      </c>
      <c r="BR5" s="65">
        <v>1.1399999999999999</v>
      </c>
      <c r="BS5" s="71"/>
      <c r="BT5" s="65">
        <f>2/60</f>
        <v>3.3333333333333333E-2</v>
      </c>
      <c r="BU5" s="66">
        <f>((3*BR5)+BS5)/(MAX(BP5-BP4,BQ5-BQ4))</f>
        <v>10.363636363636362</v>
      </c>
      <c r="BV5" s="118"/>
      <c r="BW5" s="65">
        <v>3.86</v>
      </c>
      <c r="BX5" s="65">
        <v>1.0900000000000001</v>
      </c>
      <c r="BY5" s="65"/>
      <c r="BZ5" s="65">
        <v>0.08</v>
      </c>
      <c r="CA5" s="66">
        <f>((3*BX5)+BY5)/(MAX(BV5-BV4,BW5-BW4))</f>
        <v>7.6046511627907041</v>
      </c>
      <c r="CB5" s="103">
        <v>3.86</v>
      </c>
      <c r="CC5" s="65"/>
      <c r="CD5" s="65">
        <v>1.0900000000000001</v>
      </c>
      <c r="CE5" s="71"/>
      <c r="CF5" s="65">
        <f>5/60</f>
        <v>8.3333333333333329E-2</v>
      </c>
      <c r="CG5" s="66">
        <f>((3*CD5)+CE5)/(MAX(CB5-CB4,CC5-CC4))</f>
        <v>7.6046511627907041</v>
      </c>
      <c r="CH5" s="65">
        <v>1.47</v>
      </c>
      <c r="CI5" s="65">
        <v>1.47</v>
      </c>
      <c r="CJ5" s="65">
        <v>0.33</v>
      </c>
      <c r="CK5" s="65"/>
      <c r="CL5" s="65">
        <f>8/60</f>
        <v>0.13333333333333333</v>
      </c>
      <c r="CM5" s="66">
        <f>((3*CJ5)+CK5)/(MAX(CH5-CH4,CI5-CI4))</f>
        <v>6.1875000000000027</v>
      </c>
      <c r="CN5" s="65"/>
      <c r="CO5" s="65">
        <v>5.35</v>
      </c>
      <c r="CP5" s="65">
        <v>1.2</v>
      </c>
      <c r="CQ5" s="65"/>
      <c r="CR5" s="65">
        <f>5/60</f>
        <v>8.3333333333333329E-2</v>
      </c>
      <c r="CS5" s="66">
        <f>((3*CP5)+CQ5)/(MAX(CN5-CN4,CO5-CO4))</f>
        <v>6.0000000000000027</v>
      </c>
      <c r="CT5" s="103"/>
      <c r="CU5" s="65"/>
      <c r="CV5" s="65"/>
      <c r="CW5" s="65"/>
      <c r="CX5" s="65"/>
      <c r="CZ5" s="65"/>
      <c r="DA5" s="65">
        <v>4.9000000000000004</v>
      </c>
      <c r="DB5" s="65">
        <v>0.33</v>
      </c>
      <c r="DC5" s="65"/>
      <c r="DD5" s="65">
        <f>4/60</f>
        <v>6.6666666666666666E-2</v>
      </c>
      <c r="DE5" s="66">
        <f t="shared" ref="DE5:DE37" si="0">((3*DB5)+DC5)/(MAX(CZ5-CZ4,DA5-DA4))</f>
        <v>1.8333333333333333</v>
      </c>
      <c r="DF5" s="65"/>
      <c r="DG5" s="65">
        <v>11.3</v>
      </c>
      <c r="DH5" s="65">
        <v>0.49</v>
      </c>
      <c r="DI5" s="71"/>
      <c r="DJ5" s="71">
        <f>2/60</f>
        <v>3.3333333333333333E-2</v>
      </c>
      <c r="DK5" s="66">
        <f t="shared" ref="DK5:DK24" si="1">((3*DH5)+DI5)/(MAX(DF5-DF4,DG5-DG4))</f>
        <v>1.1307692307692301</v>
      </c>
      <c r="DL5" s="65"/>
      <c r="DM5" s="65">
        <v>2.97</v>
      </c>
      <c r="DN5" s="65">
        <v>0.1</v>
      </c>
      <c r="DO5" s="65"/>
      <c r="DP5" s="65">
        <f>4/60</f>
        <v>6.6666666666666666E-2</v>
      </c>
      <c r="DQ5" s="66">
        <f t="shared" ref="DQ5:DQ11" si="2">((3*DN5)+DO5)/(MAX(DL5-DL4,DM5-DM4))</f>
        <v>0.90909090909090906</v>
      </c>
      <c r="DR5" s="103">
        <v>5.35</v>
      </c>
      <c r="DS5" s="65"/>
      <c r="DT5" s="65">
        <v>1.2</v>
      </c>
      <c r="DU5" s="65"/>
      <c r="DV5" s="65">
        <f>5/60</f>
        <v>8.3333333333333329E-2</v>
      </c>
      <c r="DW5" s="66">
        <f t="shared" ref="DW5:DW10" si="3">((3*DT5)+DU5)/(MAX(DR5-DR4,DS5-DS4))</f>
        <v>6.0000000000000027</v>
      </c>
      <c r="DX5" s="130">
        <v>5.25</v>
      </c>
      <c r="DY5" s="130">
        <v>5.25</v>
      </c>
      <c r="DZ5" s="130">
        <v>0.93</v>
      </c>
      <c r="EA5" s="133"/>
      <c r="EB5" s="130">
        <f>7/60</f>
        <v>0.11666666666666667</v>
      </c>
      <c r="EC5" s="66">
        <f t="shared" ref="EC5:EC25" si="4">((3*DZ5)+EA5)/(MAX(DX5-DX4,DY5-DY4))</f>
        <v>4.4285714285714297</v>
      </c>
      <c r="ED5" s="133">
        <v>8.25</v>
      </c>
      <c r="EE5" s="127">
        <v>8.25</v>
      </c>
      <c r="EF5" s="127">
        <v>0.75</v>
      </c>
      <c r="EG5" s="127"/>
      <c r="EH5" s="127">
        <f>4/60</f>
        <v>6.6666666666666666E-2</v>
      </c>
      <c r="EI5" s="66">
        <f t="shared" ref="EI5:EI43" si="5">((3*EF5)+EG5)/(MAX(ED5-ED4,EE5-EE4))</f>
        <v>2.272727272727272</v>
      </c>
      <c r="EP5" s="133">
        <v>19.5</v>
      </c>
      <c r="EQ5" s="133">
        <v>19.5</v>
      </c>
      <c r="ER5" s="133">
        <v>1.87</v>
      </c>
      <c r="ES5" s="133"/>
      <c r="ET5" s="133">
        <f>1/60</f>
        <v>1.6666666666666666E-2</v>
      </c>
      <c r="EU5" s="66">
        <f t="shared" ref="EU5:EU21" si="6">((3*ER5)+ES5)/(MAX(EP5-EP4,EQ5-EQ4))</f>
        <v>2.3375000000000017</v>
      </c>
      <c r="EV5" s="103"/>
      <c r="EW5" s="65"/>
      <c r="EX5" s="65"/>
      <c r="EY5" s="65"/>
      <c r="EZ5" s="65"/>
    </row>
    <row r="6" spans="1:157" x14ac:dyDescent="0.25">
      <c r="A6">
        <v>6</v>
      </c>
      <c r="C6" s="4">
        <v>4.18</v>
      </c>
      <c r="E6" s="4">
        <v>0.78</v>
      </c>
      <c r="F6" s="4">
        <f>8/60</f>
        <v>0.13333333333333333</v>
      </c>
      <c r="G6" s="66">
        <f>((3*D6)+E6)/(MAX(B6-B5,C6-C5))</f>
        <v>1.0263157894736845</v>
      </c>
      <c r="H6" s="65">
        <v>4.18</v>
      </c>
      <c r="I6" s="65"/>
      <c r="J6" s="65"/>
      <c r="K6" s="65">
        <v>0.78</v>
      </c>
      <c r="L6" s="65">
        <f>8/60</f>
        <v>0.13333333333333333</v>
      </c>
      <c r="M6" s="66">
        <f>((3*J6)+K6)/(MAX(H6-H5,I6-I5))</f>
        <v>1.0263157894736845</v>
      </c>
      <c r="Z6" s="113">
        <v>5.63</v>
      </c>
      <c r="AC6" s="71">
        <v>6.86</v>
      </c>
      <c r="AD6" s="4">
        <f>9/60</f>
        <v>0.15</v>
      </c>
      <c r="AE6" s="66">
        <f t="shared" ref="AE6:AE18" si="7">((3*AB6)+AC6)/(MAX(Z6-Z5,AA6-AA5))</f>
        <v>6.6601941747572804</v>
      </c>
      <c r="AF6" s="65"/>
      <c r="AG6" s="65">
        <v>5.63</v>
      </c>
      <c r="AH6" s="65"/>
      <c r="AI6" s="65">
        <v>6.86</v>
      </c>
      <c r="AJ6" s="65">
        <f>9/60</f>
        <v>0.15</v>
      </c>
      <c r="AK6" s="66">
        <f t="shared" ref="AK6:AK37" si="8">((3*AH6)+AI6)/(MAX(AF6-AF5,AG6-AG5))</f>
        <v>6.6601941747572804</v>
      </c>
      <c r="AL6" s="4">
        <v>7.26</v>
      </c>
      <c r="AM6" s="4">
        <v>7.26</v>
      </c>
      <c r="AO6" s="4">
        <v>2.93</v>
      </c>
      <c r="AP6" s="65">
        <f>5/60</f>
        <v>8.3333333333333329E-2</v>
      </c>
      <c r="AQ6" s="66">
        <f t="shared" ref="AQ6:AQ46" si="9">((3*AN6)+AO6)/(MAX(AL6-AL5,AM6-AM5))</f>
        <v>2.2196969696969706</v>
      </c>
      <c r="AX6" s="118"/>
      <c r="AY6" s="65">
        <v>10.9</v>
      </c>
      <c r="AZ6" s="65"/>
      <c r="BA6" s="71">
        <v>1.1200000000000001</v>
      </c>
      <c r="BB6" s="65">
        <f>4/60</f>
        <v>6.6666666666666666E-2</v>
      </c>
      <c r="BC6" s="66">
        <f t="shared" ref="BC6:BC9" si="10">((3*AZ6)+BA6)/(MAX(AX6-AX5,AY6-AY5))</f>
        <v>0.58947368421052626</v>
      </c>
      <c r="BD6" s="130">
        <v>10.9</v>
      </c>
      <c r="BE6" s="130"/>
      <c r="BF6" s="130"/>
      <c r="BG6" s="133">
        <v>1.1200000000000001</v>
      </c>
      <c r="BH6" s="130">
        <f>4/60</f>
        <v>6.6666666666666666E-2</v>
      </c>
      <c r="BI6" s="66">
        <f t="shared" ref="BI6:BI48" si="11">((3*BF6)+BG6)/(MAX(BD6-BD5,BE6-BE5))</f>
        <v>0.58947368421052626</v>
      </c>
      <c r="BJ6" s="130">
        <v>12</v>
      </c>
      <c r="BK6" s="130">
        <v>4.0259999999999998</v>
      </c>
      <c r="BL6" s="133"/>
      <c r="BM6" s="133">
        <v>1.1200000000000001</v>
      </c>
      <c r="BN6" s="130">
        <f>4/60</f>
        <v>6.6666666666666666E-2</v>
      </c>
      <c r="BO6" s="66">
        <f t="shared" ref="BO6:BO47" si="12">((3*BL6)+BM6)/(MAX(BJ6-BJ5,BK6-BK5))</f>
        <v>0.53333333333333344</v>
      </c>
      <c r="BP6" s="103">
        <v>3.63</v>
      </c>
      <c r="BR6" s="65"/>
      <c r="BS6" s="71">
        <v>6.86</v>
      </c>
      <c r="BT6" s="65">
        <f>4/60</f>
        <v>6.6666666666666666E-2</v>
      </c>
      <c r="BU6" s="66">
        <f t="shared" ref="BU6:BU24" si="13">((3*BR6)+BS6)/(MAX(BP6-BP5,BQ6-BQ5))</f>
        <v>10.3939393939394</v>
      </c>
      <c r="BV6" s="118"/>
      <c r="BW6" s="65">
        <v>4.72</v>
      </c>
      <c r="BX6" s="65"/>
      <c r="BY6" s="65">
        <v>6.52</v>
      </c>
      <c r="BZ6" s="65">
        <v>0.17</v>
      </c>
      <c r="CA6" s="66">
        <f t="shared" ref="CA6:CA34" si="14">((3*BX6)+BY6)/(MAX(BV6-BV5,BW6-BW5))</f>
        <v>7.5813953488372103</v>
      </c>
      <c r="CB6" s="103">
        <v>4.72</v>
      </c>
      <c r="CC6" s="65"/>
      <c r="CD6" s="65"/>
      <c r="CE6" s="71">
        <v>6.52</v>
      </c>
      <c r="CF6" s="65">
        <f>10/60</f>
        <v>0.16666666666666666</v>
      </c>
      <c r="CG6" s="66">
        <f t="shared" ref="CG6:CG24" si="15">((3*CD6)+CE6)/(MAX(CB6-CB5,CC6-CC5))</f>
        <v>7.5813953488372103</v>
      </c>
      <c r="CH6" s="65">
        <v>1.8</v>
      </c>
      <c r="CI6" s="65">
        <v>1.8</v>
      </c>
      <c r="CJ6" s="65"/>
      <c r="CK6" s="65">
        <v>0.78</v>
      </c>
      <c r="CL6" s="65">
        <f>16/60</f>
        <v>0.26666666666666666</v>
      </c>
      <c r="CM6" s="66">
        <f>((3*CJ6)+CK6)/(MAX(CH6-CH5,CI6-CI5))</f>
        <v>2.3636363636363633</v>
      </c>
      <c r="CN6" s="65"/>
      <c r="CO6" s="65">
        <v>6.53</v>
      </c>
      <c r="CP6" s="65"/>
      <c r="CQ6" s="65">
        <v>7.22</v>
      </c>
      <c r="CR6" s="65">
        <f>10/60</f>
        <v>0.16666666666666666</v>
      </c>
      <c r="CS6" s="66">
        <f t="shared" ref="CS6:CS13" si="16">((3*CP6)+CQ6)/(MAX(CN6-CN5,CO6-CO5))</f>
        <v>6.1186440677966072</v>
      </c>
      <c r="CT6" s="103"/>
      <c r="CU6" s="65"/>
      <c r="CV6" s="65"/>
      <c r="CW6" s="65"/>
      <c r="CX6" s="65"/>
      <c r="CZ6" s="65"/>
      <c r="DA6" s="65">
        <v>5.99</v>
      </c>
      <c r="DB6" s="65"/>
      <c r="DC6" s="65">
        <v>1.18</v>
      </c>
      <c r="DD6" s="65">
        <f>8/60</f>
        <v>0.13333333333333333</v>
      </c>
      <c r="DE6" s="66">
        <f t="shared" si="0"/>
        <v>1.0825688073394497</v>
      </c>
      <c r="DF6" s="65"/>
      <c r="DG6" s="65">
        <v>13.8</v>
      </c>
      <c r="DH6" s="65"/>
      <c r="DI6" s="71">
        <v>1.69</v>
      </c>
      <c r="DJ6" s="71">
        <f>4/60</f>
        <v>6.6666666666666666E-2</v>
      </c>
      <c r="DK6" s="66">
        <f t="shared" si="1"/>
        <v>0.67599999999999993</v>
      </c>
      <c r="DL6" s="65"/>
      <c r="DM6" s="65">
        <v>3.63</v>
      </c>
      <c r="DN6" s="65"/>
      <c r="DO6" s="65">
        <v>0.4</v>
      </c>
      <c r="DP6" s="65">
        <f>8/60</f>
        <v>0.13333333333333333</v>
      </c>
      <c r="DQ6" s="66">
        <f t="shared" si="2"/>
        <v>0.60606060606060641</v>
      </c>
      <c r="DR6" s="103">
        <v>6.53</v>
      </c>
      <c r="DS6" s="65"/>
      <c r="DT6" s="65"/>
      <c r="DU6" s="65">
        <v>7.22</v>
      </c>
      <c r="DV6" s="65">
        <f>10/60</f>
        <v>0.16666666666666666</v>
      </c>
      <c r="DW6" s="66">
        <f t="shared" si="3"/>
        <v>6.1186440677966072</v>
      </c>
      <c r="DX6" s="130">
        <v>6.4050000000000002</v>
      </c>
      <c r="DY6" s="130">
        <v>6.4050000000000002</v>
      </c>
      <c r="DZ6" s="130"/>
      <c r="EA6" s="133">
        <v>2.17</v>
      </c>
      <c r="EB6" s="130">
        <f>14/60</f>
        <v>0.23333333333333334</v>
      </c>
      <c r="EC6" s="66">
        <f t="shared" si="4"/>
        <v>1.8787878787878782</v>
      </c>
      <c r="ED6" s="133">
        <v>10</v>
      </c>
      <c r="EE6" s="127">
        <v>10</v>
      </c>
      <c r="EF6" s="127"/>
      <c r="EG6" s="127">
        <v>1.75</v>
      </c>
      <c r="EH6" s="127">
        <f>8/60</f>
        <v>0.13333333333333333</v>
      </c>
      <c r="EI6" s="66">
        <f t="shared" si="5"/>
        <v>1</v>
      </c>
      <c r="EP6" s="133">
        <v>23.7</v>
      </c>
      <c r="EQ6" s="133">
        <v>23.7</v>
      </c>
      <c r="ER6" s="133"/>
      <c r="ES6" s="133">
        <v>4.37</v>
      </c>
      <c r="ET6" s="133">
        <f>2/60</f>
        <v>3.3333333333333333E-2</v>
      </c>
      <c r="EU6" s="66">
        <f t="shared" si="6"/>
        <v>1.0404761904761908</v>
      </c>
      <c r="EV6" s="103"/>
      <c r="EW6" s="65"/>
      <c r="EX6" s="65"/>
      <c r="EY6" s="65"/>
      <c r="EZ6" s="65"/>
    </row>
    <row r="7" spans="1:157" x14ac:dyDescent="0.25">
      <c r="A7">
        <v>7</v>
      </c>
      <c r="C7" s="4">
        <v>4.33</v>
      </c>
      <c r="D7" s="4">
        <v>0.32</v>
      </c>
      <c r="F7" s="4">
        <f>12/60</f>
        <v>0.2</v>
      </c>
      <c r="G7" s="66">
        <f>((3*D7)+E7)/(MAX(B7-B6,C7-C6))</f>
        <v>6.3999999999999844</v>
      </c>
      <c r="H7" s="65">
        <v>4.33</v>
      </c>
      <c r="I7" s="65"/>
      <c r="J7" s="65">
        <v>0.32</v>
      </c>
      <c r="K7" s="65"/>
      <c r="L7" s="65">
        <f>12/60</f>
        <v>0.2</v>
      </c>
      <c r="M7" s="66">
        <f t="shared" ref="M7:M8" si="17">((3*J7)+K7)/(MAX(H7-H6,I7-I6))</f>
        <v>6.3999999999999844</v>
      </c>
      <c r="Z7" s="113">
        <v>5.83</v>
      </c>
      <c r="AB7" s="4">
        <v>4.29</v>
      </c>
      <c r="AC7" s="71"/>
      <c r="AD7" s="65">
        <f>14/60</f>
        <v>0.23333333333333334</v>
      </c>
      <c r="AE7" s="66">
        <f t="shared" si="7"/>
        <v>64.349999999999952</v>
      </c>
      <c r="AF7" s="65"/>
      <c r="AG7" s="65">
        <v>5.83</v>
      </c>
      <c r="AH7" s="65">
        <v>4.29</v>
      </c>
      <c r="AI7" s="65"/>
      <c r="AJ7" s="65">
        <f>14/60</f>
        <v>0.23333333333333334</v>
      </c>
      <c r="AK7" s="66">
        <f t="shared" si="8"/>
        <v>64.349999999999952</v>
      </c>
      <c r="AL7" s="4">
        <v>7.52</v>
      </c>
      <c r="AM7" s="64">
        <v>7.52</v>
      </c>
      <c r="AN7" s="4">
        <v>0.96</v>
      </c>
      <c r="AP7" s="65">
        <f>7/60</f>
        <v>0.11666666666666667</v>
      </c>
      <c r="AQ7" s="66">
        <f t="shared" si="9"/>
        <v>11.076923076923086</v>
      </c>
      <c r="AX7" s="118"/>
      <c r="AY7" s="65">
        <v>11.3</v>
      </c>
      <c r="AZ7" s="65">
        <v>0.51200000000000001</v>
      </c>
      <c r="BA7" s="71"/>
      <c r="BB7" s="65">
        <f>6/60</f>
        <v>0.1</v>
      </c>
      <c r="BC7" s="66">
        <f t="shared" si="10"/>
        <v>3.8399999999999967</v>
      </c>
      <c r="BD7" s="130">
        <v>11.3</v>
      </c>
      <c r="BE7" s="130"/>
      <c r="BF7" s="130">
        <v>0.51200000000000001</v>
      </c>
      <c r="BG7" s="133"/>
      <c r="BH7" s="130">
        <f>6/60</f>
        <v>0.1</v>
      </c>
      <c r="BI7" s="66">
        <f t="shared" si="11"/>
        <v>3.8399999999999967</v>
      </c>
      <c r="BJ7" s="130">
        <v>12.4</v>
      </c>
      <c r="BK7" s="130">
        <v>4.1580000000000004</v>
      </c>
      <c r="BL7" s="133">
        <v>0.51200000000000001</v>
      </c>
      <c r="BM7" s="133"/>
      <c r="BN7" s="130">
        <f>6/60</f>
        <v>0.1</v>
      </c>
      <c r="BO7" s="66">
        <f t="shared" si="12"/>
        <v>3.8399999999999967</v>
      </c>
      <c r="BP7" s="103">
        <v>3.76</v>
      </c>
      <c r="BQ7" s="65"/>
      <c r="BR7" s="65">
        <v>4.29</v>
      </c>
      <c r="BS7" s="71"/>
      <c r="BT7" s="65">
        <f>6/60</f>
        <v>0.1</v>
      </c>
      <c r="BU7" s="66">
        <f t="shared" si="13"/>
        <v>99.000000000000085</v>
      </c>
      <c r="BV7" s="118"/>
      <c r="BW7" s="65">
        <v>4.8899999999999997</v>
      </c>
      <c r="BX7" s="65">
        <v>4.07</v>
      </c>
      <c r="BY7" s="65"/>
      <c r="BZ7" s="65">
        <v>0.23</v>
      </c>
      <c r="CA7" s="66">
        <f t="shared" si="14"/>
        <v>71.823529411764738</v>
      </c>
      <c r="CB7" s="103">
        <v>4.8899999999999997</v>
      </c>
      <c r="CC7" s="65"/>
      <c r="CD7" s="65">
        <v>4.07</v>
      </c>
      <c r="CE7" s="71"/>
      <c r="CF7" s="65">
        <f>14/60</f>
        <v>0.23333333333333334</v>
      </c>
      <c r="CG7" s="66">
        <f t="shared" si="15"/>
        <v>71.823529411764738</v>
      </c>
      <c r="CH7" s="65"/>
      <c r="CI7" s="65"/>
      <c r="CJ7" s="65"/>
      <c r="CK7" s="65"/>
      <c r="CL7" s="65"/>
      <c r="CM7" s="66"/>
      <c r="CN7" s="65"/>
      <c r="CO7" s="65">
        <v>6.77</v>
      </c>
      <c r="CP7" s="65">
        <v>4.51</v>
      </c>
      <c r="CQ7" s="65"/>
      <c r="CR7" s="65">
        <f>16/60</f>
        <v>0.26666666666666666</v>
      </c>
      <c r="CS7" s="66">
        <f t="shared" si="16"/>
        <v>56.375000000000156</v>
      </c>
      <c r="CT7" s="103"/>
      <c r="CU7" s="65"/>
      <c r="CV7" s="65"/>
      <c r="CW7" s="65"/>
      <c r="CX7" s="65"/>
      <c r="CZ7" s="65"/>
      <c r="DA7" s="65">
        <v>6.21</v>
      </c>
      <c r="DB7" s="65">
        <v>0.35</v>
      </c>
      <c r="DC7" s="65"/>
      <c r="DD7" s="65">
        <f>12/60</f>
        <v>0.2</v>
      </c>
      <c r="DE7" s="66">
        <f t="shared" si="0"/>
        <v>4.7727272727272769</v>
      </c>
      <c r="DF7" s="65"/>
      <c r="DG7" s="65">
        <v>14.3</v>
      </c>
      <c r="DH7" s="65">
        <v>0.56000000000000005</v>
      </c>
      <c r="DI7" s="71"/>
      <c r="DJ7" s="71">
        <f>6/60</f>
        <v>0.1</v>
      </c>
      <c r="DK7" s="66">
        <f t="shared" si="1"/>
        <v>3.3600000000000003</v>
      </c>
      <c r="DL7" s="65"/>
      <c r="DM7" s="65">
        <v>3.76</v>
      </c>
      <c r="DN7" s="65">
        <v>0.2</v>
      </c>
      <c r="DO7" s="65"/>
      <c r="DP7" s="65">
        <f>12/60</f>
        <v>0.2</v>
      </c>
      <c r="DQ7" s="66">
        <f t="shared" si="2"/>
        <v>4.6153846153846194</v>
      </c>
      <c r="DR7" s="103">
        <v>6.77</v>
      </c>
      <c r="DS7" s="65"/>
      <c r="DT7" s="65">
        <v>4.51</v>
      </c>
      <c r="DU7" s="65"/>
      <c r="DV7" s="65">
        <f>16/60</f>
        <v>0.26666666666666666</v>
      </c>
      <c r="DW7" s="66">
        <f t="shared" si="3"/>
        <v>56.375000000000156</v>
      </c>
      <c r="DX7" s="130">
        <v>6.6150000000000002</v>
      </c>
      <c r="DY7" s="130">
        <v>6.6150000000000002</v>
      </c>
      <c r="DZ7" s="130">
        <v>0.99199999999999999</v>
      </c>
      <c r="EA7" s="133"/>
      <c r="EB7" s="130">
        <f>20/60</f>
        <v>0.33333333333333331</v>
      </c>
      <c r="EC7" s="66">
        <f t="shared" si="4"/>
        <v>14.171428571428574</v>
      </c>
      <c r="ED7" s="133">
        <v>10.3</v>
      </c>
      <c r="EE7" s="127">
        <v>10.3</v>
      </c>
      <c r="EF7" s="127">
        <v>0.8</v>
      </c>
      <c r="EG7" s="127"/>
      <c r="EH7" s="127">
        <f>12/60</f>
        <v>0.2</v>
      </c>
      <c r="EI7" s="66">
        <f t="shared" si="5"/>
        <v>7.9999999999999822</v>
      </c>
      <c r="EP7" s="133">
        <v>24.5</v>
      </c>
      <c r="EQ7" s="133">
        <v>24.5</v>
      </c>
      <c r="ER7" s="133">
        <v>2</v>
      </c>
      <c r="ES7" s="133"/>
      <c r="ET7" s="133">
        <f>4/60</f>
        <v>6.6666666666666666E-2</v>
      </c>
      <c r="EU7" s="66">
        <f t="shared" si="6"/>
        <v>7.4999999999999929</v>
      </c>
      <c r="EV7" s="103"/>
      <c r="EW7" s="65"/>
      <c r="EX7" s="65"/>
      <c r="EY7" s="65"/>
      <c r="EZ7" s="65"/>
    </row>
    <row r="8" spans="1:157" x14ac:dyDescent="0.25">
      <c r="A8">
        <v>8</v>
      </c>
      <c r="C8" s="4">
        <v>4.55</v>
      </c>
      <c r="D8" s="4">
        <v>0.35</v>
      </c>
      <c r="G8" s="66">
        <f t="shared" ref="G8:G21" si="18">((3*D8)+E8)/(MAX(B8-B7,C8-C7))</f>
        <v>4.7727272727272769</v>
      </c>
      <c r="H8" s="65">
        <v>4.55</v>
      </c>
      <c r="I8" s="65"/>
      <c r="J8" s="65">
        <v>0.35</v>
      </c>
      <c r="K8" s="65"/>
      <c r="L8" s="65">
        <f>14/60</f>
        <v>0.23333333333333334</v>
      </c>
      <c r="M8" s="66">
        <f t="shared" si="17"/>
        <v>4.7727272727272769</v>
      </c>
      <c r="Z8" s="113">
        <v>6.14</v>
      </c>
      <c r="AB8" s="4">
        <v>9.36</v>
      </c>
      <c r="AC8" s="71"/>
      <c r="AD8" s="65">
        <f>16/60</f>
        <v>0.26666666666666666</v>
      </c>
      <c r="AE8" s="66">
        <f t="shared" si="7"/>
        <v>90.580645161290434</v>
      </c>
      <c r="AF8" s="65"/>
      <c r="AG8" s="65">
        <v>6.14</v>
      </c>
      <c r="AH8" s="65">
        <v>9.36</v>
      </c>
      <c r="AI8" s="65"/>
      <c r="AJ8" s="65">
        <f>16/60</f>
        <v>0.26666666666666666</v>
      </c>
      <c r="AK8" s="66">
        <f t="shared" si="8"/>
        <v>90.580645161290434</v>
      </c>
      <c r="AL8" s="4">
        <v>7.92</v>
      </c>
      <c r="AM8" s="64">
        <v>7.92</v>
      </c>
      <c r="AN8" s="64">
        <v>1.04</v>
      </c>
      <c r="AP8" s="65">
        <f>8/60</f>
        <v>0.13333333333333333</v>
      </c>
      <c r="AQ8" s="66">
        <f t="shared" si="9"/>
        <v>7.7999999999999936</v>
      </c>
      <c r="AX8" s="118"/>
      <c r="AY8" s="65">
        <v>11.8</v>
      </c>
      <c r="AZ8" s="65">
        <v>0.60799999999999998</v>
      </c>
      <c r="BA8" s="71"/>
      <c r="BB8" s="65">
        <f>7/60</f>
        <v>0.11666666666666667</v>
      </c>
      <c r="BC8" s="66">
        <f t="shared" si="10"/>
        <v>3.6479999999999997</v>
      </c>
      <c r="BD8" s="130">
        <v>11.8</v>
      </c>
      <c r="BE8" s="130"/>
      <c r="BF8" s="130">
        <v>0.60799999999999998</v>
      </c>
      <c r="BG8" s="133"/>
      <c r="BH8" s="130">
        <f>7/60</f>
        <v>0.11666666666666667</v>
      </c>
      <c r="BI8" s="66">
        <f t="shared" si="11"/>
        <v>3.6479999999999997</v>
      </c>
      <c r="BJ8" s="130">
        <v>13</v>
      </c>
      <c r="BK8" s="130">
        <v>4.3559999999999999</v>
      </c>
      <c r="BL8" s="133">
        <v>0.60799999999999998</v>
      </c>
      <c r="BM8" s="133"/>
      <c r="BN8" s="130">
        <f>7/60</f>
        <v>0.11666666666666667</v>
      </c>
      <c r="BO8" s="66">
        <f t="shared" si="12"/>
        <v>3.0400000000000014</v>
      </c>
      <c r="BP8" s="103">
        <v>3.96</v>
      </c>
      <c r="BQ8" s="65"/>
      <c r="BR8" s="65">
        <v>8.26</v>
      </c>
      <c r="BS8" s="71"/>
      <c r="BT8" s="65">
        <f>7/60</f>
        <v>0.11666666666666667</v>
      </c>
      <c r="BU8" s="66">
        <f t="shared" si="13"/>
        <v>123.89999999999989</v>
      </c>
      <c r="BV8" s="118"/>
      <c r="BW8" s="65">
        <v>5.15</v>
      </c>
      <c r="BX8" s="65">
        <v>7.74</v>
      </c>
      <c r="BY8" s="65"/>
      <c r="BZ8" s="65">
        <v>0.28000000000000003</v>
      </c>
      <c r="CA8" s="66">
        <f t="shared" si="14"/>
        <v>89.307692307692065</v>
      </c>
      <c r="CB8" s="103">
        <v>5.15</v>
      </c>
      <c r="CC8" s="65"/>
      <c r="CD8" s="65">
        <v>7.74</v>
      </c>
      <c r="CE8" s="71"/>
      <c r="CF8" s="65">
        <f>17/60</f>
        <v>0.28333333333333333</v>
      </c>
      <c r="CG8" s="66">
        <f t="shared" si="15"/>
        <v>89.307692307692065</v>
      </c>
      <c r="CH8" s="65"/>
      <c r="CI8" s="65"/>
      <c r="CJ8" s="65"/>
      <c r="CK8" s="65"/>
      <c r="CL8" s="65"/>
      <c r="CM8" s="66"/>
      <c r="CN8" s="65"/>
      <c r="CO8" s="65">
        <v>7.13</v>
      </c>
      <c r="CP8" s="65">
        <v>15</v>
      </c>
      <c r="CQ8" s="65"/>
      <c r="CR8" s="65">
        <f>18/60</f>
        <v>0.3</v>
      </c>
      <c r="CS8" s="66">
        <f t="shared" si="16"/>
        <v>124.99999999999989</v>
      </c>
      <c r="CT8" s="103"/>
      <c r="CU8" s="65"/>
      <c r="CV8" s="65"/>
      <c r="CW8" s="65"/>
      <c r="CX8" s="65"/>
      <c r="CZ8" s="65"/>
      <c r="DA8" s="65">
        <v>6.53</v>
      </c>
      <c r="DB8" s="65">
        <v>0.53</v>
      </c>
      <c r="DC8" s="65"/>
      <c r="DD8" s="65">
        <f>14/60</f>
        <v>0.23333333333333334</v>
      </c>
      <c r="DE8" s="66">
        <f t="shared" si="0"/>
        <v>4.9687499999999956</v>
      </c>
      <c r="DF8" s="65"/>
      <c r="DG8" s="65">
        <v>15</v>
      </c>
      <c r="DH8" s="65">
        <v>0.75</v>
      </c>
      <c r="DI8" s="71"/>
      <c r="DJ8" s="71">
        <f>7/60</f>
        <v>0.11666666666666667</v>
      </c>
      <c r="DK8" s="66">
        <f t="shared" si="1"/>
        <v>3.2142857142857175</v>
      </c>
      <c r="DL8" s="65"/>
      <c r="DM8" s="65">
        <v>3.96</v>
      </c>
      <c r="DN8" s="65">
        <v>0.3</v>
      </c>
      <c r="DO8" s="65"/>
      <c r="DP8" s="65">
        <f>14/60</f>
        <v>0.23333333333333334</v>
      </c>
      <c r="DQ8" s="66">
        <f t="shared" si="2"/>
        <v>4.4999999999999956</v>
      </c>
      <c r="DR8" s="103">
        <v>7.13</v>
      </c>
      <c r="DS8" s="65"/>
      <c r="DT8" s="65">
        <v>15</v>
      </c>
      <c r="DU8" s="65"/>
      <c r="DV8" s="65">
        <f>18/60</f>
        <v>0.3</v>
      </c>
      <c r="DW8" s="66">
        <f t="shared" si="3"/>
        <v>124.99999999999989</v>
      </c>
      <c r="DX8" s="130">
        <v>6.93</v>
      </c>
      <c r="DY8" s="130">
        <v>6.93</v>
      </c>
      <c r="DZ8" s="130">
        <v>1.17</v>
      </c>
      <c r="EA8" s="133"/>
      <c r="EB8" s="130">
        <f>24/60</f>
        <v>0.4</v>
      </c>
      <c r="EC8" s="66">
        <f t="shared" si="4"/>
        <v>11.14285714285716</v>
      </c>
      <c r="ED8" s="133">
        <v>10.8</v>
      </c>
      <c r="EE8" s="127">
        <v>10.8</v>
      </c>
      <c r="EF8" s="127">
        <v>0.95</v>
      </c>
      <c r="EG8" s="127"/>
      <c r="EH8" s="127">
        <f>14/60</f>
        <v>0.23333333333333334</v>
      </c>
      <c r="EI8" s="66">
        <f t="shared" si="5"/>
        <v>5.6999999999999993</v>
      </c>
      <c r="EP8" s="133">
        <v>25.7</v>
      </c>
      <c r="EQ8" s="133">
        <v>25.7</v>
      </c>
      <c r="ER8" s="133">
        <v>2.37</v>
      </c>
      <c r="ES8" s="133"/>
      <c r="ET8" s="133">
        <f>4/60</f>
        <v>6.6666666666666666E-2</v>
      </c>
      <c r="EU8" s="66">
        <f t="shared" si="6"/>
        <v>5.9250000000000034</v>
      </c>
      <c r="EV8" s="103"/>
      <c r="EW8" s="65"/>
      <c r="EX8" s="65"/>
      <c r="EY8" s="65"/>
      <c r="EZ8" s="65"/>
    </row>
    <row r="9" spans="1:157" x14ac:dyDescent="0.25">
      <c r="A9">
        <v>9</v>
      </c>
      <c r="C9" s="4">
        <v>4.8600000000000003</v>
      </c>
      <c r="E9" s="4">
        <v>1.04</v>
      </c>
      <c r="G9" s="66">
        <f t="shared" si="18"/>
        <v>3.3548387096774142</v>
      </c>
      <c r="H9" s="65"/>
      <c r="I9" s="65"/>
      <c r="J9" s="65"/>
      <c r="K9" s="65"/>
      <c r="L9" s="65"/>
      <c r="Q9" s="4">
        <v>14</v>
      </c>
      <c r="W9" s="4">
        <v>21</v>
      </c>
      <c r="Z9" s="113">
        <v>6.55</v>
      </c>
      <c r="AC9" s="71">
        <v>11.4</v>
      </c>
      <c r="AD9" s="65">
        <f>18/60</f>
        <v>0.3</v>
      </c>
      <c r="AE9" s="66">
        <f t="shared" si="7"/>
        <v>27.804878048780481</v>
      </c>
      <c r="AF9" s="65"/>
      <c r="AG9" s="65">
        <v>6.55</v>
      </c>
      <c r="AH9" s="65"/>
      <c r="AI9" s="65">
        <v>11.4</v>
      </c>
      <c r="AJ9" s="65">
        <f>18/60</f>
        <v>0.3</v>
      </c>
      <c r="AK9" s="66">
        <f t="shared" si="8"/>
        <v>27.804878048780481</v>
      </c>
      <c r="AL9" s="4">
        <v>8.4499999999999993</v>
      </c>
      <c r="AM9" s="64">
        <v>8.4499999999999993</v>
      </c>
      <c r="AO9" s="4">
        <v>3.9</v>
      </c>
      <c r="AP9" s="65">
        <f>10/60</f>
        <v>0.16666666666666666</v>
      </c>
      <c r="AQ9" s="66">
        <f t="shared" si="9"/>
        <v>7.3584905660377444</v>
      </c>
      <c r="AX9" s="118"/>
      <c r="AY9" s="65">
        <v>12.6</v>
      </c>
      <c r="AZ9" s="65"/>
      <c r="BA9" s="71">
        <v>4.8</v>
      </c>
      <c r="BB9" s="65">
        <f>8/60</f>
        <v>0.13333333333333333</v>
      </c>
      <c r="BC9" s="66">
        <f t="shared" si="10"/>
        <v>6.000000000000008</v>
      </c>
      <c r="BD9" s="130">
        <v>12.6</v>
      </c>
      <c r="BE9" s="130"/>
      <c r="BF9" s="130"/>
      <c r="BG9" s="133">
        <v>4.8</v>
      </c>
      <c r="BH9" s="130">
        <f>8/60</f>
        <v>0.13333333333333333</v>
      </c>
      <c r="BI9" s="66">
        <f t="shared" si="11"/>
        <v>6.000000000000008</v>
      </c>
      <c r="BJ9" s="130">
        <v>13.8</v>
      </c>
      <c r="BK9" s="130">
        <v>4.62</v>
      </c>
      <c r="BL9" s="133"/>
      <c r="BM9" s="133">
        <v>4.8</v>
      </c>
      <c r="BN9" s="130">
        <f>8/60</f>
        <v>0.13333333333333333</v>
      </c>
      <c r="BO9" s="66">
        <f t="shared" si="12"/>
        <v>5.9999999999999947</v>
      </c>
      <c r="BP9" s="145">
        <v>4.2</v>
      </c>
      <c r="BQ9" s="130">
        <v>12.6</v>
      </c>
      <c r="BR9" s="130"/>
      <c r="BS9" s="133">
        <v>4.8</v>
      </c>
      <c r="BT9" s="130">
        <f>8/60</f>
        <v>0.13333333333333333</v>
      </c>
      <c r="BU9" s="66">
        <f t="shared" si="13"/>
        <v>0.38095238095238093</v>
      </c>
      <c r="BV9" s="118"/>
      <c r="BW9" s="65">
        <v>5.49</v>
      </c>
      <c r="BX9" s="65"/>
      <c r="BY9" s="65">
        <v>8.5399999999999991</v>
      </c>
      <c r="BZ9" s="65">
        <f>18/60</f>
        <v>0.3</v>
      </c>
      <c r="CA9" s="66">
        <f t="shared" si="14"/>
        <v>25.117647058823536</v>
      </c>
      <c r="CB9" s="103">
        <v>5.49</v>
      </c>
      <c r="CC9" s="65"/>
      <c r="CD9" s="65"/>
      <c r="CE9" s="71">
        <v>8.5399999999999991</v>
      </c>
      <c r="CF9" s="65">
        <v>0.3</v>
      </c>
      <c r="CG9" s="66">
        <f t="shared" si="15"/>
        <v>25.117647058823536</v>
      </c>
      <c r="CH9" s="65"/>
      <c r="CI9" s="65"/>
      <c r="CJ9" s="65"/>
      <c r="CK9" s="65"/>
      <c r="CL9" s="65"/>
      <c r="CM9" s="66"/>
      <c r="CN9" s="65"/>
      <c r="CO9" s="65">
        <v>7.6</v>
      </c>
      <c r="CP9" s="65"/>
      <c r="CQ9" s="65">
        <v>46</v>
      </c>
      <c r="CR9" s="65">
        <f>20/60</f>
        <v>0.33333333333333331</v>
      </c>
      <c r="CS9" s="66">
        <f t="shared" si="16"/>
        <v>97.872340425531974</v>
      </c>
      <c r="CT9" s="103"/>
      <c r="CU9" s="65"/>
      <c r="CV9" s="65"/>
      <c r="CW9" s="65"/>
      <c r="CX9" s="65"/>
      <c r="CZ9" s="65"/>
      <c r="DA9" s="65">
        <v>6.97</v>
      </c>
      <c r="DB9" s="65"/>
      <c r="DC9" s="65">
        <v>1.58</v>
      </c>
      <c r="DD9" s="65">
        <f>16/60</f>
        <v>0.26666666666666666</v>
      </c>
      <c r="DE9" s="66">
        <f t="shared" si="0"/>
        <v>3.5909090909090953</v>
      </c>
      <c r="DF9" s="65"/>
      <c r="DG9" s="65">
        <v>16.100000000000001</v>
      </c>
      <c r="DH9" s="65"/>
      <c r="DI9" s="71">
        <v>2.25</v>
      </c>
      <c r="DJ9" s="71">
        <f>8/60</f>
        <v>0.13333333333333333</v>
      </c>
      <c r="DK9" s="66">
        <f t="shared" si="1"/>
        <v>2.0454545454545427</v>
      </c>
      <c r="DL9" s="65"/>
      <c r="DM9" s="65">
        <v>4.22</v>
      </c>
      <c r="DN9" s="65"/>
      <c r="DO9" s="65">
        <v>0.9</v>
      </c>
      <c r="DP9" s="65">
        <f>16/60</f>
        <v>0.26666666666666666</v>
      </c>
      <c r="DQ9" s="66">
        <f t="shared" si="2"/>
        <v>3.4615384615384643</v>
      </c>
      <c r="DR9" s="103">
        <v>7.6</v>
      </c>
      <c r="DS9" s="65"/>
      <c r="DT9" s="65"/>
      <c r="DU9" s="65">
        <v>46</v>
      </c>
      <c r="DV9" s="65">
        <f>20/60</f>
        <v>0.33333333333333331</v>
      </c>
      <c r="DW9" s="66">
        <f t="shared" si="3"/>
        <v>97.872340425531974</v>
      </c>
      <c r="DX9" s="130">
        <v>7.35</v>
      </c>
      <c r="DY9" s="130">
        <v>7.35</v>
      </c>
      <c r="DZ9" s="130"/>
      <c r="EA9" s="133">
        <v>9.3000000000000007</v>
      </c>
      <c r="EB9" s="130">
        <f>28/60</f>
        <v>0.46666666666666667</v>
      </c>
      <c r="EC9" s="66">
        <f t="shared" si="4"/>
        <v>22.142857142857149</v>
      </c>
      <c r="ED9" s="133">
        <v>11.5</v>
      </c>
      <c r="EE9" s="127">
        <v>11.5</v>
      </c>
      <c r="EF9" s="127"/>
      <c r="EG9" s="127">
        <v>7.5</v>
      </c>
      <c r="EH9" s="127">
        <f>16/60</f>
        <v>0.26666666666666666</v>
      </c>
      <c r="EI9" s="66">
        <f t="shared" si="5"/>
        <v>10.714285714285726</v>
      </c>
      <c r="EP9" s="133">
        <v>27.3</v>
      </c>
      <c r="EQ9" s="133">
        <v>27.3</v>
      </c>
      <c r="ER9" s="133"/>
      <c r="ES9" s="133">
        <v>18.7</v>
      </c>
      <c r="ET9" s="133">
        <f>5/60</f>
        <v>8.3333333333333329E-2</v>
      </c>
      <c r="EU9" s="66">
        <f t="shared" si="6"/>
        <v>11.687499999999989</v>
      </c>
      <c r="EV9" s="103"/>
      <c r="EW9" s="65"/>
      <c r="EX9" s="65"/>
      <c r="EY9" s="65"/>
      <c r="EZ9" s="65"/>
    </row>
    <row r="10" spans="1:157" x14ac:dyDescent="0.25">
      <c r="A10">
        <v>10</v>
      </c>
      <c r="C10" s="4">
        <v>5.16</v>
      </c>
      <c r="D10" s="4">
        <v>0.46</v>
      </c>
      <c r="G10" s="66">
        <f t="shared" si="18"/>
        <v>4.6000000000000032</v>
      </c>
      <c r="H10" s="65"/>
      <c r="I10" s="65"/>
      <c r="J10" s="65"/>
      <c r="K10" s="65"/>
      <c r="L10" s="65"/>
      <c r="P10" s="4">
        <v>5.71</v>
      </c>
      <c r="V10" s="4">
        <v>5.71</v>
      </c>
      <c r="Z10" s="113">
        <v>6.96</v>
      </c>
      <c r="AB10" s="4">
        <v>9.84</v>
      </c>
      <c r="AC10" s="71"/>
      <c r="AD10" s="65">
        <f>20/60</f>
        <v>0.33333333333333331</v>
      </c>
      <c r="AE10" s="66">
        <f t="shared" si="7"/>
        <v>71.999999999999972</v>
      </c>
      <c r="AF10" s="65"/>
      <c r="AG10" s="65">
        <v>6.96</v>
      </c>
      <c r="AH10" s="65">
        <v>9.84</v>
      </c>
      <c r="AI10" s="65"/>
      <c r="AJ10" s="65">
        <f>20/60</f>
        <v>0.33333333333333331</v>
      </c>
      <c r="AK10" s="66">
        <f t="shared" si="8"/>
        <v>71.999999999999972</v>
      </c>
      <c r="AL10" s="4">
        <v>8.98</v>
      </c>
      <c r="AM10" s="64">
        <v>8.98</v>
      </c>
      <c r="AN10" s="64">
        <v>1.06</v>
      </c>
      <c r="AP10" s="65">
        <f>11/60</f>
        <v>0.18333333333333332</v>
      </c>
      <c r="AQ10" s="66">
        <f t="shared" si="9"/>
        <v>5.9999999999999876</v>
      </c>
      <c r="AX10" s="118"/>
      <c r="AY10" s="65"/>
      <c r="AZ10" s="65"/>
      <c r="BA10" s="71"/>
      <c r="BC10" s="66"/>
      <c r="BD10" s="130">
        <v>13.5</v>
      </c>
      <c r="BE10" s="130"/>
      <c r="BF10" s="130">
        <v>1.2</v>
      </c>
      <c r="BG10" s="133"/>
      <c r="BH10" s="130">
        <f>9/60</f>
        <v>0.15</v>
      </c>
      <c r="BI10" s="66">
        <f t="shared" si="11"/>
        <v>3.9999999999999982</v>
      </c>
      <c r="BJ10" s="130">
        <v>14.8</v>
      </c>
      <c r="BK10" s="130">
        <v>4.95</v>
      </c>
      <c r="BL10" s="133">
        <v>1.2</v>
      </c>
      <c r="BM10" s="133"/>
      <c r="BN10" s="130">
        <f>9/60</f>
        <v>0.15</v>
      </c>
      <c r="BO10" s="66">
        <f t="shared" si="12"/>
        <v>3.5999999999999996</v>
      </c>
      <c r="BP10" s="145">
        <v>4.5</v>
      </c>
      <c r="BQ10" s="130">
        <v>13.5</v>
      </c>
      <c r="BR10" s="130">
        <v>1.2</v>
      </c>
      <c r="BS10" s="133"/>
      <c r="BT10" s="130">
        <f>9/60</f>
        <v>0.15</v>
      </c>
      <c r="BU10" s="66">
        <f t="shared" si="13"/>
        <v>3.9999999999999982</v>
      </c>
      <c r="BV10" s="118"/>
      <c r="BW10" s="65">
        <v>5.83</v>
      </c>
      <c r="BX10" s="65">
        <v>7.92</v>
      </c>
      <c r="BY10" s="65"/>
      <c r="BZ10" s="65">
        <f>22/60</f>
        <v>0.36666666666666664</v>
      </c>
      <c r="CA10" s="66">
        <f t="shared" si="14"/>
        <v>69.882352941176492</v>
      </c>
      <c r="CB10" s="103">
        <v>5.83</v>
      </c>
      <c r="CC10" s="65"/>
      <c r="CD10" s="65">
        <v>7.92</v>
      </c>
      <c r="CE10" s="71"/>
      <c r="CF10" s="65">
        <v>0.37</v>
      </c>
      <c r="CG10" s="66">
        <f t="shared" si="15"/>
        <v>69.882352941176492</v>
      </c>
      <c r="CH10" s="65"/>
      <c r="CI10" s="65"/>
      <c r="CJ10" s="65"/>
      <c r="CK10" s="65"/>
      <c r="CL10" s="65"/>
      <c r="CM10" s="66"/>
      <c r="CN10" s="65">
        <v>4.49</v>
      </c>
      <c r="CO10" s="65">
        <v>8.08</v>
      </c>
      <c r="CP10" s="65">
        <v>60.2</v>
      </c>
      <c r="CQ10" s="65"/>
      <c r="CR10" s="65">
        <f>22/60</f>
        <v>0.36666666666666664</v>
      </c>
      <c r="CS10" s="66">
        <f t="shared" si="16"/>
        <v>40.222717149220493</v>
      </c>
      <c r="CT10" s="103"/>
      <c r="CU10" s="65"/>
      <c r="CV10" s="65"/>
      <c r="CW10" s="65"/>
      <c r="CX10" s="65"/>
      <c r="CZ10" s="65"/>
      <c r="DA10" s="65">
        <v>7.41</v>
      </c>
      <c r="DB10" s="65">
        <v>0.7</v>
      </c>
      <c r="DC10" s="65"/>
      <c r="DD10" s="65">
        <f>18/60</f>
        <v>0.3</v>
      </c>
      <c r="DE10" s="66">
        <f t="shared" si="0"/>
        <v>4.772727272727268</v>
      </c>
      <c r="DF10" s="65"/>
      <c r="DG10" s="65">
        <v>17.100000000000001</v>
      </c>
      <c r="DH10" s="65">
        <v>1</v>
      </c>
      <c r="DI10" s="71"/>
      <c r="DJ10" s="71">
        <f>9/60</f>
        <v>0.15</v>
      </c>
      <c r="DK10" s="66">
        <f t="shared" si="1"/>
        <v>3</v>
      </c>
      <c r="DL10" s="65">
        <v>3.37</v>
      </c>
      <c r="DM10" s="65">
        <v>4.49</v>
      </c>
      <c r="DN10" s="65">
        <v>0.4</v>
      </c>
      <c r="DO10" s="65"/>
      <c r="DP10" s="65">
        <f>18/60</f>
        <v>0.3</v>
      </c>
      <c r="DQ10" s="66">
        <f t="shared" si="2"/>
        <v>0.35608308605341249</v>
      </c>
      <c r="DR10" s="103">
        <v>8.08</v>
      </c>
      <c r="DS10" s="65">
        <v>4.49</v>
      </c>
      <c r="DT10" s="65">
        <v>60.2</v>
      </c>
      <c r="DU10" s="65"/>
      <c r="DV10" s="65">
        <f>22/60</f>
        <v>0.36666666666666664</v>
      </c>
      <c r="DW10" s="66">
        <f t="shared" si="3"/>
        <v>40.222717149220493</v>
      </c>
      <c r="DX10" s="130">
        <v>7.875</v>
      </c>
      <c r="DY10" s="130">
        <v>7.875</v>
      </c>
      <c r="DZ10" s="130">
        <v>2.3199999999999998</v>
      </c>
      <c r="EA10" s="133"/>
      <c r="EB10" s="130">
        <f>30/60</f>
        <v>0.5</v>
      </c>
      <c r="EC10" s="66">
        <f t="shared" si="4"/>
        <v>13.257142857142846</v>
      </c>
      <c r="ED10" s="133">
        <v>12.3</v>
      </c>
      <c r="EE10" s="127">
        <v>12.3</v>
      </c>
      <c r="EF10" s="127">
        <v>1.87</v>
      </c>
      <c r="EG10" s="127"/>
      <c r="EH10" s="127">
        <f>18/60</f>
        <v>0.3</v>
      </c>
      <c r="EI10" s="66">
        <f t="shared" si="5"/>
        <v>7.012499999999994</v>
      </c>
      <c r="EP10" s="133">
        <v>29.2</v>
      </c>
      <c r="EQ10" s="133">
        <v>29.2</v>
      </c>
      <c r="ER10" s="133">
        <v>4.68</v>
      </c>
      <c r="ES10" s="133"/>
      <c r="ET10" s="133">
        <f>6/60</f>
        <v>0.1</v>
      </c>
      <c r="EU10" s="66">
        <f t="shared" si="6"/>
        <v>7.3894736842105315</v>
      </c>
      <c r="EV10" s="103"/>
      <c r="EW10" s="65"/>
      <c r="EX10" s="65"/>
      <c r="EY10" s="65"/>
      <c r="EZ10" s="65"/>
    </row>
    <row r="11" spans="1:157" x14ac:dyDescent="0.25">
      <c r="A11">
        <v>11</v>
      </c>
      <c r="C11" s="4">
        <v>5.47</v>
      </c>
      <c r="D11" s="4">
        <v>0.69</v>
      </c>
      <c r="G11" s="66">
        <f t="shared" si="18"/>
        <v>6.677419354838718</v>
      </c>
      <c r="H11" s="65"/>
      <c r="I11" s="65"/>
      <c r="J11" s="65"/>
      <c r="K11" s="65"/>
      <c r="L11" s="65"/>
      <c r="P11" s="4">
        <v>5.83</v>
      </c>
      <c r="V11" s="4">
        <v>5.83</v>
      </c>
      <c r="Z11" s="113">
        <v>7.37</v>
      </c>
      <c r="AB11" s="4">
        <v>10.199999999999999</v>
      </c>
      <c r="AC11" s="71"/>
      <c r="AD11" s="65">
        <f>22/60</f>
        <v>0.36666666666666664</v>
      </c>
      <c r="AE11" s="66">
        <f t="shared" si="7"/>
        <v>74.634146341463378</v>
      </c>
      <c r="AF11" s="65"/>
      <c r="AG11" s="65">
        <v>7.37</v>
      </c>
      <c r="AH11" s="65">
        <v>10.199999999999999</v>
      </c>
      <c r="AI11" s="65"/>
      <c r="AJ11" s="65">
        <f>22/60</f>
        <v>0.36666666666666664</v>
      </c>
      <c r="AK11" s="66">
        <f t="shared" si="8"/>
        <v>74.634146341463378</v>
      </c>
      <c r="AL11" s="4">
        <v>9.5</v>
      </c>
      <c r="AM11" s="64">
        <v>9.5</v>
      </c>
      <c r="AN11" s="64">
        <v>1.08</v>
      </c>
      <c r="AP11" s="65">
        <f>12/60</f>
        <v>0.2</v>
      </c>
      <c r="AQ11" s="66">
        <f t="shared" si="9"/>
        <v>6.2307692307692362</v>
      </c>
      <c r="AX11" s="118"/>
      <c r="AY11" s="65"/>
      <c r="AZ11" s="65"/>
      <c r="BA11" s="71"/>
      <c r="BC11" s="66"/>
      <c r="BD11" s="130">
        <v>14.4</v>
      </c>
      <c r="BE11" s="130"/>
      <c r="BF11" s="130">
        <v>1.28</v>
      </c>
      <c r="BG11" s="133"/>
      <c r="BH11" s="130">
        <f>9/60</f>
        <v>0.15</v>
      </c>
      <c r="BI11" s="66">
        <f t="shared" si="11"/>
        <v>4.2666666666666648</v>
      </c>
      <c r="BJ11" s="130">
        <v>15.8</v>
      </c>
      <c r="BK11" s="130">
        <v>5.28</v>
      </c>
      <c r="BL11" s="133">
        <v>1.28</v>
      </c>
      <c r="BM11" s="133"/>
      <c r="BN11" s="130">
        <f>10/60</f>
        <v>0.16666666666666666</v>
      </c>
      <c r="BO11" s="66">
        <f t="shared" si="12"/>
        <v>3.84</v>
      </c>
      <c r="BP11" s="145">
        <v>4.8</v>
      </c>
      <c r="BQ11" s="130">
        <v>14.4</v>
      </c>
      <c r="BR11" s="130">
        <v>1.28</v>
      </c>
      <c r="BS11" s="133"/>
      <c r="BT11" s="130">
        <f>9/60</f>
        <v>0.15</v>
      </c>
      <c r="BU11" s="66">
        <f t="shared" si="13"/>
        <v>4.2666666666666648</v>
      </c>
      <c r="BV11" s="118"/>
      <c r="BW11" s="65">
        <v>6.18</v>
      </c>
      <c r="BX11" s="65">
        <v>8.1</v>
      </c>
      <c r="BY11" s="65"/>
      <c r="BZ11" s="65">
        <v>0.38</v>
      </c>
      <c r="CA11" s="66">
        <f t="shared" si="14"/>
        <v>69.428571428571487</v>
      </c>
      <c r="CB11" s="103">
        <v>6.18</v>
      </c>
      <c r="CC11" s="65"/>
      <c r="CD11" s="65">
        <v>8.1</v>
      </c>
      <c r="CE11" s="71"/>
      <c r="CF11" s="65">
        <f>23/60</f>
        <v>0.38333333333333336</v>
      </c>
      <c r="CG11" s="66">
        <f t="shared" si="15"/>
        <v>69.428571428571487</v>
      </c>
      <c r="CH11" s="65"/>
      <c r="CI11" s="65"/>
      <c r="CJ11" s="65"/>
      <c r="CK11" s="65"/>
      <c r="CL11" s="65"/>
      <c r="CM11" s="66"/>
      <c r="CN11" s="65">
        <v>4.75</v>
      </c>
      <c r="CO11" s="65">
        <v>8.5500000000000007</v>
      </c>
      <c r="CP11" s="65">
        <v>77.3</v>
      </c>
      <c r="CQ11" s="65"/>
      <c r="CR11" s="65">
        <f>25/60</f>
        <v>0.41666666666666669</v>
      </c>
      <c r="CS11" s="66">
        <f t="shared" si="16"/>
        <v>493.40425531914821</v>
      </c>
      <c r="CT11" s="103"/>
      <c r="CU11" s="65"/>
      <c r="CV11" s="65"/>
      <c r="CW11" s="65"/>
      <c r="CX11" s="65"/>
      <c r="CZ11" s="65"/>
      <c r="DA11" s="65">
        <v>7.84</v>
      </c>
      <c r="DB11" s="65">
        <v>1.05</v>
      </c>
      <c r="DC11" s="65"/>
      <c r="DD11" s="65">
        <f>19/60</f>
        <v>0.31666666666666665</v>
      </c>
      <c r="DE11" s="66">
        <f t="shared" si="0"/>
        <v>7.3255813953488431</v>
      </c>
      <c r="DF11" s="65"/>
      <c r="DG11" s="65">
        <v>18.100000000000001</v>
      </c>
      <c r="DH11" s="65">
        <v>1.5</v>
      </c>
      <c r="DI11" s="71"/>
      <c r="DJ11" s="71">
        <f>10/60</f>
        <v>0.16666666666666666</v>
      </c>
      <c r="DK11" s="66">
        <f t="shared" si="1"/>
        <v>4.5</v>
      </c>
      <c r="DL11" s="65">
        <v>3.56</v>
      </c>
      <c r="DM11" s="65">
        <v>4.75</v>
      </c>
      <c r="DN11" s="65">
        <v>0.6</v>
      </c>
      <c r="DO11" s="65"/>
      <c r="DP11" s="65">
        <f>19/60</f>
        <v>0.31666666666666665</v>
      </c>
      <c r="DQ11" s="66">
        <f t="shared" si="2"/>
        <v>6.9230769230769278</v>
      </c>
      <c r="DR11" s="103"/>
      <c r="DS11" s="65"/>
      <c r="DT11" s="65"/>
      <c r="DU11" s="65"/>
      <c r="DV11" s="65"/>
      <c r="DX11" s="130">
        <v>8.4</v>
      </c>
      <c r="DY11" s="130">
        <v>8.4</v>
      </c>
      <c r="DZ11" s="130">
        <v>2.48</v>
      </c>
      <c r="EA11" s="133"/>
      <c r="EB11" s="130">
        <f>32/60</f>
        <v>0.53333333333333333</v>
      </c>
      <c r="EC11" s="66">
        <f t="shared" si="4"/>
        <v>14.17142857142856</v>
      </c>
      <c r="ED11" s="133">
        <v>13.2</v>
      </c>
      <c r="EE11" s="127">
        <v>13.2</v>
      </c>
      <c r="EF11" s="127">
        <v>2</v>
      </c>
      <c r="EG11" s="127"/>
      <c r="EH11" s="127">
        <f>18/60</f>
        <v>0.3</v>
      </c>
      <c r="EI11" s="66">
        <f t="shared" si="5"/>
        <v>6.6666666666666776</v>
      </c>
      <c r="EP11" s="133">
        <v>31.2</v>
      </c>
      <c r="EQ11" s="133">
        <v>31.2</v>
      </c>
      <c r="ER11" s="133">
        <v>5</v>
      </c>
      <c r="ES11" s="133"/>
      <c r="ET11" s="133">
        <v>0.1</v>
      </c>
      <c r="EU11" s="66">
        <f t="shared" si="6"/>
        <v>7.5</v>
      </c>
      <c r="EV11" s="103"/>
      <c r="EW11" s="65"/>
      <c r="EX11" s="65"/>
      <c r="EY11" s="65"/>
      <c r="EZ11" s="65"/>
    </row>
    <row r="12" spans="1:157" x14ac:dyDescent="0.25">
      <c r="A12">
        <v>12</v>
      </c>
      <c r="C12" s="4">
        <v>5.69</v>
      </c>
      <c r="E12" s="4">
        <v>4.5999999999999996</v>
      </c>
      <c r="G12" s="66">
        <f t="shared" si="18"/>
        <v>20.909090909090846</v>
      </c>
      <c r="H12" s="65"/>
      <c r="I12" s="65"/>
      <c r="J12" s="65"/>
      <c r="K12" s="65"/>
      <c r="L12" s="65"/>
      <c r="N12" s="113">
        <v>3.71</v>
      </c>
      <c r="O12" s="4">
        <v>24.8</v>
      </c>
      <c r="Q12" s="4">
        <v>28</v>
      </c>
      <c r="T12" s="4">
        <v>24.8</v>
      </c>
      <c r="U12" s="4">
        <v>3.71</v>
      </c>
      <c r="W12" s="4">
        <v>28</v>
      </c>
      <c r="X12" s="65">
        <f>12/60</f>
        <v>0.2</v>
      </c>
      <c r="Y12" s="66"/>
      <c r="Z12" s="113">
        <v>7.67</v>
      </c>
      <c r="AC12" s="71">
        <v>15.2</v>
      </c>
      <c r="AD12" s="65">
        <f>23/60</f>
        <v>0.38333333333333336</v>
      </c>
      <c r="AE12" s="66">
        <f t="shared" si="7"/>
        <v>50.666666666666693</v>
      </c>
      <c r="AF12" s="65"/>
      <c r="AG12" s="65">
        <v>7.67</v>
      </c>
      <c r="AH12" s="65"/>
      <c r="AI12" s="65">
        <v>15.2</v>
      </c>
      <c r="AJ12" s="65">
        <f>23/60</f>
        <v>0.38333333333333336</v>
      </c>
      <c r="AK12" s="66">
        <f t="shared" si="8"/>
        <v>50.666666666666693</v>
      </c>
      <c r="AL12" s="4">
        <v>9.9</v>
      </c>
      <c r="AM12" s="64">
        <v>9.9</v>
      </c>
      <c r="AO12" s="4">
        <v>5.2</v>
      </c>
      <c r="AP12" s="65">
        <f>13/60</f>
        <v>0.21666666666666667</v>
      </c>
      <c r="AQ12" s="66">
        <f t="shared" si="9"/>
        <v>12.999999999999989</v>
      </c>
      <c r="AX12" s="132"/>
      <c r="AY12" s="130">
        <v>14.9</v>
      </c>
      <c r="AZ12" s="130"/>
      <c r="BA12" s="133">
        <v>6.4</v>
      </c>
      <c r="BB12" s="130">
        <f>10/60</f>
        <v>0.16666666666666666</v>
      </c>
      <c r="BC12" s="66"/>
      <c r="BD12" s="130">
        <v>14.9</v>
      </c>
      <c r="BE12" s="130"/>
      <c r="BF12" s="130"/>
      <c r="BG12" s="133">
        <v>6.4</v>
      </c>
      <c r="BH12" s="130">
        <f>10/60</f>
        <v>0.16666666666666666</v>
      </c>
      <c r="BI12" s="66">
        <f t="shared" si="11"/>
        <v>12.8</v>
      </c>
      <c r="BJ12" s="130">
        <v>16.399999999999999</v>
      </c>
      <c r="BK12" s="130">
        <v>5.4779999999999998</v>
      </c>
      <c r="BL12" s="133"/>
      <c r="BM12" s="133">
        <v>6.4</v>
      </c>
      <c r="BN12" s="130">
        <f>10/60</f>
        <v>0.16666666666666666</v>
      </c>
      <c r="BO12" s="66">
        <f t="shared" si="12"/>
        <v>10.666666666666705</v>
      </c>
      <c r="BP12" s="145">
        <v>4.9800000000000004</v>
      </c>
      <c r="BQ12" s="130">
        <v>14.9</v>
      </c>
      <c r="BR12" s="130"/>
      <c r="BS12" s="133">
        <v>6.4</v>
      </c>
      <c r="BT12" s="130">
        <f>10/60</f>
        <v>0.16666666666666666</v>
      </c>
      <c r="BU12" s="66">
        <f t="shared" si="13"/>
        <v>12.8</v>
      </c>
      <c r="BV12" s="118"/>
      <c r="BW12" s="65">
        <v>6.44</v>
      </c>
      <c r="BX12" s="65"/>
      <c r="BY12" s="65">
        <v>11.4</v>
      </c>
      <c r="BZ12" s="65">
        <f>24/60</f>
        <v>0.4</v>
      </c>
      <c r="CA12" s="66">
        <f t="shared" si="14"/>
        <v>43.846153846153733</v>
      </c>
      <c r="CB12" s="103">
        <v>6.44</v>
      </c>
      <c r="CC12" s="65"/>
      <c r="CD12" s="65"/>
      <c r="CE12" s="71">
        <v>11.4</v>
      </c>
      <c r="CF12" s="65">
        <v>0.4</v>
      </c>
      <c r="CG12" s="66">
        <f t="shared" si="15"/>
        <v>43.846153846153733</v>
      </c>
      <c r="CH12" s="65"/>
      <c r="CI12" s="65"/>
      <c r="CJ12" s="65"/>
      <c r="CK12" s="65"/>
      <c r="CL12" s="65"/>
      <c r="CM12" s="66"/>
      <c r="CN12" s="65">
        <v>4.95</v>
      </c>
      <c r="CO12" s="65">
        <v>8.91</v>
      </c>
      <c r="CP12" s="65"/>
      <c r="CQ12" s="65">
        <v>64</v>
      </c>
      <c r="CR12" s="65">
        <f>26/60</f>
        <v>0.43333333333333335</v>
      </c>
      <c r="CS12" s="66">
        <f t="shared" si="16"/>
        <v>177.77777777777806</v>
      </c>
      <c r="CT12" s="103"/>
      <c r="CU12" s="65"/>
      <c r="CV12" s="65"/>
      <c r="CW12" s="65"/>
      <c r="CX12" s="65"/>
      <c r="CZ12" s="65"/>
      <c r="DA12" s="65">
        <v>8.17</v>
      </c>
      <c r="DB12" s="65"/>
      <c r="DC12" s="65">
        <v>7</v>
      </c>
      <c r="DD12" s="65">
        <f>20/60</f>
        <v>0.33333333333333331</v>
      </c>
      <c r="DE12" s="66">
        <f t="shared" si="0"/>
        <v>21.212121212121207</v>
      </c>
      <c r="DF12" s="65"/>
      <c r="DG12" s="65">
        <v>18.8</v>
      </c>
      <c r="DH12" s="65"/>
      <c r="DI12" s="71">
        <v>10</v>
      </c>
      <c r="DJ12" s="71">
        <f>11/60</f>
        <v>0.18333333333333332</v>
      </c>
      <c r="DK12" s="66">
        <f t="shared" si="1"/>
        <v>14.285714285714301</v>
      </c>
      <c r="DL12" s="65"/>
      <c r="DM12" s="65"/>
      <c r="DN12" s="65"/>
      <c r="DO12" s="65"/>
      <c r="DP12" s="65"/>
      <c r="DQ12" s="66"/>
      <c r="DR12" s="103"/>
      <c r="DS12" s="65"/>
      <c r="DT12" s="65"/>
      <c r="DU12" s="65"/>
      <c r="DV12" s="65"/>
      <c r="DX12" s="130">
        <v>8.7149999999999999</v>
      </c>
      <c r="DY12" s="130">
        <v>8.7149999999999999</v>
      </c>
      <c r="DZ12" s="130"/>
      <c r="EA12" s="133">
        <v>12.4</v>
      </c>
      <c r="EB12" s="130">
        <f>34/60</f>
        <v>0.56666666666666665</v>
      </c>
      <c r="EC12" s="66">
        <f t="shared" si="4"/>
        <v>39.365079365079431</v>
      </c>
      <c r="ED12" s="133">
        <v>13.6</v>
      </c>
      <c r="EE12" s="127">
        <v>13.6</v>
      </c>
      <c r="EF12" s="127"/>
      <c r="EG12" s="127">
        <v>10</v>
      </c>
      <c r="EH12" s="127">
        <f>20/60</f>
        <v>0.33333333333333331</v>
      </c>
      <c r="EI12" s="66">
        <f t="shared" si="5"/>
        <v>24.999999999999979</v>
      </c>
      <c r="EP12" s="133">
        <v>32.299999999999997</v>
      </c>
      <c r="EQ12" s="133">
        <v>32.299999999999997</v>
      </c>
      <c r="ER12" s="133"/>
      <c r="ES12" s="133">
        <v>25</v>
      </c>
      <c r="ET12" s="133">
        <f>7/60</f>
        <v>0.11666666666666667</v>
      </c>
      <c r="EU12" s="66">
        <f t="shared" si="6"/>
        <v>22.727272727272773</v>
      </c>
      <c r="EV12" s="103"/>
      <c r="EW12" s="65"/>
      <c r="EX12" s="65"/>
      <c r="EY12" s="65"/>
      <c r="EZ12" s="65"/>
    </row>
    <row r="13" spans="1:157" x14ac:dyDescent="0.25">
      <c r="A13">
        <v>13</v>
      </c>
      <c r="H13" s="65"/>
      <c r="I13" s="65"/>
      <c r="J13" s="65"/>
      <c r="K13" s="65"/>
      <c r="L13" s="65"/>
      <c r="N13" s="113">
        <v>3.76</v>
      </c>
      <c r="O13" s="4">
        <v>25.1</v>
      </c>
      <c r="P13" s="4">
        <v>5.95</v>
      </c>
      <c r="T13" s="4">
        <v>25.1</v>
      </c>
      <c r="U13" s="4">
        <v>3.76</v>
      </c>
      <c r="V13" s="4">
        <v>5.95</v>
      </c>
      <c r="X13" s="65">
        <f>13/60</f>
        <v>0.21666666666666667</v>
      </c>
      <c r="Y13" s="66">
        <f>((3*V13)+W13)/(MAX(T13-T12,U13-U12))</f>
        <v>59.499999999999865</v>
      </c>
      <c r="Z13" s="113">
        <v>7.78</v>
      </c>
      <c r="AB13" s="4">
        <v>10.6</v>
      </c>
      <c r="AC13" s="71"/>
      <c r="AD13" s="65">
        <f>24/60</f>
        <v>0.4</v>
      </c>
      <c r="AE13" s="66">
        <f t="shared" si="7"/>
        <v>289.09090909090821</v>
      </c>
      <c r="AF13" s="65"/>
      <c r="AG13" s="65">
        <v>7.78</v>
      </c>
      <c r="AH13" s="65">
        <v>10.6</v>
      </c>
      <c r="AI13" s="65"/>
      <c r="AJ13" s="65">
        <f>24/60</f>
        <v>0.4</v>
      </c>
      <c r="AK13" s="66">
        <f t="shared" si="8"/>
        <v>289.09090909090821</v>
      </c>
      <c r="AL13" s="4">
        <v>10</v>
      </c>
      <c r="AM13" s="64">
        <v>10</v>
      </c>
      <c r="AN13" s="64">
        <v>1.1100000000000001</v>
      </c>
      <c r="AP13" s="65">
        <f>14/60</f>
        <v>0.23333333333333334</v>
      </c>
      <c r="AQ13" s="66">
        <f t="shared" si="9"/>
        <v>33.300000000000118</v>
      </c>
      <c r="AX13" s="132"/>
      <c r="AY13" s="130">
        <v>15</v>
      </c>
      <c r="AZ13" s="130">
        <v>8.6</v>
      </c>
      <c r="BA13" s="133"/>
      <c r="BB13" s="130">
        <f>10/60</f>
        <v>0.16666666666666666</v>
      </c>
      <c r="BC13" s="66">
        <f t="shared" ref="BC13:BC41" si="19">((3*AZ13)+BA13)/(MAX(AX13-AX12,AY13-AY12))</f>
        <v>258.00000000000091</v>
      </c>
      <c r="BD13" s="130">
        <v>15.1</v>
      </c>
      <c r="BE13" s="130"/>
      <c r="BF13" s="130">
        <v>6.4</v>
      </c>
      <c r="BG13" s="133"/>
      <c r="BH13" s="130">
        <f>10/60</f>
        <v>0.16666666666666666</v>
      </c>
      <c r="BI13" s="66">
        <f t="shared" si="11"/>
        <v>96.000000000000355</v>
      </c>
      <c r="BJ13" s="130">
        <v>16.600000000000001</v>
      </c>
      <c r="BK13" s="130">
        <v>5.5439999999999996</v>
      </c>
      <c r="BL13" s="133">
        <v>1.36</v>
      </c>
      <c r="BM13" s="133"/>
      <c r="BN13" s="130">
        <f>10/60</f>
        <v>0.16666666666666666</v>
      </c>
      <c r="BO13" s="66">
        <f t="shared" si="12"/>
        <v>20.399999999999711</v>
      </c>
      <c r="BP13" s="145">
        <v>5.04</v>
      </c>
      <c r="BQ13" s="130">
        <v>15.1</v>
      </c>
      <c r="BR13" s="130">
        <v>1.36</v>
      </c>
      <c r="BS13" s="133"/>
      <c r="BT13" s="130">
        <f>10/60</f>
        <v>0.16666666666666666</v>
      </c>
      <c r="BU13" s="66">
        <f t="shared" si="13"/>
        <v>20.400000000000073</v>
      </c>
      <c r="BV13" s="118"/>
      <c r="BW13" s="65">
        <v>6.52</v>
      </c>
      <c r="BX13" s="65">
        <v>8.2799999999999994</v>
      </c>
      <c r="BY13" s="65"/>
      <c r="BZ13" s="65">
        <f>25/60</f>
        <v>0.41666666666666669</v>
      </c>
      <c r="CA13" s="66">
        <f t="shared" si="14"/>
        <v>310.50000000000313</v>
      </c>
      <c r="CB13" s="103">
        <v>6.52</v>
      </c>
      <c r="CC13" s="65"/>
      <c r="CD13" s="65">
        <v>8.2799999999999994</v>
      </c>
      <c r="CE13" s="71"/>
      <c r="CF13" s="65">
        <f>25/60</f>
        <v>0.41666666666666669</v>
      </c>
      <c r="CG13" s="66">
        <f t="shared" si="15"/>
        <v>310.50000000000313</v>
      </c>
      <c r="CH13" s="65"/>
      <c r="CI13" s="65"/>
      <c r="CJ13" s="65"/>
      <c r="CK13" s="65"/>
      <c r="CL13" s="65"/>
      <c r="CM13" s="66"/>
      <c r="CN13" s="65">
        <v>5.0199999999999996</v>
      </c>
      <c r="CO13" s="65">
        <v>9.0299999999999994</v>
      </c>
      <c r="CP13" s="65">
        <v>80</v>
      </c>
      <c r="CQ13" s="65"/>
      <c r="CR13" s="65">
        <f>27/60</f>
        <v>0.45</v>
      </c>
      <c r="CS13" s="66">
        <f t="shared" si="16"/>
        <v>2000.000000000013</v>
      </c>
      <c r="CT13" s="103"/>
      <c r="CU13" s="65"/>
      <c r="CV13" s="65"/>
      <c r="CW13" s="65"/>
      <c r="CX13" s="65"/>
      <c r="CZ13" s="65"/>
      <c r="DA13" s="65">
        <v>8.2799999999999994</v>
      </c>
      <c r="DB13" s="65">
        <v>1.49</v>
      </c>
      <c r="DC13" s="65"/>
      <c r="DD13" s="65">
        <f>21/60</f>
        <v>0.35</v>
      </c>
      <c r="DE13" s="66">
        <f t="shared" si="0"/>
        <v>40.636363636363846</v>
      </c>
      <c r="DF13" s="65"/>
      <c r="DG13" s="65">
        <v>19.100000000000001</v>
      </c>
      <c r="DH13" s="65">
        <v>2.13</v>
      </c>
      <c r="DI13" s="71"/>
      <c r="DJ13" s="71">
        <f>12/60</f>
        <v>0.2</v>
      </c>
      <c r="DK13" s="66">
        <f t="shared" si="1"/>
        <v>21.299999999999947</v>
      </c>
      <c r="DL13" s="65"/>
      <c r="DM13" s="65"/>
      <c r="DN13" s="65"/>
      <c r="DO13" s="65"/>
      <c r="DP13" s="65"/>
      <c r="DQ13" s="66"/>
      <c r="DR13" s="103"/>
      <c r="DS13" s="65"/>
      <c r="DT13" s="65"/>
      <c r="DU13" s="65"/>
      <c r="DV13" s="65"/>
      <c r="DX13" s="130">
        <v>8.82</v>
      </c>
      <c r="DY13" s="130">
        <v>8.82</v>
      </c>
      <c r="DZ13" s="130">
        <v>12.4</v>
      </c>
      <c r="EA13" s="133"/>
      <c r="EB13" s="130">
        <f>36/60</f>
        <v>0.6</v>
      </c>
      <c r="EC13" s="66">
        <f t="shared" si="4"/>
        <v>354.28571428571286</v>
      </c>
      <c r="ED13" s="133">
        <v>13.8</v>
      </c>
      <c r="EE13" s="127">
        <v>13.8</v>
      </c>
      <c r="EF13" s="127">
        <v>10</v>
      </c>
      <c r="EG13" s="127"/>
      <c r="EH13" s="127">
        <f>20/60</f>
        <v>0.33333333333333331</v>
      </c>
      <c r="EI13" s="66">
        <f t="shared" si="5"/>
        <v>149.9999999999992</v>
      </c>
      <c r="EP13" s="133">
        <v>32.700000000000003</v>
      </c>
      <c r="EQ13" s="133">
        <v>32.700000000000003</v>
      </c>
      <c r="ER13" s="133">
        <v>25</v>
      </c>
      <c r="ES13" s="133"/>
      <c r="ET13" s="133">
        <f>7/60</f>
        <v>0.11666666666666667</v>
      </c>
      <c r="EU13" s="66">
        <f t="shared" si="6"/>
        <v>187.49999999999733</v>
      </c>
      <c r="EV13" s="103"/>
      <c r="EW13" s="65"/>
      <c r="EX13" s="65"/>
      <c r="EY13" s="65"/>
      <c r="EZ13" s="65"/>
    </row>
    <row r="14" spans="1:157" x14ac:dyDescent="0.25">
      <c r="A14">
        <v>14</v>
      </c>
      <c r="H14" s="65"/>
      <c r="I14" s="65"/>
      <c r="J14" s="65"/>
      <c r="K14" s="65"/>
      <c r="L14" s="65"/>
      <c r="N14" s="113">
        <v>3.81</v>
      </c>
      <c r="O14" s="4">
        <v>25.4</v>
      </c>
      <c r="P14" s="64">
        <v>7.7</v>
      </c>
      <c r="T14" s="4">
        <v>25.4</v>
      </c>
      <c r="U14" s="4">
        <v>3.81</v>
      </c>
      <c r="V14" s="64">
        <v>7.7</v>
      </c>
      <c r="X14" s="65">
        <f>14/60</f>
        <v>0.23333333333333334</v>
      </c>
      <c r="Y14" s="66">
        <f t="shared" ref="Y14:Y31" si="20">((3*V14)+W14)/(MAX(T14-T13,U14-U13))</f>
        <v>77.000000000000739</v>
      </c>
      <c r="Z14" s="113">
        <v>7.88</v>
      </c>
      <c r="AB14" s="4">
        <v>10.9</v>
      </c>
      <c r="AC14" s="71"/>
      <c r="AD14" s="65">
        <f>25/60</f>
        <v>0.41666666666666669</v>
      </c>
      <c r="AE14" s="66">
        <f t="shared" si="7"/>
        <v>327.00000000000119</v>
      </c>
      <c r="AF14" s="65"/>
      <c r="AG14" s="65">
        <v>7.88</v>
      </c>
      <c r="AH14" s="65">
        <v>10.9</v>
      </c>
      <c r="AI14" s="65"/>
      <c r="AJ14" s="65">
        <f>25/60</f>
        <v>0.41666666666666669</v>
      </c>
      <c r="AK14" s="66">
        <f t="shared" si="8"/>
        <v>327.00000000000119</v>
      </c>
      <c r="AL14" s="4">
        <v>10.1</v>
      </c>
      <c r="AM14" s="64">
        <v>10.1</v>
      </c>
      <c r="AN14" s="64">
        <v>1.43</v>
      </c>
      <c r="AP14" s="65">
        <f>15/60</f>
        <v>0.25</v>
      </c>
      <c r="AQ14" s="66">
        <f t="shared" si="9"/>
        <v>42.900000000000155</v>
      </c>
      <c r="AX14" s="132"/>
      <c r="AY14" s="130">
        <v>15.3</v>
      </c>
      <c r="AZ14" s="130">
        <v>8.8000000000000007</v>
      </c>
      <c r="BA14" s="133"/>
      <c r="BB14" s="130">
        <f>10/60</f>
        <v>0.16666666666666666</v>
      </c>
      <c r="BC14" s="66">
        <f t="shared" si="19"/>
        <v>87.999999999999801</v>
      </c>
      <c r="BD14" s="130">
        <v>15.3</v>
      </c>
      <c r="BE14" s="130"/>
      <c r="BF14" s="130">
        <v>8.8000000000000007</v>
      </c>
      <c r="BG14" s="133"/>
      <c r="BH14" s="130">
        <f>10/60</f>
        <v>0.16666666666666666</v>
      </c>
      <c r="BI14" s="66">
        <f t="shared" si="11"/>
        <v>131.99999999999932</v>
      </c>
      <c r="BJ14" s="130">
        <v>16.8</v>
      </c>
      <c r="BK14" s="130">
        <v>5.61</v>
      </c>
      <c r="BL14" s="133">
        <v>1.76</v>
      </c>
      <c r="BM14" s="133"/>
      <c r="BN14" s="130">
        <f>12/60</f>
        <v>0.2</v>
      </c>
      <c r="BO14" s="66">
        <f t="shared" si="12"/>
        <v>26.400000000000095</v>
      </c>
      <c r="BP14" s="145">
        <v>5.0999999999999996</v>
      </c>
      <c r="BQ14" s="130">
        <v>15.3</v>
      </c>
      <c r="BR14" s="130">
        <v>1.76</v>
      </c>
      <c r="BS14" s="133"/>
      <c r="BT14" s="130">
        <f>10/60</f>
        <v>0.16666666666666666</v>
      </c>
      <c r="BU14" s="66">
        <f t="shared" si="13"/>
        <v>26.39999999999986</v>
      </c>
      <c r="BV14" s="118"/>
      <c r="BW14" s="65">
        <v>6.61</v>
      </c>
      <c r="BX14" s="65">
        <v>8.4600000000000009</v>
      </c>
      <c r="BY14" s="65"/>
      <c r="BZ14" s="65">
        <v>0.5</v>
      </c>
      <c r="CA14" s="66">
        <f t="shared" si="14"/>
        <v>281.99999999999767</v>
      </c>
      <c r="CB14" s="103">
        <v>6.61</v>
      </c>
      <c r="CC14" s="65"/>
      <c r="CD14" s="65">
        <v>8.4600000000000009</v>
      </c>
      <c r="CE14" s="71"/>
      <c r="CF14" s="65">
        <v>0.5</v>
      </c>
      <c r="CG14" s="66">
        <f t="shared" si="15"/>
        <v>281.99999999999767</v>
      </c>
      <c r="CH14" s="65"/>
      <c r="CI14" s="65"/>
      <c r="CJ14" s="65"/>
      <c r="CK14" s="65"/>
      <c r="CL14" s="65"/>
      <c r="CM14" s="66"/>
      <c r="CN14" s="65"/>
      <c r="CO14" s="65"/>
      <c r="CP14" s="65"/>
      <c r="CQ14" s="65"/>
      <c r="CR14" s="65"/>
      <c r="CT14" s="103"/>
      <c r="CU14" s="65"/>
      <c r="CV14" s="65"/>
      <c r="CW14" s="65"/>
      <c r="CX14" s="65"/>
      <c r="CZ14" s="65"/>
      <c r="DA14" s="65">
        <v>8.39</v>
      </c>
      <c r="DB14" s="65">
        <v>1.93</v>
      </c>
      <c r="DC14" s="65"/>
      <c r="DD14" s="65">
        <f>22/60</f>
        <v>0.36666666666666664</v>
      </c>
      <c r="DE14" s="66">
        <f t="shared" si="0"/>
        <v>52.636363636363058</v>
      </c>
      <c r="DF14" s="65"/>
      <c r="DG14" s="65">
        <v>19.3</v>
      </c>
      <c r="DH14" s="65">
        <v>2.75</v>
      </c>
      <c r="DI14" s="71"/>
      <c r="DJ14" s="71">
        <f>13/60</f>
        <v>0.21666666666666667</v>
      </c>
      <c r="DK14" s="66">
        <f t="shared" si="1"/>
        <v>41.250000000000149</v>
      </c>
      <c r="DL14" s="65"/>
      <c r="DM14" s="65"/>
      <c r="DN14" s="65"/>
      <c r="DO14" s="65"/>
      <c r="DP14" s="65"/>
      <c r="DQ14" s="66"/>
      <c r="DR14" s="103"/>
      <c r="DS14" s="65"/>
      <c r="DT14" s="65"/>
      <c r="DU14" s="65"/>
      <c r="DV14" s="65"/>
      <c r="DX14" s="130">
        <v>8.9250000000000007</v>
      </c>
      <c r="DY14" s="130">
        <v>8.9250000000000007</v>
      </c>
      <c r="DZ14" s="130">
        <v>17</v>
      </c>
      <c r="EA14" s="133"/>
      <c r="EB14" s="130">
        <f>38/60</f>
        <v>0.6333333333333333</v>
      </c>
      <c r="EC14" s="66">
        <f t="shared" si="4"/>
        <v>485.71428571428373</v>
      </c>
      <c r="ED14" s="133">
        <v>14</v>
      </c>
      <c r="EE14" s="127">
        <v>14</v>
      </c>
      <c r="EF14" s="127">
        <v>13.7</v>
      </c>
      <c r="EG14" s="127"/>
      <c r="EH14" s="127">
        <f>22/60</f>
        <v>0.36666666666666664</v>
      </c>
      <c r="EI14" s="66">
        <f t="shared" si="5"/>
        <v>205.50000000000071</v>
      </c>
      <c r="EP14" s="133">
        <v>33.1</v>
      </c>
      <c r="EQ14" s="133">
        <v>33.1</v>
      </c>
      <c r="ER14" s="133">
        <v>34.299999999999997</v>
      </c>
      <c r="ES14" s="133"/>
      <c r="ET14" s="133">
        <f>7/60</f>
        <v>0.11666666666666667</v>
      </c>
      <c r="EU14" s="66">
        <f t="shared" si="6"/>
        <v>257.25000000000091</v>
      </c>
      <c r="EV14" s="103"/>
      <c r="EW14" s="65"/>
      <c r="EX14" s="65"/>
      <c r="EY14" s="65"/>
      <c r="EZ14" s="65"/>
    </row>
    <row r="15" spans="1:157" x14ac:dyDescent="0.25">
      <c r="A15">
        <v>15</v>
      </c>
      <c r="H15" s="65"/>
      <c r="I15" s="65"/>
      <c r="J15" s="65"/>
      <c r="K15" s="65"/>
      <c r="L15" s="65"/>
      <c r="N15" s="113">
        <v>3.84</v>
      </c>
      <c r="O15" s="64">
        <v>25.6</v>
      </c>
      <c r="Q15" s="4">
        <v>15</v>
      </c>
      <c r="R15" s="65">
        <f>18/60</f>
        <v>0.3</v>
      </c>
      <c r="T15" s="64">
        <v>25.6</v>
      </c>
      <c r="U15" s="64">
        <v>3.84</v>
      </c>
      <c r="W15" s="4">
        <v>15</v>
      </c>
      <c r="X15" s="65">
        <f>18/60</f>
        <v>0.3</v>
      </c>
      <c r="Y15" s="66">
        <f t="shared" si="20"/>
        <v>74.999999999998934</v>
      </c>
      <c r="Z15" s="113">
        <v>7.93</v>
      </c>
      <c r="AC15" s="71">
        <v>20.3</v>
      </c>
      <c r="AD15" s="65">
        <f>35/60</f>
        <v>0.58333333333333337</v>
      </c>
      <c r="AE15" s="66">
        <f t="shared" si="7"/>
        <v>406.00000000000148</v>
      </c>
      <c r="AF15" s="65"/>
      <c r="AG15" s="65">
        <v>7.93</v>
      </c>
      <c r="AH15" s="65"/>
      <c r="AI15" s="65">
        <v>20.3</v>
      </c>
      <c r="AJ15" s="65">
        <f>35/60</f>
        <v>0.58333333333333337</v>
      </c>
      <c r="AK15" s="66">
        <f t="shared" si="8"/>
        <v>406.00000000000148</v>
      </c>
      <c r="AL15" s="4">
        <v>10.199999999999999</v>
      </c>
      <c r="AM15" s="64">
        <v>10.199999999999999</v>
      </c>
      <c r="AO15" s="4">
        <v>9.75</v>
      </c>
      <c r="AP15" s="65">
        <f>18/60</f>
        <v>0.3</v>
      </c>
      <c r="AQ15" s="66">
        <f t="shared" si="9"/>
        <v>97.500000000000341</v>
      </c>
      <c r="AX15" s="132"/>
      <c r="AY15" s="130">
        <v>15.3</v>
      </c>
      <c r="AZ15" s="130"/>
      <c r="BA15" s="133">
        <v>16</v>
      </c>
      <c r="BB15" s="130">
        <f>14/60</f>
        <v>0.23333333333333334</v>
      </c>
      <c r="BC15" s="66" t="e">
        <f t="shared" si="19"/>
        <v>#DIV/0!</v>
      </c>
      <c r="BD15" s="130">
        <v>15.3</v>
      </c>
      <c r="BE15" s="65"/>
      <c r="BF15" s="65"/>
      <c r="BG15" s="133">
        <v>16</v>
      </c>
      <c r="BH15" s="130">
        <f>14/60</f>
        <v>0.23333333333333334</v>
      </c>
      <c r="BI15" s="66" t="e">
        <f t="shared" si="11"/>
        <v>#DIV/0!</v>
      </c>
      <c r="BJ15" s="130">
        <v>16.8</v>
      </c>
      <c r="BK15" s="130">
        <v>5.61</v>
      </c>
      <c r="BL15" s="133"/>
      <c r="BM15" s="133">
        <v>12</v>
      </c>
      <c r="BN15" s="130">
        <f>16/60</f>
        <v>0.26666666666666666</v>
      </c>
      <c r="BO15" s="66" t="e">
        <f t="shared" si="12"/>
        <v>#DIV/0!</v>
      </c>
      <c r="BP15" s="145">
        <v>5.0999999999999996</v>
      </c>
      <c r="BQ15" s="130">
        <v>15.3</v>
      </c>
      <c r="BR15" s="130"/>
      <c r="BS15" s="133">
        <v>12</v>
      </c>
      <c r="BT15" s="130">
        <f>14/60</f>
        <v>0.23333333333333334</v>
      </c>
      <c r="BU15" s="66" t="e">
        <f t="shared" si="13"/>
        <v>#DIV/0!</v>
      </c>
      <c r="BV15" s="118"/>
      <c r="BW15" s="65">
        <v>6.65</v>
      </c>
      <c r="BX15" s="65"/>
      <c r="BY15" s="65">
        <v>15.2</v>
      </c>
      <c r="BZ15" s="65">
        <v>0.57999999999999996</v>
      </c>
      <c r="CA15" s="66">
        <f t="shared" si="14"/>
        <v>379.99999999999966</v>
      </c>
      <c r="CB15" s="103">
        <v>6.65</v>
      </c>
      <c r="CC15" s="65"/>
      <c r="CD15" s="65"/>
      <c r="CE15" s="71">
        <v>15.2</v>
      </c>
      <c r="CF15" s="65">
        <f>35/60</f>
        <v>0.58333333333333337</v>
      </c>
      <c r="CG15" s="66">
        <f t="shared" si="15"/>
        <v>379.99999999999966</v>
      </c>
      <c r="CH15" s="65"/>
      <c r="CI15" s="65"/>
      <c r="CJ15" s="65"/>
      <c r="CK15" s="65"/>
      <c r="CL15" s="65"/>
      <c r="CM15" s="66"/>
      <c r="CN15" s="65"/>
      <c r="CO15" s="65"/>
      <c r="CP15" s="65"/>
      <c r="CQ15" s="65"/>
      <c r="CR15" s="65"/>
      <c r="CT15" s="103"/>
      <c r="CU15" s="65"/>
      <c r="CV15" s="65"/>
      <c r="CW15" s="65"/>
      <c r="CX15" s="65"/>
      <c r="CZ15" s="65"/>
      <c r="DA15" s="65">
        <v>8.44</v>
      </c>
      <c r="DB15" s="65"/>
      <c r="DC15" s="65">
        <v>13.1</v>
      </c>
      <c r="DD15" s="65">
        <f>30/60</f>
        <v>0.5</v>
      </c>
      <c r="DE15" s="66">
        <f t="shared" si="0"/>
        <v>262.00000000000557</v>
      </c>
      <c r="DF15" s="65"/>
      <c r="DG15" s="65">
        <v>19.399999999999999</v>
      </c>
      <c r="DH15" s="65"/>
      <c r="DI15" s="71">
        <v>18.8</v>
      </c>
      <c r="DJ15" s="71">
        <f>15/60</f>
        <v>0.25</v>
      </c>
      <c r="DK15" s="66">
        <f t="shared" si="1"/>
        <v>188.00000000000401</v>
      </c>
      <c r="DL15" s="65"/>
      <c r="DM15" s="65"/>
      <c r="DN15" s="65"/>
      <c r="DO15" s="65"/>
      <c r="DP15" s="65"/>
      <c r="DQ15" s="66"/>
      <c r="DR15" s="103"/>
      <c r="DS15" s="65"/>
      <c r="DT15" s="65"/>
      <c r="DU15" s="65"/>
      <c r="DV15" s="65"/>
      <c r="DX15" s="130">
        <v>8.9250000000000007</v>
      </c>
      <c r="DY15" s="130">
        <v>8.9250000000000007</v>
      </c>
      <c r="DZ15" s="130"/>
      <c r="EA15" s="133">
        <v>31</v>
      </c>
      <c r="EB15" s="130">
        <f>52/60</f>
        <v>0.8666666666666667</v>
      </c>
      <c r="EC15" s="66" t="e">
        <f t="shared" si="4"/>
        <v>#DIV/0!</v>
      </c>
      <c r="ED15" s="133">
        <v>14</v>
      </c>
      <c r="EE15" s="127">
        <v>14</v>
      </c>
      <c r="EF15" s="127"/>
      <c r="EG15" s="127">
        <v>25</v>
      </c>
      <c r="EH15" s="127">
        <f>30/60</f>
        <v>0.5</v>
      </c>
      <c r="EI15" s="66" t="e">
        <f t="shared" si="5"/>
        <v>#DIV/0!</v>
      </c>
      <c r="EP15" s="133">
        <v>33.1</v>
      </c>
      <c r="EQ15" s="133">
        <v>33.1</v>
      </c>
      <c r="ER15" s="133"/>
      <c r="ES15" s="133">
        <v>62.5</v>
      </c>
      <c r="ET15" s="133">
        <f>10/60</f>
        <v>0.16666666666666666</v>
      </c>
      <c r="EU15" s="66" t="e">
        <f t="shared" si="6"/>
        <v>#DIV/0!</v>
      </c>
      <c r="EV15" s="103"/>
      <c r="EW15" s="65"/>
      <c r="EX15" s="65"/>
      <c r="EY15" s="65"/>
      <c r="EZ15" s="65"/>
    </row>
    <row r="16" spans="1:157" x14ac:dyDescent="0.25">
      <c r="A16">
        <v>16</v>
      </c>
      <c r="H16" s="65"/>
      <c r="I16" s="65"/>
      <c r="J16" s="65"/>
      <c r="K16" s="65"/>
      <c r="L16" s="65"/>
      <c r="N16" s="113">
        <v>3.86</v>
      </c>
      <c r="O16" s="64">
        <v>25.7</v>
      </c>
      <c r="P16" s="64">
        <v>11.2</v>
      </c>
      <c r="R16" s="65">
        <f>20/60</f>
        <v>0.33333333333333331</v>
      </c>
      <c r="S16" s="66">
        <f>((3*P16)+Q16)/(MAX(N16-N15,O16-O15))</f>
        <v>336.00000000000711</v>
      </c>
      <c r="T16" s="64">
        <v>25.7</v>
      </c>
      <c r="U16" s="64">
        <v>3.86</v>
      </c>
      <c r="V16" s="64">
        <v>11.2</v>
      </c>
      <c r="X16" s="65">
        <f>20/60</f>
        <v>0.33333333333333331</v>
      </c>
      <c r="Y16" s="66">
        <f t="shared" si="20"/>
        <v>336.00000000000711</v>
      </c>
      <c r="Z16" s="113">
        <v>7.98</v>
      </c>
      <c r="AB16" s="4">
        <v>11.3</v>
      </c>
      <c r="AC16" s="71"/>
      <c r="AD16" s="65">
        <f>40/60</f>
        <v>0.66666666666666663</v>
      </c>
      <c r="AE16" s="66">
        <f t="shared" si="7"/>
        <v>677.99999999999045</v>
      </c>
      <c r="AF16" s="65"/>
      <c r="AG16" s="65">
        <v>7.98</v>
      </c>
      <c r="AH16" s="65">
        <v>11.3</v>
      </c>
      <c r="AI16" s="65"/>
      <c r="AJ16" s="65">
        <f>40/60</f>
        <v>0.66666666666666663</v>
      </c>
      <c r="AK16" s="66">
        <f t="shared" si="8"/>
        <v>677.99999999999045</v>
      </c>
      <c r="AL16" s="4">
        <v>10.3</v>
      </c>
      <c r="AM16" s="64">
        <v>10.3</v>
      </c>
      <c r="AN16" s="64">
        <v>2.08</v>
      </c>
      <c r="AP16" s="65">
        <f>20/60</f>
        <v>0.33333333333333331</v>
      </c>
      <c r="AQ16" s="66">
        <f t="shared" si="9"/>
        <v>62.399999999999118</v>
      </c>
      <c r="AX16" s="132"/>
      <c r="AY16" s="130">
        <v>15.4</v>
      </c>
      <c r="AZ16" s="130">
        <v>9.6</v>
      </c>
      <c r="BA16" s="133"/>
      <c r="BB16" s="130">
        <f>16/60</f>
        <v>0.26666666666666666</v>
      </c>
      <c r="BC16" s="66">
        <f t="shared" si="19"/>
        <v>288.00000000000102</v>
      </c>
      <c r="BD16" s="130">
        <v>15.4</v>
      </c>
      <c r="BE16" s="130"/>
      <c r="BF16" s="130">
        <v>9.6</v>
      </c>
      <c r="BG16" s="133"/>
      <c r="BH16" s="130">
        <f>16/60</f>
        <v>0.26666666666666666</v>
      </c>
      <c r="BI16" s="66">
        <f t="shared" si="11"/>
        <v>288.00000000000102</v>
      </c>
      <c r="BJ16" s="130">
        <v>17</v>
      </c>
      <c r="BK16" s="130">
        <v>5.6760000000000002</v>
      </c>
      <c r="BL16" s="133">
        <v>2.56</v>
      </c>
      <c r="BM16" s="133"/>
      <c r="BN16" s="130">
        <f>16/60</f>
        <v>0.26666666666666666</v>
      </c>
      <c r="BO16" s="66">
        <f t="shared" si="12"/>
        <v>38.400000000000134</v>
      </c>
      <c r="BP16" s="145">
        <v>5.16</v>
      </c>
      <c r="BQ16" s="130">
        <v>15.4</v>
      </c>
      <c r="BR16" s="130">
        <v>2.56</v>
      </c>
      <c r="BS16" s="133"/>
      <c r="BT16" s="130">
        <f>16/60</f>
        <v>0.26666666666666666</v>
      </c>
      <c r="BU16" s="66">
        <f t="shared" si="13"/>
        <v>76.800000000000267</v>
      </c>
      <c r="BV16" s="118"/>
      <c r="BW16" s="65">
        <v>6.69</v>
      </c>
      <c r="BX16" s="65">
        <v>8.64</v>
      </c>
      <c r="BY16" s="65"/>
      <c r="BZ16" s="65">
        <f>38/60</f>
        <v>0.6333333333333333</v>
      </c>
      <c r="CA16" s="66">
        <f t="shared" si="14"/>
        <v>647.99999999999943</v>
      </c>
      <c r="CB16" s="103">
        <v>6.69</v>
      </c>
      <c r="CC16" s="65"/>
      <c r="CD16" s="65">
        <v>8.64</v>
      </c>
      <c r="CE16" s="71"/>
      <c r="CF16" s="65">
        <f>38/60</f>
        <v>0.6333333333333333</v>
      </c>
      <c r="CG16" s="66">
        <f t="shared" si="15"/>
        <v>647.99999999999943</v>
      </c>
      <c r="CH16" s="65"/>
      <c r="CI16" s="65"/>
      <c r="CJ16" s="65"/>
      <c r="CK16" s="65"/>
      <c r="CL16" s="65"/>
      <c r="CM16" s="66"/>
      <c r="CN16" s="65"/>
      <c r="CO16" s="65"/>
      <c r="CP16" s="65"/>
      <c r="CQ16" s="65"/>
      <c r="CR16" s="65"/>
      <c r="CT16" s="103">
        <v>4.63</v>
      </c>
      <c r="CU16" s="65">
        <v>4.63</v>
      </c>
      <c r="CV16" s="65">
        <v>9.8699999999999992</v>
      </c>
      <c r="CW16" s="65"/>
      <c r="CX16" s="65">
        <f>55/60</f>
        <v>0.91666666666666663</v>
      </c>
      <c r="CY16" s="66"/>
      <c r="CZ16" s="65"/>
      <c r="DA16" s="65">
        <v>8.49</v>
      </c>
      <c r="DB16" s="65">
        <v>2.8</v>
      </c>
      <c r="DC16" s="65"/>
      <c r="DD16" s="65">
        <f>32/60</f>
        <v>0.53333333333333333</v>
      </c>
      <c r="DE16" s="66">
        <f t="shared" si="0"/>
        <v>167.99999999999758</v>
      </c>
      <c r="DF16" s="65"/>
      <c r="DG16" s="65">
        <v>19.600000000000001</v>
      </c>
      <c r="DH16" s="65">
        <v>4</v>
      </c>
      <c r="DI16" s="71"/>
      <c r="DJ16" s="71">
        <f>16/60</f>
        <v>0.26666666666666666</v>
      </c>
      <c r="DK16" s="66">
        <f t="shared" si="1"/>
        <v>59.999999999999147</v>
      </c>
      <c r="DL16" s="65"/>
      <c r="DM16" s="65"/>
      <c r="DN16" s="65"/>
      <c r="DO16" s="65"/>
      <c r="DP16" s="65"/>
      <c r="DQ16" s="66"/>
      <c r="DR16" s="103"/>
      <c r="DS16" s="65"/>
      <c r="DT16" s="65"/>
      <c r="DU16" s="65"/>
      <c r="DV16" s="65"/>
      <c r="DX16" s="130">
        <v>9.0299999999999994</v>
      </c>
      <c r="DY16" s="130">
        <v>9.0299999999999994</v>
      </c>
      <c r="DZ16" s="130">
        <v>18.600000000000001</v>
      </c>
      <c r="EA16" s="133"/>
      <c r="EB16" s="130">
        <f>56/60</f>
        <v>0.93333333333333335</v>
      </c>
      <c r="EC16" s="66">
        <f t="shared" si="4"/>
        <v>531.42857142857827</v>
      </c>
      <c r="ED16" s="133">
        <v>14.1</v>
      </c>
      <c r="EE16" s="127">
        <v>14.1</v>
      </c>
      <c r="EF16" s="127">
        <v>15</v>
      </c>
      <c r="EG16" s="127"/>
      <c r="EH16" s="127">
        <f>32/60</f>
        <v>0.53333333333333333</v>
      </c>
      <c r="EI16" s="66">
        <f t="shared" si="5"/>
        <v>450.00000000000159</v>
      </c>
      <c r="EP16" s="133">
        <v>33.5</v>
      </c>
      <c r="EQ16" s="133">
        <v>33.5</v>
      </c>
      <c r="ER16" s="133">
        <v>37.5</v>
      </c>
      <c r="ES16" s="133"/>
      <c r="ET16" s="133">
        <f>10/60</f>
        <v>0.16666666666666666</v>
      </c>
      <c r="EU16" s="66">
        <f t="shared" si="6"/>
        <v>281.25000000000102</v>
      </c>
      <c r="EV16" s="103"/>
      <c r="EW16" s="65"/>
      <c r="EX16" s="65"/>
      <c r="EY16" s="65"/>
      <c r="EZ16" s="65"/>
    </row>
    <row r="17" spans="1:157" x14ac:dyDescent="0.25">
      <c r="A17">
        <v>17</v>
      </c>
      <c r="H17" s="65"/>
      <c r="I17" s="65"/>
      <c r="J17" s="65"/>
      <c r="K17" s="65"/>
      <c r="L17" s="65"/>
      <c r="N17" s="113">
        <v>3.89</v>
      </c>
      <c r="O17" s="64">
        <v>25.9</v>
      </c>
      <c r="P17" s="64">
        <v>12.6</v>
      </c>
      <c r="R17" s="65">
        <f>24/60</f>
        <v>0.4</v>
      </c>
      <c r="S17" s="66">
        <f t="shared" ref="S17:S27" si="21">((3*P17)+Q17)/(MAX(N17-N16,O17-O16))</f>
        <v>189.00000000000065</v>
      </c>
      <c r="T17" s="64">
        <v>25.9</v>
      </c>
      <c r="U17" s="64">
        <v>3.89</v>
      </c>
      <c r="V17" s="64">
        <v>12.6</v>
      </c>
      <c r="X17" s="65">
        <f>24/60</f>
        <v>0.4</v>
      </c>
      <c r="Y17" s="66">
        <f t="shared" si="20"/>
        <v>189.00000000000065</v>
      </c>
      <c r="Z17" s="113">
        <v>8.0299999999999994</v>
      </c>
      <c r="AB17" s="4">
        <v>11.6</v>
      </c>
      <c r="AC17" s="71"/>
      <c r="AD17" s="65">
        <f>45/60</f>
        <v>0.75</v>
      </c>
      <c r="AE17" s="66">
        <f t="shared" si="7"/>
        <v>696.00000000001478</v>
      </c>
      <c r="AF17" s="65"/>
      <c r="AG17" s="65">
        <v>8.0299999999999994</v>
      </c>
      <c r="AH17" s="65">
        <v>11.6</v>
      </c>
      <c r="AI17" s="65"/>
      <c r="AJ17" s="65">
        <f>45/60</f>
        <v>0.75</v>
      </c>
      <c r="AK17" s="66">
        <f t="shared" si="8"/>
        <v>696.00000000001478</v>
      </c>
      <c r="AL17" s="4">
        <v>10.4</v>
      </c>
      <c r="AM17" s="64">
        <v>10.4</v>
      </c>
      <c r="AN17" s="64">
        <v>2.34</v>
      </c>
      <c r="AP17" s="65">
        <f>24/60</f>
        <v>0.4</v>
      </c>
      <c r="AQ17" s="66">
        <f t="shared" si="9"/>
        <v>70.200000000000244</v>
      </c>
      <c r="AX17" s="132"/>
      <c r="AY17" s="130">
        <v>15.4</v>
      </c>
      <c r="AZ17" s="130">
        <v>9.92</v>
      </c>
      <c r="BA17" s="133"/>
      <c r="BB17" s="130">
        <f>20/60</f>
        <v>0.33333333333333331</v>
      </c>
      <c r="BC17" s="66" t="e">
        <f t="shared" si="19"/>
        <v>#DIV/0!</v>
      </c>
      <c r="BD17" s="130">
        <v>15.4</v>
      </c>
      <c r="BE17" s="130"/>
      <c r="BF17" s="130">
        <v>9.92</v>
      </c>
      <c r="BG17" s="133"/>
      <c r="BH17" s="130">
        <f>20/60</f>
        <v>0.33333333333333331</v>
      </c>
      <c r="BI17" s="66" t="e">
        <f t="shared" si="11"/>
        <v>#DIV/0!</v>
      </c>
      <c r="BJ17" s="130">
        <v>17</v>
      </c>
      <c r="BK17" s="130">
        <v>5.6760000000000002</v>
      </c>
      <c r="BL17" s="133">
        <v>2.88</v>
      </c>
      <c r="BM17" s="133"/>
      <c r="BN17" s="130">
        <f>22/60</f>
        <v>0.36666666666666664</v>
      </c>
      <c r="BO17" s="66" t="e">
        <f t="shared" si="12"/>
        <v>#DIV/0!</v>
      </c>
      <c r="BP17" s="145">
        <v>5.16</v>
      </c>
      <c r="BQ17" s="130">
        <v>15.4</v>
      </c>
      <c r="BR17" s="130">
        <v>2.88</v>
      </c>
      <c r="BS17" s="133"/>
      <c r="BT17" s="130">
        <f>20/60</f>
        <v>0.33333333333333331</v>
      </c>
      <c r="BU17" s="66" t="e">
        <f t="shared" si="13"/>
        <v>#DIV/0!</v>
      </c>
      <c r="BV17" s="118"/>
      <c r="BW17" s="65">
        <v>6.74</v>
      </c>
      <c r="BX17" s="65">
        <v>8.82</v>
      </c>
      <c r="BY17" s="65"/>
      <c r="BZ17" s="65">
        <f>48/60</f>
        <v>0.8</v>
      </c>
      <c r="CA17" s="66">
        <f t="shared" si="14"/>
        <v>529.20000000000186</v>
      </c>
      <c r="CB17" s="103">
        <v>6.74</v>
      </c>
      <c r="CC17" s="65"/>
      <c r="CD17" s="65">
        <v>8.82</v>
      </c>
      <c r="CE17" s="71"/>
      <c r="CF17" s="65">
        <f>48/60</f>
        <v>0.8</v>
      </c>
      <c r="CG17" s="66">
        <f t="shared" si="15"/>
        <v>529.20000000000186</v>
      </c>
      <c r="CH17" s="65"/>
      <c r="CI17" s="65"/>
      <c r="CJ17" s="65"/>
      <c r="CK17" s="65"/>
      <c r="CL17" s="65"/>
      <c r="CM17" s="66"/>
      <c r="CN17" s="65"/>
      <c r="CO17" s="65"/>
      <c r="CP17" s="65"/>
      <c r="CQ17" s="65"/>
      <c r="CR17" s="65"/>
      <c r="CT17" s="103">
        <v>4.66</v>
      </c>
      <c r="CU17" s="65">
        <v>4.66</v>
      </c>
      <c r="CV17" s="65">
        <v>10.199999999999999</v>
      </c>
      <c r="CW17" s="65"/>
      <c r="CX17" s="65">
        <f>1+10/60</f>
        <v>1.1666666666666667</v>
      </c>
      <c r="CY17" s="66">
        <f t="shared" ref="CY17:CY21" si="22">((3*CV17)+CW17)/(MAX(CT17-CT16,CU17-CU16))</f>
        <v>1019.9999999999915</v>
      </c>
      <c r="CZ17" s="65"/>
      <c r="DA17" s="65">
        <v>8.5500000000000007</v>
      </c>
      <c r="DB17" s="65">
        <v>3.15</v>
      </c>
      <c r="DC17" s="65"/>
      <c r="DD17" s="65">
        <f>40/60</f>
        <v>0.66666666666666663</v>
      </c>
      <c r="DE17" s="66">
        <f t="shared" si="0"/>
        <v>157.49999999999869</v>
      </c>
      <c r="DF17" s="65"/>
      <c r="DG17" s="65">
        <v>19.7</v>
      </c>
      <c r="DH17" s="65">
        <v>4.5</v>
      </c>
      <c r="DI17" s="71"/>
      <c r="DJ17" s="71">
        <f>20/60</f>
        <v>0.33333333333333331</v>
      </c>
      <c r="DK17" s="66">
        <f t="shared" si="1"/>
        <v>135.00000000000287</v>
      </c>
      <c r="DL17" s="65"/>
      <c r="DM17" s="65"/>
      <c r="DN17" s="65"/>
      <c r="DO17" s="65"/>
      <c r="DP17" s="65"/>
      <c r="DQ17" s="66"/>
      <c r="DR17" s="103"/>
      <c r="DS17" s="65"/>
      <c r="DT17" s="65"/>
      <c r="DU17" s="65"/>
      <c r="DV17" s="65"/>
      <c r="DX17" s="130">
        <v>9.08</v>
      </c>
      <c r="DY17" s="130">
        <v>9.08</v>
      </c>
      <c r="DZ17" s="130">
        <v>19.2</v>
      </c>
      <c r="EA17" s="133"/>
      <c r="EB17" s="130">
        <f>1+10/60</f>
        <v>1.1666666666666667</v>
      </c>
      <c r="EC17" s="66">
        <f t="shared" si="4"/>
        <v>1151.9999999999836</v>
      </c>
      <c r="ED17" s="133">
        <v>14.1</v>
      </c>
      <c r="EE17" s="127">
        <v>14.1</v>
      </c>
      <c r="EF17" s="127">
        <v>15.5</v>
      </c>
      <c r="EG17" s="127"/>
      <c r="EH17" s="127">
        <f>40/60</f>
        <v>0.66666666666666663</v>
      </c>
      <c r="EI17" s="66" t="e">
        <f t="shared" si="5"/>
        <v>#DIV/0!</v>
      </c>
      <c r="EP17" s="133">
        <v>33.5</v>
      </c>
      <c r="EQ17" s="133">
        <v>33.5</v>
      </c>
      <c r="ER17" s="133">
        <v>38.700000000000003</v>
      </c>
      <c r="ES17" s="133"/>
      <c r="ET17" s="133">
        <f>14/60</f>
        <v>0.23333333333333334</v>
      </c>
      <c r="EU17" s="66" t="e">
        <f t="shared" si="6"/>
        <v>#DIV/0!</v>
      </c>
      <c r="EV17" s="103"/>
      <c r="EW17" s="65"/>
      <c r="EX17" s="65"/>
      <c r="EY17" s="65"/>
      <c r="EZ17" s="65"/>
    </row>
    <row r="18" spans="1:157" x14ac:dyDescent="0.25">
      <c r="A18">
        <v>18</v>
      </c>
      <c r="H18" s="65"/>
      <c r="I18" s="65"/>
      <c r="J18" s="65"/>
      <c r="K18" s="65"/>
      <c r="L18" s="65"/>
      <c r="N18" s="113">
        <v>3.91</v>
      </c>
      <c r="O18" s="64">
        <v>26.1</v>
      </c>
      <c r="Q18" s="4">
        <v>94.5</v>
      </c>
      <c r="R18" s="65">
        <f>25/60</f>
        <v>0.41666666666666669</v>
      </c>
      <c r="S18" s="66">
        <f t="shared" si="21"/>
        <v>472.49999999999329</v>
      </c>
      <c r="T18" s="64">
        <v>26.1</v>
      </c>
      <c r="U18" s="64">
        <v>3.91</v>
      </c>
      <c r="W18" s="4">
        <v>94.5</v>
      </c>
      <c r="X18" s="65">
        <f>25/60</f>
        <v>0.41666666666666669</v>
      </c>
      <c r="Y18" s="66">
        <f t="shared" si="20"/>
        <v>472.49999999999329</v>
      </c>
      <c r="Z18" s="113">
        <v>8.08</v>
      </c>
      <c r="AC18" s="71">
        <v>27</v>
      </c>
      <c r="AD18" s="65">
        <f>52/60</f>
        <v>0.8666666666666667</v>
      </c>
      <c r="AE18" s="66">
        <f t="shared" si="7"/>
        <v>539.99999999999227</v>
      </c>
      <c r="AF18" s="65"/>
      <c r="AG18" s="65">
        <v>8.08</v>
      </c>
      <c r="AH18" s="65"/>
      <c r="AI18" s="65">
        <v>27</v>
      </c>
      <c r="AJ18" s="65">
        <f>52/60</f>
        <v>0.8666666666666667</v>
      </c>
      <c r="AK18" s="66">
        <f t="shared" si="8"/>
        <v>539.99999999999227</v>
      </c>
      <c r="AL18" s="4">
        <v>10.5</v>
      </c>
      <c r="AM18" s="4">
        <v>10.5</v>
      </c>
      <c r="AO18" s="4">
        <v>17.600000000000001</v>
      </c>
      <c r="AP18" s="65">
        <f>25/60</f>
        <v>0.41666666666666669</v>
      </c>
      <c r="AQ18" s="66">
        <f t="shared" si="9"/>
        <v>176.00000000000063</v>
      </c>
      <c r="AR18" s="47">
        <v>10.5</v>
      </c>
      <c r="AS18" s="4">
        <v>10.5</v>
      </c>
      <c r="AU18" s="4">
        <v>40.5</v>
      </c>
      <c r="AV18" s="65">
        <f>45/60</f>
        <v>0.75</v>
      </c>
      <c r="AX18" s="132"/>
      <c r="AY18" s="130">
        <v>15.6</v>
      </c>
      <c r="AZ18" s="130"/>
      <c r="BA18" s="133">
        <v>21.6</v>
      </c>
      <c r="BB18" s="130">
        <f>22/60</f>
        <v>0.36666666666666664</v>
      </c>
      <c r="BC18" s="66">
        <f t="shared" si="19"/>
        <v>108.0000000000004</v>
      </c>
      <c r="BD18" s="130">
        <v>15.6</v>
      </c>
      <c r="BE18" s="130"/>
      <c r="BF18" s="130"/>
      <c r="BG18" s="133">
        <v>21.6</v>
      </c>
      <c r="BH18" s="130">
        <f>22/60</f>
        <v>0.36666666666666664</v>
      </c>
      <c r="BI18" s="66">
        <f t="shared" si="11"/>
        <v>108.0000000000004</v>
      </c>
      <c r="BJ18" s="130">
        <v>17.2</v>
      </c>
      <c r="BK18" s="130">
        <v>5.742</v>
      </c>
      <c r="BL18" s="133"/>
      <c r="BM18" s="133">
        <v>21.6</v>
      </c>
      <c r="BN18" s="130">
        <f>24/60</f>
        <v>0.4</v>
      </c>
      <c r="BO18" s="66">
        <f t="shared" si="12"/>
        <v>108.0000000000004</v>
      </c>
      <c r="BP18" s="145">
        <v>5.22</v>
      </c>
      <c r="BQ18" s="130">
        <v>15.6</v>
      </c>
      <c r="BR18" s="130"/>
      <c r="BS18" s="133">
        <v>21.6</v>
      </c>
      <c r="BT18" s="130">
        <f>22/60</f>
        <v>0.36666666666666664</v>
      </c>
      <c r="BU18" s="66">
        <f t="shared" si="13"/>
        <v>108.0000000000004</v>
      </c>
      <c r="BV18" s="118"/>
      <c r="BW18" s="65">
        <v>6.78</v>
      </c>
      <c r="BX18" s="65"/>
      <c r="BY18" s="65">
        <v>20.3</v>
      </c>
      <c r="BZ18" s="65">
        <f>52/60</f>
        <v>0.8666666666666667</v>
      </c>
      <c r="CA18" s="66">
        <f t="shared" si="14"/>
        <v>507.49999999999955</v>
      </c>
      <c r="CB18" s="103">
        <v>6.78</v>
      </c>
      <c r="CC18" s="65"/>
      <c r="CD18" s="65"/>
      <c r="CE18" s="71">
        <v>20.3</v>
      </c>
      <c r="CF18" s="65">
        <f>52/60</f>
        <v>0.8666666666666667</v>
      </c>
      <c r="CG18" s="66">
        <f t="shared" si="15"/>
        <v>507.49999999999955</v>
      </c>
      <c r="CH18" s="65"/>
      <c r="CI18" s="65"/>
      <c r="CJ18" s="65"/>
      <c r="CK18" s="65"/>
      <c r="CL18" s="65"/>
      <c r="CM18" s="66"/>
      <c r="CN18" s="65"/>
      <c r="CO18" s="65"/>
      <c r="CP18" s="65"/>
      <c r="CQ18" s="65"/>
      <c r="CR18" s="65"/>
      <c r="CT18" s="103">
        <v>4.6900000000000004</v>
      </c>
      <c r="CU18" s="65">
        <v>4.6900000000000004</v>
      </c>
      <c r="CV18" s="65"/>
      <c r="CW18" s="65">
        <v>23.6</v>
      </c>
      <c r="CX18" s="65">
        <f>1+15/60</f>
        <v>1.25</v>
      </c>
      <c r="CY18" s="66">
        <f t="shared" si="22"/>
        <v>786.66666666666015</v>
      </c>
      <c r="CZ18" s="65"/>
      <c r="DA18" s="65">
        <v>8.6</v>
      </c>
      <c r="DB18" s="65"/>
      <c r="DC18" s="65">
        <v>23.6</v>
      </c>
      <c r="DD18" s="65">
        <f>45/60</f>
        <v>0.75</v>
      </c>
      <c r="DE18" s="66">
        <f t="shared" si="0"/>
        <v>472.00000000001012</v>
      </c>
      <c r="DF18" s="65"/>
      <c r="DG18" s="65">
        <v>19.8</v>
      </c>
      <c r="DH18" s="65"/>
      <c r="DI18" s="71">
        <v>33.799999999999997</v>
      </c>
      <c r="DJ18" s="71">
        <f>22/60</f>
        <v>0.36666666666666664</v>
      </c>
      <c r="DK18" s="66">
        <f t="shared" si="1"/>
        <v>337.99999999999517</v>
      </c>
      <c r="DL18" s="65"/>
      <c r="DM18" s="65"/>
      <c r="DN18" s="65"/>
      <c r="DO18" s="65"/>
      <c r="DP18" s="65"/>
      <c r="DQ18" s="66"/>
      <c r="DR18" s="103"/>
      <c r="DS18" s="65"/>
      <c r="DT18" s="65"/>
      <c r="DU18" s="65"/>
      <c r="DV18" s="65"/>
      <c r="DX18" s="130">
        <v>9.1349999999999998</v>
      </c>
      <c r="DY18" s="130">
        <v>9.1349999999999998</v>
      </c>
      <c r="DZ18" s="130"/>
      <c r="EA18" s="133">
        <v>41.8</v>
      </c>
      <c r="EB18" s="130">
        <f>1+15/60</f>
        <v>1.25</v>
      </c>
      <c r="EC18" s="66">
        <f t="shared" si="4"/>
        <v>760.00000000000387</v>
      </c>
      <c r="ED18" s="133">
        <v>14.3</v>
      </c>
      <c r="EE18" s="127">
        <v>14.3</v>
      </c>
      <c r="EF18" s="127"/>
      <c r="EG18" s="127">
        <v>33.700000000000003</v>
      </c>
      <c r="EH18" s="127">
        <v>0.73333333333333328</v>
      </c>
      <c r="EI18" s="66">
        <f t="shared" si="5"/>
        <v>168.49999999999912</v>
      </c>
      <c r="EP18" s="133">
        <v>33.9</v>
      </c>
      <c r="EQ18" s="133">
        <v>33.9</v>
      </c>
      <c r="ER18" s="133"/>
      <c r="ES18" s="133">
        <v>84.3</v>
      </c>
      <c r="ET18" s="133">
        <f>14/60</f>
        <v>0.23333333333333334</v>
      </c>
      <c r="EU18" s="66">
        <f t="shared" si="6"/>
        <v>210.75000000000074</v>
      </c>
      <c r="EV18" s="103"/>
      <c r="EW18" s="65"/>
      <c r="EX18" s="65"/>
      <c r="EY18" s="65"/>
      <c r="EZ18" s="65"/>
    </row>
    <row r="19" spans="1:157" x14ac:dyDescent="0.25">
      <c r="A19">
        <v>19</v>
      </c>
      <c r="C19" s="4">
        <v>6.38</v>
      </c>
      <c r="D19" s="4">
        <v>6.9</v>
      </c>
      <c r="H19" s="65"/>
      <c r="I19" s="65"/>
      <c r="J19" s="65"/>
      <c r="K19" s="65"/>
      <c r="L19" s="65"/>
      <c r="N19" s="113">
        <v>4.16</v>
      </c>
      <c r="O19" s="64">
        <v>27.7</v>
      </c>
      <c r="P19" s="64">
        <v>42</v>
      </c>
      <c r="R19" s="65">
        <f>28/60</f>
        <v>0.46666666666666667</v>
      </c>
      <c r="S19" s="66">
        <f t="shared" si="21"/>
        <v>78.750000000000099</v>
      </c>
      <c r="T19" s="64">
        <v>27.7</v>
      </c>
      <c r="U19" s="64">
        <v>4.16</v>
      </c>
      <c r="V19" s="64">
        <v>42</v>
      </c>
      <c r="X19" s="65">
        <f>28/60</f>
        <v>0.46666666666666667</v>
      </c>
      <c r="Y19" s="66">
        <f t="shared" si="20"/>
        <v>78.750000000000099</v>
      </c>
      <c r="AC19" s="71"/>
      <c r="AD19" s="65"/>
      <c r="AF19" s="65"/>
      <c r="AG19" s="65">
        <v>8.59</v>
      </c>
      <c r="AH19" s="65">
        <v>12</v>
      </c>
      <c r="AI19" s="65"/>
      <c r="AJ19" s="65">
        <f>55/60</f>
        <v>0.91666666666666663</v>
      </c>
      <c r="AK19" s="66">
        <f t="shared" si="8"/>
        <v>70.58823529411768</v>
      </c>
      <c r="AL19" s="4">
        <v>11.1</v>
      </c>
      <c r="AM19" s="4">
        <v>11.1</v>
      </c>
      <c r="AN19" s="4">
        <v>7.8</v>
      </c>
      <c r="AP19" s="65">
        <f>28/60</f>
        <v>0.46666666666666667</v>
      </c>
      <c r="AQ19" s="66">
        <f t="shared" si="9"/>
        <v>39.000000000000021</v>
      </c>
      <c r="AR19" s="47">
        <v>11.1</v>
      </c>
      <c r="AS19" s="4">
        <v>11.1</v>
      </c>
      <c r="AT19" s="4">
        <v>18</v>
      </c>
      <c r="AV19" s="65">
        <f>48/60</f>
        <v>0.8</v>
      </c>
      <c r="AW19" s="66">
        <f>((3*AT19)+AU19)/(MAX(AR19-AR18,AS19-AS18))</f>
        <v>90.000000000000057</v>
      </c>
      <c r="AX19" s="132"/>
      <c r="AY19" s="130">
        <v>16.5</v>
      </c>
      <c r="AZ19" s="130">
        <v>9.6</v>
      </c>
      <c r="BA19" s="133"/>
      <c r="BB19" s="130">
        <f>24/60</f>
        <v>0.4</v>
      </c>
      <c r="BC19" s="66">
        <f t="shared" si="19"/>
        <v>31.999999999999986</v>
      </c>
      <c r="BD19" s="65">
        <v>16.600000000000001</v>
      </c>
      <c r="BE19" s="65"/>
      <c r="BF19" s="65">
        <v>9.6</v>
      </c>
      <c r="BG19" s="71"/>
      <c r="BH19" s="65">
        <f>24/60</f>
        <v>0.4</v>
      </c>
      <c r="BI19" s="66">
        <f t="shared" si="11"/>
        <v>28.799999999999947</v>
      </c>
      <c r="BJ19" s="130">
        <v>18.2</v>
      </c>
      <c r="BK19" s="130">
        <v>6.0720000000000001</v>
      </c>
      <c r="BL19" s="133">
        <v>9.6</v>
      </c>
      <c r="BM19" s="133"/>
      <c r="BN19" s="130">
        <f>26/60</f>
        <v>0.43333333333333335</v>
      </c>
      <c r="BO19" s="66">
        <f t="shared" si="12"/>
        <v>28.799999999999997</v>
      </c>
      <c r="BP19" s="145">
        <v>5.52</v>
      </c>
      <c r="BQ19" s="130">
        <v>16.5</v>
      </c>
      <c r="BR19" s="130">
        <v>9.6</v>
      </c>
      <c r="BS19" s="133"/>
      <c r="BT19" s="130">
        <f>24/60</f>
        <v>0.4</v>
      </c>
      <c r="BU19" s="66">
        <f t="shared" si="13"/>
        <v>31.999999999999986</v>
      </c>
      <c r="BV19" s="118"/>
      <c r="BW19" s="65">
        <v>7.21</v>
      </c>
      <c r="BX19" s="65">
        <v>9</v>
      </c>
      <c r="BY19" s="65"/>
      <c r="BZ19" s="65">
        <f>58/60</f>
        <v>0.96666666666666667</v>
      </c>
      <c r="CA19" s="66">
        <f t="shared" si="14"/>
        <v>62.790697674418645</v>
      </c>
      <c r="CB19" s="103">
        <v>7.21</v>
      </c>
      <c r="CC19" s="65"/>
      <c r="CD19" s="65">
        <v>9</v>
      </c>
      <c r="CE19" s="71"/>
      <c r="CF19" s="65">
        <v>0.97</v>
      </c>
      <c r="CG19" s="66">
        <f t="shared" si="15"/>
        <v>62.790697674418645</v>
      </c>
      <c r="CH19" s="65">
        <v>3.05</v>
      </c>
      <c r="CI19" s="65">
        <v>3.05</v>
      </c>
      <c r="CJ19" s="65">
        <v>6.6</v>
      </c>
      <c r="CK19" s="65"/>
      <c r="CL19" s="65">
        <f>1+35/60</f>
        <v>1.5833333333333335</v>
      </c>
      <c r="CM19" s="66"/>
      <c r="CN19" s="65"/>
      <c r="CO19" s="65"/>
      <c r="CP19" s="65"/>
      <c r="CQ19" s="65"/>
      <c r="CR19" s="65"/>
      <c r="CT19" s="103">
        <v>4.99</v>
      </c>
      <c r="CU19" s="65">
        <v>4.99</v>
      </c>
      <c r="CV19" s="65">
        <v>10.5</v>
      </c>
      <c r="CW19" s="65"/>
      <c r="CX19" s="65">
        <f>1+20/60</f>
        <v>1.3333333333333333</v>
      </c>
      <c r="CY19" s="66">
        <f t="shared" si="22"/>
        <v>105.00000000000006</v>
      </c>
      <c r="CZ19" s="65"/>
      <c r="DA19" s="65">
        <v>9.15</v>
      </c>
      <c r="DB19" s="65">
        <v>10.5</v>
      </c>
      <c r="DC19" s="65"/>
      <c r="DD19" s="65">
        <f>48/60</f>
        <v>0.8</v>
      </c>
      <c r="DE19" s="66">
        <f t="shared" si="0"/>
        <v>57.272727272727195</v>
      </c>
      <c r="DF19" s="65"/>
      <c r="DG19" s="65">
        <v>21.1</v>
      </c>
      <c r="DH19" s="65">
        <v>15</v>
      </c>
      <c r="DI19" s="71"/>
      <c r="DJ19" s="71">
        <f>24/60</f>
        <v>0.4</v>
      </c>
      <c r="DK19" s="66">
        <f t="shared" si="1"/>
        <v>34.615384615384599</v>
      </c>
      <c r="DL19" s="65"/>
      <c r="DM19" s="65"/>
      <c r="DN19" s="65"/>
      <c r="DO19" s="65"/>
      <c r="DP19" s="65"/>
      <c r="DQ19" s="66"/>
      <c r="DR19" s="103"/>
      <c r="DS19" s="65"/>
      <c r="DT19" s="65"/>
      <c r="DU19" s="65"/>
      <c r="DV19" s="65"/>
      <c r="DX19" s="130">
        <v>9.66</v>
      </c>
      <c r="DY19" s="130">
        <v>9.66</v>
      </c>
      <c r="DZ19" s="130">
        <v>19.8</v>
      </c>
      <c r="EA19" s="133"/>
      <c r="EB19" s="130">
        <f>1+20/60</f>
        <v>1.3333333333333333</v>
      </c>
      <c r="EC19" s="66">
        <f t="shared" si="4"/>
        <v>113.14285714285708</v>
      </c>
      <c r="ED19" s="133">
        <v>15.1</v>
      </c>
      <c r="EE19" s="127">
        <v>15.1</v>
      </c>
      <c r="EF19" s="127">
        <v>16</v>
      </c>
      <c r="EG19" s="127"/>
      <c r="EH19" s="127">
        <f>48/60</f>
        <v>0.8</v>
      </c>
      <c r="EI19" s="66">
        <f t="shared" si="5"/>
        <v>60.000000000000078</v>
      </c>
      <c r="EP19" s="133">
        <v>35.799999999999997</v>
      </c>
      <c r="EQ19" s="133">
        <v>35.799999999999997</v>
      </c>
      <c r="ER19" s="133">
        <v>40</v>
      </c>
      <c r="ES19" s="133"/>
      <c r="ET19" s="133">
        <f>16/60</f>
        <v>0.26666666666666666</v>
      </c>
      <c r="EU19" s="66">
        <f t="shared" si="6"/>
        <v>63.157894736842152</v>
      </c>
      <c r="EV19" s="103"/>
      <c r="EW19" s="65"/>
      <c r="EX19" s="65"/>
      <c r="EY19" s="65"/>
      <c r="EZ19" s="65"/>
    </row>
    <row r="20" spans="1:157" x14ac:dyDescent="0.25">
      <c r="A20">
        <v>20</v>
      </c>
      <c r="C20" s="4">
        <v>6.68</v>
      </c>
      <c r="D20" s="4">
        <v>9.1999999999999993</v>
      </c>
      <c r="G20" s="66">
        <f t="shared" si="18"/>
        <v>92.000000000000043</v>
      </c>
      <c r="H20" s="65"/>
      <c r="I20" s="65"/>
      <c r="J20" s="65"/>
      <c r="K20" s="65"/>
      <c r="L20" s="65"/>
      <c r="N20" s="113">
        <v>4.3600000000000003</v>
      </c>
      <c r="O20" s="64">
        <v>29</v>
      </c>
      <c r="P20" s="64">
        <v>56</v>
      </c>
      <c r="R20" s="65">
        <v>0.5</v>
      </c>
      <c r="S20" s="66">
        <f t="shared" si="21"/>
        <v>129.23076923076917</v>
      </c>
      <c r="T20" s="64">
        <v>29</v>
      </c>
      <c r="U20" s="64">
        <v>4.3600000000000003</v>
      </c>
      <c r="V20" s="64">
        <v>56</v>
      </c>
      <c r="X20" s="65">
        <f>30/60</f>
        <v>0.5</v>
      </c>
      <c r="Y20" s="66">
        <f t="shared" si="20"/>
        <v>129.23076923076917</v>
      </c>
      <c r="Z20" s="113">
        <v>9</v>
      </c>
      <c r="AB20" s="4">
        <v>16</v>
      </c>
      <c r="AC20" s="71"/>
      <c r="AD20" s="65">
        <f>58/60</f>
        <v>0.96666666666666667</v>
      </c>
      <c r="AF20" s="65"/>
      <c r="AG20" s="65">
        <v>9</v>
      </c>
      <c r="AH20" s="65">
        <v>16</v>
      </c>
      <c r="AI20" s="65"/>
      <c r="AJ20" s="65">
        <f>58/60</f>
        <v>0.96666666666666667</v>
      </c>
      <c r="AK20" s="66">
        <f t="shared" si="8"/>
        <v>117.07317073170728</v>
      </c>
      <c r="AL20" s="4">
        <v>11.6</v>
      </c>
      <c r="AM20" s="4">
        <v>11.6</v>
      </c>
      <c r="AN20" s="4">
        <v>10.4</v>
      </c>
      <c r="AP20" s="65">
        <v>0.5</v>
      </c>
      <c r="AQ20" s="66">
        <f t="shared" si="9"/>
        <v>62.400000000000006</v>
      </c>
      <c r="AR20" s="47">
        <v>11.6</v>
      </c>
      <c r="AS20" s="64">
        <v>11.6</v>
      </c>
      <c r="AT20" s="64">
        <v>24</v>
      </c>
      <c r="AV20" s="65">
        <f>50/60</f>
        <v>0.83333333333333337</v>
      </c>
      <c r="AW20" s="66">
        <f t="shared" ref="AW20:AW38" si="23">((3*AT20)+AU20)/(MAX(AR20-AR19,AS20-AS19))</f>
        <v>144</v>
      </c>
      <c r="AX20" s="132"/>
      <c r="AY20" s="130">
        <v>17.399999999999999</v>
      </c>
      <c r="AZ20" s="130">
        <v>12.8</v>
      </c>
      <c r="BA20" s="133"/>
      <c r="BB20" s="130">
        <f>24/60</f>
        <v>0.4</v>
      </c>
      <c r="BC20" s="66">
        <f t="shared" si="19"/>
        <v>42.666666666666742</v>
      </c>
      <c r="BD20" s="99">
        <v>17.399999999999999</v>
      </c>
      <c r="BE20" s="99"/>
      <c r="BF20" s="99">
        <v>12.8</v>
      </c>
      <c r="BG20" s="101"/>
      <c r="BH20" s="99">
        <f>25/60</f>
        <v>0.41666666666666669</v>
      </c>
      <c r="BI20" s="66">
        <f t="shared" si="11"/>
        <v>48.000000000000178</v>
      </c>
      <c r="BJ20" s="130">
        <v>19.2</v>
      </c>
      <c r="BK20" s="130">
        <v>6.4020000000000001</v>
      </c>
      <c r="BL20" s="133">
        <v>12.8</v>
      </c>
      <c r="BM20" s="133"/>
      <c r="BN20" s="130">
        <f>26/60</f>
        <v>0.43333333333333335</v>
      </c>
      <c r="BO20" s="66">
        <f t="shared" si="12"/>
        <v>38.400000000000006</v>
      </c>
      <c r="BP20" s="145">
        <v>5.82</v>
      </c>
      <c r="BQ20" s="130">
        <v>17.399999999999999</v>
      </c>
      <c r="BR20" s="130">
        <v>12.8</v>
      </c>
      <c r="BS20" s="133"/>
      <c r="BT20" s="130">
        <f>24/60</f>
        <v>0.4</v>
      </c>
      <c r="BU20" s="66">
        <f t="shared" si="13"/>
        <v>42.666666666666742</v>
      </c>
      <c r="BV20" s="119"/>
      <c r="BW20" s="88">
        <v>7.55</v>
      </c>
      <c r="BX20" s="88">
        <v>12</v>
      </c>
      <c r="BY20" s="88"/>
      <c r="BZ20" s="88">
        <v>1</v>
      </c>
      <c r="CA20" s="66">
        <f t="shared" si="14"/>
        <v>105.88235294117652</v>
      </c>
      <c r="CB20" s="104">
        <v>7.55</v>
      </c>
      <c r="CC20" s="88"/>
      <c r="CD20" s="88">
        <v>12</v>
      </c>
      <c r="CE20" s="90"/>
      <c r="CF20" s="88">
        <v>1</v>
      </c>
      <c r="CG20" s="66">
        <f t="shared" si="15"/>
        <v>105.88235294117652</v>
      </c>
      <c r="CH20" s="65">
        <v>3.19</v>
      </c>
      <c r="CI20" s="65">
        <v>3.19</v>
      </c>
      <c r="CJ20" s="65">
        <v>8.8000000000000007</v>
      </c>
      <c r="CK20" s="65"/>
      <c r="CL20" s="65">
        <f>1+40/60</f>
        <v>1.6666666666666665</v>
      </c>
      <c r="CM20" s="66">
        <f>((3*CJ20)+CK20)/(MAX(CH20-CH19,CI20-CI19))</f>
        <v>188.57142857142841</v>
      </c>
      <c r="CN20" s="65"/>
      <c r="CO20" s="65"/>
      <c r="CP20" s="65"/>
      <c r="CQ20" s="65"/>
      <c r="CR20" s="65"/>
      <c r="CT20" s="103">
        <v>5.23</v>
      </c>
      <c r="CU20" s="65">
        <v>5.23</v>
      </c>
      <c r="CV20" s="65">
        <v>14</v>
      </c>
      <c r="CW20" s="65"/>
      <c r="CX20" s="65">
        <f>1+25/60</f>
        <v>1.4166666666666667</v>
      </c>
      <c r="CY20" s="66">
        <f t="shared" si="22"/>
        <v>174.99999999999986</v>
      </c>
      <c r="CZ20" s="65"/>
      <c r="DA20" s="65">
        <v>9.58</v>
      </c>
      <c r="DB20" s="65">
        <v>14</v>
      </c>
      <c r="DC20" s="65"/>
      <c r="DD20" s="65">
        <f>50/60</f>
        <v>0.83333333333333337</v>
      </c>
      <c r="DE20" s="66">
        <f t="shared" si="0"/>
        <v>97.674418604651223</v>
      </c>
      <c r="DF20" s="65"/>
      <c r="DG20" s="65">
        <v>22.1</v>
      </c>
      <c r="DH20" s="65">
        <v>20</v>
      </c>
      <c r="DI20" s="71"/>
      <c r="DJ20" s="71">
        <f>25/60</f>
        <v>0.41666666666666669</v>
      </c>
      <c r="DK20" s="66">
        <f t="shared" si="1"/>
        <v>60</v>
      </c>
      <c r="DL20" s="65"/>
      <c r="DM20" s="65"/>
      <c r="DN20" s="65"/>
      <c r="DO20" s="65"/>
      <c r="DP20" s="65"/>
      <c r="DQ20" s="66"/>
      <c r="DR20" s="103"/>
      <c r="DS20" s="65"/>
      <c r="DT20" s="65"/>
      <c r="DU20" s="65"/>
      <c r="DV20" s="65"/>
      <c r="DX20" s="130">
        <v>10.1</v>
      </c>
      <c r="DY20" s="130">
        <v>10.1</v>
      </c>
      <c r="DZ20" s="130">
        <v>24.8</v>
      </c>
      <c r="EA20" s="133"/>
      <c r="EB20" s="130">
        <f>1+25/60</f>
        <v>1.4166666666666667</v>
      </c>
      <c r="EC20" s="66">
        <f t="shared" si="4"/>
        <v>169.09090909090929</v>
      </c>
      <c r="ED20" s="133">
        <v>16</v>
      </c>
      <c r="EE20" s="127">
        <v>16</v>
      </c>
      <c r="EF20" s="127">
        <v>20</v>
      </c>
      <c r="EG20" s="127"/>
      <c r="EH20" s="127">
        <f>50/60</f>
        <v>0.83333333333333337</v>
      </c>
      <c r="EI20" s="66">
        <f t="shared" si="5"/>
        <v>66.666666666666643</v>
      </c>
      <c r="EP20" s="133">
        <v>37.799999999999997</v>
      </c>
      <c r="EQ20" s="133">
        <v>37.799999999999997</v>
      </c>
      <c r="ER20" s="133">
        <v>50</v>
      </c>
      <c r="ES20" s="133"/>
      <c r="ET20" s="133">
        <f>16/60</f>
        <v>0.26666666666666666</v>
      </c>
      <c r="EU20" s="66">
        <f t="shared" si="6"/>
        <v>75</v>
      </c>
      <c r="EV20" s="104"/>
      <c r="EW20" s="88"/>
      <c r="EX20" s="88"/>
      <c r="EY20" s="88"/>
      <c r="EZ20" s="88"/>
      <c r="FA20" s="89"/>
    </row>
    <row r="21" spans="1:157" x14ac:dyDescent="0.25">
      <c r="A21">
        <v>21</v>
      </c>
      <c r="C21" s="4">
        <v>6.98</v>
      </c>
      <c r="E21" s="4">
        <v>46</v>
      </c>
      <c r="G21" s="66">
        <f t="shared" si="18"/>
        <v>153.33333333333297</v>
      </c>
      <c r="H21" s="65">
        <v>6.9690000000000003</v>
      </c>
      <c r="I21" s="65"/>
      <c r="J21" s="65"/>
      <c r="K21" s="65">
        <v>46</v>
      </c>
      <c r="L21" s="65">
        <f>54/60</f>
        <v>0.9</v>
      </c>
      <c r="M21" s="66"/>
      <c r="N21" s="113">
        <v>4.55</v>
      </c>
      <c r="O21" s="64">
        <v>30.4</v>
      </c>
      <c r="Q21" s="4">
        <v>100</v>
      </c>
      <c r="R21" s="65">
        <f>32/60</f>
        <v>0.53333333333333333</v>
      </c>
      <c r="S21" s="66">
        <f t="shared" si="21"/>
        <v>71.428571428571502</v>
      </c>
      <c r="T21" s="64">
        <v>30.4</v>
      </c>
      <c r="U21" s="64">
        <v>4.55</v>
      </c>
      <c r="W21" s="4">
        <v>280</v>
      </c>
      <c r="X21" s="65">
        <f>32/60</f>
        <v>0.53333333333333333</v>
      </c>
      <c r="Y21" s="66">
        <f t="shared" si="20"/>
        <v>200.0000000000002</v>
      </c>
      <c r="Z21" s="116">
        <v>9.41</v>
      </c>
      <c r="AA21" s="87"/>
      <c r="AB21" s="87"/>
      <c r="AC21" s="90">
        <v>80</v>
      </c>
      <c r="AD21" s="88">
        <v>1</v>
      </c>
      <c r="AE21" s="66">
        <f t="shared" ref="AE21:AE37" si="24">((3*AB21)+AC21)/(MAX(Z21-Z20,AA21-AA20))</f>
        <v>195.12195121951214</v>
      </c>
      <c r="AF21" s="65"/>
      <c r="AG21" s="65">
        <v>9.41</v>
      </c>
      <c r="AH21" s="65"/>
      <c r="AI21" s="65">
        <v>80</v>
      </c>
      <c r="AJ21" s="65">
        <v>1</v>
      </c>
      <c r="AK21" s="66">
        <f t="shared" si="8"/>
        <v>195.12195121951214</v>
      </c>
      <c r="AL21" s="4">
        <v>12.1</v>
      </c>
      <c r="AM21" s="64">
        <v>12.1</v>
      </c>
      <c r="AO21" s="4">
        <v>52</v>
      </c>
      <c r="AP21" s="65">
        <f>32/60</f>
        <v>0.53333333333333333</v>
      </c>
      <c r="AQ21" s="66">
        <f t="shared" si="9"/>
        <v>104</v>
      </c>
      <c r="AR21" s="47">
        <v>12.1</v>
      </c>
      <c r="AS21" s="64">
        <v>12.1</v>
      </c>
      <c r="AU21" s="4">
        <v>90</v>
      </c>
      <c r="AV21" s="65">
        <f>55/60</f>
        <v>0.91666666666666663</v>
      </c>
      <c r="AW21" s="66">
        <f t="shared" si="23"/>
        <v>180</v>
      </c>
      <c r="AX21" s="132"/>
      <c r="AY21" s="130">
        <v>18.100000000000001</v>
      </c>
      <c r="AZ21" s="130"/>
      <c r="BA21" s="133">
        <v>64</v>
      </c>
      <c r="BB21" s="130">
        <f>26/60</f>
        <v>0.43333333333333335</v>
      </c>
      <c r="BC21" s="66">
        <f t="shared" si="19"/>
        <v>91.428571428571061</v>
      </c>
      <c r="BD21" s="65">
        <v>18.2</v>
      </c>
      <c r="BE21" s="65"/>
      <c r="BF21" s="65"/>
      <c r="BG21" s="71">
        <v>64</v>
      </c>
      <c r="BH21" s="65">
        <f>28/60</f>
        <v>0.46666666666666667</v>
      </c>
      <c r="BI21" s="66">
        <f t="shared" si="11"/>
        <v>79.999999999999929</v>
      </c>
      <c r="BJ21" s="130">
        <v>19.899999999999999</v>
      </c>
      <c r="BK21" s="130">
        <v>6.6660000000000004</v>
      </c>
      <c r="BL21" s="133"/>
      <c r="BM21" s="133">
        <v>64</v>
      </c>
      <c r="BN21" s="130">
        <f>30/60</f>
        <v>0.5</v>
      </c>
      <c r="BO21" s="66">
        <f t="shared" si="12"/>
        <v>91.428571428571516</v>
      </c>
      <c r="BP21" s="145">
        <v>6.06</v>
      </c>
      <c r="BQ21" s="130">
        <v>18.100000000000001</v>
      </c>
      <c r="BR21" s="130"/>
      <c r="BS21" s="133">
        <v>64</v>
      </c>
      <c r="BT21" s="130">
        <f>26/60</f>
        <v>0.43333333333333335</v>
      </c>
      <c r="BU21" s="66">
        <f t="shared" si="13"/>
        <v>91.428571428571061</v>
      </c>
      <c r="BV21" s="118"/>
      <c r="BW21" s="65">
        <v>7.89</v>
      </c>
      <c r="BX21" s="65"/>
      <c r="BY21" s="65">
        <v>60</v>
      </c>
      <c r="BZ21" s="65">
        <f>1+5/60</f>
        <v>1.0833333333333333</v>
      </c>
      <c r="CA21" s="66">
        <f t="shared" si="14"/>
        <v>176.4705882352942</v>
      </c>
      <c r="CB21" s="103">
        <v>7.89</v>
      </c>
      <c r="CC21" s="65"/>
      <c r="CD21" s="65"/>
      <c r="CE21" s="71">
        <v>60</v>
      </c>
      <c r="CF21" s="65">
        <f>1+5/60</f>
        <v>1.0833333333333333</v>
      </c>
      <c r="CG21" s="66">
        <f t="shared" si="15"/>
        <v>176.4705882352942</v>
      </c>
      <c r="CH21" s="130">
        <v>3.3330000000000002</v>
      </c>
      <c r="CI21" s="130">
        <v>3.3330000000000002</v>
      </c>
      <c r="CJ21" s="130"/>
      <c r="CK21" s="130">
        <v>44</v>
      </c>
      <c r="CL21" s="130">
        <f>1+50/60</f>
        <v>1.8333333333333335</v>
      </c>
      <c r="CM21" s="66">
        <f t="shared" ref="CM21:CM22" si="25">((3*CJ21)+CK21)/(MAX(CH21-CH20,CI21-CI20))</f>
        <v>307.69230769230717</v>
      </c>
      <c r="CN21" s="65"/>
      <c r="CO21" s="65"/>
      <c r="CP21" s="65"/>
      <c r="CQ21" s="65"/>
      <c r="CR21" s="65"/>
      <c r="CT21" s="103">
        <v>5.47</v>
      </c>
      <c r="CU21" s="65">
        <v>5.47</v>
      </c>
      <c r="CV21" s="65"/>
      <c r="CW21" s="65">
        <v>70</v>
      </c>
      <c r="CX21" s="65">
        <f>1+35/60</f>
        <v>1.5833333333333335</v>
      </c>
      <c r="CY21" s="66">
        <f t="shared" si="22"/>
        <v>291.66666666666748</v>
      </c>
      <c r="CZ21" s="65"/>
      <c r="DA21" s="65">
        <v>10</v>
      </c>
      <c r="DB21" s="65"/>
      <c r="DC21" s="65">
        <v>70</v>
      </c>
      <c r="DD21" s="65">
        <f>55/60</f>
        <v>0.91666666666666663</v>
      </c>
      <c r="DE21" s="66">
        <f t="shared" si="0"/>
        <v>166.66666666666669</v>
      </c>
      <c r="DF21" s="65"/>
      <c r="DG21" s="65">
        <v>23.1</v>
      </c>
      <c r="DH21" s="65"/>
      <c r="DI21" s="71">
        <v>100</v>
      </c>
      <c r="DJ21" s="71">
        <f>28/60</f>
        <v>0.46666666666666667</v>
      </c>
      <c r="DK21" s="66">
        <f t="shared" si="1"/>
        <v>100</v>
      </c>
      <c r="DL21" s="65">
        <v>4.55</v>
      </c>
      <c r="DM21" s="65">
        <v>6.07</v>
      </c>
      <c r="DN21" s="65"/>
      <c r="DO21" s="65">
        <v>40</v>
      </c>
      <c r="DP21" s="65">
        <f>55/60</f>
        <v>0.91666666666666663</v>
      </c>
      <c r="DQ21" s="66"/>
      <c r="DR21" s="103"/>
      <c r="DS21" s="65"/>
      <c r="DT21" s="65"/>
      <c r="DU21" s="65"/>
      <c r="DV21" s="65"/>
      <c r="DX21" s="130">
        <v>10.6</v>
      </c>
      <c r="DY21" s="130">
        <v>10.6</v>
      </c>
      <c r="DZ21" s="130"/>
      <c r="EA21" s="133">
        <v>124</v>
      </c>
      <c r="EB21" s="130">
        <f>1+35/60</f>
        <v>1.5833333333333335</v>
      </c>
      <c r="EC21" s="66">
        <f t="shared" si="4"/>
        <v>248</v>
      </c>
      <c r="ED21" s="133">
        <v>16.600000000000001</v>
      </c>
      <c r="EE21" s="127">
        <v>16.600000000000001</v>
      </c>
      <c r="EF21" s="127"/>
      <c r="EG21" s="127">
        <v>100</v>
      </c>
      <c r="EH21" s="127">
        <f>54/60</f>
        <v>0.9</v>
      </c>
      <c r="EI21" s="66">
        <f t="shared" si="5"/>
        <v>166.66666666666626</v>
      </c>
      <c r="EJ21" s="133">
        <v>3.6360000000000001</v>
      </c>
      <c r="EK21" s="133"/>
      <c r="EL21" s="133"/>
      <c r="EM21" s="133">
        <v>60</v>
      </c>
      <c r="EN21" s="133">
        <f>2+15/60</f>
        <v>2.25</v>
      </c>
      <c r="EP21" s="133">
        <v>39.299999999999997</v>
      </c>
      <c r="EQ21" s="133">
        <v>39.299999999999997</v>
      </c>
      <c r="ER21" s="133"/>
      <c r="ES21" s="133">
        <v>250</v>
      </c>
      <c r="ET21" s="133">
        <f>18/60</f>
        <v>0.3</v>
      </c>
      <c r="EU21" s="66">
        <f t="shared" si="6"/>
        <v>166.66666666666666</v>
      </c>
      <c r="EV21" s="103"/>
      <c r="EW21" s="65"/>
      <c r="EX21" s="65"/>
      <c r="EY21" s="65"/>
      <c r="EZ21" s="65"/>
    </row>
    <row r="22" spans="1:157" x14ac:dyDescent="0.25">
      <c r="A22">
        <v>22</v>
      </c>
      <c r="H22" s="4">
        <v>7.59</v>
      </c>
      <c r="J22" s="4">
        <v>12.6</v>
      </c>
      <c r="L22" s="4">
        <v>1</v>
      </c>
      <c r="M22" s="66">
        <f t="shared" ref="M22" si="26">((3*J22)+K22)/(MAX(H22-H21,I22-I21))</f>
        <v>60.86956521739134</v>
      </c>
      <c r="N22" s="113">
        <v>4.95</v>
      </c>
      <c r="O22" s="70">
        <v>33</v>
      </c>
      <c r="P22" s="64">
        <v>77</v>
      </c>
      <c r="R22" s="65">
        <f>35/60</f>
        <v>0.58333333333333337</v>
      </c>
      <c r="S22" s="66">
        <f t="shared" si="21"/>
        <v>88.846153846153797</v>
      </c>
      <c r="T22" s="64">
        <v>33</v>
      </c>
      <c r="U22" s="64">
        <v>4.95</v>
      </c>
      <c r="V22" s="64">
        <v>77</v>
      </c>
      <c r="X22" s="65">
        <f>35/60</f>
        <v>0.58333333333333337</v>
      </c>
      <c r="Y22" s="66">
        <f t="shared" si="20"/>
        <v>88.846153846153797</v>
      </c>
      <c r="Z22" s="113">
        <v>10.199999999999999</v>
      </c>
      <c r="AB22" s="4">
        <v>22</v>
      </c>
      <c r="AC22" s="71"/>
      <c r="AD22" s="65">
        <f>1+5/60</f>
        <v>1.0833333333333333</v>
      </c>
      <c r="AE22" s="66">
        <f t="shared" si="24"/>
        <v>83.544303797468444</v>
      </c>
      <c r="AG22" s="70">
        <v>10.199999999999999</v>
      </c>
      <c r="AH22" s="70">
        <v>22</v>
      </c>
      <c r="AJ22" s="65">
        <f>1+5/60</f>
        <v>1.0833333333333333</v>
      </c>
      <c r="AK22" s="66">
        <f t="shared" si="8"/>
        <v>83.544303797468444</v>
      </c>
      <c r="AL22" s="4">
        <v>13.2</v>
      </c>
      <c r="AM22" s="64">
        <v>13.2</v>
      </c>
      <c r="AN22" s="64">
        <v>14.3</v>
      </c>
      <c r="AP22" s="65">
        <f>35/60</f>
        <v>0.58333333333333337</v>
      </c>
      <c r="AQ22" s="66">
        <f t="shared" si="9"/>
        <v>39.000000000000014</v>
      </c>
      <c r="AR22" s="85">
        <v>13.2</v>
      </c>
      <c r="AS22" s="86">
        <v>13.2</v>
      </c>
      <c r="AT22" s="87">
        <v>33</v>
      </c>
      <c r="AU22" s="87"/>
      <c r="AV22" s="88">
        <v>1</v>
      </c>
      <c r="AW22" s="66">
        <f t="shared" si="23"/>
        <v>90.000000000000028</v>
      </c>
      <c r="AX22" s="134"/>
      <c r="AY22" s="130">
        <v>19.8</v>
      </c>
      <c r="AZ22" s="130">
        <v>17.600000000000001</v>
      </c>
      <c r="BA22" s="133"/>
      <c r="BB22" s="130">
        <f>30/60</f>
        <v>0.5</v>
      </c>
      <c r="BC22" s="66">
        <f t="shared" si="19"/>
        <v>31.058823529411779</v>
      </c>
      <c r="BD22" s="65">
        <v>19.8</v>
      </c>
      <c r="BE22" s="65"/>
      <c r="BF22" s="65">
        <v>17.600000000000001</v>
      </c>
      <c r="BG22" s="71"/>
      <c r="BH22" s="65">
        <f>30/60</f>
        <v>0.5</v>
      </c>
      <c r="BI22" s="66">
        <f t="shared" si="11"/>
        <v>32.999999999999972</v>
      </c>
      <c r="BJ22" s="130">
        <v>21.7</v>
      </c>
      <c r="BK22" s="130">
        <v>7.26</v>
      </c>
      <c r="BL22" s="133">
        <v>17.600000000000001</v>
      </c>
      <c r="BM22" s="133"/>
      <c r="BN22" s="130">
        <f>32/60</f>
        <v>0.53333333333333333</v>
      </c>
      <c r="BO22" s="66">
        <f t="shared" si="12"/>
        <v>29.333333333333325</v>
      </c>
      <c r="BP22" s="145">
        <v>6.6</v>
      </c>
      <c r="BQ22" s="130">
        <v>19.8</v>
      </c>
      <c r="BR22" s="130">
        <v>17.600000000000001</v>
      </c>
      <c r="BS22" s="133"/>
      <c r="BT22" s="130">
        <v>0.5</v>
      </c>
      <c r="BU22" s="66">
        <f t="shared" si="13"/>
        <v>31.058823529411779</v>
      </c>
      <c r="BW22" s="70">
        <v>8.58</v>
      </c>
      <c r="BX22" s="70">
        <v>16.5</v>
      </c>
      <c r="BZ22" s="65">
        <f>1+10/60</f>
        <v>1.1666666666666667</v>
      </c>
      <c r="CA22" s="66">
        <f t="shared" si="14"/>
        <v>71.739130434782567</v>
      </c>
      <c r="CB22" s="47">
        <v>8.58</v>
      </c>
      <c r="CD22" s="4">
        <v>16.5</v>
      </c>
      <c r="CE22" s="71"/>
      <c r="CF22" s="4">
        <f>1+10/60</f>
        <v>1.1666666666666667</v>
      </c>
      <c r="CG22" s="66">
        <f t="shared" si="15"/>
        <v>71.739130434782567</v>
      </c>
      <c r="CH22" s="130">
        <v>3.63</v>
      </c>
      <c r="CI22" s="130">
        <v>3.63</v>
      </c>
      <c r="CJ22" s="130">
        <v>12.1</v>
      </c>
      <c r="CK22" s="130"/>
      <c r="CL22" s="130">
        <v>2</v>
      </c>
      <c r="CM22" s="66">
        <f t="shared" si="25"/>
        <v>122.22222222222233</v>
      </c>
      <c r="CN22" s="65"/>
      <c r="CO22" s="65"/>
      <c r="CP22" s="65"/>
      <c r="CQ22" s="65"/>
      <c r="CR22" s="65"/>
      <c r="CT22" s="103"/>
      <c r="CU22" s="65"/>
      <c r="CV22" s="65"/>
      <c r="CW22" s="65"/>
      <c r="CX22" s="65"/>
      <c r="CZ22" s="65"/>
      <c r="DA22" s="65">
        <v>10.9</v>
      </c>
      <c r="DB22" s="65">
        <v>19.3</v>
      </c>
      <c r="DC22" s="65"/>
      <c r="DD22" s="65">
        <v>1</v>
      </c>
      <c r="DE22" s="66">
        <f t="shared" si="0"/>
        <v>64.333333333333314</v>
      </c>
      <c r="DF22" s="65"/>
      <c r="DG22" s="65">
        <v>25.1</v>
      </c>
      <c r="DH22" s="65">
        <v>27.5</v>
      </c>
      <c r="DI22" s="71"/>
      <c r="DJ22" s="71">
        <v>0.5</v>
      </c>
      <c r="DK22" s="66">
        <f t="shared" si="1"/>
        <v>41.25</v>
      </c>
      <c r="DL22" s="70">
        <v>4.95</v>
      </c>
      <c r="DM22" s="70">
        <v>6.6</v>
      </c>
      <c r="DN22" s="70">
        <v>11</v>
      </c>
      <c r="DP22" s="70">
        <v>1</v>
      </c>
      <c r="DQ22" s="66">
        <f t="shared" ref="DQ22" si="27">((3*DN22)+DO22)/(MAX(DL22-DL21,DM22-DM21))</f>
        <v>62.264150943396302</v>
      </c>
      <c r="DX22" s="128">
        <v>11.5</v>
      </c>
      <c r="DY22" s="128">
        <v>11.5</v>
      </c>
      <c r="DZ22" s="128">
        <v>34.1</v>
      </c>
      <c r="EA22" s="133"/>
      <c r="EB22" s="130">
        <f>1+45/60</f>
        <v>1.75</v>
      </c>
      <c r="EC22" s="66">
        <f t="shared" si="4"/>
        <v>113.66666666666663</v>
      </c>
      <c r="ED22" s="136">
        <v>18.100000000000001</v>
      </c>
      <c r="EE22" s="131">
        <v>18.100000000000001</v>
      </c>
      <c r="EF22" s="131">
        <v>27.5</v>
      </c>
      <c r="EG22" s="127"/>
      <c r="EH22" s="127">
        <f>1</f>
        <v>1</v>
      </c>
      <c r="EI22" s="66">
        <f t="shared" si="5"/>
        <v>55</v>
      </c>
      <c r="EJ22" s="133">
        <v>3.96</v>
      </c>
      <c r="EK22" s="133"/>
      <c r="EL22" s="133">
        <v>16.5</v>
      </c>
      <c r="EM22" s="133"/>
      <c r="EN22" s="133">
        <f>2+30/60</f>
        <v>2.5</v>
      </c>
      <c r="EO22" s="66">
        <f t="shared" ref="EO22" si="28">((3*EL22)+EM22)/(MAX(EJ22-EJ21,EK22-EK21))</f>
        <v>152.77777777777786</v>
      </c>
      <c r="EP22" s="133"/>
      <c r="EQ22" s="133"/>
      <c r="ER22" s="133"/>
      <c r="ES22" s="133"/>
      <c r="ET22" s="133"/>
      <c r="EV22" s="103">
        <v>5.61</v>
      </c>
      <c r="EW22" s="65">
        <v>5.61</v>
      </c>
      <c r="EX22" s="65">
        <v>14.3</v>
      </c>
      <c r="EY22" s="65"/>
      <c r="EZ22" s="65">
        <f>1+35/60</f>
        <v>1.5833333333333335</v>
      </c>
      <c r="FA22" s="66"/>
    </row>
    <row r="23" spans="1:157" x14ac:dyDescent="0.25">
      <c r="A23">
        <v>23</v>
      </c>
      <c r="N23" s="113">
        <v>5.15</v>
      </c>
      <c r="O23" s="64">
        <v>34.299999999999997</v>
      </c>
      <c r="P23" s="64">
        <v>102</v>
      </c>
      <c r="R23" s="65">
        <f>42/60</f>
        <v>0.7</v>
      </c>
      <c r="S23" s="66">
        <f t="shared" si="21"/>
        <v>235.3846153846159</v>
      </c>
      <c r="T23" s="64">
        <v>34.299999999999997</v>
      </c>
      <c r="U23" s="64">
        <v>5.15</v>
      </c>
      <c r="V23" s="64">
        <v>102</v>
      </c>
      <c r="X23" s="65">
        <f>42/60</f>
        <v>0.7</v>
      </c>
      <c r="Y23" s="66">
        <f t="shared" si="20"/>
        <v>235.3846153846159</v>
      </c>
      <c r="Z23" s="113">
        <v>10.6</v>
      </c>
      <c r="AB23" s="4">
        <v>29</v>
      </c>
      <c r="AC23" s="71"/>
      <c r="AD23" s="65">
        <f>1+20/60</f>
        <v>1.3333333333333333</v>
      </c>
      <c r="AE23" s="66">
        <f t="shared" si="24"/>
        <v>217.4999999999998</v>
      </c>
      <c r="AG23" s="70">
        <v>10.6</v>
      </c>
      <c r="AH23" s="70">
        <v>29</v>
      </c>
      <c r="AJ23" s="65">
        <f>1+20/60</f>
        <v>1.3333333333333333</v>
      </c>
      <c r="AK23" s="66">
        <f t="shared" si="8"/>
        <v>217.4999999999998</v>
      </c>
      <c r="AL23" s="4">
        <v>13.7</v>
      </c>
      <c r="AM23" s="64">
        <v>13.7</v>
      </c>
      <c r="AN23" s="64">
        <v>18.899999999999999</v>
      </c>
      <c r="AP23" s="65">
        <f>42/60</f>
        <v>0.7</v>
      </c>
      <c r="AQ23" s="66">
        <f t="shared" si="9"/>
        <v>113.39999999999999</v>
      </c>
      <c r="AR23" s="47">
        <v>13.7</v>
      </c>
      <c r="AS23" s="64">
        <v>13.7</v>
      </c>
      <c r="AT23" s="64">
        <v>43.5</v>
      </c>
      <c r="AV23" s="65">
        <f>1+10/60</f>
        <v>1.1666666666666667</v>
      </c>
      <c r="AW23" s="66">
        <f t="shared" si="23"/>
        <v>261</v>
      </c>
      <c r="AX23" s="134"/>
      <c r="AY23" s="130">
        <v>20.5</v>
      </c>
      <c r="AZ23" s="130">
        <v>23.2</v>
      </c>
      <c r="BA23" s="133"/>
      <c r="BB23" s="130">
        <f>34/60</f>
        <v>0.56666666666666665</v>
      </c>
      <c r="BC23" s="66">
        <f t="shared" si="19"/>
        <v>99.428571428571516</v>
      </c>
      <c r="BD23" s="65">
        <v>20.6</v>
      </c>
      <c r="BE23" s="65"/>
      <c r="BF23" s="65">
        <v>23.2</v>
      </c>
      <c r="BG23" s="71"/>
      <c r="BH23" s="65">
        <f>35/60</f>
        <v>0.58333333333333337</v>
      </c>
      <c r="BI23" s="66">
        <f t="shared" si="11"/>
        <v>86.999999999999915</v>
      </c>
      <c r="BJ23" s="130">
        <v>22.5</v>
      </c>
      <c r="BK23" s="130">
        <v>7.524</v>
      </c>
      <c r="BL23" s="133">
        <v>23.2</v>
      </c>
      <c r="BM23" s="133"/>
      <c r="BN23" s="130">
        <f>38/60</f>
        <v>0.6333333333333333</v>
      </c>
      <c r="BO23" s="66">
        <f t="shared" si="12"/>
        <v>86.999999999999915</v>
      </c>
      <c r="BP23" s="145">
        <v>6.84</v>
      </c>
      <c r="BQ23" s="130">
        <v>20.5</v>
      </c>
      <c r="BR23" s="130">
        <v>23.2</v>
      </c>
      <c r="BS23" s="133"/>
      <c r="BT23" s="130">
        <f>34/60</f>
        <v>0.56666666666666665</v>
      </c>
      <c r="BU23" s="66">
        <f t="shared" si="13"/>
        <v>99.428571428571516</v>
      </c>
      <c r="BW23" s="70">
        <v>8.92</v>
      </c>
      <c r="BX23" s="70">
        <v>21.8</v>
      </c>
      <c r="BZ23" s="65">
        <f>1+20/60</f>
        <v>1.3333333333333333</v>
      </c>
      <c r="CA23" s="66">
        <f t="shared" si="14"/>
        <v>192.35294117647069</v>
      </c>
      <c r="CB23" s="47">
        <v>8.92</v>
      </c>
      <c r="CD23" s="70">
        <v>21.8</v>
      </c>
      <c r="CE23" s="71"/>
      <c r="CF23" s="4">
        <v>1.33</v>
      </c>
      <c r="CG23" s="66">
        <f t="shared" si="15"/>
        <v>192.35294117647069</v>
      </c>
      <c r="CH23" s="130"/>
      <c r="CI23" s="130"/>
      <c r="CJ23" s="130"/>
      <c r="CK23" s="130"/>
      <c r="CL23" s="130"/>
      <c r="CN23" s="65"/>
      <c r="CO23" s="65"/>
      <c r="CP23" s="65"/>
      <c r="CQ23" s="65"/>
      <c r="CR23" s="65"/>
      <c r="CT23" s="103"/>
      <c r="CU23" s="65"/>
      <c r="CV23" s="65"/>
      <c r="CW23" s="65"/>
      <c r="CX23" s="65"/>
      <c r="CZ23" s="65"/>
      <c r="DA23" s="65">
        <v>11.3</v>
      </c>
      <c r="DB23" s="65">
        <v>25.4</v>
      </c>
      <c r="DC23" s="65"/>
      <c r="DD23" s="65">
        <f>1+10/60</f>
        <v>1.1666666666666667</v>
      </c>
      <c r="DE23" s="66">
        <f t="shared" si="0"/>
        <v>190.4999999999998</v>
      </c>
      <c r="DF23" s="65"/>
      <c r="DG23" s="65">
        <v>26.1</v>
      </c>
      <c r="DH23" s="65">
        <v>36.299999999999997</v>
      </c>
      <c r="DI23" s="71"/>
      <c r="DJ23" s="71">
        <f>35/60</f>
        <v>0.58333333333333337</v>
      </c>
      <c r="DK23" s="66">
        <f t="shared" si="1"/>
        <v>108.89999999999999</v>
      </c>
      <c r="DX23" s="128">
        <v>11.9</v>
      </c>
      <c r="DY23" s="128">
        <v>11.9</v>
      </c>
      <c r="DZ23" s="128">
        <v>44.9</v>
      </c>
      <c r="EA23" s="133"/>
      <c r="EB23" s="130">
        <f>2</f>
        <v>2</v>
      </c>
      <c r="EC23" s="66">
        <f t="shared" si="4"/>
        <v>336.74999999999966</v>
      </c>
      <c r="ED23" s="136">
        <v>18.8</v>
      </c>
      <c r="EE23" s="131">
        <v>18.8</v>
      </c>
      <c r="EF23" s="131">
        <v>36.200000000000003</v>
      </c>
      <c r="EG23" s="127"/>
      <c r="EH23" s="127">
        <f>1+10/60</f>
        <v>1.1666666666666667</v>
      </c>
      <c r="EI23" s="66">
        <f t="shared" si="5"/>
        <v>155.14285714285731</v>
      </c>
      <c r="EJ23" s="133"/>
      <c r="EK23" s="133"/>
      <c r="EL23" s="133"/>
      <c r="EM23" s="133"/>
      <c r="EN23" s="133"/>
      <c r="EP23" s="133"/>
      <c r="EQ23" s="133"/>
      <c r="ER23" s="133"/>
      <c r="ES23" s="133"/>
      <c r="ET23" s="133"/>
      <c r="EV23" s="103">
        <v>5.83</v>
      </c>
      <c r="EW23" s="65">
        <v>5.83</v>
      </c>
      <c r="EX23" s="65">
        <v>18.899999999999999</v>
      </c>
      <c r="EY23" s="65"/>
      <c r="EZ23" s="65">
        <f>1+50/60</f>
        <v>1.8333333333333335</v>
      </c>
      <c r="FA23" s="66">
        <f t="shared" ref="FA23:FA30" si="29">((3*EX23)+EY23)/(MAX(EV23-EV22,EW23-EW22))</f>
        <v>257.72727272727298</v>
      </c>
    </row>
    <row r="24" spans="1:157" x14ac:dyDescent="0.25">
      <c r="A24">
        <v>24</v>
      </c>
      <c r="C24" s="64">
        <v>8.35</v>
      </c>
      <c r="E24" s="4">
        <v>92</v>
      </c>
      <c r="H24" s="65"/>
      <c r="I24" s="65"/>
      <c r="J24" s="65"/>
      <c r="K24" s="65"/>
      <c r="L24" s="65"/>
      <c r="N24" s="113">
        <v>5.45</v>
      </c>
      <c r="O24" s="64">
        <v>36.299999999999997</v>
      </c>
      <c r="Q24" s="4">
        <v>560</v>
      </c>
      <c r="R24" s="65">
        <f>48/60</f>
        <v>0.8</v>
      </c>
      <c r="S24" s="66">
        <f t="shared" si="21"/>
        <v>280</v>
      </c>
      <c r="T24" s="4">
        <v>36.299999999999997</v>
      </c>
      <c r="U24" s="4">
        <v>5.45</v>
      </c>
      <c r="W24" s="4">
        <v>560</v>
      </c>
      <c r="X24" s="65">
        <f>48/60</f>
        <v>0.8</v>
      </c>
      <c r="Y24" s="66">
        <f t="shared" si="20"/>
        <v>280</v>
      </c>
      <c r="Z24" s="113">
        <v>11.3</v>
      </c>
      <c r="AC24" s="71">
        <v>160</v>
      </c>
      <c r="AD24" s="65">
        <f>1+30/60</f>
        <v>1.5</v>
      </c>
      <c r="AE24" s="66">
        <f t="shared" si="24"/>
        <v>228.57142857142821</v>
      </c>
      <c r="AG24" s="70">
        <v>11.3</v>
      </c>
      <c r="AI24" s="4">
        <v>160</v>
      </c>
      <c r="AJ24" s="65">
        <v>1.5</v>
      </c>
      <c r="AK24" s="66">
        <f t="shared" si="8"/>
        <v>228.57142857142821</v>
      </c>
      <c r="AL24" s="4">
        <v>14.5</v>
      </c>
      <c r="AM24" s="64">
        <v>14.5</v>
      </c>
      <c r="AO24" s="4">
        <v>104</v>
      </c>
      <c r="AP24" s="65">
        <f>48/60</f>
        <v>0.8</v>
      </c>
      <c r="AQ24" s="66">
        <f t="shared" si="9"/>
        <v>129.99999999999989</v>
      </c>
      <c r="AR24" s="47">
        <v>14.5</v>
      </c>
      <c r="AS24" s="64">
        <v>14.5</v>
      </c>
      <c r="AU24" s="4">
        <v>280</v>
      </c>
      <c r="AV24" s="65">
        <f>1+20/60</f>
        <v>1.3333333333333333</v>
      </c>
      <c r="AW24" s="66">
        <f t="shared" si="23"/>
        <v>349.99999999999972</v>
      </c>
      <c r="AX24" s="134"/>
      <c r="AY24" s="130">
        <v>21.7</v>
      </c>
      <c r="AZ24" s="130"/>
      <c r="BA24" s="133">
        <v>128</v>
      </c>
      <c r="BB24" s="130">
        <f>40/60</f>
        <v>0.66666666666666663</v>
      </c>
      <c r="BC24" s="66">
        <f t="shared" si="19"/>
        <v>106.66666666666673</v>
      </c>
      <c r="BD24" s="65">
        <v>21.8</v>
      </c>
      <c r="BE24" s="65"/>
      <c r="BF24" s="65"/>
      <c r="BG24" s="71">
        <v>128</v>
      </c>
      <c r="BH24" s="65">
        <f>40/60</f>
        <v>0.66666666666666663</v>
      </c>
      <c r="BI24" s="66">
        <f t="shared" si="11"/>
        <v>106.66666666666673</v>
      </c>
      <c r="BJ24" s="130">
        <v>23.9</v>
      </c>
      <c r="BK24" s="130">
        <v>7.9859999999999998</v>
      </c>
      <c r="BL24" s="133"/>
      <c r="BM24" s="133">
        <v>128</v>
      </c>
      <c r="BN24" s="130">
        <f>44/60</f>
        <v>0.73333333333333328</v>
      </c>
      <c r="BO24" s="66">
        <f t="shared" si="12"/>
        <v>91.428571428571516</v>
      </c>
      <c r="BP24" s="145">
        <v>7.26</v>
      </c>
      <c r="BQ24" s="130">
        <v>21.7</v>
      </c>
      <c r="BR24" s="130"/>
      <c r="BS24" s="133">
        <v>128</v>
      </c>
      <c r="BT24" s="130">
        <f>40/60</f>
        <v>0.66666666666666663</v>
      </c>
      <c r="BU24" s="66">
        <f t="shared" si="13"/>
        <v>106.66666666666673</v>
      </c>
      <c r="BW24" s="70">
        <v>9.44</v>
      </c>
      <c r="BY24" s="4">
        <v>120</v>
      </c>
      <c r="BZ24" s="65">
        <v>1.583</v>
      </c>
      <c r="CA24" s="66">
        <f t="shared" si="14"/>
        <v>230.76923076923097</v>
      </c>
      <c r="CB24" s="47">
        <v>9.44</v>
      </c>
      <c r="CE24" s="71">
        <v>120</v>
      </c>
      <c r="CF24" s="4">
        <f>1+35/60</f>
        <v>1.5833333333333335</v>
      </c>
      <c r="CG24" s="66">
        <f t="shared" si="15"/>
        <v>230.76923076923097</v>
      </c>
      <c r="CH24" s="130"/>
      <c r="CI24" s="130"/>
      <c r="CJ24" s="130"/>
      <c r="CK24" s="130"/>
      <c r="CL24" s="130"/>
      <c r="CN24" s="65"/>
      <c r="CO24" s="65"/>
      <c r="CP24" s="65"/>
      <c r="CQ24" s="65"/>
      <c r="CR24" s="65"/>
      <c r="CT24" s="103"/>
      <c r="CU24" s="65"/>
      <c r="CV24" s="65"/>
      <c r="CW24" s="65"/>
      <c r="CX24" s="65"/>
      <c r="CZ24" s="65"/>
      <c r="DA24" s="65">
        <v>12</v>
      </c>
      <c r="DB24" s="65"/>
      <c r="DC24" s="71">
        <v>140</v>
      </c>
      <c r="DD24" s="65">
        <f>1+20/60</f>
        <v>1.3333333333333333</v>
      </c>
      <c r="DE24" s="66">
        <f t="shared" si="0"/>
        <v>200.0000000000002</v>
      </c>
      <c r="DF24" s="65"/>
      <c r="DG24" s="65">
        <v>27.6</v>
      </c>
      <c r="DH24" s="65"/>
      <c r="DI24" s="71">
        <v>200</v>
      </c>
      <c r="DJ24" s="71">
        <f>40/60</f>
        <v>0.66666666666666663</v>
      </c>
      <c r="DK24" s="66">
        <f t="shared" si="1"/>
        <v>133.33333333333334</v>
      </c>
      <c r="DL24" s="65"/>
      <c r="DM24" s="65"/>
      <c r="DN24" s="65"/>
      <c r="DO24" s="65"/>
      <c r="DP24" s="65"/>
      <c r="DR24" s="103"/>
      <c r="DS24" s="65"/>
      <c r="DT24" s="65"/>
      <c r="DU24" s="65"/>
      <c r="DV24" s="65"/>
      <c r="DX24" s="130">
        <v>12.7</v>
      </c>
      <c r="DY24" s="130">
        <v>12.7</v>
      </c>
      <c r="DZ24" s="130"/>
      <c r="EA24" s="133">
        <v>248</v>
      </c>
      <c r="EB24" s="130">
        <f>2+20/60</f>
        <v>2.3333333333333335</v>
      </c>
      <c r="EC24" s="66">
        <f t="shared" si="4"/>
        <v>310.0000000000004</v>
      </c>
      <c r="ED24" s="136">
        <v>19.899999999999999</v>
      </c>
      <c r="EE24" s="131">
        <v>19.899999999999999</v>
      </c>
      <c r="EF24" s="131"/>
      <c r="EG24" s="127">
        <v>200</v>
      </c>
      <c r="EH24" s="127">
        <f>1+20/60</f>
        <v>1.3333333333333333</v>
      </c>
      <c r="EI24" s="66">
        <f t="shared" si="5"/>
        <v>181.81818181818218</v>
      </c>
      <c r="EJ24" s="133"/>
      <c r="EK24" s="133"/>
      <c r="EL24" s="133"/>
      <c r="EM24" s="133"/>
      <c r="EN24" s="133"/>
      <c r="EP24" s="133"/>
      <c r="EQ24" s="133"/>
      <c r="ER24" s="133"/>
      <c r="ES24" s="133"/>
      <c r="ET24" s="133"/>
      <c r="EV24" s="103">
        <v>6.17</v>
      </c>
      <c r="EW24" s="65">
        <v>6.17</v>
      </c>
      <c r="EX24" s="65"/>
      <c r="EY24" s="71">
        <v>104</v>
      </c>
      <c r="EZ24" s="65">
        <v>2</v>
      </c>
      <c r="FA24" s="66">
        <f t="shared" si="29"/>
        <v>305.88235294117658</v>
      </c>
    </row>
    <row r="25" spans="1:157" x14ac:dyDescent="0.25">
      <c r="A25">
        <v>25</v>
      </c>
      <c r="C25" s="64">
        <v>8.58</v>
      </c>
      <c r="D25" s="4">
        <v>28.8</v>
      </c>
      <c r="F25" s="4">
        <f>1+30/60</f>
        <v>1.5</v>
      </c>
      <c r="G25" s="66">
        <f>((3*D25)+E25)/(MAX(B25-B24,C25-C24))</f>
        <v>375.65217391304282</v>
      </c>
      <c r="N25" s="134">
        <v>5.58</v>
      </c>
      <c r="O25" s="128">
        <v>37.200000000000003</v>
      </c>
      <c r="P25" s="128">
        <v>175</v>
      </c>
      <c r="Q25" s="128"/>
      <c r="R25" s="130">
        <f>54/60</f>
        <v>0.9</v>
      </c>
      <c r="S25" s="66">
        <f t="shared" si="21"/>
        <v>583.33333333332962</v>
      </c>
      <c r="T25" s="4">
        <v>37.299999999999997</v>
      </c>
      <c r="U25" s="4">
        <v>5.59</v>
      </c>
      <c r="V25" s="4">
        <v>175</v>
      </c>
      <c r="X25" s="65">
        <f>52/60</f>
        <v>0.8666666666666667</v>
      </c>
      <c r="Y25" s="66">
        <f t="shared" si="20"/>
        <v>525</v>
      </c>
      <c r="Z25" s="113">
        <v>11.6</v>
      </c>
      <c r="AB25" s="4">
        <v>50</v>
      </c>
      <c r="AC25" s="71"/>
      <c r="AD25" s="65">
        <f>1+40/60</f>
        <v>1.6666666666666665</v>
      </c>
      <c r="AE25" s="66">
        <f t="shared" si="24"/>
        <v>500.00000000000176</v>
      </c>
      <c r="AG25" s="70">
        <v>11.6</v>
      </c>
      <c r="AH25" s="70">
        <v>50</v>
      </c>
      <c r="AJ25" s="65">
        <f>1+40/60</f>
        <v>1.6666666666666665</v>
      </c>
      <c r="AK25" s="66">
        <f t="shared" si="8"/>
        <v>500.00000000000176</v>
      </c>
      <c r="AL25" s="4">
        <v>14.9</v>
      </c>
      <c r="AM25" s="64">
        <v>14.9</v>
      </c>
      <c r="AN25" s="64">
        <v>32.5</v>
      </c>
      <c r="AP25" s="65">
        <f>52/60</f>
        <v>0.8666666666666667</v>
      </c>
      <c r="AQ25" s="66">
        <f t="shared" si="9"/>
        <v>243.74999999999977</v>
      </c>
      <c r="AR25" s="47">
        <v>14.9</v>
      </c>
      <c r="AS25" s="64">
        <v>14.9</v>
      </c>
      <c r="AT25" s="64">
        <v>75</v>
      </c>
      <c r="AV25" s="65">
        <f>1+30/60</f>
        <v>1.5</v>
      </c>
      <c r="AW25" s="66">
        <f t="shared" si="23"/>
        <v>562.49999999999955</v>
      </c>
      <c r="AX25" s="134"/>
      <c r="AY25" s="130">
        <v>22.3</v>
      </c>
      <c r="AZ25" s="128">
        <v>40</v>
      </c>
      <c r="BA25" s="128"/>
      <c r="BB25" s="130">
        <f>44/60</f>
        <v>0.73333333333333328</v>
      </c>
      <c r="BC25" s="66">
        <f t="shared" si="19"/>
        <v>199.99999999999952</v>
      </c>
      <c r="BD25" s="65">
        <v>22.4</v>
      </c>
      <c r="BE25" s="65"/>
      <c r="BF25" s="65">
        <v>40</v>
      </c>
      <c r="BG25" s="71"/>
      <c r="BH25" s="65">
        <f>45/60</f>
        <v>0.75</v>
      </c>
      <c r="BI25" s="66">
        <f t="shared" si="11"/>
        <v>200.00000000000071</v>
      </c>
      <c r="BJ25" s="130">
        <v>24.5</v>
      </c>
      <c r="BK25" s="130">
        <v>8.1839999999999993</v>
      </c>
      <c r="BL25" s="133">
        <v>40</v>
      </c>
      <c r="BM25" s="133"/>
      <c r="BN25" s="130">
        <f>48/60</f>
        <v>0.8</v>
      </c>
      <c r="BO25" s="66">
        <f t="shared" si="12"/>
        <v>199.99999999999952</v>
      </c>
      <c r="BP25" s="103"/>
      <c r="BQ25" s="65"/>
      <c r="BR25" s="65"/>
      <c r="BS25" s="71"/>
      <c r="BT25" s="65"/>
      <c r="BU25" s="100"/>
      <c r="BV25" s="134">
        <v>3.72</v>
      </c>
      <c r="BW25" s="128">
        <v>9.6720000000000006</v>
      </c>
      <c r="BX25" s="128">
        <v>37.5</v>
      </c>
      <c r="BY25" s="128"/>
      <c r="BZ25" s="130">
        <f>1+45/60</f>
        <v>1.75</v>
      </c>
      <c r="CA25" s="66">
        <f t="shared" si="14"/>
        <v>30.241935483870964</v>
      </c>
      <c r="CE25" s="71"/>
      <c r="CH25" s="130"/>
      <c r="CI25" s="130"/>
      <c r="CJ25" s="130"/>
      <c r="CK25" s="130"/>
      <c r="CL25" s="130"/>
      <c r="CN25" s="65"/>
      <c r="CO25" s="65"/>
      <c r="CP25" s="65"/>
      <c r="CQ25" s="65"/>
      <c r="CR25" s="65"/>
      <c r="CT25" s="103"/>
      <c r="CU25" s="65"/>
      <c r="CV25" s="65"/>
      <c r="CW25" s="65"/>
      <c r="CX25" s="65"/>
      <c r="CZ25" s="65"/>
      <c r="DA25" s="65">
        <v>12.3</v>
      </c>
      <c r="DB25" s="65">
        <v>43.8</v>
      </c>
      <c r="DC25" s="71"/>
      <c r="DD25" s="65">
        <v>1.5</v>
      </c>
      <c r="DE25" s="66">
        <f t="shared" si="0"/>
        <v>437.99999999999886</v>
      </c>
      <c r="DH25" s="65"/>
      <c r="DI25" s="71"/>
      <c r="DK25" s="66"/>
      <c r="DX25" s="135">
        <v>13</v>
      </c>
      <c r="DY25" s="135">
        <v>13</v>
      </c>
      <c r="DZ25" s="135">
        <v>79</v>
      </c>
      <c r="EB25" s="130">
        <f>2+35/60</f>
        <v>2.5833333333333335</v>
      </c>
      <c r="EC25" s="66">
        <f t="shared" si="4"/>
        <v>789.99999999999818</v>
      </c>
      <c r="ED25" s="136">
        <v>20.399999999999999</v>
      </c>
      <c r="EE25" s="131">
        <v>20.399999999999999</v>
      </c>
      <c r="EF25" s="131">
        <v>63.7</v>
      </c>
      <c r="EG25" s="127"/>
      <c r="EH25" s="127">
        <f>1+30/60</f>
        <v>1.5</v>
      </c>
      <c r="EI25" s="66">
        <f t="shared" si="5"/>
        <v>382.20000000000005</v>
      </c>
      <c r="EJ25" s="133"/>
      <c r="EK25" s="133"/>
      <c r="EL25" s="133"/>
      <c r="EM25" s="133"/>
      <c r="EN25" s="133"/>
      <c r="EP25" s="133"/>
      <c r="EQ25" s="133"/>
      <c r="ER25" s="133"/>
      <c r="ES25" s="133"/>
      <c r="ET25" s="133"/>
      <c r="EV25" s="103">
        <v>6.34</v>
      </c>
      <c r="EW25" s="65">
        <v>6.34</v>
      </c>
      <c r="EX25" s="65">
        <v>32.5</v>
      </c>
      <c r="EY25" s="71"/>
      <c r="EZ25" s="65">
        <f>2+15/60</f>
        <v>2.25</v>
      </c>
      <c r="FA25" s="66">
        <f t="shared" si="29"/>
        <v>573.52941176470608</v>
      </c>
    </row>
    <row r="26" spans="1:157" x14ac:dyDescent="0.25">
      <c r="A26">
        <v>26</v>
      </c>
      <c r="N26" s="134">
        <v>5.8049999999999997</v>
      </c>
      <c r="O26" s="128">
        <v>38.700000000000003</v>
      </c>
      <c r="P26" s="128">
        <v>196</v>
      </c>
      <c r="Q26" s="128"/>
      <c r="R26" s="130">
        <f>56/60</f>
        <v>0.93333333333333335</v>
      </c>
      <c r="S26" s="66">
        <f t="shared" si="21"/>
        <v>392</v>
      </c>
      <c r="T26" s="64">
        <v>38.6</v>
      </c>
      <c r="U26" s="64">
        <v>5.79</v>
      </c>
      <c r="V26" s="64">
        <v>196</v>
      </c>
      <c r="X26" s="65">
        <f>55/60</f>
        <v>0.91666666666666663</v>
      </c>
      <c r="Y26" s="66">
        <f t="shared" si="20"/>
        <v>452.30769230769084</v>
      </c>
      <c r="Z26" s="113">
        <v>12</v>
      </c>
      <c r="AB26" s="4">
        <v>56</v>
      </c>
      <c r="AC26" s="71"/>
      <c r="AD26" s="65">
        <f>1+45/60</f>
        <v>1.75</v>
      </c>
      <c r="AE26" s="66">
        <f t="shared" si="24"/>
        <v>419.9999999999996</v>
      </c>
      <c r="AG26" s="70">
        <v>12</v>
      </c>
      <c r="AH26" s="70">
        <v>56</v>
      </c>
      <c r="AJ26" s="65">
        <f>1+45/60</f>
        <v>1.75</v>
      </c>
      <c r="AK26" s="66">
        <f t="shared" si="8"/>
        <v>419.9999999999996</v>
      </c>
      <c r="AL26" s="4">
        <v>15.4</v>
      </c>
      <c r="AM26" s="64">
        <v>15.4</v>
      </c>
      <c r="AN26" s="64">
        <v>36.4</v>
      </c>
      <c r="AP26" s="65">
        <f>55/60</f>
        <v>0.91666666666666663</v>
      </c>
      <c r="AQ26" s="66">
        <f t="shared" si="9"/>
        <v>218.39999999999998</v>
      </c>
      <c r="AR26" s="47">
        <v>15.4</v>
      </c>
      <c r="AS26" s="64">
        <v>15.4</v>
      </c>
      <c r="AT26" s="64">
        <v>84</v>
      </c>
      <c r="AV26" s="65">
        <f>1+35/60</f>
        <v>1.5833333333333335</v>
      </c>
      <c r="AW26" s="66">
        <f t="shared" si="23"/>
        <v>504</v>
      </c>
      <c r="AX26" s="134"/>
      <c r="AY26" s="130">
        <v>23.2</v>
      </c>
      <c r="AZ26" s="128">
        <v>44.8</v>
      </c>
      <c r="BA26" s="128"/>
      <c r="BB26" s="130">
        <f>46/60</f>
        <v>0.76666666666666672</v>
      </c>
      <c r="BC26" s="66">
        <f t="shared" si="19"/>
        <v>149.33333333333354</v>
      </c>
      <c r="BD26" s="65">
        <v>23.2</v>
      </c>
      <c r="BE26" s="65"/>
      <c r="BF26" s="65">
        <v>44.8</v>
      </c>
      <c r="BG26" s="71"/>
      <c r="BH26" s="65">
        <f>48/60</f>
        <v>0.8</v>
      </c>
      <c r="BI26" s="66">
        <f t="shared" si="11"/>
        <v>167.99999999999983</v>
      </c>
      <c r="BJ26" s="130">
        <v>25.5</v>
      </c>
      <c r="BK26" s="130">
        <v>8.5139999999999993</v>
      </c>
      <c r="BL26" s="133">
        <v>44.8</v>
      </c>
      <c r="BM26" s="133"/>
      <c r="BN26" s="130">
        <f>52/60</f>
        <v>0.8666666666666667</v>
      </c>
      <c r="BO26" s="66">
        <f t="shared" si="12"/>
        <v>134.39999999999998</v>
      </c>
      <c r="BP26" s="103"/>
      <c r="BQ26" s="65"/>
      <c r="BR26" s="65"/>
      <c r="BS26" s="71"/>
      <c r="BT26" s="65"/>
      <c r="BV26" s="134">
        <v>3.87</v>
      </c>
      <c r="BW26" s="128">
        <v>10</v>
      </c>
      <c r="BX26" s="128">
        <v>42</v>
      </c>
      <c r="BY26" s="128"/>
      <c r="BZ26" s="130">
        <f>1+50/60</f>
        <v>1.8333333333333335</v>
      </c>
      <c r="CA26" s="66">
        <f t="shared" si="14"/>
        <v>384.14634146341535</v>
      </c>
      <c r="CE26" s="71"/>
      <c r="CH26" s="130"/>
      <c r="CI26" s="130"/>
      <c r="CJ26" s="130"/>
      <c r="CK26" s="130"/>
      <c r="CL26" s="130"/>
      <c r="CN26" s="65"/>
      <c r="CO26" s="65"/>
      <c r="CP26" s="65"/>
      <c r="CQ26" s="65"/>
      <c r="CR26" s="65"/>
      <c r="CT26" s="103"/>
      <c r="CU26" s="65"/>
      <c r="CV26" s="65"/>
      <c r="CW26" s="65"/>
      <c r="CX26" s="65"/>
      <c r="DA26" s="70">
        <v>12.7</v>
      </c>
      <c r="DB26" s="70">
        <v>49</v>
      </c>
      <c r="DC26" s="71"/>
      <c r="DD26" s="65">
        <f>1+35/60</f>
        <v>1.5833333333333335</v>
      </c>
      <c r="DE26" s="66">
        <f t="shared" si="0"/>
        <v>367.50000000000131</v>
      </c>
      <c r="DG26" s="70">
        <v>29.3</v>
      </c>
      <c r="DH26" s="65">
        <v>70</v>
      </c>
      <c r="DI26" s="71"/>
      <c r="DJ26" s="71">
        <f>48/60</f>
        <v>0.8</v>
      </c>
      <c r="DK26" s="66"/>
      <c r="EB26" s="130"/>
      <c r="ED26" s="136">
        <v>21.2</v>
      </c>
      <c r="EE26" s="131">
        <v>21.2</v>
      </c>
      <c r="EF26" s="131">
        <v>87.5</v>
      </c>
      <c r="EG26" s="127"/>
      <c r="EH26" s="127">
        <f>1+35/60</f>
        <v>1.5833333333333335</v>
      </c>
      <c r="EI26" s="66">
        <f t="shared" si="5"/>
        <v>328.12499999999972</v>
      </c>
      <c r="EJ26" s="133"/>
      <c r="EK26" s="133"/>
      <c r="EL26" s="133"/>
      <c r="EM26" s="133"/>
      <c r="EN26" s="133"/>
      <c r="EP26" s="133"/>
      <c r="EQ26" s="133"/>
      <c r="ER26" s="133"/>
      <c r="ES26" s="133"/>
      <c r="ET26" s="133"/>
      <c r="EV26" s="103">
        <v>6.56</v>
      </c>
      <c r="EW26" s="65">
        <v>6.56</v>
      </c>
      <c r="EX26" s="65">
        <v>36.4</v>
      </c>
      <c r="EY26" s="71"/>
      <c r="EZ26" s="65">
        <v>2.5</v>
      </c>
      <c r="FA26" s="66">
        <f t="shared" si="29"/>
        <v>496.36363636363689</v>
      </c>
    </row>
    <row r="27" spans="1:157" x14ac:dyDescent="0.25">
      <c r="A27">
        <v>27</v>
      </c>
      <c r="N27" s="113">
        <v>5.9850000000000003</v>
      </c>
      <c r="O27" s="4">
        <v>39.9</v>
      </c>
      <c r="Q27" s="4">
        <v>840</v>
      </c>
      <c r="R27" s="65">
        <v>1</v>
      </c>
      <c r="S27" s="66">
        <f t="shared" si="21"/>
        <v>700.0000000000025</v>
      </c>
      <c r="T27" s="64">
        <v>39.9</v>
      </c>
      <c r="U27" s="64">
        <v>5.99</v>
      </c>
      <c r="W27" s="4">
        <v>320</v>
      </c>
      <c r="X27" s="65">
        <v>1</v>
      </c>
      <c r="Y27" s="66">
        <f t="shared" si="20"/>
        <v>246.1538461538467</v>
      </c>
      <c r="Z27" s="113">
        <v>12.4</v>
      </c>
      <c r="AC27" s="71">
        <v>240</v>
      </c>
      <c r="AD27" s="65">
        <f>1+55/60</f>
        <v>1.9166666666666665</v>
      </c>
      <c r="AE27" s="66">
        <f t="shared" si="24"/>
        <v>599.99999999999943</v>
      </c>
      <c r="AG27" s="70">
        <v>12.4</v>
      </c>
      <c r="AI27" s="4">
        <v>240</v>
      </c>
      <c r="AJ27" s="65">
        <f>1+55/60</f>
        <v>1.9166666666666665</v>
      </c>
      <c r="AK27" s="66">
        <f t="shared" si="8"/>
        <v>599.99999999999943</v>
      </c>
      <c r="AL27" s="87">
        <v>16</v>
      </c>
      <c r="AM27" s="86">
        <v>16</v>
      </c>
      <c r="AN27" s="87"/>
      <c r="AO27" s="87">
        <v>156</v>
      </c>
      <c r="AP27" s="88">
        <v>1</v>
      </c>
      <c r="AQ27" s="66">
        <f t="shared" si="9"/>
        <v>260.00000000000017</v>
      </c>
      <c r="AR27" s="47">
        <v>16</v>
      </c>
      <c r="AS27" s="64">
        <v>16</v>
      </c>
      <c r="AU27" s="64">
        <v>300</v>
      </c>
      <c r="AV27" s="65">
        <f>1+40/60</f>
        <v>1.6666666666666665</v>
      </c>
      <c r="AW27" s="66">
        <f t="shared" si="23"/>
        <v>500.00000000000028</v>
      </c>
      <c r="AY27" s="130">
        <v>23.9</v>
      </c>
      <c r="AZ27" s="128"/>
      <c r="BA27" s="128">
        <v>192</v>
      </c>
      <c r="BB27" s="130">
        <f>50/60</f>
        <v>0.83333333333333337</v>
      </c>
      <c r="BC27" s="66">
        <f t="shared" si="19"/>
        <v>274.28571428571456</v>
      </c>
      <c r="BD27" s="65">
        <v>24</v>
      </c>
      <c r="BE27" s="65"/>
      <c r="BF27" s="65"/>
      <c r="BG27" s="71">
        <v>192</v>
      </c>
      <c r="BH27" s="65">
        <f>50/60</f>
        <v>0.83333333333333337</v>
      </c>
      <c r="BI27" s="66">
        <f t="shared" si="11"/>
        <v>239.99999999999977</v>
      </c>
      <c r="BJ27" s="130">
        <v>26.3</v>
      </c>
      <c r="BK27" s="130">
        <v>8.7780000000000005</v>
      </c>
      <c r="BL27" s="133"/>
      <c r="BM27" s="133">
        <v>192</v>
      </c>
      <c r="BN27" s="130">
        <f>54/60</f>
        <v>0.9</v>
      </c>
      <c r="BO27" s="66">
        <f t="shared" si="12"/>
        <v>239.99999999999977</v>
      </c>
      <c r="BP27" s="103"/>
      <c r="BQ27" s="65"/>
      <c r="BR27" s="65"/>
      <c r="BS27" s="71"/>
      <c r="BT27" s="65"/>
      <c r="BV27" s="134">
        <v>3.99</v>
      </c>
      <c r="BW27" s="128">
        <v>10.3</v>
      </c>
      <c r="BX27" s="128"/>
      <c r="BY27" s="128">
        <v>180</v>
      </c>
      <c r="BZ27" s="130">
        <v>2</v>
      </c>
      <c r="CA27" s="66">
        <f t="shared" si="14"/>
        <v>599.99999999999864</v>
      </c>
      <c r="CE27" s="71"/>
      <c r="CF27" s="64"/>
      <c r="CH27" s="130"/>
      <c r="CI27" s="130"/>
      <c r="CJ27" s="130"/>
      <c r="CK27" s="130"/>
      <c r="CL27" s="130"/>
      <c r="CN27" s="65"/>
      <c r="CO27" s="65"/>
      <c r="CP27" s="65"/>
      <c r="CQ27" s="65"/>
      <c r="CR27" s="65"/>
      <c r="CT27" s="103"/>
      <c r="CU27" s="65"/>
      <c r="CV27" s="65"/>
      <c r="CW27" s="65"/>
      <c r="CX27" s="65"/>
      <c r="DA27" s="70">
        <v>13.2</v>
      </c>
      <c r="DC27" s="71">
        <v>210</v>
      </c>
      <c r="DD27" s="65">
        <f>1+40/60</f>
        <v>1.6666666666666665</v>
      </c>
      <c r="DE27" s="66">
        <f t="shared" si="0"/>
        <v>420</v>
      </c>
      <c r="DG27" s="70">
        <v>30.3</v>
      </c>
      <c r="DH27" s="65"/>
      <c r="DI27" s="71">
        <v>300</v>
      </c>
      <c r="DJ27" s="71">
        <f>50/60</f>
        <v>0.83333333333333337</v>
      </c>
      <c r="DK27" s="66">
        <f t="shared" ref="DK27" si="30">((3*DH27)+DI27)/(MAX(DF27-DF26,DG27-DG26))</f>
        <v>300</v>
      </c>
      <c r="EB27" s="130"/>
      <c r="ED27" s="136">
        <v>21.9</v>
      </c>
      <c r="EE27" s="131">
        <v>21.9</v>
      </c>
      <c r="EF27" s="131"/>
      <c r="EG27" s="127">
        <v>300</v>
      </c>
      <c r="EH27" s="127">
        <f>1+40/60</f>
        <v>1.6666666666666665</v>
      </c>
      <c r="EI27" s="66">
        <f t="shared" si="5"/>
        <v>428.57142857142901</v>
      </c>
      <c r="EJ27" s="133"/>
      <c r="EK27" s="133"/>
      <c r="EL27" s="133"/>
      <c r="EM27" s="133"/>
      <c r="EN27" s="133"/>
      <c r="EP27" s="133"/>
      <c r="EQ27" s="133"/>
      <c r="ER27" s="133"/>
      <c r="ES27" s="133"/>
      <c r="ET27" s="133"/>
      <c r="EV27" s="103">
        <v>6.79</v>
      </c>
      <c r="EW27" s="65">
        <v>6.79</v>
      </c>
      <c r="EX27" s="65"/>
      <c r="EY27" s="71">
        <v>156</v>
      </c>
      <c r="EZ27" s="65">
        <f>2+40/60</f>
        <v>2.6666666666666665</v>
      </c>
      <c r="FA27" s="66">
        <f t="shared" si="29"/>
        <v>678.26086956521613</v>
      </c>
    </row>
    <row r="28" spans="1:157" x14ac:dyDescent="0.25">
      <c r="A28">
        <v>28</v>
      </c>
      <c r="T28" s="64">
        <v>43.2</v>
      </c>
      <c r="U28" s="64">
        <v>6.49</v>
      </c>
      <c r="V28" s="64">
        <v>210</v>
      </c>
      <c r="X28" s="65">
        <f>1+2/60</f>
        <v>1.0333333333333334</v>
      </c>
      <c r="Y28" s="66">
        <f t="shared" si="20"/>
        <v>190.90909090909065</v>
      </c>
      <c r="Z28" s="113">
        <v>13.4</v>
      </c>
      <c r="AB28" s="4">
        <v>60</v>
      </c>
      <c r="AC28" s="71"/>
      <c r="AD28" s="65">
        <v>2</v>
      </c>
      <c r="AE28" s="66">
        <f t="shared" si="24"/>
        <v>180</v>
      </c>
      <c r="AG28" s="70">
        <v>13.4</v>
      </c>
      <c r="AH28" s="70">
        <v>60</v>
      </c>
      <c r="AJ28" s="65">
        <v>2</v>
      </c>
      <c r="AK28" s="66">
        <f t="shared" si="8"/>
        <v>180</v>
      </c>
      <c r="AL28" s="4">
        <v>17.3</v>
      </c>
      <c r="AM28" s="64">
        <v>17.3</v>
      </c>
      <c r="AN28" s="64">
        <v>39</v>
      </c>
      <c r="AP28" s="65">
        <f>1+2/60</f>
        <v>1.0333333333333334</v>
      </c>
      <c r="AQ28" s="66">
        <f t="shared" si="9"/>
        <v>89.999999999999957</v>
      </c>
      <c r="AR28" s="47">
        <v>17.3</v>
      </c>
      <c r="AS28" s="64">
        <v>17.3</v>
      </c>
      <c r="AT28" s="64">
        <v>90</v>
      </c>
      <c r="AV28" s="65">
        <f>1+45/60</f>
        <v>1.75</v>
      </c>
      <c r="AW28" s="66">
        <f t="shared" si="23"/>
        <v>207.69230769230757</v>
      </c>
      <c r="AY28" s="135">
        <v>25.9</v>
      </c>
      <c r="AZ28" s="129">
        <v>48</v>
      </c>
      <c r="BB28" s="130">
        <f>52/60</f>
        <v>0.8666666666666667</v>
      </c>
      <c r="BC28" s="66">
        <f t="shared" si="19"/>
        <v>72</v>
      </c>
      <c r="BD28" s="65">
        <v>25.9</v>
      </c>
      <c r="BE28" s="65"/>
      <c r="BF28" s="65">
        <v>48</v>
      </c>
      <c r="BG28" s="71"/>
      <c r="BH28" s="65">
        <f>52/60</f>
        <v>0.8666666666666667</v>
      </c>
      <c r="BI28" s="66">
        <f t="shared" si="11"/>
        <v>75.789473684210577</v>
      </c>
      <c r="BJ28" s="130">
        <v>28.5</v>
      </c>
      <c r="BK28" s="130">
        <v>9.5039999999999996</v>
      </c>
      <c r="BL28" s="133">
        <v>48</v>
      </c>
      <c r="BM28" s="133"/>
      <c r="BN28" s="130">
        <f>56/60</f>
        <v>0.93333333333333335</v>
      </c>
      <c r="BO28" s="66">
        <f t="shared" si="12"/>
        <v>65.454545454545482</v>
      </c>
      <c r="BP28" s="103"/>
      <c r="BQ28" s="65"/>
      <c r="BR28" s="65"/>
      <c r="BS28" s="71"/>
      <c r="BT28" s="65"/>
      <c r="BV28" s="120">
        <v>4.32</v>
      </c>
      <c r="BW28" s="64">
        <v>11.2</v>
      </c>
      <c r="BX28" s="4">
        <v>45</v>
      </c>
      <c r="BZ28" s="65">
        <f>2+5/60</f>
        <v>2.0833333333333335</v>
      </c>
      <c r="CA28" s="66">
        <f t="shared" si="14"/>
        <v>150.00000000000023</v>
      </c>
      <c r="CB28" s="105"/>
      <c r="CC28" s="64"/>
      <c r="CH28" s="130"/>
      <c r="CI28" s="130"/>
      <c r="CJ28" s="130"/>
      <c r="CK28" s="130"/>
      <c r="CL28" s="130"/>
      <c r="CN28" s="65"/>
      <c r="CO28" s="65"/>
      <c r="CP28" s="65"/>
      <c r="CQ28" s="65"/>
      <c r="CR28" s="65"/>
      <c r="CT28" s="103"/>
      <c r="CU28" s="65"/>
      <c r="CV28" s="65"/>
      <c r="CW28" s="65"/>
      <c r="CX28" s="65"/>
      <c r="DA28" s="135">
        <v>14.2</v>
      </c>
      <c r="DB28" s="135">
        <v>52.5</v>
      </c>
      <c r="DC28" s="133"/>
      <c r="DD28" s="130">
        <f>1+45/60</f>
        <v>1.75</v>
      </c>
      <c r="DE28" s="66">
        <f t="shared" si="0"/>
        <v>157.5</v>
      </c>
      <c r="DH28" s="65"/>
      <c r="DI28" s="71"/>
      <c r="DK28" s="66"/>
      <c r="EB28" s="130"/>
      <c r="ED28" s="136">
        <v>23.7</v>
      </c>
      <c r="EE28" s="131">
        <v>23.7</v>
      </c>
      <c r="EF28" s="131">
        <v>125</v>
      </c>
      <c r="EG28" s="127"/>
      <c r="EH28" s="127">
        <f>1+45/60</f>
        <v>1.75</v>
      </c>
      <c r="EI28" s="66">
        <f t="shared" si="5"/>
        <v>208.33333333333326</v>
      </c>
      <c r="EJ28" s="133"/>
      <c r="EK28" s="133"/>
      <c r="EL28" s="133"/>
      <c r="EM28" s="133"/>
      <c r="EN28" s="133"/>
      <c r="EP28" s="133"/>
      <c r="EQ28" s="133"/>
      <c r="ER28" s="133"/>
      <c r="ES28" s="133"/>
      <c r="ET28" s="133"/>
      <c r="EV28" s="103">
        <v>7.35</v>
      </c>
      <c r="EW28" s="65">
        <v>7.35</v>
      </c>
      <c r="EX28" s="65">
        <v>39</v>
      </c>
      <c r="EY28" s="71"/>
      <c r="EZ28" s="65">
        <f>2+45/60</f>
        <v>2.75</v>
      </c>
      <c r="FA28" s="66">
        <f t="shared" si="29"/>
        <v>208.92857142857159</v>
      </c>
    </row>
    <row r="29" spans="1:157" x14ac:dyDescent="0.25">
      <c r="A29">
        <v>29</v>
      </c>
      <c r="T29" s="129">
        <v>45</v>
      </c>
      <c r="U29" s="129">
        <v>6.75</v>
      </c>
      <c r="V29" s="129">
        <v>294</v>
      </c>
      <c r="W29" s="128"/>
      <c r="X29" s="130">
        <f>1+5/60</f>
        <v>1.0833333333333333</v>
      </c>
      <c r="Y29" s="66">
        <f t="shared" si="20"/>
        <v>490.0000000000008</v>
      </c>
      <c r="Z29" s="113">
        <v>13.9</v>
      </c>
      <c r="AB29" s="4">
        <v>84</v>
      </c>
      <c r="AC29" s="71"/>
      <c r="AD29" s="65">
        <f>2+5/60</f>
        <v>2.0833333333333335</v>
      </c>
      <c r="AE29" s="66">
        <f t="shared" si="24"/>
        <v>504</v>
      </c>
      <c r="AG29" s="70">
        <v>13.9</v>
      </c>
      <c r="AH29" s="70">
        <v>84</v>
      </c>
      <c r="AJ29" s="65">
        <f>2+5/60</f>
        <v>2.0833333333333335</v>
      </c>
      <c r="AK29" s="66">
        <f t="shared" si="8"/>
        <v>504</v>
      </c>
      <c r="AL29" s="4">
        <v>18</v>
      </c>
      <c r="AM29" s="64">
        <v>18</v>
      </c>
      <c r="AN29" s="64">
        <v>54.6</v>
      </c>
      <c r="AP29" s="65">
        <f>1+5/60</f>
        <v>1.0833333333333333</v>
      </c>
      <c r="AQ29" s="66">
        <f t="shared" si="9"/>
        <v>234.00000000000026</v>
      </c>
      <c r="AR29" s="47">
        <v>18</v>
      </c>
      <c r="AS29" s="64">
        <v>18</v>
      </c>
      <c r="AT29" s="64">
        <v>126</v>
      </c>
      <c r="AV29" s="65">
        <f>1+50/60</f>
        <v>1.8333333333333335</v>
      </c>
      <c r="AW29" s="66">
        <f t="shared" si="23"/>
        <v>540.00000000000057</v>
      </c>
      <c r="AY29" s="135">
        <v>27</v>
      </c>
      <c r="AZ29" s="129">
        <v>67.2</v>
      </c>
      <c r="BB29" s="130">
        <f>54/60</f>
        <v>0.9</v>
      </c>
      <c r="BC29" s="66">
        <f t="shared" si="19"/>
        <v>183.27272727272705</v>
      </c>
      <c r="BD29" s="70">
        <v>26.9</v>
      </c>
      <c r="BE29" s="70"/>
      <c r="BF29" s="70">
        <v>67.2</v>
      </c>
      <c r="BG29" s="71"/>
      <c r="BH29" s="70">
        <f>55/60</f>
        <v>0.91666666666666663</v>
      </c>
      <c r="BI29" s="66">
        <f t="shared" si="11"/>
        <v>201.60000000000002</v>
      </c>
      <c r="BJ29" s="135">
        <v>29.7</v>
      </c>
      <c r="BK29" s="135">
        <v>9.9</v>
      </c>
      <c r="BL29" s="140">
        <v>67.2</v>
      </c>
      <c r="BM29" s="140"/>
      <c r="BN29" s="135">
        <v>1</v>
      </c>
      <c r="BO29" s="66">
        <f t="shared" si="12"/>
        <v>168.00000000000011</v>
      </c>
      <c r="BP29" s="108"/>
      <c r="BQ29" s="70"/>
      <c r="BR29" s="70"/>
      <c r="BS29" s="71"/>
      <c r="BT29" s="70"/>
      <c r="BU29" s="69"/>
      <c r="BV29" s="120">
        <v>4.49</v>
      </c>
      <c r="BW29" s="64">
        <v>11.7</v>
      </c>
      <c r="BX29" s="64">
        <v>63</v>
      </c>
      <c r="BZ29" s="65">
        <f>2+10/60</f>
        <v>2.1666666666666665</v>
      </c>
      <c r="CA29" s="66">
        <f t="shared" si="14"/>
        <v>378</v>
      </c>
      <c r="CB29" s="105"/>
      <c r="CC29" s="64"/>
      <c r="CD29" s="64"/>
      <c r="CG29" s="117"/>
      <c r="CH29" s="130"/>
      <c r="CI29" s="130"/>
      <c r="CJ29" s="130"/>
      <c r="CK29" s="130"/>
      <c r="CL29" s="130"/>
      <c r="CM29" s="69"/>
      <c r="CN29" s="70"/>
      <c r="CO29" s="70"/>
      <c r="CP29" s="70"/>
      <c r="CQ29" s="70"/>
      <c r="CR29" s="70"/>
      <c r="CS29" s="70"/>
      <c r="CT29" s="108"/>
      <c r="CU29" s="70"/>
      <c r="CV29" s="70"/>
      <c r="CW29" s="70"/>
      <c r="CX29" s="70"/>
      <c r="CY29" s="69"/>
      <c r="DA29" s="135">
        <v>14.8</v>
      </c>
      <c r="DB29" s="135">
        <v>73.5</v>
      </c>
      <c r="DC29" s="133"/>
      <c r="DD29" s="130">
        <f>1+50/60</f>
        <v>1.8333333333333335</v>
      </c>
      <c r="DE29" s="66">
        <f t="shared" si="0"/>
        <v>367.49999999999915</v>
      </c>
      <c r="DG29" s="70">
        <v>34.1</v>
      </c>
      <c r="DH29" s="71">
        <v>105</v>
      </c>
      <c r="DI29" s="71"/>
      <c r="DJ29" s="71">
        <f>55/60</f>
        <v>0.91666666666666663</v>
      </c>
      <c r="DK29" s="66"/>
      <c r="EB29" s="130"/>
      <c r="ED29" s="136">
        <v>24.7</v>
      </c>
      <c r="EE29" s="131">
        <v>24.7</v>
      </c>
      <c r="EF29" s="131">
        <v>150</v>
      </c>
      <c r="EG29" s="127"/>
      <c r="EH29" s="127">
        <f>1+50/60</f>
        <v>1.8333333333333335</v>
      </c>
      <c r="EI29" s="66">
        <f t="shared" si="5"/>
        <v>450</v>
      </c>
      <c r="EJ29" s="133"/>
      <c r="EK29" s="133"/>
      <c r="EL29" s="133"/>
      <c r="EM29" s="133"/>
      <c r="EN29" s="133"/>
      <c r="EP29" s="133"/>
      <c r="EQ29" s="133"/>
      <c r="ER29" s="133"/>
      <c r="ES29" s="133"/>
      <c r="ET29" s="133"/>
      <c r="EV29" s="108">
        <v>7.63</v>
      </c>
      <c r="EW29" s="70">
        <v>7.63</v>
      </c>
      <c r="EX29" s="70">
        <v>54.6</v>
      </c>
      <c r="EY29" s="71"/>
      <c r="EZ29" s="70">
        <f>2+55/60</f>
        <v>2.9166666666666665</v>
      </c>
      <c r="FA29" s="66">
        <f t="shared" si="29"/>
        <v>584.99999999999955</v>
      </c>
    </row>
    <row r="30" spans="1:157" x14ac:dyDescent="0.25">
      <c r="A30">
        <v>30</v>
      </c>
      <c r="T30" s="129">
        <v>46.5</v>
      </c>
      <c r="U30" s="129">
        <v>6.9749999999999996</v>
      </c>
      <c r="V30" s="128"/>
      <c r="W30" s="128">
        <v>1050</v>
      </c>
      <c r="X30" s="130">
        <f>1+5/60</f>
        <v>1.0833333333333333</v>
      </c>
      <c r="Y30" s="66">
        <f t="shared" si="20"/>
        <v>700</v>
      </c>
      <c r="Z30" s="113">
        <v>14.4</v>
      </c>
      <c r="AC30" s="71">
        <v>300</v>
      </c>
      <c r="AD30" s="65">
        <f>2+10/60</f>
        <v>2.1666666666666665</v>
      </c>
      <c r="AE30" s="66">
        <f t="shared" si="24"/>
        <v>600</v>
      </c>
      <c r="AG30" s="70">
        <v>14.4</v>
      </c>
      <c r="AI30" s="4">
        <v>300</v>
      </c>
      <c r="AJ30" s="65">
        <f>2+10/60</f>
        <v>2.1666666666666665</v>
      </c>
      <c r="AK30" s="66">
        <f t="shared" si="8"/>
        <v>600</v>
      </c>
      <c r="AL30" s="4">
        <v>18.600000000000001</v>
      </c>
      <c r="AM30" s="4">
        <v>18.600000000000001</v>
      </c>
      <c r="AO30" s="4">
        <v>195</v>
      </c>
      <c r="AP30" s="65">
        <f>1+8/60</f>
        <v>1.1333333333333333</v>
      </c>
      <c r="AQ30" s="66">
        <f t="shared" si="9"/>
        <v>324.9999999999992</v>
      </c>
      <c r="AR30" s="47">
        <v>18.600000000000001</v>
      </c>
      <c r="AS30" s="4">
        <v>18.600000000000001</v>
      </c>
      <c r="AU30" s="4">
        <v>450</v>
      </c>
      <c r="AV30" s="65">
        <f>1+55/60</f>
        <v>1.9166666666666665</v>
      </c>
      <c r="AW30" s="66">
        <f t="shared" si="23"/>
        <v>749.99999999999818</v>
      </c>
      <c r="AY30" s="135">
        <v>27.9</v>
      </c>
      <c r="BA30" s="128">
        <v>240</v>
      </c>
      <c r="BB30" s="130">
        <f>56/60</f>
        <v>0.93333333333333335</v>
      </c>
      <c r="BC30" s="66">
        <f t="shared" si="19"/>
        <v>266.66666666666708</v>
      </c>
      <c r="BD30" s="70">
        <v>27.9</v>
      </c>
      <c r="BG30" s="71">
        <v>240</v>
      </c>
      <c r="BH30" s="70">
        <f>58/60</f>
        <v>0.96666666666666667</v>
      </c>
      <c r="BI30" s="66">
        <f t="shared" si="11"/>
        <v>240</v>
      </c>
      <c r="BJ30" s="135">
        <v>30.6</v>
      </c>
      <c r="BK30" s="135">
        <v>10.199999999999999</v>
      </c>
      <c r="BL30" s="140"/>
      <c r="BM30" s="140">
        <v>240</v>
      </c>
      <c r="BN30" s="135">
        <f>1</f>
        <v>1</v>
      </c>
      <c r="BO30" s="66">
        <f t="shared" si="12"/>
        <v>266.66666666666606</v>
      </c>
      <c r="BP30" s="108"/>
      <c r="BS30" s="71"/>
      <c r="BT30" s="70"/>
      <c r="BU30" s="69"/>
      <c r="BV30" s="120">
        <v>4.6500000000000004</v>
      </c>
      <c r="BW30" s="64">
        <v>12.1</v>
      </c>
      <c r="BY30" s="4">
        <v>225</v>
      </c>
      <c r="BZ30" s="65">
        <f>2+15/60</f>
        <v>2.25</v>
      </c>
      <c r="CA30" s="66">
        <f t="shared" si="14"/>
        <v>562.49999999999955</v>
      </c>
      <c r="CH30" s="130"/>
      <c r="CI30" s="130"/>
      <c r="CJ30" s="130"/>
      <c r="CK30" s="130"/>
      <c r="CL30" s="130"/>
      <c r="DA30" s="135">
        <v>15.3</v>
      </c>
      <c r="DB30" s="128"/>
      <c r="DC30" s="133">
        <v>262</v>
      </c>
      <c r="DD30" s="130">
        <f>1+55/60</f>
        <v>1.9166666666666665</v>
      </c>
      <c r="DE30" s="66">
        <f t="shared" si="0"/>
        <v>524</v>
      </c>
      <c r="DG30" s="70">
        <v>35.4</v>
      </c>
      <c r="DH30" s="71"/>
      <c r="DI30" s="71">
        <v>375</v>
      </c>
      <c r="DJ30" s="71">
        <f>58/60</f>
        <v>0.96666666666666667</v>
      </c>
      <c r="DK30" s="66">
        <f t="shared" ref="DK30:DK39" si="31">((3*DH30)+DI30)/(MAX(DF30-DF29,DG30-DG29))</f>
        <v>288.46153846153908</v>
      </c>
      <c r="EB30" s="130"/>
      <c r="ED30" s="136">
        <v>25.5</v>
      </c>
      <c r="EE30" s="131">
        <v>25.5</v>
      </c>
      <c r="EF30" s="131"/>
      <c r="EG30" s="127">
        <v>400</v>
      </c>
      <c r="EH30" s="127">
        <f>1+55/60</f>
        <v>1.9166666666666665</v>
      </c>
      <c r="EI30" s="66">
        <f t="shared" si="5"/>
        <v>499.99999999999955</v>
      </c>
      <c r="EP30" s="133"/>
      <c r="EQ30" s="133"/>
      <c r="ER30" s="133"/>
      <c r="ES30" s="133"/>
      <c r="ET30" s="133"/>
      <c r="EV30" s="108">
        <v>7.91</v>
      </c>
      <c r="EW30" s="70">
        <v>7.91</v>
      </c>
      <c r="EY30" s="71">
        <v>195</v>
      </c>
      <c r="EZ30" s="70">
        <v>3</v>
      </c>
      <c r="FA30" s="66">
        <f t="shared" si="29"/>
        <v>696.42857142857076</v>
      </c>
    </row>
    <row r="31" spans="1:157" x14ac:dyDescent="0.25">
      <c r="A31">
        <v>31</v>
      </c>
      <c r="T31" s="129">
        <v>49.5</v>
      </c>
      <c r="U31" s="129">
        <v>7.4249999999999998</v>
      </c>
      <c r="V31" s="129">
        <v>420</v>
      </c>
      <c r="W31" s="128"/>
      <c r="X31" s="130">
        <f>1+10/60</f>
        <v>1.1666666666666667</v>
      </c>
      <c r="Y31" s="66">
        <f t="shared" si="20"/>
        <v>420</v>
      </c>
      <c r="Z31" s="113">
        <v>15.3</v>
      </c>
      <c r="AB31" s="4">
        <v>120</v>
      </c>
      <c r="AC31" s="71"/>
      <c r="AD31" s="65">
        <f>2+15/60</f>
        <v>2.25</v>
      </c>
      <c r="AE31" s="66">
        <f t="shared" si="24"/>
        <v>399.99999999999983</v>
      </c>
      <c r="AG31" s="70">
        <v>15.3</v>
      </c>
      <c r="AH31" s="71">
        <v>120</v>
      </c>
      <c r="AJ31" s="65">
        <f>2+15/60</f>
        <v>2.25</v>
      </c>
      <c r="AK31" s="66">
        <f t="shared" si="8"/>
        <v>399.99999999999983</v>
      </c>
      <c r="AL31" s="4">
        <v>19.8</v>
      </c>
      <c r="AM31" s="4">
        <v>19.8</v>
      </c>
      <c r="AN31" s="4">
        <v>78</v>
      </c>
      <c r="AP31" s="65">
        <f>1+10/60</f>
        <v>1.1666666666666667</v>
      </c>
      <c r="AQ31" s="66">
        <f t="shared" si="9"/>
        <v>195.00000000000011</v>
      </c>
      <c r="AR31" s="150">
        <v>19.8</v>
      </c>
      <c r="AS31" s="128">
        <v>19.8</v>
      </c>
      <c r="AT31" s="128">
        <v>180</v>
      </c>
      <c r="AU31" s="128"/>
      <c r="AV31" s="130">
        <v>2</v>
      </c>
      <c r="AW31" s="66">
        <f t="shared" si="23"/>
        <v>450.00000000000028</v>
      </c>
      <c r="AX31" s="116"/>
      <c r="AY31" s="128">
        <v>29.7</v>
      </c>
      <c r="AZ31" s="128">
        <v>96</v>
      </c>
      <c r="BA31" s="128"/>
      <c r="BB31" s="130">
        <v>1</v>
      </c>
      <c r="BC31" s="66">
        <f t="shared" si="19"/>
        <v>159.99999999999994</v>
      </c>
      <c r="BD31" s="70">
        <v>29.7</v>
      </c>
      <c r="BF31" s="70">
        <v>96</v>
      </c>
      <c r="BG31" s="71"/>
      <c r="BH31" s="70">
        <v>1</v>
      </c>
      <c r="BI31" s="66">
        <f t="shared" si="11"/>
        <v>159.99999999999994</v>
      </c>
      <c r="BJ31" s="135">
        <v>32.6</v>
      </c>
      <c r="BK31" s="135">
        <v>10.8</v>
      </c>
      <c r="BL31" s="140">
        <v>96</v>
      </c>
      <c r="BM31" s="140"/>
      <c r="BN31" s="135">
        <f>1+5/60</f>
        <v>1.0833333333333333</v>
      </c>
      <c r="BO31" s="66">
        <f t="shared" si="12"/>
        <v>144</v>
      </c>
      <c r="BP31" s="108"/>
      <c r="BR31" s="70"/>
      <c r="BS31" s="71"/>
      <c r="BT31" s="70"/>
      <c r="BU31" s="69"/>
      <c r="BV31" s="120">
        <v>4.95</v>
      </c>
      <c r="BW31" s="64">
        <v>12.9</v>
      </c>
      <c r="BX31" s="64">
        <v>90</v>
      </c>
      <c r="BZ31" s="65">
        <f>2+20/60</f>
        <v>2.3333333333333335</v>
      </c>
      <c r="CA31" s="66">
        <f t="shared" si="14"/>
        <v>337.49999999999972</v>
      </c>
      <c r="CH31" s="130"/>
      <c r="CI31" s="130"/>
      <c r="CJ31" s="130"/>
      <c r="CK31" s="130"/>
      <c r="CL31" s="130"/>
      <c r="DA31" s="70">
        <v>16.3</v>
      </c>
      <c r="DB31" s="71">
        <v>105</v>
      </c>
      <c r="DC31" s="71"/>
      <c r="DD31" s="65">
        <v>2</v>
      </c>
      <c r="DE31" s="66">
        <f t="shared" si="0"/>
        <v>315</v>
      </c>
      <c r="DG31" s="70">
        <v>37.6</v>
      </c>
      <c r="DH31" s="71">
        <v>150</v>
      </c>
      <c r="DI31" s="71"/>
      <c r="DJ31" s="71">
        <v>1</v>
      </c>
      <c r="DK31" s="66">
        <f t="shared" si="31"/>
        <v>204.54545454545428</v>
      </c>
      <c r="EB31" s="130"/>
      <c r="ED31" s="136">
        <v>27.2</v>
      </c>
      <c r="EE31" s="131">
        <v>27.2</v>
      </c>
      <c r="EF31" s="131">
        <v>187</v>
      </c>
      <c r="EG31" s="127"/>
      <c r="EH31" s="127">
        <f>2</f>
        <v>2</v>
      </c>
      <c r="EI31" s="66">
        <f t="shared" si="5"/>
        <v>330.00000000000011</v>
      </c>
      <c r="EP31" s="133"/>
      <c r="EQ31" s="133"/>
      <c r="ER31" s="133"/>
      <c r="ES31" s="133"/>
      <c r="ET31" s="133"/>
      <c r="EY31" s="71"/>
      <c r="EZ31" s="70"/>
    </row>
    <row r="32" spans="1:157" x14ac:dyDescent="0.25">
      <c r="A32">
        <v>32</v>
      </c>
      <c r="Z32" s="134">
        <v>16.3</v>
      </c>
      <c r="AA32" s="128"/>
      <c r="AB32" s="128">
        <v>140</v>
      </c>
      <c r="AC32" s="133"/>
      <c r="AD32" s="130">
        <f>2+20/60</f>
        <v>2.3333333333333335</v>
      </c>
      <c r="AE32" s="66">
        <f t="shared" si="24"/>
        <v>420</v>
      </c>
      <c r="AG32" s="70">
        <v>16.399999999999999</v>
      </c>
      <c r="AH32" s="71">
        <v>140</v>
      </c>
      <c r="AJ32" s="65">
        <f>2+20/60</f>
        <v>2.3333333333333335</v>
      </c>
      <c r="AK32" s="66">
        <f t="shared" si="8"/>
        <v>381.81818181818255</v>
      </c>
      <c r="AL32" s="4">
        <v>21.1</v>
      </c>
      <c r="AM32" s="4">
        <v>21.1</v>
      </c>
      <c r="AN32" s="4">
        <v>91</v>
      </c>
      <c r="AP32" s="65">
        <f>1+15/60</f>
        <v>1.25</v>
      </c>
      <c r="AQ32" s="66">
        <f t="shared" si="9"/>
        <v>209.99999999999989</v>
      </c>
      <c r="AR32" s="150">
        <v>21.1</v>
      </c>
      <c r="AS32" s="128">
        <v>21.1</v>
      </c>
      <c r="AT32" s="128">
        <v>210</v>
      </c>
      <c r="AU32" s="128"/>
      <c r="AV32" s="130">
        <f>2+5/60</f>
        <v>2.0833333333333335</v>
      </c>
      <c r="AW32" s="66">
        <f t="shared" si="23"/>
        <v>484.61538461538436</v>
      </c>
      <c r="AX32" s="134">
        <v>10.5</v>
      </c>
      <c r="AY32" s="128">
        <v>31.6</v>
      </c>
      <c r="AZ32" s="128">
        <v>112</v>
      </c>
      <c r="BA32" s="128"/>
      <c r="BB32" s="130">
        <v>1</v>
      </c>
      <c r="BC32" s="66">
        <f t="shared" si="19"/>
        <v>32</v>
      </c>
      <c r="BD32" s="70">
        <v>31.7</v>
      </c>
      <c r="BE32" s="4">
        <v>10.6</v>
      </c>
      <c r="BF32" s="71">
        <v>112</v>
      </c>
      <c r="BG32" s="71"/>
      <c r="BH32" s="70">
        <f>1+2/60</f>
        <v>1.0333333333333334</v>
      </c>
      <c r="BI32" s="66">
        <f t="shared" si="11"/>
        <v>31.69811320754717</v>
      </c>
      <c r="BJ32" s="135">
        <v>34.799999999999997</v>
      </c>
      <c r="BK32" s="135">
        <v>11.6</v>
      </c>
      <c r="BL32" s="140">
        <v>112</v>
      </c>
      <c r="BM32" s="140"/>
      <c r="BN32" s="135">
        <f>1+5/60</f>
        <v>1.0833333333333333</v>
      </c>
      <c r="BO32" s="66">
        <f t="shared" si="12"/>
        <v>152.72727272727303</v>
      </c>
      <c r="BP32" s="108"/>
      <c r="BR32" s="71"/>
      <c r="BS32" s="71"/>
      <c r="BT32" s="70"/>
      <c r="BU32" s="69"/>
      <c r="BV32" s="120">
        <v>5.28</v>
      </c>
      <c r="BW32" s="64">
        <v>13.7</v>
      </c>
      <c r="BX32" s="64">
        <v>105</v>
      </c>
      <c r="BZ32" s="65">
        <f>2.5</f>
        <v>2.5</v>
      </c>
      <c r="CA32" s="66">
        <f t="shared" si="14"/>
        <v>393.75000000000051</v>
      </c>
      <c r="CH32" s="130"/>
      <c r="CI32" s="130"/>
      <c r="CJ32" s="130"/>
      <c r="CK32" s="130"/>
      <c r="CL32" s="130"/>
      <c r="DA32" s="70">
        <v>17.399999999999999</v>
      </c>
      <c r="DB32" s="71">
        <v>123</v>
      </c>
      <c r="DC32" s="71"/>
      <c r="DD32" s="65">
        <f>2+5/60</f>
        <v>2.0833333333333335</v>
      </c>
      <c r="DE32" s="66">
        <f t="shared" si="0"/>
        <v>335.45454545454612</v>
      </c>
      <c r="DG32" s="70">
        <v>40.1</v>
      </c>
      <c r="DH32" s="71">
        <v>175</v>
      </c>
      <c r="DI32" s="71"/>
      <c r="DJ32" s="71">
        <f>1+2/60</f>
        <v>1.0333333333333334</v>
      </c>
      <c r="DK32" s="66">
        <f t="shared" si="31"/>
        <v>210</v>
      </c>
      <c r="EB32" s="130"/>
      <c r="ED32" s="136">
        <v>29</v>
      </c>
      <c r="EE32" s="131">
        <v>29</v>
      </c>
      <c r="EF32" s="131">
        <v>197</v>
      </c>
      <c r="EG32" s="127"/>
      <c r="EH32" s="127">
        <f>2+5/60</f>
        <v>2.0833333333333335</v>
      </c>
      <c r="EI32" s="66">
        <f t="shared" si="5"/>
        <v>328.3333333333332</v>
      </c>
      <c r="EP32" s="133"/>
      <c r="EQ32" s="133"/>
      <c r="ER32" s="133"/>
      <c r="ES32" s="133"/>
      <c r="ET32" s="133"/>
      <c r="EY32" s="71"/>
      <c r="EZ32" s="70"/>
    </row>
    <row r="33" spans="1:156" x14ac:dyDescent="0.25">
      <c r="A33">
        <v>33</v>
      </c>
      <c r="Z33" s="134">
        <v>18.399999999999999</v>
      </c>
      <c r="AA33" s="128"/>
      <c r="AB33" s="128"/>
      <c r="AC33" s="133">
        <v>400</v>
      </c>
      <c r="AD33" s="130">
        <f>2+25/60</f>
        <v>2.4166666666666665</v>
      </c>
      <c r="AE33" s="66">
        <f t="shared" si="24"/>
        <v>190.47619047619068</v>
      </c>
      <c r="AG33" s="70">
        <v>18.399999999999999</v>
      </c>
      <c r="AH33" s="71"/>
      <c r="AI33" s="4">
        <v>400</v>
      </c>
      <c r="AJ33" s="65">
        <f>2+30/60</f>
        <v>2.5</v>
      </c>
      <c r="AK33" s="66">
        <f t="shared" si="8"/>
        <v>200</v>
      </c>
      <c r="AL33" s="4">
        <v>23.8</v>
      </c>
      <c r="AM33" s="64">
        <v>23.8</v>
      </c>
      <c r="AO33" s="4">
        <v>260</v>
      </c>
      <c r="AP33" s="65">
        <f>1+18/60</f>
        <v>1.3</v>
      </c>
      <c r="AQ33" s="66">
        <f t="shared" si="9"/>
        <v>96.296296296296319</v>
      </c>
      <c r="AR33" s="150">
        <v>23.7</v>
      </c>
      <c r="AS33" s="129">
        <v>23.7</v>
      </c>
      <c r="AT33" s="128"/>
      <c r="AU33" s="128">
        <v>600</v>
      </c>
      <c r="AV33" s="130">
        <f>2+10/60</f>
        <v>2.1666666666666665</v>
      </c>
      <c r="AW33" s="66">
        <f t="shared" si="23"/>
        <v>230.76923076923097</v>
      </c>
      <c r="AX33" s="134">
        <v>11.8</v>
      </c>
      <c r="AY33" s="128">
        <v>35.6</v>
      </c>
      <c r="AZ33" s="128"/>
      <c r="BA33" s="128">
        <v>320</v>
      </c>
      <c r="BB33" s="130">
        <f>1+5/60</f>
        <v>1.0833333333333333</v>
      </c>
      <c r="BC33" s="66">
        <f t="shared" si="19"/>
        <v>80</v>
      </c>
      <c r="BD33" s="70">
        <v>35.6</v>
      </c>
      <c r="BE33" s="4">
        <v>11.9</v>
      </c>
      <c r="BF33" s="71"/>
      <c r="BG33" s="71">
        <v>320</v>
      </c>
      <c r="BH33" s="70">
        <f>1+5/60</f>
        <v>1.0833333333333333</v>
      </c>
      <c r="BI33" s="66">
        <f t="shared" si="11"/>
        <v>82.051282051282001</v>
      </c>
      <c r="BJ33" s="135">
        <v>39.200000000000003</v>
      </c>
      <c r="BK33" s="135">
        <v>13</v>
      </c>
      <c r="BL33" s="140"/>
      <c r="BM33" s="140">
        <v>320</v>
      </c>
      <c r="BN33" s="135">
        <f>1+10/60</f>
        <v>1.1666666666666667</v>
      </c>
      <c r="BO33" s="66">
        <f t="shared" si="12"/>
        <v>72.727272727272634</v>
      </c>
      <c r="BP33" s="108"/>
      <c r="BR33" s="71"/>
      <c r="BS33" s="71"/>
      <c r="BT33" s="70"/>
      <c r="BU33" s="69"/>
      <c r="BV33" s="120">
        <v>5.94</v>
      </c>
      <c r="BW33" s="64">
        <v>15.4</v>
      </c>
      <c r="BY33" s="4">
        <v>300</v>
      </c>
      <c r="BZ33" s="65">
        <f>2+35/60</f>
        <v>2.5833333333333335</v>
      </c>
      <c r="CA33" s="66">
        <f t="shared" si="14"/>
        <v>176.470588235294</v>
      </c>
      <c r="CH33" s="130"/>
      <c r="CI33" s="130"/>
      <c r="CJ33" s="130"/>
      <c r="CK33" s="130"/>
      <c r="CL33" s="130"/>
      <c r="DA33" s="70">
        <v>19.600000000000001</v>
      </c>
      <c r="DB33" s="71"/>
      <c r="DC33" s="71">
        <v>350</v>
      </c>
      <c r="DD33" s="65">
        <f>2+10/60</f>
        <v>2.1666666666666665</v>
      </c>
      <c r="DE33" s="66">
        <f t="shared" si="0"/>
        <v>159.09090909090889</v>
      </c>
      <c r="DG33" s="70">
        <v>45.1</v>
      </c>
      <c r="DH33" s="71"/>
      <c r="DI33" s="71">
        <v>500</v>
      </c>
      <c r="DJ33" s="71">
        <f>1+5/60</f>
        <v>1.0833333333333333</v>
      </c>
      <c r="DK33" s="66">
        <f t="shared" si="31"/>
        <v>100</v>
      </c>
      <c r="EB33" s="130"/>
      <c r="ED33" s="136">
        <v>32.6</v>
      </c>
      <c r="EE33" s="131">
        <v>32.6</v>
      </c>
      <c r="EF33" s="131"/>
      <c r="EG33" s="127">
        <v>525</v>
      </c>
      <c r="EH33" s="127">
        <f>2+10/60</f>
        <v>2.1666666666666665</v>
      </c>
      <c r="EI33" s="66">
        <f t="shared" si="5"/>
        <v>145.83333333333329</v>
      </c>
      <c r="EP33" s="133"/>
      <c r="EQ33" s="133"/>
      <c r="ER33" s="133"/>
      <c r="ES33" s="133"/>
      <c r="ET33" s="133"/>
      <c r="EY33" s="71"/>
      <c r="EZ33" s="70"/>
    </row>
    <row r="34" spans="1:156" x14ac:dyDescent="0.25">
      <c r="A34">
        <v>34</v>
      </c>
      <c r="Z34" s="113">
        <v>20.399999999999999</v>
      </c>
      <c r="AB34" s="4">
        <v>160</v>
      </c>
      <c r="AC34" s="71"/>
      <c r="AD34" s="65">
        <f>2+35/60</f>
        <v>2.5833333333333335</v>
      </c>
      <c r="AE34" s="66">
        <f t="shared" si="24"/>
        <v>240</v>
      </c>
      <c r="AG34" s="70">
        <v>20.399999999999999</v>
      </c>
      <c r="AH34" s="71">
        <v>160</v>
      </c>
      <c r="AJ34" s="65">
        <f>2+35/60</f>
        <v>2.5833333333333335</v>
      </c>
      <c r="AK34" s="66">
        <f t="shared" si="8"/>
        <v>240</v>
      </c>
      <c r="AL34" s="128">
        <v>26.2</v>
      </c>
      <c r="AM34" s="129">
        <v>26.2</v>
      </c>
      <c r="AN34" s="128">
        <v>104</v>
      </c>
      <c r="AO34" s="128"/>
      <c r="AP34" s="130">
        <f>1+5/60</f>
        <v>1.0833333333333333</v>
      </c>
      <c r="AQ34" s="66">
        <f t="shared" si="9"/>
        <v>130.00000000000009</v>
      </c>
      <c r="AR34" s="47">
        <v>26.3</v>
      </c>
      <c r="AS34" s="64">
        <v>26.3</v>
      </c>
      <c r="AT34" s="64">
        <v>240</v>
      </c>
      <c r="AV34" s="65">
        <f>2+15/60</f>
        <v>2.25</v>
      </c>
      <c r="AW34" s="66">
        <f t="shared" si="23"/>
        <v>276.92307692307679</v>
      </c>
      <c r="AX34" s="113">
        <v>13.1</v>
      </c>
      <c r="AY34" s="64">
        <v>39.4</v>
      </c>
      <c r="AZ34" s="4">
        <v>128</v>
      </c>
      <c r="BB34" s="65">
        <f>1+8/60</f>
        <v>1.1333333333333333</v>
      </c>
      <c r="BC34" s="66">
        <f t="shared" si="19"/>
        <v>101.05263157894744</v>
      </c>
      <c r="BD34" s="70">
        <v>39.4</v>
      </c>
      <c r="BE34" s="4">
        <v>13.1</v>
      </c>
      <c r="BF34" s="71">
        <v>128</v>
      </c>
      <c r="BG34" s="71"/>
      <c r="BH34" s="135">
        <f>1+5/60</f>
        <v>1.0833333333333333</v>
      </c>
      <c r="BI34" s="66">
        <f t="shared" si="11"/>
        <v>101.05263157894744</v>
      </c>
      <c r="BJ34" s="135">
        <v>43.3</v>
      </c>
      <c r="BK34" s="135">
        <v>14.4</v>
      </c>
      <c r="BL34" s="140">
        <v>128</v>
      </c>
      <c r="BM34" s="140"/>
      <c r="BN34" s="135">
        <f>1+10/60</f>
        <v>1.1666666666666667</v>
      </c>
      <c r="BO34" s="66">
        <f t="shared" si="12"/>
        <v>93.658536585365979</v>
      </c>
      <c r="BP34" s="108"/>
      <c r="BR34" s="71"/>
      <c r="BS34" s="71"/>
      <c r="BT34" s="70"/>
      <c r="BU34" s="69"/>
      <c r="BV34" s="120">
        <v>7.57</v>
      </c>
      <c r="BW34" s="64">
        <v>17.100000000000001</v>
      </c>
      <c r="BX34" s="64">
        <v>120</v>
      </c>
      <c r="BZ34" s="65">
        <f>2+40/60</f>
        <v>2.6666666666666665</v>
      </c>
      <c r="CA34" s="66">
        <f t="shared" si="14"/>
        <v>211.76470588235281</v>
      </c>
      <c r="CH34" s="130"/>
      <c r="CI34" s="130"/>
      <c r="CJ34" s="130"/>
      <c r="CK34" s="130"/>
      <c r="CL34" s="130"/>
      <c r="DA34" s="70">
        <v>21.7</v>
      </c>
      <c r="DB34" s="71">
        <v>140</v>
      </c>
      <c r="DC34" s="71"/>
      <c r="DD34" s="65">
        <f>2+15/60</f>
        <v>2.25</v>
      </c>
      <c r="DE34" s="66">
        <f t="shared" si="0"/>
        <v>200.0000000000002</v>
      </c>
      <c r="DG34" s="70">
        <v>49.9</v>
      </c>
      <c r="DH34" s="71">
        <v>200</v>
      </c>
      <c r="DI34" s="71"/>
      <c r="DJ34" s="71">
        <f>1+8/60</f>
        <v>1.1333333333333333</v>
      </c>
      <c r="DK34" s="66">
        <f t="shared" si="31"/>
        <v>125.00000000000007</v>
      </c>
      <c r="EB34" s="130"/>
      <c r="ED34" s="136">
        <v>36.1</v>
      </c>
      <c r="EE34" s="131">
        <v>36.1</v>
      </c>
      <c r="EF34" s="131">
        <v>200</v>
      </c>
      <c r="EG34" s="127"/>
      <c r="EH34" s="127">
        <f>2+15/60</f>
        <v>2.25</v>
      </c>
      <c r="EI34" s="66">
        <f t="shared" si="5"/>
        <v>171.42857142857142</v>
      </c>
      <c r="EP34" s="133"/>
      <c r="EQ34" s="133"/>
      <c r="ER34" s="133"/>
      <c r="ES34" s="133"/>
      <c r="ET34" s="133"/>
      <c r="EY34" s="71"/>
      <c r="EZ34" s="70"/>
    </row>
    <row r="35" spans="1:156" x14ac:dyDescent="0.25">
      <c r="A35">
        <v>35</v>
      </c>
      <c r="Z35" s="113">
        <v>21.4</v>
      </c>
      <c r="AB35" s="4">
        <v>180</v>
      </c>
      <c r="AC35" s="71"/>
      <c r="AD35" s="65">
        <f>2+40/60</f>
        <v>2.6666666666666665</v>
      </c>
      <c r="AE35" s="66">
        <f t="shared" si="24"/>
        <v>540</v>
      </c>
      <c r="AG35" s="70">
        <v>21.4</v>
      </c>
      <c r="AH35" s="71">
        <v>180</v>
      </c>
      <c r="AJ35" s="65">
        <f>2+40/60</f>
        <v>2.6666666666666665</v>
      </c>
      <c r="AK35" s="66">
        <f t="shared" si="8"/>
        <v>540</v>
      </c>
      <c r="AL35" s="4">
        <v>27.6</v>
      </c>
      <c r="AM35" s="64">
        <v>27.6</v>
      </c>
      <c r="AN35" s="64">
        <v>117</v>
      </c>
      <c r="AP35" s="65">
        <f>1+22/60</f>
        <v>1.3666666666666667</v>
      </c>
      <c r="AQ35" s="66">
        <f t="shared" si="9"/>
        <v>250.71428571428532</v>
      </c>
      <c r="AR35" s="47">
        <v>27.6</v>
      </c>
      <c r="AS35" s="64">
        <v>27.6</v>
      </c>
      <c r="AT35" s="64">
        <v>270</v>
      </c>
      <c r="AV35" s="65">
        <f>2+20/60</f>
        <v>2.3333333333333335</v>
      </c>
      <c r="AW35" s="66">
        <f t="shared" si="23"/>
        <v>623.07692307692275</v>
      </c>
      <c r="AX35" s="120">
        <v>13.8</v>
      </c>
      <c r="AY35" s="64">
        <v>41.4</v>
      </c>
      <c r="AZ35" s="64">
        <v>144</v>
      </c>
      <c r="BB35" s="65">
        <f>1+10/60</f>
        <v>1.1666666666666667</v>
      </c>
      <c r="BC35" s="66">
        <f t="shared" si="19"/>
        <v>216</v>
      </c>
      <c r="BD35" s="70">
        <v>41.4</v>
      </c>
      <c r="BE35" s="64">
        <v>13.8</v>
      </c>
      <c r="BF35" s="71">
        <v>144</v>
      </c>
      <c r="BG35" s="71"/>
      <c r="BH35" s="70">
        <f>1+10/60</f>
        <v>1.1666666666666667</v>
      </c>
      <c r="BI35" s="66">
        <f t="shared" si="11"/>
        <v>216</v>
      </c>
      <c r="BJ35" s="130">
        <v>45.5</v>
      </c>
      <c r="BK35" s="130">
        <v>15.1</v>
      </c>
      <c r="BL35" s="133">
        <v>144</v>
      </c>
      <c r="BM35" s="133"/>
      <c r="BN35" s="130">
        <f>1+15/60</f>
        <v>1.25</v>
      </c>
      <c r="BO35" s="66">
        <f t="shared" si="12"/>
        <v>196.36363636363612</v>
      </c>
      <c r="BR35" s="71"/>
      <c r="BS35" s="71"/>
      <c r="BT35" s="70"/>
      <c r="BZ35" s="65"/>
      <c r="CH35" s="130"/>
      <c r="CI35" s="130"/>
      <c r="CJ35" s="130"/>
      <c r="CK35" s="130"/>
      <c r="CL35" s="130"/>
      <c r="DA35" s="70">
        <v>22.8</v>
      </c>
      <c r="DB35" s="71">
        <v>158</v>
      </c>
      <c r="DC35" s="71"/>
      <c r="DD35" s="65">
        <f>2+20/60</f>
        <v>2.3333333333333335</v>
      </c>
      <c r="DE35" s="66">
        <f t="shared" si="0"/>
        <v>430.90909090909037</v>
      </c>
      <c r="DG35" s="70">
        <v>52.4</v>
      </c>
      <c r="DH35" s="71">
        <v>225</v>
      </c>
      <c r="DI35" s="71"/>
      <c r="DJ35" s="71">
        <f>1+10/60</f>
        <v>1.1666666666666667</v>
      </c>
      <c r="DK35" s="66">
        <f t="shared" si="31"/>
        <v>270</v>
      </c>
      <c r="EB35" s="130"/>
      <c r="ED35" s="136">
        <v>37.9</v>
      </c>
      <c r="EE35" s="131">
        <v>37.9</v>
      </c>
      <c r="EF35" s="131">
        <v>225</v>
      </c>
      <c r="EG35" s="127"/>
      <c r="EH35" s="127">
        <f>2+20/60</f>
        <v>2.3333333333333335</v>
      </c>
      <c r="EI35" s="66">
        <f t="shared" si="5"/>
        <v>375.00000000000057</v>
      </c>
      <c r="EP35" s="133"/>
      <c r="EQ35" s="133"/>
      <c r="ER35" s="133"/>
      <c r="ES35" s="133"/>
      <c r="ET35" s="133"/>
      <c r="EY35" s="71"/>
      <c r="EZ35" s="70"/>
    </row>
    <row r="36" spans="1:156" x14ac:dyDescent="0.25">
      <c r="A36">
        <v>36</v>
      </c>
      <c r="Z36" s="113">
        <v>22.4</v>
      </c>
      <c r="AC36" s="71">
        <v>450</v>
      </c>
      <c r="AD36" s="65">
        <f>2+45/60</f>
        <v>2.75</v>
      </c>
      <c r="AE36" s="66">
        <f t="shared" si="24"/>
        <v>450</v>
      </c>
      <c r="AG36" s="70">
        <v>22.4</v>
      </c>
      <c r="AH36" s="71"/>
      <c r="AI36" s="4">
        <v>450</v>
      </c>
      <c r="AJ36" s="65">
        <f>2+45/60</f>
        <v>2.75</v>
      </c>
      <c r="AK36" s="66">
        <f t="shared" si="8"/>
        <v>450</v>
      </c>
      <c r="AL36" s="4">
        <v>28.9</v>
      </c>
      <c r="AM36" s="64">
        <v>28.9</v>
      </c>
      <c r="AO36" s="4">
        <v>283</v>
      </c>
      <c r="AP36" s="65">
        <f>1+25/60</f>
        <v>1.4166666666666667</v>
      </c>
      <c r="AQ36" s="66">
        <f t="shared" si="9"/>
        <v>217.69230769230816</v>
      </c>
      <c r="AR36" s="47">
        <v>28.9</v>
      </c>
      <c r="AS36" s="64">
        <v>28.9</v>
      </c>
      <c r="AU36" s="4">
        <v>675</v>
      </c>
      <c r="AV36" s="65">
        <f>2+25/60</f>
        <v>2.4166666666666665</v>
      </c>
      <c r="AW36" s="66">
        <f t="shared" si="23"/>
        <v>519.23076923077042</v>
      </c>
      <c r="AX36" s="120">
        <v>14.5</v>
      </c>
      <c r="AY36" s="64">
        <v>43.4</v>
      </c>
      <c r="BA36" s="4">
        <v>360</v>
      </c>
      <c r="BB36" s="65">
        <f>1+15/60</f>
        <v>1.25</v>
      </c>
      <c r="BC36" s="66">
        <f t="shared" si="19"/>
        <v>180</v>
      </c>
      <c r="BD36" s="70">
        <v>43.4</v>
      </c>
      <c r="BE36" s="64">
        <v>14.5</v>
      </c>
      <c r="BF36" s="71"/>
      <c r="BG36" s="71">
        <v>360</v>
      </c>
      <c r="BH36" s="70">
        <f>1+15/60</f>
        <v>1.25</v>
      </c>
      <c r="BI36" s="66">
        <f t="shared" si="11"/>
        <v>180</v>
      </c>
      <c r="BJ36" s="130">
        <v>47.7</v>
      </c>
      <c r="BK36" s="130">
        <v>15.9</v>
      </c>
      <c r="BL36" s="133"/>
      <c r="BM36" s="133">
        <v>360</v>
      </c>
      <c r="BN36" s="130">
        <f>1+15/60</f>
        <v>1.25</v>
      </c>
      <c r="BO36" s="66">
        <f t="shared" si="12"/>
        <v>163.63636363636343</v>
      </c>
      <c r="BR36" s="71"/>
      <c r="BT36" s="70"/>
      <c r="BZ36" s="65"/>
      <c r="CH36" s="130"/>
      <c r="CI36" s="130"/>
      <c r="CJ36" s="130"/>
      <c r="CK36" s="130"/>
      <c r="CL36" s="130"/>
      <c r="DA36" s="70">
        <v>23.8</v>
      </c>
      <c r="DB36" s="71"/>
      <c r="DC36" s="71">
        <v>394</v>
      </c>
      <c r="DD36" s="65">
        <f>2+25/60</f>
        <v>2.4166666666666665</v>
      </c>
      <c r="DE36" s="66">
        <f t="shared" si="0"/>
        <v>394</v>
      </c>
      <c r="DG36" s="70">
        <v>54.9</v>
      </c>
      <c r="DH36" s="71"/>
      <c r="DI36" s="71">
        <v>563</v>
      </c>
      <c r="DJ36" s="71">
        <f>1+15/60</f>
        <v>1.25</v>
      </c>
      <c r="DK36" s="66">
        <f t="shared" si="31"/>
        <v>225.2</v>
      </c>
      <c r="EB36" s="130"/>
      <c r="ED36" s="136">
        <v>39.700000000000003</v>
      </c>
      <c r="EE36" s="131">
        <v>39.700000000000003</v>
      </c>
      <c r="EF36" s="131"/>
      <c r="EG36" s="127">
        <v>562</v>
      </c>
      <c r="EH36" s="127">
        <f>2+25/60</f>
        <v>2.4166666666666665</v>
      </c>
      <c r="EI36" s="66">
        <f t="shared" si="5"/>
        <v>312.22222222222149</v>
      </c>
      <c r="EP36" s="133"/>
      <c r="EQ36" s="133"/>
      <c r="ER36" s="133"/>
      <c r="ES36" s="133"/>
      <c r="ET36" s="133"/>
      <c r="EY36" s="71"/>
      <c r="EZ36" s="70"/>
    </row>
    <row r="37" spans="1:156" x14ac:dyDescent="0.25">
      <c r="A37">
        <v>37</v>
      </c>
      <c r="Z37" s="113">
        <v>23</v>
      </c>
      <c r="AB37" s="4">
        <v>240</v>
      </c>
      <c r="AC37" s="71"/>
      <c r="AD37" s="65">
        <f>3</f>
        <v>3</v>
      </c>
      <c r="AE37" s="66">
        <f t="shared" si="24"/>
        <v>1199.9999999999973</v>
      </c>
      <c r="AG37" s="70">
        <v>23</v>
      </c>
      <c r="AH37" s="71">
        <v>240</v>
      </c>
      <c r="AJ37" s="65">
        <f>3</f>
        <v>3</v>
      </c>
      <c r="AK37" s="66">
        <f t="shared" si="8"/>
        <v>1199.9999999999973</v>
      </c>
      <c r="AL37" s="4">
        <v>29.7</v>
      </c>
      <c r="AM37" s="64">
        <v>29.7</v>
      </c>
      <c r="AN37" s="64">
        <v>156</v>
      </c>
      <c r="AP37" s="65">
        <f>1+35/60</f>
        <v>1.5833333333333335</v>
      </c>
      <c r="AQ37" s="66">
        <f t="shared" si="9"/>
        <v>584.99999999999943</v>
      </c>
      <c r="AR37" s="47">
        <v>29.7</v>
      </c>
      <c r="AS37" s="64">
        <v>29.7</v>
      </c>
      <c r="AT37" s="64">
        <v>360</v>
      </c>
      <c r="AV37" s="65">
        <f>2+40/60</f>
        <v>2.6666666666666665</v>
      </c>
      <c r="AW37" s="66">
        <f t="shared" si="23"/>
        <v>1349.9999999999989</v>
      </c>
      <c r="AX37" s="141">
        <v>14.8</v>
      </c>
      <c r="AY37" s="129">
        <v>44.6</v>
      </c>
      <c r="AZ37" s="129">
        <v>192</v>
      </c>
      <c r="BA37" s="128"/>
      <c r="BB37" s="130">
        <f>1+20/60</f>
        <v>1.3333333333333333</v>
      </c>
      <c r="BC37" s="66">
        <f t="shared" si="19"/>
        <v>479.99999999999886</v>
      </c>
      <c r="BD37" s="70">
        <v>44.6</v>
      </c>
      <c r="BE37" s="64">
        <v>14.9</v>
      </c>
      <c r="BF37" s="71">
        <v>192</v>
      </c>
      <c r="BG37" s="71"/>
      <c r="BH37" s="70">
        <f>1+20/60</f>
        <v>1.3333333333333333</v>
      </c>
      <c r="BI37" s="66">
        <f t="shared" si="11"/>
        <v>479.99999999999886</v>
      </c>
      <c r="BJ37" s="130">
        <v>49.1</v>
      </c>
      <c r="BK37" s="130">
        <v>16.3</v>
      </c>
      <c r="BL37" s="133">
        <v>192</v>
      </c>
      <c r="BM37" s="133"/>
      <c r="BN37" s="130">
        <f>1+25/60</f>
        <v>1.4166666666666667</v>
      </c>
      <c r="BO37" s="66">
        <f t="shared" si="12"/>
        <v>411.42857142857184</v>
      </c>
      <c r="BR37" s="71"/>
      <c r="BT37" s="70"/>
      <c r="CH37" s="65"/>
      <c r="CI37" s="65"/>
      <c r="CJ37" s="65"/>
      <c r="CK37" s="65"/>
      <c r="CL37" s="65"/>
      <c r="DA37" s="70">
        <v>24.5</v>
      </c>
      <c r="DB37" s="71">
        <v>210</v>
      </c>
      <c r="DC37" s="71"/>
      <c r="DD37" s="65">
        <f>2+40/60</f>
        <v>2.6666666666666665</v>
      </c>
      <c r="DE37" s="66">
        <f t="shared" si="0"/>
        <v>900.00000000000091</v>
      </c>
      <c r="DG37" s="70">
        <v>56.4</v>
      </c>
      <c r="DH37" s="71">
        <v>300</v>
      </c>
      <c r="DI37" s="71"/>
      <c r="DJ37" s="71">
        <f>1+20/60</f>
        <v>1.3333333333333333</v>
      </c>
      <c r="DK37" s="66">
        <f t="shared" si="31"/>
        <v>600</v>
      </c>
      <c r="ED37" s="136">
        <v>40.9</v>
      </c>
      <c r="EE37" s="131">
        <v>40.9</v>
      </c>
      <c r="EF37" s="131">
        <v>300</v>
      </c>
      <c r="EG37" s="127"/>
      <c r="EH37" s="127">
        <f>2+40/60</f>
        <v>2.6666666666666665</v>
      </c>
      <c r="EI37" s="66">
        <f t="shared" si="5"/>
        <v>750.00000000000261</v>
      </c>
      <c r="EP37" s="133"/>
      <c r="EQ37" s="133"/>
      <c r="ER37" s="133"/>
      <c r="ES37" s="133"/>
      <c r="ET37" s="133"/>
    </row>
    <row r="38" spans="1:156" x14ac:dyDescent="0.25">
      <c r="A38">
        <v>38</v>
      </c>
      <c r="AC38" s="71"/>
      <c r="AD38" s="65"/>
      <c r="AH38" s="71"/>
      <c r="AJ38" s="65"/>
      <c r="AL38" s="4">
        <v>31</v>
      </c>
      <c r="AM38" s="64">
        <v>31</v>
      </c>
      <c r="AN38" s="64">
        <v>195</v>
      </c>
      <c r="AP38" s="65">
        <f>1+45/60</f>
        <v>1.75</v>
      </c>
      <c r="AQ38" s="66">
        <f t="shared" si="9"/>
        <v>449.99999999999977</v>
      </c>
      <c r="AR38" s="47">
        <v>31</v>
      </c>
      <c r="AS38" s="64">
        <v>31</v>
      </c>
      <c r="AT38" s="64">
        <v>450</v>
      </c>
      <c r="AV38" s="65">
        <v>3</v>
      </c>
      <c r="AW38" s="66">
        <f t="shared" si="23"/>
        <v>1038.4615384615379</v>
      </c>
      <c r="AX38" s="134">
        <v>15.5</v>
      </c>
      <c r="AY38" s="128">
        <v>46.6</v>
      </c>
      <c r="AZ38" s="128">
        <v>240</v>
      </c>
      <c r="BA38" s="128"/>
      <c r="BB38" s="130">
        <f>1+30/60</f>
        <v>1.5</v>
      </c>
      <c r="BC38" s="66">
        <f t="shared" si="19"/>
        <v>360</v>
      </c>
      <c r="BD38" s="128">
        <v>46.6</v>
      </c>
      <c r="BE38" s="128">
        <v>15.5</v>
      </c>
      <c r="BF38" s="128">
        <v>240</v>
      </c>
      <c r="BG38" s="133"/>
      <c r="BH38" s="135">
        <f>1+30/60</f>
        <v>1.5</v>
      </c>
      <c r="BI38" s="66">
        <f t="shared" si="11"/>
        <v>360</v>
      </c>
      <c r="BJ38" s="130">
        <v>51.2</v>
      </c>
      <c r="BK38" s="130">
        <v>17</v>
      </c>
      <c r="BL38" s="133">
        <v>240</v>
      </c>
      <c r="BM38" s="133"/>
      <c r="BN38" s="130">
        <f>1+35/60</f>
        <v>1.5833333333333335</v>
      </c>
      <c r="BO38" s="66">
        <f t="shared" si="12"/>
        <v>342.85714285714261</v>
      </c>
      <c r="BT38" s="70"/>
      <c r="CH38" s="65"/>
      <c r="CI38" s="65"/>
      <c r="CJ38" s="65"/>
      <c r="CK38" s="65"/>
      <c r="CL38" s="65"/>
      <c r="DB38" s="71"/>
      <c r="DD38" s="65"/>
      <c r="DG38" s="135">
        <v>59</v>
      </c>
      <c r="DH38" s="133">
        <v>375</v>
      </c>
      <c r="DI38" s="133"/>
      <c r="DJ38" s="133">
        <f>1+30/60</f>
        <v>1.5</v>
      </c>
      <c r="DK38" s="66">
        <f t="shared" si="31"/>
        <v>432.69230769230745</v>
      </c>
      <c r="ED38" s="136">
        <v>42.7</v>
      </c>
      <c r="EE38" s="131">
        <v>42.7</v>
      </c>
      <c r="EF38" s="131">
        <v>375</v>
      </c>
      <c r="EG38" s="127"/>
      <c r="EH38" s="127">
        <f>3</f>
        <v>3</v>
      </c>
      <c r="EI38" s="66">
        <f t="shared" si="5"/>
        <v>624.99999999999852</v>
      </c>
    </row>
    <row r="39" spans="1:156" x14ac:dyDescent="0.25">
      <c r="A39">
        <v>39</v>
      </c>
      <c r="AC39" s="71"/>
      <c r="AD39" s="65"/>
      <c r="AJ39" s="65"/>
      <c r="AL39" s="4">
        <v>32.299999999999997</v>
      </c>
      <c r="AM39" s="64">
        <v>32.299999999999997</v>
      </c>
      <c r="AO39" s="4">
        <v>358</v>
      </c>
      <c r="AP39" s="65">
        <v>2</v>
      </c>
      <c r="AQ39" s="66">
        <f t="shared" si="9"/>
        <v>275.38461538461598</v>
      </c>
      <c r="AX39" s="134">
        <v>16.2</v>
      </c>
      <c r="AY39" s="128">
        <v>48.6</v>
      </c>
      <c r="AZ39" s="128"/>
      <c r="BA39" s="128">
        <v>440</v>
      </c>
      <c r="BB39" s="130">
        <f>1+40/60</f>
        <v>1.6666666666666665</v>
      </c>
      <c r="BC39" s="66">
        <f t="shared" si="19"/>
        <v>220</v>
      </c>
      <c r="BD39" s="128">
        <v>48.6</v>
      </c>
      <c r="BE39" s="128">
        <v>16.2</v>
      </c>
      <c r="BF39" s="128"/>
      <c r="BG39" s="133">
        <v>440</v>
      </c>
      <c r="BH39" s="130">
        <f>1+40/60</f>
        <v>1.6666666666666665</v>
      </c>
      <c r="BI39" s="66">
        <f t="shared" si="11"/>
        <v>220</v>
      </c>
      <c r="BJ39" s="130">
        <v>53.4</v>
      </c>
      <c r="BK39" s="130">
        <v>17.8</v>
      </c>
      <c r="BL39" s="133"/>
      <c r="BM39" s="133">
        <v>440</v>
      </c>
      <c r="BN39" s="130">
        <f>1+50/60</f>
        <v>1.8333333333333335</v>
      </c>
      <c r="BO39" s="66">
        <f t="shared" si="12"/>
        <v>200.0000000000004</v>
      </c>
      <c r="CH39" s="65"/>
      <c r="CI39" s="65"/>
      <c r="CJ39" s="65"/>
      <c r="CK39" s="65"/>
      <c r="CL39" s="65"/>
      <c r="DB39" s="71"/>
      <c r="DD39" s="65"/>
      <c r="DG39" s="129">
        <v>61.5</v>
      </c>
      <c r="DH39" s="140"/>
      <c r="DI39" s="146">
        <v>687</v>
      </c>
      <c r="DJ39" s="140">
        <f>1+40/60</f>
        <v>1.6666666666666665</v>
      </c>
      <c r="DK39" s="66">
        <f t="shared" si="31"/>
        <v>274.8</v>
      </c>
      <c r="ED39" s="136">
        <v>44.5</v>
      </c>
      <c r="EE39" s="131">
        <v>44.5</v>
      </c>
      <c r="EF39" s="131"/>
      <c r="EG39" s="127">
        <v>687</v>
      </c>
      <c r="EH39" s="127">
        <f>3+20/60</f>
        <v>3.3333333333333335</v>
      </c>
      <c r="EI39" s="66">
        <f t="shared" si="5"/>
        <v>381.66666666666725</v>
      </c>
    </row>
    <row r="40" spans="1:156" x14ac:dyDescent="0.25">
      <c r="A40">
        <v>40</v>
      </c>
      <c r="AC40" s="71"/>
      <c r="AJ40" s="65"/>
      <c r="AL40" s="4">
        <v>33.700000000000003</v>
      </c>
      <c r="AM40" s="64">
        <v>33.700000000000003</v>
      </c>
      <c r="AN40" s="129">
        <v>214</v>
      </c>
      <c r="AP40" s="130">
        <f>1+50/60</f>
        <v>1.8333333333333335</v>
      </c>
      <c r="AQ40" s="66">
        <f t="shared" si="9"/>
        <v>458.57142857142674</v>
      </c>
      <c r="AX40" s="134">
        <v>16.8</v>
      </c>
      <c r="AY40" s="128">
        <v>50.5</v>
      </c>
      <c r="AZ40" s="128">
        <v>264</v>
      </c>
      <c r="BA40" s="128"/>
      <c r="BB40" s="130">
        <f>1+50/60</f>
        <v>1.8333333333333335</v>
      </c>
      <c r="BC40" s="66">
        <f t="shared" si="19"/>
        <v>416.8421052631582</v>
      </c>
      <c r="BD40" s="128">
        <v>50.5</v>
      </c>
      <c r="BE40" s="128">
        <v>16.8</v>
      </c>
      <c r="BF40" s="140">
        <v>264</v>
      </c>
      <c r="BG40" s="133"/>
      <c r="BH40" s="128">
        <f>1+50/60</f>
        <v>1.8333333333333335</v>
      </c>
      <c r="BI40" s="66">
        <f t="shared" si="11"/>
        <v>416.8421052631582</v>
      </c>
      <c r="BJ40" s="130">
        <v>55.6</v>
      </c>
      <c r="BK40" s="130">
        <v>18.5</v>
      </c>
      <c r="BL40" s="133">
        <v>264</v>
      </c>
      <c r="BM40" s="133"/>
      <c r="BN40" s="130">
        <v>2</v>
      </c>
      <c r="BO40" s="66">
        <f t="shared" si="12"/>
        <v>359.99999999999955</v>
      </c>
      <c r="CH40" s="65"/>
      <c r="CI40" s="65"/>
      <c r="CJ40" s="65"/>
      <c r="CK40" s="65"/>
      <c r="CL40" s="65"/>
      <c r="DB40" s="71"/>
      <c r="DD40" s="65"/>
      <c r="DG40" s="129">
        <v>64</v>
      </c>
      <c r="DH40" s="140">
        <v>412</v>
      </c>
      <c r="DI40" s="146"/>
      <c r="DJ40" s="140">
        <f>1+50/60</f>
        <v>1.8333333333333335</v>
      </c>
      <c r="ED40" s="136">
        <v>46.3</v>
      </c>
      <c r="EE40" s="131">
        <v>46.3</v>
      </c>
      <c r="EF40" s="131">
        <v>412</v>
      </c>
      <c r="EG40" s="127"/>
      <c r="EH40" s="127">
        <f>3+40/60</f>
        <v>3.6666666666666665</v>
      </c>
      <c r="EI40" s="66">
        <f t="shared" si="5"/>
        <v>686.66666666666777</v>
      </c>
    </row>
    <row r="41" spans="1:156" x14ac:dyDescent="0.25">
      <c r="A41">
        <v>41</v>
      </c>
      <c r="AJ41" s="65"/>
      <c r="AL41" s="4">
        <v>35</v>
      </c>
      <c r="AM41" s="64">
        <v>35</v>
      </c>
      <c r="AN41" s="129">
        <v>259</v>
      </c>
      <c r="AO41" s="128"/>
      <c r="AP41" s="130">
        <v>2</v>
      </c>
      <c r="AQ41" s="66">
        <f t="shared" si="9"/>
        <v>597.69230769230899</v>
      </c>
      <c r="AX41" s="134">
        <v>17.5</v>
      </c>
      <c r="AY41" s="128">
        <v>52.5</v>
      </c>
      <c r="AZ41" s="128">
        <v>320</v>
      </c>
      <c r="BA41" s="128"/>
      <c r="BB41" s="130">
        <f>2</f>
        <v>2</v>
      </c>
      <c r="BC41" s="66">
        <f t="shared" si="19"/>
        <v>480</v>
      </c>
      <c r="BD41" s="128">
        <v>52.5</v>
      </c>
      <c r="BE41" s="128">
        <v>17.5</v>
      </c>
      <c r="BF41" s="128">
        <v>320</v>
      </c>
      <c r="BG41" s="136"/>
      <c r="BH41" s="130">
        <v>2</v>
      </c>
      <c r="BI41" s="66">
        <f t="shared" si="11"/>
        <v>480</v>
      </c>
      <c r="BJ41" s="130">
        <v>57.8</v>
      </c>
      <c r="BK41" s="130">
        <v>19.2</v>
      </c>
      <c r="BL41" s="133">
        <v>320</v>
      </c>
      <c r="BM41" s="133"/>
      <c r="BN41" s="130">
        <f>2+10/60</f>
        <v>2.1666666666666665</v>
      </c>
      <c r="BO41" s="66">
        <f t="shared" si="12"/>
        <v>436.36363636363723</v>
      </c>
      <c r="CH41" s="65"/>
      <c r="CI41" s="65"/>
      <c r="CJ41" s="65"/>
      <c r="CK41" s="65"/>
      <c r="CL41" s="65"/>
      <c r="DB41" s="71"/>
      <c r="DG41" s="129"/>
      <c r="DH41" s="140"/>
      <c r="DI41" s="129"/>
      <c r="DJ41" s="140"/>
      <c r="ED41" s="136">
        <v>48.1</v>
      </c>
      <c r="EE41" s="131">
        <v>48.1</v>
      </c>
      <c r="EF41" s="131">
        <v>500</v>
      </c>
      <c r="EG41" s="131"/>
      <c r="EH41" s="127">
        <v>4</v>
      </c>
      <c r="EI41" s="66">
        <f t="shared" si="5"/>
        <v>833.33333333333132</v>
      </c>
    </row>
    <row r="42" spans="1:156" x14ac:dyDescent="0.25">
      <c r="A42">
        <v>42</v>
      </c>
      <c r="AL42" s="128">
        <v>35.6</v>
      </c>
      <c r="AM42" s="129">
        <v>35.6</v>
      </c>
      <c r="AN42" s="128"/>
      <c r="AO42" s="128">
        <v>390</v>
      </c>
      <c r="AP42" s="130">
        <f>2+10/60</f>
        <v>2.1666666666666665</v>
      </c>
      <c r="AQ42" s="66">
        <f t="shared" si="9"/>
        <v>649.99999999999841</v>
      </c>
      <c r="AX42" s="134">
        <v>17.8</v>
      </c>
      <c r="AY42" s="128">
        <v>53.4</v>
      </c>
      <c r="AZ42" s="128"/>
      <c r="BA42" s="128">
        <v>480</v>
      </c>
      <c r="BB42" s="130">
        <f>2+10/60</f>
        <v>2.1666666666666665</v>
      </c>
      <c r="BC42" s="66">
        <f t="shared" ref="BC42" si="32">((3*AZ42)+BA42)/(MAX(AX42-AX41,AY42-AY41))</f>
        <v>533.33333333333417</v>
      </c>
      <c r="BD42" s="128">
        <v>53.4</v>
      </c>
      <c r="BE42" s="128">
        <v>17.8</v>
      </c>
      <c r="BF42" s="128"/>
      <c r="BG42" s="136"/>
      <c r="BH42" s="130">
        <f>2+10/60</f>
        <v>2.1666666666666665</v>
      </c>
      <c r="BI42" s="66"/>
      <c r="BJ42" s="130">
        <v>58.8</v>
      </c>
      <c r="BK42" s="130">
        <v>19.600000000000001</v>
      </c>
      <c r="BL42" s="133"/>
      <c r="BM42" s="133"/>
      <c r="BN42" s="130">
        <f>2+20/60</f>
        <v>2.3333333333333335</v>
      </c>
      <c r="BO42" s="66"/>
      <c r="DG42" s="129"/>
      <c r="DH42" s="129"/>
      <c r="DI42" s="129"/>
      <c r="DJ42" s="140"/>
      <c r="ED42" s="136">
        <v>49</v>
      </c>
      <c r="EE42" s="136">
        <v>49</v>
      </c>
      <c r="EF42" s="131"/>
      <c r="EG42" s="131">
        <v>750</v>
      </c>
      <c r="EH42" s="127">
        <f>4+20/60</f>
        <v>4.333333333333333</v>
      </c>
      <c r="EI42" s="66">
        <f t="shared" si="5"/>
        <v>833.33333333333462</v>
      </c>
    </row>
    <row r="43" spans="1:156" x14ac:dyDescent="0.25">
      <c r="AL43" s="128">
        <v>35.799999999999997</v>
      </c>
      <c r="AM43" s="128">
        <v>35.799999999999997</v>
      </c>
      <c r="AN43" s="128">
        <v>292</v>
      </c>
      <c r="AO43" s="128"/>
      <c r="AP43" s="130">
        <f>2+25/60</f>
        <v>2.4166666666666665</v>
      </c>
      <c r="AQ43" s="66">
        <f t="shared" si="9"/>
        <v>4380.0000000000937</v>
      </c>
      <c r="AX43" s="134"/>
      <c r="AY43" s="128"/>
      <c r="AZ43" s="128"/>
      <c r="BA43" s="128"/>
      <c r="BB43" s="130"/>
      <c r="BC43" s="66"/>
      <c r="BD43" s="128">
        <v>53.8</v>
      </c>
      <c r="BE43" s="128">
        <v>17.899999999999999</v>
      </c>
      <c r="BF43" s="128">
        <v>360</v>
      </c>
      <c r="BG43" s="136"/>
      <c r="BH43" s="130">
        <f>2+25/60</f>
        <v>2.4166666666666665</v>
      </c>
      <c r="BI43" s="66">
        <f t="shared" si="11"/>
        <v>2700.0000000000095</v>
      </c>
      <c r="BJ43" s="130">
        <v>59.2</v>
      </c>
      <c r="BK43" s="130">
        <v>19.7</v>
      </c>
      <c r="BL43" s="133">
        <v>360</v>
      </c>
      <c r="BM43" s="133"/>
      <c r="BN43" s="130">
        <f>2+35/60</f>
        <v>2.5833333333333335</v>
      </c>
      <c r="BO43" s="66">
        <f t="shared" si="12"/>
        <v>2699.9999999999618</v>
      </c>
      <c r="DG43" s="129"/>
      <c r="DH43" s="129"/>
      <c r="DI43" s="129"/>
      <c r="DJ43" s="140"/>
      <c r="ED43" s="136">
        <v>49.3</v>
      </c>
      <c r="EE43" s="131">
        <v>49.3</v>
      </c>
      <c r="EF43" s="131">
        <v>562</v>
      </c>
      <c r="EG43" s="131"/>
      <c r="EH43" s="127">
        <f>4+50/60</f>
        <v>4.833333333333333</v>
      </c>
      <c r="EI43" s="66">
        <f t="shared" si="5"/>
        <v>5620.0000000000537</v>
      </c>
    </row>
    <row r="44" spans="1:156" x14ac:dyDescent="0.25">
      <c r="AL44" s="128">
        <v>36.1</v>
      </c>
      <c r="AM44" s="128">
        <v>36.1</v>
      </c>
      <c r="AN44" s="128">
        <v>325</v>
      </c>
      <c r="AO44" s="128"/>
      <c r="AP44" s="130">
        <f>2+40/60</f>
        <v>2.6666666666666665</v>
      </c>
      <c r="AQ44" s="66">
        <f t="shared" si="9"/>
        <v>3249.9999999999536</v>
      </c>
      <c r="AX44" s="134"/>
      <c r="AY44" s="128"/>
      <c r="AZ44" s="128"/>
      <c r="BA44" s="128"/>
      <c r="BB44" s="130"/>
      <c r="BC44" s="66"/>
      <c r="BD44" s="128">
        <v>54.1</v>
      </c>
      <c r="BE44" s="128">
        <v>18</v>
      </c>
      <c r="BF44" s="128">
        <v>400</v>
      </c>
      <c r="BG44" s="136"/>
      <c r="BH44" s="130">
        <f>2+40/60</f>
        <v>2.6666666666666665</v>
      </c>
      <c r="BI44" s="66">
        <f t="shared" si="11"/>
        <v>3999.9999999999432</v>
      </c>
      <c r="BJ44" s="130">
        <v>59.5</v>
      </c>
      <c r="BK44" s="130">
        <v>19.8</v>
      </c>
      <c r="BL44" s="133">
        <v>400</v>
      </c>
      <c r="BM44" s="133"/>
      <c r="BN44" s="130">
        <f>2+55/60</f>
        <v>2.9166666666666665</v>
      </c>
      <c r="BO44" s="66">
        <f t="shared" si="12"/>
        <v>4000.0000000000377</v>
      </c>
      <c r="ED44" s="131"/>
      <c r="EE44" s="131"/>
      <c r="EF44" s="131"/>
      <c r="EG44" s="131"/>
      <c r="EH44" s="127"/>
    </row>
    <row r="45" spans="1:156" x14ac:dyDescent="0.25">
      <c r="AL45" s="128">
        <v>36.4</v>
      </c>
      <c r="AM45" s="128">
        <v>36.4</v>
      </c>
      <c r="AN45" s="128"/>
      <c r="AO45" s="128">
        <v>650</v>
      </c>
      <c r="AP45" s="130">
        <f>2+55/60</f>
        <v>2.9166666666666665</v>
      </c>
      <c r="AQ45" s="66">
        <f t="shared" si="9"/>
        <v>2166.666666666687</v>
      </c>
      <c r="AX45" s="134"/>
      <c r="AY45" s="128"/>
      <c r="AZ45" s="128"/>
      <c r="BA45" s="128"/>
      <c r="BB45" s="130"/>
      <c r="BC45" s="66"/>
      <c r="BD45" s="128">
        <v>54.7</v>
      </c>
      <c r="BE45" s="128">
        <v>18.2</v>
      </c>
      <c r="BF45" s="128"/>
      <c r="BG45" s="136">
        <v>800</v>
      </c>
      <c r="BH45" s="130">
        <f>2+55/60</f>
        <v>2.9166666666666665</v>
      </c>
      <c r="BI45" s="66">
        <f t="shared" si="11"/>
        <v>1333.3333333333301</v>
      </c>
      <c r="BJ45" s="134">
        <v>60.1</v>
      </c>
      <c r="BK45" s="128">
        <v>20</v>
      </c>
      <c r="BL45" s="128"/>
      <c r="BM45" s="128">
        <v>800</v>
      </c>
      <c r="BN45" s="130">
        <f>3+10/60</f>
        <v>3.1666666666666665</v>
      </c>
      <c r="BO45" s="66">
        <f t="shared" si="12"/>
        <v>1333.3333333333301</v>
      </c>
      <c r="ED45" s="131"/>
      <c r="EE45" s="131"/>
      <c r="EF45" s="131"/>
      <c r="EG45" s="131"/>
      <c r="EH45" s="127"/>
    </row>
    <row r="46" spans="1:156" x14ac:dyDescent="0.25">
      <c r="AL46" s="128">
        <v>36.700000000000003</v>
      </c>
      <c r="AM46" s="128">
        <v>36.700000000000003</v>
      </c>
      <c r="AN46" s="128">
        <v>390</v>
      </c>
      <c r="AO46" s="128"/>
      <c r="AP46" s="130">
        <f>3+10/60</f>
        <v>3.1666666666666665</v>
      </c>
      <c r="AQ46" s="66">
        <f t="shared" si="9"/>
        <v>3899.9999999999445</v>
      </c>
      <c r="AX46" s="134"/>
      <c r="AY46" s="128"/>
      <c r="AZ46" s="128"/>
      <c r="BA46" s="128"/>
      <c r="BB46" s="130"/>
      <c r="BD46" s="128">
        <v>55</v>
      </c>
      <c r="BE46" s="128">
        <v>18.3</v>
      </c>
      <c r="BF46" s="128">
        <v>480</v>
      </c>
      <c r="BG46" s="136"/>
      <c r="BH46" s="130">
        <f>3+10/60</f>
        <v>3.1666666666666665</v>
      </c>
      <c r="BI46" s="66">
        <f t="shared" si="11"/>
        <v>4800.0000000000455</v>
      </c>
      <c r="BJ46" s="130">
        <v>60.5</v>
      </c>
      <c r="BK46" s="130">
        <v>20.100000000000001</v>
      </c>
      <c r="BL46" s="133">
        <v>480</v>
      </c>
      <c r="BM46" s="133"/>
      <c r="BN46" s="130">
        <f>3+25/60</f>
        <v>3.4166666666666665</v>
      </c>
      <c r="BO46" s="66">
        <f t="shared" si="12"/>
        <v>3600.0000000000127</v>
      </c>
      <c r="ED46" s="131"/>
      <c r="EE46" s="131"/>
      <c r="EF46" s="131"/>
      <c r="EG46" s="131"/>
      <c r="EH46" s="127"/>
    </row>
    <row r="47" spans="1:156" x14ac:dyDescent="0.25">
      <c r="AL47" s="128"/>
      <c r="AM47" s="128"/>
      <c r="AN47" s="128"/>
      <c r="AO47" s="128"/>
      <c r="AP47" s="130"/>
      <c r="AX47" s="134"/>
      <c r="AY47" s="128"/>
      <c r="AZ47" s="128"/>
      <c r="BA47" s="128"/>
      <c r="BB47" s="130"/>
      <c r="BD47" s="128">
        <v>55.4</v>
      </c>
      <c r="BE47" s="128">
        <v>18.399999999999999</v>
      </c>
      <c r="BF47" s="128">
        <v>520</v>
      </c>
      <c r="BG47" s="136"/>
      <c r="BH47" s="130">
        <f>3+25/60</f>
        <v>3.4166666666666665</v>
      </c>
      <c r="BI47" s="66">
        <f t="shared" si="11"/>
        <v>3900.0000000000136</v>
      </c>
      <c r="BJ47" s="130">
        <v>60.9</v>
      </c>
      <c r="BK47" s="130">
        <v>20.3</v>
      </c>
      <c r="BL47" s="133">
        <v>520</v>
      </c>
      <c r="BM47" s="133"/>
      <c r="BN47" s="130">
        <f>3+45/60</f>
        <v>3.75</v>
      </c>
      <c r="BO47" s="66">
        <f t="shared" si="12"/>
        <v>3900.0000000000136</v>
      </c>
      <c r="ED47" s="131"/>
      <c r="EE47" s="131"/>
      <c r="EF47" s="131"/>
      <c r="EG47" s="131"/>
      <c r="EH47" s="127"/>
    </row>
    <row r="48" spans="1:156" x14ac:dyDescent="0.25">
      <c r="AL48" s="128"/>
      <c r="AM48" s="128"/>
      <c r="AN48" s="128"/>
      <c r="AO48" s="128"/>
      <c r="AP48" s="130"/>
      <c r="AX48" s="134"/>
      <c r="AY48" s="128"/>
      <c r="AZ48" s="128"/>
      <c r="BA48" s="128"/>
      <c r="BB48" s="130"/>
      <c r="BD48" s="128">
        <v>55.8</v>
      </c>
      <c r="BE48" s="128">
        <v>18.600000000000001</v>
      </c>
      <c r="BF48" s="128"/>
      <c r="BG48" s="136">
        <v>960</v>
      </c>
      <c r="BH48" s="130">
        <f>3+40/60</f>
        <v>3.6666666666666665</v>
      </c>
      <c r="BI48" s="66">
        <f t="shared" si="11"/>
        <v>2400.0000000000086</v>
      </c>
      <c r="BJ48" s="130"/>
      <c r="BK48" s="130"/>
      <c r="BL48" s="133"/>
      <c r="BM48" s="133"/>
      <c r="BN48" s="130"/>
      <c r="ED48" s="131"/>
      <c r="EE48" s="131"/>
      <c r="EF48" s="131"/>
      <c r="EG48" s="131"/>
      <c r="EH48" s="127"/>
    </row>
    <row r="49" spans="38:138" x14ac:dyDescent="0.25">
      <c r="AL49" s="128"/>
      <c r="AM49" s="128"/>
      <c r="AN49" s="128"/>
      <c r="AO49" s="128"/>
      <c r="AP49" s="130"/>
      <c r="AX49" s="134"/>
      <c r="AY49" s="128"/>
      <c r="AZ49" s="128"/>
      <c r="BA49" s="128"/>
      <c r="BB49" s="130"/>
      <c r="BD49" s="128"/>
      <c r="BE49" s="128"/>
      <c r="BF49" s="128"/>
      <c r="BG49" s="136"/>
      <c r="BH49" s="130"/>
      <c r="BJ49" s="130"/>
      <c r="BK49" s="130"/>
      <c r="BL49" s="133"/>
      <c r="BM49" s="133"/>
      <c r="BN49" s="130"/>
      <c r="ED49" s="131"/>
      <c r="EE49" s="131"/>
      <c r="EF49" s="131"/>
      <c r="EG49" s="131"/>
      <c r="EH49" s="127"/>
    </row>
    <row r="50" spans="38:138" x14ac:dyDescent="0.25">
      <c r="AL50" s="128"/>
      <c r="AM50" s="128"/>
      <c r="AN50" s="128"/>
      <c r="AO50" s="128"/>
      <c r="AP50" s="130"/>
      <c r="AX50" s="134"/>
      <c r="AY50" s="128"/>
      <c r="AZ50" s="128"/>
      <c r="BA50" s="128"/>
      <c r="BB50" s="130"/>
      <c r="BD50" s="128"/>
      <c r="BE50" s="128"/>
      <c r="BF50" s="128"/>
      <c r="BG50" s="136"/>
      <c r="BH50" s="130"/>
      <c r="BJ50" s="130"/>
      <c r="BK50" s="130"/>
      <c r="BL50" s="133"/>
      <c r="BM50" s="133"/>
      <c r="BN50" s="130"/>
      <c r="ED50" s="131"/>
      <c r="EE50" s="131"/>
      <c r="EF50" s="131"/>
      <c r="EG50" s="131"/>
      <c r="EH50" s="127"/>
    </row>
    <row r="51" spans="38:138" x14ac:dyDescent="0.25">
      <c r="AL51" s="128"/>
      <c r="AM51" s="128"/>
      <c r="AN51" s="128"/>
      <c r="AO51" s="128"/>
      <c r="AP51" s="130"/>
      <c r="AX51" s="134"/>
      <c r="AY51" s="128"/>
      <c r="AZ51" s="128"/>
      <c r="BA51" s="128"/>
      <c r="BB51" s="130"/>
      <c r="BD51" s="128"/>
      <c r="BE51" s="128"/>
      <c r="BF51" s="128"/>
      <c r="BG51" s="136"/>
      <c r="BH51" s="130"/>
      <c r="BJ51" s="130"/>
      <c r="BK51" s="130"/>
      <c r="BL51" s="133"/>
      <c r="BM51" s="133"/>
      <c r="BN51" s="130"/>
      <c r="ED51" s="131"/>
      <c r="EE51" s="131"/>
      <c r="EF51" s="131"/>
      <c r="EG51" s="131"/>
      <c r="EH51" s="127"/>
    </row>
    <row r="52" spans="38:138" x14ac:dyDescent="0.25">
      <c r="AL52" s="128"/>
      <c r="AM52" s="128"/>
      <c r="AN52" s="128"/>
      <c r="AO52" s="128"/>
      <c r="AP52" s="130"/>
      <c r="AX52" s="134"/>
      <c r="AY52" s="128"/>
      <c r="AZ52" s="128"/>
      <c r="BA52" s="128"/>
      <c r="BB52" s="130"/>
      <c r="BD52" s="128"/>
      <c r="BE52" s="128"/>
      <c r="BF52" s="128"/>
      <c r="BG52" s="136"/>
      <c r="BH52" s="130"/>
      <c r="ED52" s="131"/>
      <c r="EE52" s="131"/>
      <c r="EF52" s="131"/>
      <c r="EG52" s="131"/>
      <c r="EH52" s="127"/>
    </row>
    <row r="53" spans="38:138" x14ac:dyDescent="0.25">
      <c r="AL53" s="128"/>
      <c r="AM53" s="128"/>
      <c r="AN53" s="128"/>
      <c r="AO53" s="128"/>
      <c r="AP53" s="130"/>
      <c r="BD53" s="128"/>
      <c r="BE53" s="128"/>
      <c r="BF53" s="128"/>
      <c r="BG53" s="136"/>
      <c r="BH53" s="130"/>
      <c r="ED53" s="131"/>
      <c r="EE53" s="131"/>
      <c r="EF53" s="131"/>
      <c r="EG53" s="131"/>
      <c r="EH53" s="127"/>
    </row>
    <row r="54" spans="38:138" x14ac:dyDescent="0.25">
      <c r="AL54" s="128"/>
      <c r="AM54" s="128"/>
      <c r="AN54" s="128"/>
      <c r="AO54" s="128"/>
      <c r="AP54" s="130"/>
      <c r="BD54" s="128"/>
      <c r="BE54" s="128"/>
      <c r="BF54" s="128"/>
      <c r="BG54" s="136"/>
      <c r="BH54" s="130"/>
      <c r="ED54" s="131"/>
      <c r="EE54" s="131"/>
      <c r="EF54" s="131"/>
      <c r="EG54" s="131"/>
      <c r="EH54" s="127"/>
    </row>
    <row r="55" spans="38:138" x14ac:dyDescent="0.25">
      <c r="AL55" s="128"/>
      <c r="AM55" s="128"/>
      <c r="AN55" s="128"/>
      <c r="AO55" s="128"/>
      <c r="AP55" s="130"/>
      <c r="BD55" s="128"/>
      <c r="BE55" s="128"/>
      <c r="BF55" s="128"/>
      <c r="BG55" s="136"/>
      <c r="BH55" s="130"/>
    </row>
    <row r="56" spans="38:138" x14ac:dyDescent="0.25">
      <c r="AL56" s="128"/>
      <c r="AM56" s="128"/>
      <c r="AN56" s="128"/>
      <c r="AO56" s="128"/>
      <c r="AP56" s="130"/>
      <c r="BD56" s="128"/>
      <c r="BE56" s="128"/>
      <c r="BF56" s="128"/>
      <c r="BG56" s="136"/>
      <c r="BH56" s="130"/>
    </row>
    <row r="57" spans="38:138" x14ac:dyDescent="0.25">
      <c r="BD57" s="128"/>
      <c r="BE57" s="128"/>
      <c r="BF57" s="128"/>
      <c r="BG57" s="136"/>
      <c r="BH57" s="130"/>
    </row>
    <row r="58" spans="38:138" x14ac:dyDescent="0.25">
      <c r="BD58" s="128"/>
      <c r="BE58" s="128"/>
      <c r="BF58" s="128"/>
      <c r="BG58" s="136"/>
      <c r="BH58" s="130"/>
    </row>
    <row r="59" spans="38:138" x14ac:dyDescent="0.25">
      <c r="BD59" s="128"/>
      <c r="BE59" s="128"/>
      <c r="BF59" s="128"/>
      <c r="BG59" s="136"/>
      <c r="BH59" s="130"/>
    </row>
    <row r="60" spans="38:138" x14ac:dyDescent="0.25">
      <c r="BD60" s="128"/>
      <c r="BE60" s="128"/>
      <c r="BF60" s="128"/>
      <c r="BG60" s="136"/>
      <c r="BH60" s="130"/>
    </row>
    <row r="61" spans="38:138" x14ac:dyDescent="0.25">
      <c r="BD61" s="128"/>
      <c r="BE61" s="128"/>
      <c r="BF61" s="128"/>
      <c r="BG61" s="136"/>
      <c r="BH61" s="130"/>
    </row>
    <row r="62" spans="38:138" x14ac:dyDescent="0.25">
      <c r="BD62" s="128"/>
      <c r="BE62" s="128"/>
      <c r="BF62" s="128"/>
      <c r="BG62" s="136"/>
      <c r="BH62" s="130"/>
    </row>
    <row r="63" spans="38:138" x14ac:dyDescent="0.25">
      <c r="BD63" s="128"/>
      <c r="BE63" s="128"/>
      <c r="BF63" s="128"/>
      <c r="BG63" s="136"/>
      <c r="BH63" s="130"/>
    </row>
    <row r="64" spans="38:138" x14ac:dyDescent="0.25">
      <c r="BD64" s="128"/>
      <c r="BE64" s="128"/>
      <c r="BF64" s="128"/>
      <c r="BG64" s="136"/>
      <c r="BH64" s="130"/>
    </row>
    <row r="65" spans="56:60" x14ac:dyDescent="0.25">
      <c r="BD65" s="128"/>
      <c r="BE65" s="128"/>
      <c r="BF65" s="128"/>
      <c r="BG65" s="136"/>
      <c r="BH65" s="130"/>
    </row>
    <row r="66" spans="56:60" x14ac:dyDescent="0.25">
      <c r="BD66" s="128"/>
      <c r="BE66" s="128"/>
      <c r="BF66" s="128"/>
      <c r="BG66" s="136"/>
      <c r="BH66" s="130"/>
    </row>
    <row r="67" spans="56:60" x14ac:dyDescent="0.25">
      <c r="BD67" s="128"/>
      <c r="BE67" s="128"/>
      <c r="BF67" s="128"/>
      <c r="BG67" s="136"/>
      <c r="BH67" s="130"/>
    </row>
    <row r="68" spans="56:60" x14ac:dyDescent="0.25">
      <c r="BD68" s="128"/>
      <c r="BE68" s="128"/>
      <c r="BF68" s="128"/>
      <c r="BG68" s="136"/>
      <c r="BH68" s="130"/>
    </row>
    <row r="69" spans="56:60" x14ac:dyDescent="0.25">
      <c r="BD69" s="128"/>
      <c r="BE69" s="128"/>
      <c r="BF69" s="128"/>
      <c r="BG69" s="136"/>
      <c r="BH69" s="130"/>
    </row>
    <row r="70" spans="56:60" x14ac:dyDescent="0.25">
      <c r="BD70" s="128"/>
      <c r="BE70" s="128"/>
      <c r="BF70" s="128"/>
      <c r="BG70" s="136"/>
      <c r="BH70" s="130"/>
    </row>
    <row r="71" spans="56:60" x14ac:dyDescent="0.25">
      <c r="BD71" s="128"/>
      <c r="BE71" s="128"/>
      <c r="BF71" s="128"/>
      <c r="BG71" s="136"/>
      <c r="BH71" s="130"/>
    </row>
  </sheetData>
  <mergeCells count="26">
    <mergeCell ref="B2:G2"/>
    <mergeCell ref="Z2:AE2"/>
    <mergeCell ref="ED2:EI2"/>
    <mergeCell ref="T2:Y2"/>
    <mergeCell ref="N2:S2"/>
    <mergeCell ref="AX2:BC2"/>
    <mergeCell ref="DF2:DK2"/>
    <mergeCell ref="DR2:DW2"/>
    <mergeCell ref="DL2:DQ2"/>
    <mergeCell ref="H2:M2"/>
    <mergeCell ref="CN2:CS2"/>
    <mergeCell ref="CB2:CG2"/>
    <mergeCell ref="CZ2:DE2"/>
    <mergeCell ref="BV2:CA2"/>
    <mergeCell ref="AL2:AQ2"/>
    <mergeCell ref="AR2:AW2"/>
    <mergeCell ref="AF2:AK2"/>
    <mergeCell ref="EV2:FA2"/>
    <mergeCell ref="CH2:CM2"/>
    <mergeCell ref="BD2:BI2"/>
    <mergeCell ref="CT2:CY2"/>
    <mergeCell ref="BP2:BU2"/>
    <mergeCell ref="DX2:EC2"/>
    <mergeCell ref="EJ2:EO2"/>
    <mergeCell ref="BJ2:BO2"/>
    <mergeCell ref="EP2:EU2"/>
  </mergeCells>
  <conditionalFormatting sqref="G1:G1048576 M1:M1048576 Y1:Y1048576 AE1:AE1048576 AK1:AK1048576 AW1:AW1048576 CA1:CA1048576 CG1:CG1048576 CM1:CM1048576 CS1:CS1048576 CY1:CY1048576 DE1:DE1048576 DK1:DK1048576 DQ1:DQ1048576 DW1:DW1048576 EC1:EC1048576 EO1:EO1048576 FA1:FA1048576 BC1:BC1048576 S1:S1048576 BU1:BU1048576 EI1:EI1048576 BO1:BO1048576 AQ1:AQ1048576 BI1:BI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F3" sqref="F3"/>
    </sheetView>
  </sheetViews>
  <sheetFormatPr defaultRowHeight="15" x14ac:dyDescent="0.25"/>
  <cols>
    <col min="2" max="2" width="13.42578125" customWidth="1"/>
    <col min="5" max="9" width="16.140625" customWidth="1"/>
  </cols>
  <sheetData>
    <row r="1" spans="1:9" x14ac:dyDescent="0.25">
      <c r="A1">
        <v>1</v>
      </c>
      <c r="B1" t="str">
        <f>IF(INDEX(Feed_D!$B$2:$MR$2,1,(A1-1)*6+1)=0,"",INDEX(Feed_D!$B$2:$MR$2,1,(A1-1)*6+1))</f>
        <v>Whispering Death</v>
      </c>
    </row>
    <row r="2" spans="1:9" x14ac:dyDescent="0.25">
      <c r="A2">
        <v>2</v>
      </c>
      <c r="B2" t="str">
        <f>IF(INDEX(Feed_D!$B$2:$MR$2,1,(A2-1)*6+1)=0,"",INDEX(Feed_D!$B$2:$MR$2,1,(A2-1)*6+1))</f>
        <v>Scauldron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</row>
    <row r="3" spans="1:9" x14ac:dyDescent="0.25">
      <c r="A3">
        <v>3</v>
      </c>
      <c r="B3" t="str">
        <f>IF(INDEX(Feed_D!$B$2:$MR$2,1,(A3-1)*6+1)=0,"",INDEX(Feed_D!$B$2:$MR$2,1,(A3-1)*6+1))</f>
        <v>Meatlug</v>
      </c>
      <c r="E3" t="s">
        <v>91</v>
      </c>
      <c r="F3" t="s">
        <v>35</v>
      </c>
      <c r="G3" t="s">
        <v>16</v>
      </c>
      <c r="H3" t="s">
        <v>24</v>
      </c>
      <c r="I3" t="s">
        <v>36</v>
      </c>
    </row>
    <row r="4" spans="1:9" x14ac:dyDescent="0.25">
      <c r="A4">
        <v>4</v>
      </c>
      <c r="B4" t="str">
        <f>IF(INDEX(Feed_D!$B$2:$MR$2,1,(A4-1)*6+1)=0,"",INDEX(Feed_D!$B$2:$MR$2,1,(A4-1)*6+1))</f>
        <v>Hookfang</v>
      </c>
      <c r="D4">
        <v>4</v>
      </c>
      <c r="E4" t="e">
        <f>IF(INDEX(Feed_D!$B$4:$FA$42,$D4-3,MATCH(E$3,Feed_D!$B$2:$FA$2,0)+5)=0,#N/A,INDEX(Feed_D!$B$4:$FA$42,$D4-3,MATCH(E$3,Feed_D!$B$2:$FA$2,0)+5))</f>
        <v>#N/A</v>
      </c>
      <c r="F4" t="e">
        <f>IF(INDEX(Feed_D!$B$4:$FA$42,$D4-3,MATCH(F$3,Feed_D!$B$2:$FA$2,0)+5)=0,#N/A,INDEX(Feed_D!$B$4:$FA$42,$D4-3,MATCH(F$3,Feed_D!$B$2:$FA$2,0)+5))</f>
        <v>#N/A</v>
      </c>
      <c r="G4" t="e">
        <f>IF(INDEX(Feed_D!$B$4:$FA$42,$D4-3,MATCH(G$3,Feed_D!$B$2:$FA$2,0)+5)=0,#N/A,INDEX(Feed_D!$B$4:$FA$42,$D4-3,MATCH(G$3,Feed_D!$B$2:$FA$2,0)+5))</f>
        <v>#N/A</v>
      </c>
      <c r="H4" t="e">
        <f>IF(INDEX(Feed_D!$B$4:$FA$42,$D4-3,MATCH(H$3,Feed_D!$B$2:$FA$2,0)+5)=0,#N/A,INDEX(Feed_D!$B$4:$FA$42,$D4-3,MATCH(H$3,Feed_D!$B$2:$FA$2,0)+5))</f>
        <v>#N/A</v>
      </c>
      <c r="I4" t="e">
        <f>IF(INDEX(Feed_D!$B$4:$FA$42,$D4-3,MATCH(I$3,Feed_D!$B$2:$FA$2,0)+5)=0,#N/A,INDEX(Feed_D!$B$4:$FA$42,$D4-3,MATCH(I$3,Feed_D!$B$2:$FA$2,0)+5))</f>
        <v>#N/A</v>
      </c>
    </row>
    <row r="5" spans="1:9" x14ac:dyDescent="0.25">
      <c r="A5">
        <v>5</v>
      </c>
      <c r="B5" t="str">
        <f>IF(INDEX(Feed_D!$B$2:$MR$2,1,(A5-1)*6+1)=0,"",INDEX(Feed_D!$B$2:$MR$2,1,(A5-1)*6+1))</f>
        <v>Thunderdrum</v>
      </c>
      <c r="D5">
        <v>5</v>
      </c>
      <c r="E5">
        <f>IF(INDEX(Feed_D!$B$4:$FA$42,$D5-3,MATCH(E$3,Feed_D!$B$2:$FA$2,0)+5)=0,#N/A,INDEX(Feed_D!$B$4:$FA$42,$D5-3,MATCH(E$3,Feed_D!$B$2:$FA$2,0)+5))</f>
        <v>1.2121212121212115</v>
      </c>
      <c r="F5">
        <f>IF(INDEX(Feed_D!$B$4:$FA$42,$D5-3,MATCH(F$3,Feed_D!$B$2:$FA$2,0)+5)=0,#N/A,INDEX(Feed_D!$B$4:$FA$42,$D5-3,MATCH(F$3,Feed_D!$B$2:$FA$2,0)+5))</f>
        <v>1.3333333333333333</v>
      </c>
      <c r="G5">
        <f>IF(INDEX(Feed_D!$B$4:$FA$42,$D5-3,MATCH(G$3,Feed_D!$B$2:$FA$2,0)+5)=0,#N/A,INDEX(Feed_D!$B$4:$FA$42,$D5-3,MATCH(G$3,Feed_D!$B$2:$FA$2,0)+5))</f>
        <v>3.9090909090909083</v>
      </c>
      <c r="H5">
        <f>IF(INDEX(Feed_D!$B$4:$FA$42,$D5-3,MATCH(H$3,Feed_D!$B$2:$FA$2,0)+5)=0,#N/A,INDEX(Feed_D!$B$4:$FA$42,$D5-3,MATCH(H$3,Feed_D!$B$2:$FA$2,0)+5))</f>
        <v>2.272727272727272</v>
      </c>
      <c r="I5">
        <f>IF(INDEX(Feed_D!$B$4:$FA$42,$D5-3,MATCH(I$3,Feed_D!$B$2:$FA$2,0)+5)=0,#N/A,INDEX(Feed_D!$B$4:$FA$42,$D5-3,MATCH(I$3,Feed_D!$B$2:$FA$2,0)+5))</f>
        <v>1.3333333333333333</v>
      </c>
    </row>
    <row r="6" spans="1:9" x14ac:dyDescent="0.25">
      <c r="A6">
        <v>6</v>
      </c>
      <c r="B6" t="str">
        <f>IF(INDEX(Feed_D!$B$2:$MR$2,1,(A6-1)*6+1)=0,"",INDEX(Feed_D!$B$2:$MR$2,1,(A6-1)*6+1))</f>
        <v>Typhoomerang</v>
      </c>
      <c r="D6">
        <v>6</v>
      </c>
      <c r="E6">
        <f>IF(INDEX(Feed_D!$B$4:$FA$42,$D6-3,MATCH(E$3,Feed_D!$B$2:$FA$2,0)+5)=0,#N/A,INDEX(Feed_D!$B$4:$FA$42,$D6-3,MATCH(E$3,Feed_D!$B$2:$FA$2,0)+5))</f>
        <v>0.53333333333333344</v>
      </c>
      <c r="F6">
        <f>IF(INDEX(Feed_D!$B$4:$FA$42,$D6-3,MATCH(F$3,Feed_D!$B$2:$FA$2,0)+5)=0,#N/A,INDEX(Feed_D!$B$4:$FA$42,$D6-3,MATCH(F$3,Feed_D!$B$2:$FA$2,0)+5))</f>
        <v>0.58947368421052626</v>
      </c>
      <c r="G6">
        <f>IF(INDEX(Feed_D!$B$4:$FA$42,$D6-3,MATCH(G$3,Feed_D!$B$2:$FA$2,0)+5)=0,#N/A,INDEX(Feed_D!$B$4:$FA$42,$D6-3,MATCH(G$3,Feed_D!$B$2:$FA$2,0)+5))</f>
        <v>2.2196969696969706</v>
      </c>
      <c r="H6">
        <f>IF(INDEX(Feed_D!$B$4:$FA$42,$D6-3,MATCH(H$3,Feed_D!$B$2:$FA$2,0)+5)=0,#N/A,INDEX(Feed_D!$B$4:$FA$42,$D6-3,MATCH(H$3,Feed_D!$B$2:$FA$2,0)+5))</f>
        <v>1</v>
      </c>
      <c r="I6">
        <f>IF(INDEX(Feed_D!$B$4:$FA$42,$D6-3,MATCH(I$3,Feed_D!$B$2:$FA$2,0)+5)=0,#N/A,INDEX(Feed_D!$B$4:$FA$42,$D6-3,MATCH(I$3,Feed_D!$B$2:$FA$2,0)+5))</f>
        <v>0.58947368421052626</v>
      </c>
    </row>
    <row r="7" spans="1:9" x14ac:dyDescent="0.25">
      <c r="A7">
        <v>7</v>
      </c>
      <c r="B7" t="str">
        <f>IF(INDEX(Feed_D!$B$2:$MR$2,1,(A7-1)*6+1)=0,"",INDEX(Feed_D!$B$2:$MR$2,1,(A7-1)*6+1))</f>
        <v>Deadly Nadder</v>
      </c>
      <c r="D7">
        <v>7</v>
      </c>
      <c r="E7">
        <f>IF(INDEX(Feed_D!$B$4:$FA$42,$D7-3,MATCH(E$3,Feed_D!$B$2:$FA$2,0)+5)=0,#N/A,INDEX(Feed_D!$B$4:$FA$42,$D7-3,MATCH(E$3,Feed_D!$B$2:$FA$2,0)+5))</f>
        <v>3.8399999999999967</v>
      </c>
      <c r="F7">
        <f>IF(INDEX(Feed_D!$B$4:$FA$42,$D7-3,MATCH(F$3,Feed_D!$B$2:$FA$2,0)+5)=0,#N/A,INDEX(Feed_D!$B$4:$FA$42,$D7-3,MATCH(F$3,Feed_D!$B$2:$FA$2,0)+5))</f>
        <v>3.8399999999999967</v>
      </c>
      <c r="G7">
        <f>IF(INDEX(Feed_D!$B$4:$FA$42,$D7-3,MATCH(G$3,Feed_D!$B$2:$FA$2,0)+5)=0,#N/A,INDEX(Feed_D!$B$4:$FA$42,$D7-3,MATCH(G$3,Feed_D!$B$2:$FA$2,0)+5))</f>
        <v>11.076923076923086</v>
      </c>
      <c r="H7">
        <f>IF(INDEX(Feed_D!$B$4:$FA$42,$D7-3,MATCH(H$3,Feed_D!$B$2:$FA$2,0)+5)=0,#N/A,INDEX(Feed_D!$B$4:$FA$42,$D7-3,MATCH(H$3,Feed_D!$B$2:$FA$2,0)+5))</f>
        <v>7.9999999999999822</v>
      </c>
      <c r="I7">
        <f>IF(INDEX(Feed_D!$B$4:$FA$42,$D7-3,MATCH(I$3,Feed_D!$B$2:$FA$2,0)+5)=0,#N/A,INDEX(Feed_D!$B$4:$FA$42,$D7-3,MATCH(I$3,Feed_D!$B$2:$FA$2,0)+5))</f>
        <v>3.8399999999999967</v>
      </c>
    </row>
    <row r="8" spans="1:9" x14ac:dyDescent="0.25">
      <c r="A8">
        <v>8</v>
      </c>
      <c r="B8" t="str">
        <f>IF(INDEX(Feed_D!$B$2:$MR$2,1,(A8-1)*6+1)=0,"",INDEX(Feed_D!$B$2:$MR$2,1,(A8-1)*6+1))</f>
        <v>Stormfly</v>
      </c>
      <c r="D8">
        <v>8</v>
      </c>
      <c r="E8">
        <f>IF(INDEX(Feed_D!$B$4:$FA$42,$D8-3,MATCH(E$3,Feed_D!$B$2:$FA$2,0)+5)=0,#N/A,INDEX(Feed_D!$B$4:$FA$42,$D8-3,MATCH(E$3,Feed_D!$B$2:$FA$2,0)+5))</f>
        <v>3.0400000000000014</v>
      </c>
      <c r="F8">
        <f>IF(INDEX(Feed_D!$B$4:$FA$42,$D8-3,MATCH(F$3,Feed_D!$B$2:$FA$2,0)+5)=0,#N/A,INDEX(Feed_D!$B$4:$FA$42,$D8-3,MATCH(F$3,Feed_D!$B$2:$FA$2,0)+5))</f>
        <v>3.6479999999999997</v>
      </c>
      <c r="G8">
        <f>IF(INDEX(Feed_D!$B$4:$FA$42,$D8-3,MATCH(G$3,Feed_D!$B$2:$FA$2,0)+5)=0,#N/A,INDEX(Feed_D!$B$4:$FA$42,$D8-3,MATCH(G$3,Feed_D!$B$2:$FA$2,0)+5))</f>
        <v>7.7999999999999936</v>
      </c>
      <c r="H8">
        <f>IF(INDEX(Feed_D!$B$4:$FA$42,$D8-3,MATCH(H$3,Feed_D!$B$2:$FA$2,0)+5)=0,#N/A,INDEX(Feed_D!$B$4:$FA$42,$D8-3,MATCH(H$3,Feed_D!$B$2:$FA$2,0)+5))</f>
        <v>5.6999999999999993</v>
      </c>
      <c r="I8">
        <f>IF(INDEX(Feed_D!$B$4:$FA$42,$D8-3,MATCH(I$3,Feed_D!$B$2:$FA$2,0)+5)=0,#N/A,INDEX(Feed_D!$B$4:$FA$42,$D8-3,MATCH(I$3,Feed_D!$B$2:$FA$2,0)+5))</f>
        <v>3.6479999999999997</v>
      </c>
    </row>
    <row r="9" spans="1:9" x14ac:dyDescent="0.25">
      <c r="A9">
        <v>9</v>
      </c>
      <c r="B9" t="str">
        <f>IF(INDEX(Feed_D!$B$2:$MR$2,1,(A9-1)*6+1)=0,"",INDEX(Feed_D!$B$2:$MR$2,1,(A9-1)*6+1))</f>
        <v>Hackatoo</v>
      </c>
      <c r="D9">
        <v>9</v>
      </c>
      <c r="E9">
        <f>IF(INDEX(Feed_D!$B$4:$FA$42,$D9-3,MATCH(E$3,Feed_D!$B$2:$FA$2,0)+5)=0,#N/A,INDEX(Feed_D!$B$4:$FA$42,$D9-3,MATCH(E$3,Feed_D!$B$2:$FA$2,0)+5))</f>
        <v>5.9999999999999947</v>
      </c>
      <c r="F9">
        <f>IF(INDEX(Feed_D!$B$4:$FA$42,$D9-3,MATCH(F$3,Feed_D!$B$2:$FA$2,0)+5)=0,#N/A,INDEX(Feed_D!$B$4:$FA$42,$D9-3,MATCH(F$3,Feed_D!$B$2:$FA$2,0)+5))</f>
        <v>6.000000000000008</v>
      </c>
      <c r="G9">
        <f>IF(INDEX(Feed_D!$B$4:$FA$42,$D9-3,MATCH(G$3,Feed_D!$B$2:$FA$2,0)+5)=0,#N/A,INDEX(Feed_D!$B$4:$FA$42,$D9-3,MATCH(G$3,Feed_D!$B$2:$FA$2,0)+5))</f>
        <v>7.3584905660377444</v>
      </c>
      <c r="H9">
        <f>IF(INDEX(Feed_D!$B$4:$FA$42,$D9-3,MATCH(H$3,Feed_D!$B$2:$FA$2,0)+5)=0,#N/A,INDEX(Feed_D!$B$4:$FA$42,$D9-3,MATCH(H$3,Feed_D!$B$2:$FA$2,0)+5))</f>
        <v>10.714285714285726</v>
      </c>
      <c r="I9">
        <f>IF(INDEX(Feed_D!$B$4:$FA$42,$D9-3,MATCH(I$3,Feed_D!$B$2:$FA$2,0)+5)=0,#N/A,INDEX(Feed_D!$B$4:$FA$42,$D9-3,MATCH(I$3,Feed_D!$B$2:$FA$2,0)+5))</f>
        <v>6.000000000000008</v>
      </c>
    </row>
    <row r="10" spans="1:9" x14ac:dyDescent="0.25">
      <c r="A10">
        <v>10</v>
      </c>
      <c r="B10" t="str">
        <f>IF(INDEX(Feed_D!$B$2:$MR$2,1,(A10-1)*6+1)=0,"",INDEX(Feed_D!$B$2:$MR$2,1,(A10-1)*6+1))</f>
        <v>Shockjaw</v>
      </c>
      <c r="D10">
        <v>10</v>
      </c>
      <c r="E10">
        <f>IF(INDEX(Feed_D!$B$4:$FA$42,$D10-3,MATCH(E$3,Feed_D!$B$2:$FA$2,0)+5)=0,#N/A,INDEX(Feed_D!$B$4:$FA$42,$D10-3,MATCH(E$3,Feed_D!$B$2:$FA$2,0)+5))</f>
        <v>3.5999999999999996</v>
      </c>
      <c r="F10">
        <f>IF(INDEX(Feed_D!$B$4:$FA$42,$D10-3,MATCH(F$3,Feed_D!$B$2:$FA$2,0)+5)=0,#N/A,INDEX(Feed_D!$B$4:$FA$42,$D10-3,MATCH(F$3,Feed_D!$B$2:$FA$2,0)+5))</f>
        <v>3.9999999999999982</v>
      </c>
      <c r="G10">
        <f>IF(INDEX(Feed_D!$B$4:$FA$42,$D10-3,MATCH(G$3,Feed_D!$B$2:$FA$2,0)+5)=0,#N/A,INDEX(Feed_D!$B$4:$FA$42,$D10-3,MATCH(G$3,Feed_D!$B$2:$FA$2,0)+5))</f>
        <v>5.9999999999999876</v>
      </c>
      <c r="H10">
        <f>IF(INDEX(Feed_D!$B$4:$FA$42,$D10-3,MATCH(H$3,Feed_D!$B$2:$FA$2,0)+5)=0,#N/A,INDEX(Feed_D!$B$4:$FA$42,$D10-3,MATCH(H$3,Feed_D!$B$2:$FA$2,0)+5))</f>
        <v>7.012499999999994</v>
      </c>
      <c r="I10" t="e">
        <f>IF(INDEX(Feed_D!$B$4:$FA$42,$D10-3,MATCH(I$3,Feed_D!$B$2:$FA$2,0)+5)=0,#N/A,INDEX(Feed_D!$B$4:$FA$42,$D10-3,MATCH(I$3,Feed_D!$B$2:$FA$2,0)+5))</f>
        <v>#N/A</v>
      </c>
    </row>
    <row r="11" spans="1:9" x14ac:dyDescent="0.25">
      <c r="A11">
        <v>11</v>
      </c>
      <c r="B11" t="str">
        <f>IF(INDEX(Feed_D!$B$2:$MR$2,1,(A11-1)*6+1)=0,"",INDEX(Feed_D!$B$2:$MR$2,1,(A11-1)*6+1))</f>
        <v>Exotic Hackatoo</v>
      </c>
      <c r="D11">
        <v>11</v>
      </c>
      <c r="E11">
        <f>IF(INDEX(Feed_D!$B$4:$FA$42,$D11-3,MATCH(E$3,Feed_D!$B$2:$FA$2,0)+5)=0,#N/A,INDEX(Feed_D!$B$4:$FA$42,$D11-3,MATCH(E$3,Feed_D!$B$2:$FA$2,0)+5))</f>
        <v>3.84</v>
      </c>
      <c r="F11">
        <f>IF(INDEX(Feed_D!$B$4:$FA$42,$D11-3,MATCH(F$3,Feed_D!$B$2:$FA$2,0)+5)=0,#N/A,INDEX(Feed_D!$B$4:$FA$42,$D11-3,MATCH(F$3,Feed_D!$B$2:$FA$2,0)+5))</f>
        <v>4.2666666666666648</v>
      </c>
      <c r="G11">
        <f>IF(INDEX(Feed_D!$B$4:$FA$42,$D11-3,MATCH(G$3,Feed_D!$B$2:$FA$2,0)+5)=0,#N/A,INDEX(Feed_D!$B$4:$FA$42,$D11-3,MATCH(G$3,Feed_D!$B$2:$FA$2,0)+5))</f>
        <v>6.2307692307692362</v>
      </c>
      <c r="H11">
        <f>IF(INDEX(Feed_D!$B$4:$FA$42,$D11-3,MATCH(H$3,Feed_D!$B$2:$FA$2,0)+5)=0,#N/A,INDEX(Feed_D!$B$4:$FA$42,$D11-3,MATCH(H$3,Feed_D!$B$2:$FA$2,0)+5))</f>
        <v>6.6666666666666776</v>
      </c>
      <c r="I11" t="e">
        <f>IF(INDEX(Feed_D!$B$4:$FA$42,$D11-3,MATCH(I$3,Feed_D!$B$2:$FA$2,0)+5)=0,#N/A,INDEX(Feed_D!$B$4:$FA$42,$D11-3,MATCH(I$3,Feed_D!$B$2:$FA$2,0)+5))</f>
        <v>#N/A</v>
      </c>
    </row>
    <row r="12" spans="1:9" x14ac:dyDescent="0.25">
      <c r="A12">
        <v>12</v>
      </c>
      <c r="B12" t="str">
        <f>IF(INDEX(Feed_D!$B$2:$MR$2,1,(A12-1)*6+1)=0,"",INDEX(Feed_D!$B$2:$MR$2,1,(A12-1)*6+1))</f>
        <v>Exotic Shockjaw</v>
      </c>
      <c r="D12">
        <v>12</v>
      </c>
      <c r="E12">
        <f>IF(INDEX(Feed_D!$B$4:$FA$42,$D12-3,MATCH(E$3,Feed_D!$B$2:$FA$2,0)+5)=0,#N/A,INDEX(Feed_D!$B$4:$FA$42,$D12-3,MATCH(E$3,Feed_D!$B$2:$FA$2,0)+5))</f>
        <v>10.666666666666705</v>
      </c>
      <c r="F12">
        <f>IF(INDEX(Feed_D!$B$4:$FA$42,$D12-3,MATCH(F$3,Feed_D!$B$2:$FA$2,0)+5)=0,#N/A,INDEX(Feed_D!$B$4:$FA$42,$D12-3,MATCH(F$3,Feed_D!$B$2:$FA$2,0)+5))</f>
        <v>12.8</v>
      </c>
      <c r="G12">
        <f>IF(INDEX(Feed_D!$B$4:$FA$42,$D12-3,MATCH(G$3,Feed_D!$B$2:$FA$2,0)+5)=0,#N/A,INDEX(Feed_D!$B$4:$FA$42,$D12-3,MATCH(G$3,Feed_D!$B$2:$FA$2,0)+5))</f>
        <v>12.999999999999989</v>
      </c>
      <c r="H12">
        <f>IF(INDEX(Feed_D!$B$4:$FA$42,$D12-3,MATCH(H$3,Feed_D!$B$2:$FA$2,0)+5)=0,#N/A,INDEX(Feed_D!$B$4:$FA$42,$D12-3,MATCH(H$3,Feed_D!$B$2:$FA$2,0)+5))</f>
        <v>24.999999999999979</v>
      </c>
      <c r="I12" t="e">
        <f>IF(INDEX(Feed_D!$B$4:$FA$42,$D12-3,MATCH(I$3,Feed_D!$B$2:$FA$2,0)+5)=0,#N/A,INDEX(Feed_D!$B$4:$FA$42,$D12-3,MATCH(I$3,Feed_D!$B$2:$FA$2,0)+5))</f>
        <v>#N/A</v>
      </c>
    </row>
    <row r="13" spans="1:9" x14ac:dyDescent="0.25">
      <c r="A13">
        <v>13</v>
      </c>
      <c r="B13" t="str">
        <f>IF(INDEX(Feed_D!$B$2:$MR$2,1,(A13-1)*6+1)=0,"",INDEX(Feed_D!$B$2:$MR$2,1,(A13-1)*6+1))</f>
        <v>Timberjack</v>
      </c>
      <c r="D13">
        <v>13</v>
      </c>
      <c r="E13">
        <f>IF(INDEX(Feed_D!$B$4:$FA$42,$D13-3,MATCH(E$3,Feed_D!$B$2:$FA$2,0)+5)=0,#N/A,INDEX(Feed_D!$B$4:$FA$42,$D13-3,MATCH(E$3,Feed_D!$B$2:$FA$2,0)+5))</f>
        <v>20.399999999999711</v>
      </c>
      <c r="F13">
        <f>IF(INDEX(Feed_D!$B$4:$FA$42,$D13-3,MATCH(F$3,Feed_D!$B$2:$FA$2,0)+5)=0,#N/A,INDEX(Feed_D!$B$4:$FA$42,$D13-3,MATCH(F$3,Feed_D!$B$2:$FA$2,0)+5))</f>
        <v>96.000000000000355</v>
      </c>
      <c r="G13">
        <f>IF(INDEX(Feed_D!$B$4:$FA$42,$D13-3,MATCH(G$3,Feed_D!$B$2:$FA$2,0)+5)=0,#N/A,INDEX(Feed_D!$B$4:$FA$42,$D13-3,MATCH(G$3,Feed_D!$B$2:$FA$2,0)+5))</f>
        <v>33.300000000000118</v>
      </c>
      <c r="H13">
        <f>IF(INDEX(Feed_D!$B$4:$FA$42,$D13-3,MATCH(H$3,Feed_D!$B$2:$FA$2,0)+5)=0,#N/A,INDEX(Feed_D!$B$4:$FA$42,$D13-3,MATCH(H$3,Feed_D!$B$2:$FA$2,0)+5))</f>
        <v>149.9999999999992</v>
      </c>
      <c r="I13">
        <f>IF(INDEX(Feed_D!$B$4:$FA$42,$D13-3,MATCH(I$3,Feed_D!$B$2:$FA$2,0)+5)=0,#N/A,INDEX(Feed_D!$B$4:$FA$42,$D13-3,MATCH(I$3,Feed_D!$B$2:$FA$2,0)+5))</f>
        <v>258.00000000000091</v>
      </c>
    </row>
    <row r="14" spans="1:9" x14ac:dyDescent="0.25">
      <c r="A14">
        <v>14</v>
      </c>
      <c r="B14" t="str">
        <f>IF(INDEX(Feed_D!$B$2:$MR$2,1,(A14-1)*6+1)=0,"",INDEX(Feed_D!$B$2:$MR$2,1,(A14-1)*6+1))</f>
        <v>Changewing</v>
      </c>
      <c r="D14">
        <v>14</v>
      </c>
      <c r="E14">
        <f>IF(INDEX(Feed_D!$B$4:$FA$42,$D14-3,MATCH(E$3,Feed_D!$B$2:$FA$2,0)+5)=0,#N/A,INDEX(Feed_D!$B$4:$FA$42,$D14-3,MATCH(E$3,Feed_D!$B$2:$FA$2,0)+5))</f>
        <v>26.400000000000095</v>
      </c>
      <c r="F14">
        <f>IF(INDEX(Feed_D!$B$4:$FA$42,$D14-3,MATCH(F$3,Feed_D!$B$2:$FA$2,0)+5)=0,#N/A,INDEX(Feed_D!$B$4:$FA$42,$D14-3,MATCH(F$3,Feed_D!$B$2:$FA$2,0)+5))</f>
        <v>131.99999999999932</v>
      </c>
      <c r="G14">
        <f>IF(INDEX(Feed_D!$B$4:$FA$42,$D14-3,MATCH(G$3,Feed_D!$B$2:$FA$2,0)+5)=0,#N/A,INDEX(Feed_D!$B$4:$FA$42,$D14-3,MATCH(G$3,Feed_D!$B$2:$FA$2,0)+5))</f>
        <v>42.900000000000155</v>
      </c>
      <c r="H14">
        <f>IF(INDEX(Feed_D!$B$4:$FA$42,$D14-3,MATCH(H$3,Feed_D!$B$2:$FA$2,0)+5)=0,#N/A,INDEX(Feed_D!$B$4:$FA$42,$D14-3,MATCH(H$3,Feed_D!$B$2:$FA$2,0)+5))</f>
        <v>205.50000000000071</v>
      </c>
      <c r="I14">
        <f>IF(INDEX(Feed_D!$B$4:$FA$42,$D14-3,MATCH(I$3,Feed_D!$B$2:$FA$2,0)+5)=0,#N/A,INDEX(Feed_D!$B$4:$FA$42,$D14-3,MATCH(I$3,Feed_D!$B$2:$FA$2,0)+5))</f>
        <v>87.999999999999801</v>
      </c>
    </row>
    <row r="15" spans="1:9" x14ac:dyDescent="0.25">
      <c r="A15">
        <v>15</v>
      </c>
      <c r="B15" t="str">
        <f>IF(INDEX(Feed_D!$B$2:$MR$2,1,(A15-1)*6+1)=0,"",INDEX(Feed_D!$B$2:$MR$2,1,(A15-1)*6+1))</f>
        <v>Smothering Smokebreath</v>
      </c>
      <c r="D15">
        <v>15</v>
      </c>
      <c r="E15" t="e">
        <f>IF(INDEX(Feed_D!$B$4:$FA$42,$D15-3,MATCH(E$3,Feed_D!$B$2:$FA$2,0)+5)=0,#N/A,INDEX(Feed_D!$B$4:$FA$42,$D15-3,MATCH(E$3,Feed_D!$B$2:$FA$2,0)+5))</f>
        <v>#DIV/0!</v>
      </c>
      <c r="F15" t="e">
        <f>IF(INDEX(Feed_D!$B$4:$FA$42,$D15-3,MATCH(F$3,Feed_D!$B$2:$FA$2,0)+5)=0,#N/A,INDEX(Feed_D!$B$4:$FA$42,$D15-3,MATCH(F$3,Feed_D!$B$2:$FA$2,0)+5))</f>
        <v>#DIV/0!</v>
      </c>
      <c r="G15">
        <f>IF(INDEX(Feed_D!$B$4:$FA$42,$D15-3,MATCH(G$3,Feed_D!$B$2:$FA$2,0)+5)=0,#N/A,INDEX(Feed_D!$B$4:$FA$42,$D15-3,MATCH(G$3,Feed_D!$B$2:$FA$2,0)+5))</f>
        <v>97.500000000000341</v>
      </c>
      <c r="H15" t="e">
        <f>IF(INDEX(Feed_D!$B$4:$FA$42,$D15-3,MATCH(H$3,Feed_D!$B$2:$FA$2,0)+5)=0,#N/A,INDEX(Feed_D!$B$4:$FA$42,$D15-3,MATCH(H$3,Feed_D!$B$2:$FA$2,0)+5))</f>
        <v>#DIV/0!</v>
      </c>
      <c r="I15" t="e">
        <f>IF(INDEX(Feed_D!$B$4:$FA$42,$D15-3,MATCH(I$3,Feed_D!$B$2:$FA$2,0)+5)=0,#N/A,INDEX(Feed_D!$B$4:$FA$42,$D15-3,MATCH(I$3,Feed_D!$B$2:$FA$2,0)+5))</f>
        <v>#DIV/0!</v>
      </c>
    </row>
    <row r="16" spans="1:9" x14ac:dyDescent="0.25">
      <c r="A16">
        <v>16</v>
      </c>
      <c r="B16" t="str">
        <f>IF(INDEX(Feed_D!$B$2:$MR$2,1,(A16-1)*6+1)=0,"",INDEX(Feed_D!$B$2:$MR$2,1,(A16-1)*6+1))</f>
        <v>Hotburple</v>
      </c>
      <c r="D16">
        <v>16</v>
      </c>
      <c r="E16">
        <f>IF(INDEX(Feed_D!$B$4:$FA$42,$D16-3,MATCH(E$3,Feed_D!$B$2:$FA$2,0)+5)=0,#N/A,INDEX(Feed_D!$B$4:$FA$42,$D16-3,MATCH(E$3,Feed_D!$B$2:$FA$2,0)+5))</f>
        <v>38.400000000000134</v>
      </c>
      <c r="F16">
        <f>IF(INDEX(Feed_D!$B$4:$FA$42,$D16-3,MATCH(F$3,Feed_D!$B$2:$FA$2,0)+5)=0,#N/A,INDEX(Feed_D!$B$4:$FA$42,$D16-3,MATCH(F$3,Feed_D!$B$2:$FA$2,0)+5))</f>
        <v>288.00000000000102</v>
      </c>
      <c r="G16">
        <f>IF(INDEX(Feed_D!$B$4:$FA$42,$D16-3,MATCH(G$3,Feed_D!$B$2:$FA$2,0)+5)=0,#N/A,INDEX(Feed_D!$B$4:$FA$42,$D16-3,MATCH(G$3,Feed_D!$B$2:$FA$2,0)+5))</f>
        <v>62.399999999999118</v>
      </c>
      <c r="H16">
        <f>IF(INDEX(Feed_D!$B$4:$FA$42,$D16-3,MATCH(H$3,Feed_D!$B$2:$FA$2,0)+5)=0,#N/A,INDEX(Feed_D!$B$4:$FA$42,$D16-3,MATCH(H$3,Feed_D!$B$2:$FA$2,0)+5))</f>
        <v>450.00000000000159</v>
      </c>
      <c r="I16">
        <f>IF(INDEX(Feed_D!$B$4:$FA$42,$D16-3,MATCH(I$3,Feed_D!$B$2:$FA$2,0)+5)=0,#N/A,INDEX(Feed_D!$B$4:$FA$42,$D16-3,MATCH(I$3,Feed_D!$B$2:$FA$2,0)+5))</f>
        <v>288.00000000000102</v>
      </c>
    </row>
    <row r="17" spans="1:9" x14ac:dyDescent="0.25">
      <c r="A17">
        <v>17</v>
      </c>
      <c r="B17" t="str">
        <f>IF(INDEX(Feed_D!$B$2:$MR$2,1,(A17-1)*6+1)=0,"",INDEX(Feed_D!$B$2:$MR$2,1,(A17-1)*6+1))</f>
        <v>Hideous Zippleback</v>
      </c>
      <c r="D17">
        <v>17</v>
      </c>
      <c r="E17" t="e">
        <f>IF(INDEX(Feed_D!$B$4:$FA$42,$D17-3,MATCH(E$3,Feed_D!$B$2:$FA$2,0)+5)=0,#N/A,INDEX(Feed_D!$B$4:$FA$42,$D17-3,MATCH(E$3,Feed_D!$B$2:$FA$2,0)+5))</f>
        <v>#DIV/0!</v>
      </c>
      <c r="F17" t="e">
        <f>IF(INDEX(Feed_D!$B$4:$FA$42,$D17-3,MATCH(F$3,Feed_D!$B$2:$FA$2,0)+5)=0,#N/A,INDEX(Feed_D!$B$4:$FA$42,$D17-3,MATCH(F$3,Feed_D!$B$2:$FA$2,0)+5))</f>
        <v>#DIV/0!</v>
      </c>
      <c r="G17">
        <f>IF(INDEX(Feed_D!$B$4:$FA$42,$D17-3,MATCH(G$3,Feed_D!$B$2:$FA$2,0)+5)=0,#N/A,INDEX(Feed_D!$B$4:$FA$42,$D17-3,MATCH(G$3,Feed_D!$B$2:$FA$2,0)+5))</f>
        <v>70.200000000000244</v>
      </c>
      <c r="H17" t="e">
        <f>IF(INDEX(Feed_D!$B$4:$FA$42,$D17-3,MATCH(H$3,Feed_D!$B$2:$FA$2,0)+5)=0,#N/A,INDEX(Feed_D!$B$4:$FA$42,$D17-3,MATCH(H$3,Feed_D!$B$2:$FA$2,0)+5))</f>
        <v>#DIV/0!</v>
      </c>
      <c r="I17" t="e">
        <f>IF(INDEX(Feed_D!$B$4:$FA$42,$D17-3,MATCH(I$3,Feed_D!$B$2:$FA$2,0)+5)=0,#N/A,INDEX(Feed_D!$B$4:$FA$42,$D17-3,MATCH(I$3,Feed_D!$B$2:$FA$2,0)+5))</f>
        <v>#DIV/0!</v>
      </c>
    </row>
    <row r="18" spans="1:9" x14ac:dyDescent="0.25">
      <c r="A18">
        <v>18</v>
      </c>
      <c r="B18" t="str">
        <f>IF(INDEX(Feed_D!$B$2:$MR$2,1,(A18-1)*6+1)=0,"",INDEX(Feed_D!$B$2:$MR$2,1,(A18-1)*6+1))</f>
        <v>Toothless' Rival</v>
      </c>
      <c r="D18">
        <v>18</v>
      </c>
      <c r="E18">
        <f>IF(INDEX(Feed_D!$B$4:$FA$42,$D18-3,MATCH(E$3,Feed_D!$B$2:$FA$2,0)+5)=0,#N/A,INDEX(Feed_D!$B$4:$FA$42,$D18-3,MATCH(E$3,Feed_D!$B$2:$FA$2,0)+5))</f>
        <v>108.0000000000004</v>
      </c>
      <c r="F18">
        <f>IF(INDEX(Feed_D!$B$4:$FA$42,$D18-3,MATCH(F$3,Feed_D!$B$2:$FA$2,0)+5)=0,#N/A,INDEX(Feed_D!$B$4:$FA$42,$D18-3,MATCH(F$3,Feed_D!$B$2:$FA$2,0)+5))</f>
        <v>108.0000000000004</v>
      </c>
      <c r="G18">
        <f>IF(INDEX(Feed_D!$B$4:$FA$42,$D18-3,MATCH(G$3,Feed_D!$B$2:$FA$2,0)+5)=0,#N/A,INDEX(Feed_D!$B$4:$FA$42,$D18-3,MATCH(G$3,Feed_D!$B$2:$FA$2,0)+5))</f>
        <v>176.00000000000063</v>
      </c>
      <c r="H18">
        <f>IF(INDEX(Feed_D!$B$4:$FA$42,$D18-3,MATCH(H$3,Feed_D!$B$2:$FA$2,0)+5)=0,#N/A,INDEX(Feed_D!$B$4:$FA$42,$D18-3,MATCH(H$3,Feed_D!$B$2:$FA$2,0)+5))</f>
        <v>168.49999999999912</v>
      </c>
      <c r="I18">
        <f>IF(INDEX(Feed_D!$B$4:$FA$42,$D18-3,MATCH(I$3,Feed_D!$B$2:$FA$2,0)+5)=0,#N/A,INDEX(Feed_D!$B$4:$FA$42,$D18-3,MATCH(I$3,Feed_D!$B$2:$FA$2,0)+5))</f>
        <v>108.0000000000004</v>
      </c>
    </row>
    <row r="19" spans="1:9" x14ac:dyDescent="0.25">
      <c r="A19">
        <v>19</v>
      </c>
      <c r="B19" t="str">
        <f>IF(INDEX(Feed_D!$B$2:$MR$2,1,(A19-1)*6+1)=0,"",INDEX(Feed_D!$B$2:$MR$2,1,(A19-1)*6+1))</f>
        <v>Torch's Brother</v>
      </c>
      <c r="D19">
        <v>19</v>
      </c>
      <c r="E19">
        <f>IF(INDEX(Feed_D!$B$4:$FA$42,$D19-3,MATCH(E$3,Feed_D!$B$2:$FA$2,0)+5)=0,#N/A,INDEX(Feed_D!$B$4:$FA$42,$D19-3,MATCH(E$3,Feed_D!$B$2:$FA$2,0)+5))</f>
        <v>28.799999999999997</v>
      </c>
      <c r="F19">
        <f>IF(INDEX(Feed_D!$B$4:$FA$42,$D19-3,MATCH(F$3,Feed_D!$B$2:$FA$2,0)+5)=0,#N/A,INDEX(Feed_D!$B$4:$FA$42,$D19-3,MATCH(F$3,Feed_D!$B$2:$FA$2,0)+5))</f>
        <v>28.799999999999947</v>
      </c>
      <c r="G19">
        <f>IF(INDEX(Feed_D!$B$4:$FA$42,$D19-3,MATCH(G$3,Feed_D!$B$2:$FA$2,0)+5)=0,#N/A,INDEX(Feed_D!$B$4:$FA$42,$D19-3,MATCH(G$3,Feed_D!$B$2:$FA$2,0)+5))</f>
        <v>39.000000000000021</v>
      </c>
      <c r="H19">
        <f>IF(INDEX(Feed_D!$B$4:$FA$42,$D19-3,MATCH(H$3,Feed_D!$B$2:$FA$2,0)+5)=0,#N/A,INDEX(Feed_D!$B$4:$FA$42,$D19-3,MATCH(H$3,Feed_D!$B$2:$FA$2,0)+5))</f>
        <v>60.000000000000078</v>
      </c>
      <c r="I19">
        <f>IF(INDEX(Feed_D!$B$4:$FA$42,$D19-3,MATCH(I$3,Feed_D!$B$2:$FA$2,0)+5)=0,#N/A,INDEX(Feed_D!$B$4:$FA$42,$D19-3,MATCH(I$3,Feed_D!$B$2:$FA$2,0)+5))</f>
        <v>31.999999999999986</v>
      </c>
    </row>
    <row r="20" spans="1:9" x14ac:dyDescent="0.25">
      <c r="A20">
        <v>20</v>
      </c>
      <c r="B20" t="str">
        <f>IF(INDEX(Feed_D!$B$2:$MR$2,1,(A20-1)*6+1)=0,"",INDEX(Feed_D!$B$2:$MR$2,1,(A20-1)*6+1))</f>
        <v>Gronckle</v>
      </c>
      <c r="D20">
        <v>20</v>
      </c>
      <c r="E20">
        <f>IF(INDEX(Feed_D!$B$4:$FA$42,$D20-3,MATCH(E$3,Feed_D!$B$2:$FA$2,0)+5)=0,#N/A,INDEX(Feed_D!$B$4:$FA$42,$D20-3,MATCH(E$3,Feed_D!$B$2:$FA$2,0)+5))</f>
        <v>38.400000000000006</v>
      </c>
      <c r="F20">
        <f>IF(INDEX(Feed_D!$B$4:$FA$42,$D20-3,MATCH(F$3,Feed_D!$B$2:$FA$2,0)+5)=0,#N/A,INDEX(Feed_D!$B$4:$FA$42,$D20-3,MATCH(F$3,Feed_D!$B$2:$FA$2,0)+5))</f>
        <v>48.000000000000178</v>
      </c>
      <c r="G20">
        <f>IF(INDEX(Feed_D!$B$4:$FA$42,$D20-3,MATCH(G$3,Feed_D!$B$2:$FA$2,0)+5)=0,#N/A,INDEX(Feed_D!$B$4:$FA$42,$D20-3,MATCH(G$3,Feed_D!$B$2:$FA$2,0)+5))</f>
        <v>62.400000000000006</v>
      </c>
      <c r="H20">
        <f>IF(INDEX(Feed_D!$B$4:$FA$42,$D20-3,MATCH(H$3,Feed_D!$B$2:$FA$2,0)+5)=0,#N/A,INDEX(Feed_D!$B$4:$FA$42,$D20-3,MATCH(H$3,Feed_D!$B$2:$FA$2,0)+5))</f>
        <v>66.666666666666643</v>
      </c>
      <c r="I20">
        <f>IF(INDEX(Feed_D!$B$4:$FA$42,$D20-3,MATCH(I$3,Feed_D!$B$2:$FA$2,0)+5)=0,#N/A,INDEX(Feed_D!$B$4:$FA$42,$D20-3,MATCH(I$3,Feed_D!$B$2:$FA$2,0)+5))</f>
        <v>42.666666666666742</v>
      </c>
    </row>
    <row r="21" spans="1:9" x14ac:dyDescent="0.25">
      <c r="A21">
        <v>21</v>
      </c>
      <c r="B21" t="str">
        <f>IF(INDEX(Feed_D!$B$2:$MR$2,1,(A21-1)*6+1)=0,"",INDEX(Feed_D!$B$2:$MR$2,1,(A21-1)*6+1))</f>
        <v>Flightmare</v>
      </c>
      <c r="D21">
        <v>21</v>
      </c>
      <c r="E21">
        <f>IF(INDEX(Feed_D!$B$4:$FA$42,$D21-3,MATCH(E$3,Feed_D!$B$2:$FA$2,0)+5)=0,#N/A,INDEX(Feed_D!$B$4:$FA$42,$D21-3,MATCH(E$3,Feed_D!$B$2:$FA$2,0)+5))</f>
        <v>91.428571428571516</v>
      </c>
      <c r="F21">
        <f>IF(INDEX(Feed_D!$B$4:$FA$42,$D21-3,MATCH(F$3,Feed_D!$B$2:$FA$2,0)+5)=0,#N/A,INDEX(Feed_D!$B$4:$FA$42,$D21-3,MATCH(F$3,Feed_D!$B$2:$FA$2,0)+5))</f>
        <v>79.999999999999929</v>
      </c>
      <c r="G21">
        <f>IF(INDEX(Feed_D!$B$4:$FA$42,$D21-3,MATCH(G$3,Feed_D!$B$2:$FA$2,0)+5)=0,#N/A,INDEX(Feed_D!$B$4:$FA$42,$D21-3,MATCH(G$3,Feed_D!$B$2:$FA$2,0)+5))</f>
        <v>104</v>
      </c>
      <c r="H21">
        <f>IF(INDEX(Feed_D!$B$4:$FA$42,$D21-3,MATCH(H$3,Feed_D!$B$2:$FA$2,0)+5)=0,#N/A,INDEX(Feed_D!$B$4:$FA$42,$D21-3,MATCH(H$3,Feed_D!$B$2:$FA$2,0)+5))</f>
        <v>166.66666666666626</v>
      </c>
      <c r="I21">
        <f>IF(INDEX(Feed_D!$B$4:$FA$42,$D21-3,MATCH(I$3,Feed_D!$B$2:$FA$2,0)+5)=0,#N/A,INDEX(Feed_D!$B$4:$FA$42,$D21-3,MATCH(I$3,Feed_D!$B$2:$FA$2,0)+5))</f>
        <v>91.428571428571061</v>
      </c>
    </row>
    <row r="22" spans="1:9" x14ac:dyDescent="0.25">
      <c r="A22">
        <v>22</v>
      </c>
      <c r="B22" t="str">
        <f>IF(INDEX(Feed_D!$B$2:$MR$2,1,(A22-1)*6+1)=0,"",INDEX(Feed_D!$B$2:$MR$2,1,(A22-1)*6+1))</f>
        <v>Scuttleclaw</v>
      </c>
      <c r="D22">
        <v>22</v>
      </c>
      <c r="E22">
        <f>IF(INDEX(Feed_D!$B$4:$FA$42,$D22-3,MATCH(E$3,Feed_D!$B$2:$FA$2,0)+5)=0,#N/A,INDEX(Feed_D!$B$4:$FA$42,$D22-3,MATCH(E$3,Feed_D!$B$2:$FA$2,0)+5))</f>
        <v>29.333333333333325</v>
      </c>
      <c r="F22">
        <f>IF(INDEX(Feed_D!$B$4:$FA$42,$D22-3,MATCH(F$3,Feed_D!$B$2:$FA$2,0)+5)=0,#N/A,INDEX(Feed_D!$B$4:$FA$42,$D22-3,MATCH(F$3,Feed_D!$B$2:$FA$2,0)+5))</f>
        <v>32.999999999999972</v>
      </c>
      <c r="G22">
        <f>IF(INDEX(Feed_D!$B$4:$FA$42,$D22-3,MATCH(G$3,Feed_D!$B$2:$FA$2,0)+5)=0,#N/A,INDEX(Feed_D!$B$4:$FA$42,$D22-3,MATCH(G$3,Feed_D!$B$2:$FA$2,0)+5))</f>
        <v>39.000000000000014</v>
      </c>
      <c r="H22">
        <f>IF(INDEX(Feed_D!$B$4:$FA$42,$D22-3,MATCH(H$3,Feed_D!$B$2:$FA$2,0)+5)=0,#N/A,INDEX(Feed_D!$B$4:$FA$42,$D22-3,MATCH(H$3,Feed_D!$B$2:$FA$2,0)+5))</f>
        <v>55</v>
      </c>
      <c r="I22">
        <f>IF(INDEX(Feed_D!$B$4:$FA$42,$D22-3,MATCH(I$3,Feed_D!$B$2:$FA$2,0)+5)=0,#N/A,INDEX(Feed_D!$B$4:$FA$42,$D22-3,MATCH(I$3,Feed_D!$B$2:$FA$2,0)+5))</f>
        <v>31.058823529411779</v>
      </c>
    </row>
    <row r="23" spans="1:9" x14ac:dyDescent="0.25">
      <c r="A23">
        <v>23</v>
      </c>
      <c r="B23" t="str">
        <f>IF(INDEX(Feed_D!$B$2:$MR$2,1,(A23-1)*6+1)=0,"",INDEX(Feed_D!$B$2:$MR$2,1,(A23-1)*6+1))</f>
        <v>Raincutter</v>
      </c>
      <c r="D23">
        <v>23</v>
      </c>
      <c r="E23">
        <f>IF(INDEX(Feed_D!$B$4:$FA$42,$D23-3,MATCH(E$3,Feed_D!$B$2:$FA$2,0)+5)=0,#N/A,INDEX(Feed_D!$B$4:$FA$42,$D23-3,MATCH(E$3,Feed_D!$B$2:$FA$2,0)+5))</f>
        <v>86.999999999999915</v>
      </c>
      <c r="F23">
        <f>IF(INDEX(Feed_D!$B$4:$FA$42,$D23-3,MATCH(F$3,Feed_D!$B$2:$FA$2,0)+5)=0,#N/A,INDEX(Feed_D!$B$4:$FA$42,$D23-3,MATCH(F$3,Feed_D!$B$2:$FA$2,0)+5))</f>
        <v>86.999999999999915</v>
      </c>
      <c r="G23">
        <f>IF(INDEX(Feed_D!$B$4:$FA$42,$D23-3,MATCH(G$3,Feed_D!$B$2:$FA$2,0)+5)=0,#N/A,INDEX(Feed_D!$B$4:$FA$42,$D23-3,MATCH(G$3,Feed_D!$B$2:$FA$2,0)+5))</f>
        <v>113.39999999999999</v>
      </c>
      <c r="H23">
        <f>IF(INDEX(Feed_D!$B$4:$FA$42,$D23-3,MATCH(H$3,Feed_D!$B$2:$FA$2,0)+5)=0,#N/A,INDEX(Feed_D!$B$4:$FA$42,$D23-3,MATCH(H$3,Feed_D!$B$2:$FA$2,0)+5))</f>
        <v>155.14285714285731</v>
      </c>
      <c r="I23">
        <f>IF(INDEX(Feed_D!$B$4:$FA$42,$D23-3,MATCH(I$3,Feed_D!$B$2:$FA$2,0)+5)=0,#N/A,INDEX(Feed_D!$B$4:$FA$42,$D23-3,MATCH(I$3,Feed_D!$B$2:$FA$2,0)+5))</f>
        <v>99.428571428571516</v>
      </c>
    </row>
    <row r="24" spans="1:9" x14ac:dyDescent="0.25">
      <c r="A24">
        <v>24</v>
      </c>
      <c r="B24" t="str">
        <f>IF(INDEX(Feed_D!$B$2:$MR$2,1,(A24-1)*6+1)=0,"",INDEX(Feed_D!$B$2:$MR$2,1,(A24-1)*6+1))</f>
        <v>Hobblegrunt</v>
      </c>
      <c r="D24">
        <v>24</v>
      </c>
      <c r="E24">
        <f>IF(INDEX(Feed_D!$B$4:$FA$42,$D24-3,MATCH(E$3,Feed_D!$B$2:$FA$2,0)+5)=0,#N/A,INDEX(Feed_D!$B$4:$FA$42,$D24-3,MATCH(E$3,Feed_D!$B$2:$FA$2,0)+5))</f>
        <v>91.428571428571516</v>
      </c>
      <c r="F24">
        <f>IF(INDEX(Feed_D!$B$4:$FA$42,$D24-3,MATCH(F$3,Feed_D!$B$2:$FA$2,0)+5)=0,#N/A,INDEX(Feed_D!$B$4:$FA$42,$D24-3,MATCH(F$3,Feed_D!$B$2:$FA$2,0)+5))</f>
        <v>106.66666666666673</v>
      </c>
      <c r="G24">
        <f>IF(INDEX(Feed_D!$B$4:$FA$42,$D24-3,MATCH(G$3,Feed_D!$B$2:$FA$2,0)+5)=0,#N/A,INDEX(Feed_D!$B$4:$FA$42,$D24-3,MATCH(G$3,Feed_D!$B$2:$FA$2,0)+5))</f>
        <v>129.99999999999989</v>
      </c>
      <c r="H24">
        <f>IF(INDEX(Feed_D!$B$4:$FA$42,$D24-3,MATCH(H$3,Feed_D!$B$2:$FA$2,0)+5)=0,#N/A,INDEX(Feed_D!$B$4:$FA$42,$D24-3,MATCH(H$3,Feed_D!$B$2:$FA$2,0)+5))</f>
        <v>181.81818181818218</v>
      </c>
      <c r="I24">
        <f>IF(INDEX(Feed_D!$B$4:$FA$42,$D24-3,MATCH(I$3,Feed_D!$B$2:$FA$2,0)+5)=0,#N/A,INDEX(Feed_D!$B$4:$FA$42,$D24-3,MATCH(I$3,Feed_D!$B$2:$FA$2,0)+5))</f>
        <v>106.66666666666673</v>
      </c>
    </row>
    <row r="25" spans="1:9" x14ac:dyDescent="0.25">
      <c r="A25">
        <v>25</v>
      </c>
      <c r="B25" t="str">
        <f>IF(INDEX(Feed_D!$B$2:$MR$2,1,(A25-1)*6+1)=0,"",INDEX(Feed_D!$B$2:$MR$2,1,(A25-1)*6+1))</f>
        <v>Shivertooth</v>
      </c>
      <c r="D25">
        <v>25</v>
      </c>
      <c r="E25">
        <f>IF(INDEX(Feed_D!$B$4:$FA$42,$D25-3,MATCH(E$3,Feed_D!$B$2:$FA$2,0)+5)=0,#N/A,INDEX(Feed_D!$B$4:$FA$42,$D25-3,MATCH(E$3,Feed_D!$B$2:$FA$2,0)+5))</f>
        <v>199.99999999999952</v>
      </c>
      <c r="F25">
        <f>IF(INDEX(Feed_D!$B$4:$FA$42,$D25-3,MATCH(F$3,Feed_D!$B$2:$FA$2,0)+5)=0,#N/A,INDEX(Feed_D!$B$4:$FA$42,$D25-3,MATCH(F$3,Feed_D!$B$2:$FA$2,0)+5))</f>
        <v>200.00000000000071</v>
      </c>
      <c r="G25">
        <f>IF(INDEX(Feed_D!$B$4:$FA$42,$D25-3,MATCH(G$3,Feed_D!$B$2:$FA$2,0)+5)=0,#N/A,INDEX(Feed_D!$B$4:$FA$42,$D25-3,MATCH(G$3,Feed_D!$B$2:$FA$2,0)+5))</f>
        <v>243.74999999999977</v>
      </c>
      <c r="H25">
        <f>IF(INDEX(Feed_D!$B$4:$FA$42,$D25-3,MATCH(H$3,Feed_D!$B$2:$FA$2,0)+5)=0,#N/A,INDEX(Feed_D!$B$4:$FA$42,$D25-3,MATCH(H$3,Feed_D!$B$2:$FA$2,0)+5))</f>
        <v>382.20000000000005</v>
      </c>
      <c r="I25">
        <f>IF(INDEX(Feed_D!$B$4:$FA$42,$D25-3,MATCH(I$3,Feed_D!$B$2:$FA$2,0)+5)=0,#N/A,INDEX(Feed_D!$B$4:$FA$42,$D25-3,MATCH(I$3,Feed_D!$B$2:$FA$2,0)+5))</f>
        <v>199.99999999999952</v>
      </c>
    </row>
    <row r="26" spans="1:9" x14ac:dyDescent="0.25">
      <c r="A26">
        <v>26</v>
      </c>
      <c r="B26" t="str">
        <f>IF(INDEX(Feed_D!$B$2:$MR$2,1,(A26-1)*6+1)=0,"",INDEX(Feed_D!$B$2:$MR$2,1,(A26-1)*6+1))</f>
        <v>Snaptrapper</v>
      </c>
      <c r="D26">
        <v>26</v>
      </c>
      <c r="E26">
        <f>IF(INDEX(Feed_D!$B$4:$FA$42,$D26-3,MATCH(E$3,Feed_D!$B$2:$FA$2,0)+5)=0,#N/A,INDEX(Feed_D!$B$4:$FA$42,$D26-3,MATCH(E$3,Feed_D!$B$2:$FA$2,0)+5))</f>
        <v>134.39999999999998</v>
      </c>
      <c r="F26">
        <f>IF(INDEX(Feed_D!$B$4:$FA$42,$D26-3,MATCH(F$3,Feed_D!$B$2:$FA$2,0)+5)=0,#N/A,INDEX(Feed_D!$B$4:$FA$42,$D26-3,MATCH(F$3,Feed_D!$B$2:$FA$2,0)+5))</f>
        <v>167.99999999999983</v>
      </c>
      <c r="G26">
        <f>IF(INDEX(Feed_D!$B$4:$FA$42,$D26-3,MATCH(G$3,Feed_D!$B$2:$FA$2,0)+5)=0,#N/A,INDEX(Feed_D!$B$4:$FA$42,$D26-3,MATCH(G$3,Feed_D!$B$2:$FA$2,0)+5))</f>
        <v>218.39999999999998</v>
      </c>
      <c r="H26">
        <f>IF(INDEX(Feed_D!$B$4:$FA$42,$D26-3,MATCH(H$3,Feed_D!$B$2:$FA$2,0)+5)=0,#N/A,INDEX(Feed_D!$B$4:$FA$42,$D26-3,MATCH(H$3,Feed_D!$B$2:$FA$2,0)+5))</f>
        <v>328.12499999999972</v>
      </c>
      <c r="I26">
        <f>IF(INDEX(Feed_D!$B$4:$FA$42,$D26-3,MATCH(I$3,Feed_D!$B$2:$FA$2,0)+5)=0,#N/A,INDEX(Feed_D!$B$4:$FA$42,$D26-3,MATCH(I$3,Feed_D!$B$2:$FA$2,0)+5))</f>
        <v>149.33333333333354</v>
      </c>
    </row>
    <row r="27" spans="1:9" x14ac:dyDescent="0.25">
      <c r="A27">
        <v>27</v>
      </c>
      <c r="B27" t="str">
        <f>IF(INDEX(Feed_D!$B$2:$MR$2,1,(A27-1)*6+1)=0,"",INDEX(Feed_D!$B$2:$MR$2,1,(A27-1)*6+1))</f>
        <v/>
      </c>
      <c r="D27">
        <v>27</v>
      </c>
      <c r="E27">
        <f>IF(INDEX(Feed_D!$B$4:$FA$42,$D27-3,MATCH(E$3,Feed_D!$B$2:$FA$2,0)+5)=0,#N/A,INDEX(Feed_D!$B$4:$FA$42,$D27-3,MATCH(E$3,Feed_D!$B$2:$FA$2,0)+5))</f>
        <v>239.99999999999977</v>
      </c>
      <c r="F27">
        <f>IF(INDEX(Feed_D!$B$4:$FA$42,$D27-3,MATCH(F$3,Feed_D!$B$2:$FA$2,0)+5)=0,#N/A,INDEX(Feed_D!$B$4:$FA$42,$D27-3,MATCH(F$3,Feed_D!$B$2:$FA$2,0)+5))</f>
        <v>239.99999999999977</v>
      </c>
      <c r="G27">
        <f>IF(INDEX(Feed_D!$B$4:$FA$42,$D27-3,MATCH(G$3,Feed_D!$B$2:$FA$2,0)+5)=0,#N/A,INDEX(Feed_D!$B$4:$FA$42,$D27-3,MATCH(G$3,Feed_D!$B$2:$FA$2,0)+5))</f>
        <v>260.00000000000017</v>
      </c>
      <c r="H27">
        <f>IF(INDEX(Feed_D!$B$4:$FA$42,$D27-3,MATCH(H$3,Feed_D!$B$2:$FA$2,0)+5)=0,#N/A,INDEX(Feed_D!$B$4:$FA$42,$D27-3,MATCH(H$3,Feed_D!$B$2:$FA$2,0)+5))</f>
        <v>428.57142857142901</v>
      </c>
      <c r="I27">
        <f>IF(INDEX(Feed_D!$B$4:$FA$42,$D27-3,MATCH(I$3,Feed_D!$B$2:$FA$2,0)+5)=0,#N/A,INDEX(Feed_D!$B$4:$FA$42,$D27-3,MATCH(I$3,Feed_D!$B$2:$FA$2,0)+5))</f>
        <v>274.28571428571456</v>
      </c>
    </row>
    <row r="28" spans="1:9" x14ac:dyDescent="0.25">
      <c r="A28">
        <v>28</v>
      </c>
      <c r="B28" t="str">
        <f>IF(INDEX(Feed_D!$B$2:$MR$2,1,(A28-1)*6+1)=0,"",INDEX(Feed_D!$B$2:$MR$2,1,(A28-1)*6+1))</f>
        <v/>
      </c>
      <c r="D28">
        <v>28</v>
      </c>
      <c r="E28">
        <f>IF(INDEX(Feed_D!$B$4:$FA$42,$D28-3,MATCH(E$3,Feed_D!$B$2:$FA$2,0)+5)=0,#N/A,INDEX(Feed_D!$B$4:$FA$42,$D28-3,MATCH(E$3,Feed_D!$B$2:$FA$2,0)+5))</f>
        <v>65.454545454545482</v>
      </c>
      <c r="F28">
        <f>IF(INDEX(Feed_D!$B$4:$FA$42,$D28-3,MATCH(F$3,Feed_D!$B$2:$FA$2,0)+5)=0,#N/A,INDEX(Feed_D!$B$4:$FA$42,$D28-3,MATCH(F$3,Feed_D!$B$2:$FA$2,0)+5))</f>
        <v>75.789473684210577</v>
      </c>
      <c r="G28">
        <f>IF(INDEX(Feed_D!$B$4:$FA$42,$D28-3,MATCH(G$3,Feed_D!$B$2:$FA$2,0)+5)=0,#N/A,INDEX(Feed_D!$B$4:$FA$42,$D28-3,MATCH(G$3,Feed_D!$B$2:$FA$2,0)+5))</f>
        <v>89.999999999999957</v>
      </c>
      <c r="H28">
        <f>IF(INDEX(Feed_D!$B$4:$FA$42,$D28-3,MATCH(H$3,Feed_D!$B$2:$FA$2,0)+5)=0,#N/A,INDEX(Feed_D!$B$4:$FA$42,$D28-3,MATCH(H$3,Feed_D!$B$2:$FA$2,0)+5))</f>
        <v>208.33333333333326</v>
      </c>
      <c r="I28">
        <f>IF(INDEX(Feed_D!$B$4:$FA$42,$D28-3,MATCH(I$3,Feed_D!$B$2:$FA$2,0)+5)=0,#N/A,INDEX(Feed_D!$B$4:$FA$42,$D28-3,MATCH(I$3,Feed_D!$B$2:$FA$2,0)+5))</f>
        <v>72</v>
      </c>
    </row>
    <row r="29" spans="1:9" x14ac:dyDescent="0.25">
      <c r="A29">
        <v>29</v>
      </c>
      <c r="B29" t="str">
        <f>IF(INDEX(Feed_D!$B$2:$MR$2,1,(A29-1)*6+1)=0,"",INDEX(Feed_D!$B$2:$MR$2,1,(A29-1)*6+1))</f>
        <v/>
      </c>
      <c r="D29">
        <v>29</v>
      </c>
      <c r="E29">
        <f>IF(INDEX(Feed_D!$B$4:$FA$42,$D29-3,MATCH(E$3,Feed_D!$B$2:$FA$2,0)+5)=0,#N/A,INDEX(Feed_D!$B$4:$FA$42,$D29-3,MATCH(E$3,Feed_D!$B$2:$FA$2,0)+5))</f>
        <v>168.00000000000011</v>
      </c>
      <c r="F29">
        <f>IF(INDEX(Feed_D!$B$4:$FA$42,$D29-3,MATCH(F$3,Feed_D!$B$2:$FA$2,0)+5)=0,#N/A,INDEX(Feed_D!$B$4:$FA$42,$D29-3,MATCH(F$3,Feed_D!$B$2:$FA$2,0)+5))</f>
        <v>201.60000000000002</v>
      </c>
      <c r="G29">
        <f>IF(INDEX(Feed_D!$B$4:$FA$42,$D29-3,MATCH(G$3,Feed_D!$B$2:$FA$2,0)+5)=0,#N/A,INDEX(Feed_D!$B$4:$FA$42,$D29-3,MATCH(G$3,Feed_D!$B$2:$FA$2,0)+5))</f>
        <v>234.00000000000026</v>
      </c>
      <c r="H29">
        <f>IF(INDEX(Feed_D!$B$4:$FA$42,$D29-3,MATCH(H$3,Feed_D!$B$2:$FA$2,0)+5)=0,#N/A,INDEX(Feed_D!$B$4:$FA$42,$D29-3,MATCH(H$3,Feed_D!$B$2:$FA$2,0)+5))</f>
        <v>450</v>
      </c>
      <c r="I29">
        <f>IF(INDEX(Feed_D!$B$4:$FA$42,$D29-3,MATCH(I$3,Feed_D!$B$2:$FA$2,0)+5)=0,#N/A,INDEX(Feed_D!$B$4:$FA$42,$D29-3,MATCH(I$3,Feed_D!$B$2:$FA$2,0)+5))</f>
        <v>183.27272727272705</v>
      </c>
    </row>
    <row r="30" spans="1:9" x14ac:dyDescent="0.25">
      <c r="A30">
        <v>30</v>
      </c>
      <c r="B30" t="str">
        <f>IF(INDEX(Feed_D!$B$2:$MR$2,1,(A30-1)*6+1)=0,"",INDEX(Feed_D!$B$2:$MR$2,1,(A30-1)*6+1))</f>
        <v/>
      </c>
      <c r="D30">
        <v>30</v>
      </c>
      <c r="E30">
        <f>IF(INDEX(Feed_D!$B$4:$FA$42,$D30-3,MATCH(E$3,Feed_D!$B$2:$FA$2,0)+5)=0,#N/A,INDEX(Feed_D!$B$4:$FA$42,$D30-3,MATCH(E$3,Feed_D!$B$2:$FA$2,0)+5))</f>
        <v>266.66666666666606</v>
      </c>
      <c r="F30">
        <f>IF(INDEX(Feed_D!$B$4:$FA$42,$D30-3,MATCH(F$3,Feed_D!$B$2:$FA$2,0)+5)=0,#N/A,INDEX(Feed_D!$B$4:$FA$42,$D30-3,MATCH(F$3,Feed_D!$B$2:$FA$2,0)+5))</f>
        <v>240</v>
      </c>
      <c r="G30">
        <f>IF(INDEX(Feed_D!$B$4:$FA$42,$D30-3,MATCH(G$3,Feed_D!$B$2:$FA$2,0)+5)=0,#N/A,INDEX(Feed_D!$B$4:$FA$42,$D30-3,MATCH(G$3,Feed_D!$B$2:$FA$2,0)+5))</f>
        <v>324.9999999999992</v>
      </c>
      <c r="H30">
        <f>IF(INDEX(Feed_D!$B$4:$FA$42,$D30-3,MATCH(H$3,Feed_D!$B$2:$FA$2,0)+5)=0,#N/A,INDEX(Feed_D!$B$4:$FA$42,$D30-3,MATCH(H$3,Feed_D!$B$2:$FA$2,0)+5))</f>
        <v>499.99999999999955</v>
      </c>
      <c r="I30">
        <f>IF(INDEX(Feed_D!$B$4:$FA$42,$D30-3,MATCH(I$3,Feed_D!$B$2:$FA$2,0)+5)=0,#N/A,INDEX(Feed_D!$B$4:$FA$42,$D30-3,MATCH(I$3,Feed_D!$B$2:$FA$2,0)+5))</f>
        <v>266.66666666666708</v>
      </c>
    </row>
    <row r="31" spans="1:9" x14ac:dyDescent="0.25">
      <c r="A31">
        <v>31</v>
      </c>
      <c r="B31" t="str">
        <f>IF(INDEX(Feed_D!$B$2:$MR$2,1,(A31-1)*6+1)=0,"",INDEX(Feed_D!$B$2:$MR$2,1,(A31-1)*6+1))</f>
        <v/>
      </c>
      <c r="D31">
        <v>31</v>
      </c>
      <c r="E31">
        <f>IF(INDEX(Feed_D!$B$4:$FA$42,$D31-3,MATCH(E$3,Feed_D!$B$2:$FA$2,0)+5)=0,#N/A,INDEX(Feed_D!$B$4:$FA$42,$D31-3,MATCH(E$3,Feed_D!$B$2:$FA$2,0)+5))</f>
        <v>144</v>
      </c>
      <c r="F31">
        <f>IF(INDEX(Feed_D!$B$4:$FA$42,$D31-3,MATCH(F$3,Feed_D!$B$2:$FA$2,0)+5)=0,#N/A,INDEX(Feed_D!$B$4:$FA$42,$D31-3,MATCH(F$3,Feed_D!$B$2:$FA$2,0)+5))</f>
        <v>159.99999999999994</v>
      </c>
      <c r="G31">
        <f>IF(INDEX(Feed_D!$B$4:$FA$42,$D31-3,MATCH(G$3,Feed_D!$B$2:$FA$2,0)+5)=0,#N/A,INDEX(Feed_D!$B$4:$FA$42,$D31-3,MATCH(G$3,Feed_D!$B$2:$FA$2,0)+5))</f>
        <v>195.00000000000011</v>
      </c>
      <c r="H31">
        <f>IF(INDEX(Feed_D!$B$4:$FA$42,$D31-3,MATCH(H$3,Feed_D!$B$2:$FA$2,0)+5)=0,#N/A,INDEX(Feed_D!$B$4:$FA$42,$D31-3,MATCH(H$3,Feed_D!$B$2:$FA$2,0)+5))</f>
        <v>330.00000000000011</v>
      </c>
      <c r="I31">
        <f>IF(INDEX(Feed_D!$B$4:$FA$42,$D31-3,MATCH(I$3,Feed_D!$B$2:$FA$2,0)+5)=0,#N/A,INDEX(Feed_D!$B$4:$FA$42,$D31-3,MATCH(I$3,Feed_D!$B$2:$FA$2,0)+5))</f>
        <v>159.99999999999994</v>
      </c>
    </row>
    <row r="32" spans="1:9" x14ac:dyDescent="0.25">
      <c r="A32">
        <v>32</v>
      </c>
      <c r="B32" t="str">
        <f>IF(INDEX(Feed_D!$B$2:$MR$2,1,(A32-1)*6+1)=0,"",INDEX(Feed_D!$B$2:$MR$2,1,(A32-1)*6+1))</f>
        <v/>
      </c>
      <c r="D32">
        <v>32</v>
      </c>
      <c r="E32">
        <f>IF(INDEX(Feed_D!$B$4:$FA$42,$D32-3,MATCH(E$3,Feed_D!$B$2:$FA$2,0)+5)=0,#N/A,INDEX(Feed_D!$B$4:$FA$42,$D32-3,MATCH(E$3,Feed_D!$B$2:$FA$2,0)+5))</f>
        <v>152.72727272727303</v>
      </c>
      <c r="F32">
        <f>IF(INDEX(Feed_D!$B$4:$FA$42,$D32-3,MATCH(F$3,Feed_D!$B$2:$FA$2,0)+5)=0,#N/A,INDEX(Feed_D!$B$4:$FA$42,$D32-3,MATCH(F$3,Feed_D!$B$2:$FA$2,0)+5))</f>
        <v>31.69811320754717</v>
      </c>
      <c r="G32">
        <f>IF(INDEX(Feed_D!$B$4:$FA$42,$D32-3,MATCH(G$3,Feed_D!$B$2:$FA$2,0)+5)=0,#N/A,INDEX(Feed_D!$B$4:$FA$42,$D32-3,MATCH(G$3,Feed_D!$B$2:$FA$2,0)+5))</f>
        <v>209.99999999999989</v>
      </c>
      <c r="H32">
        <f>IF(INDEX(Feed_D!$B$4:$FA$42,$D32-3,MATCH(H$3,Feed_D!$B$2:$FA$2,0)+5)=0,#N/A,INDEX(Feed_D!$B$4:$FA$42,$D32-3,MATCH(H$3,Feed_D!$B$2:$FA$2,0)+5))</f>
        <v>328.3333333333332</v>
      </c>
      <c r="I32">
        <f>IF(INDEX(Feed_D!$B$4:$FA$42,$D32-3,MATCH(I$3,Feed_D!$B$2:$FA$2,0)+5)=0,#N/A,INDEX(Feed_D!$B$4:$FA$42,$D32-3,MATCH(I$3,Feed_D!$B$2:$FA$2,0)+5))</f>
        <v>32</v>
      </c>
    </row>
    <row r="33" spans="1:9" x14ac:dyDescent="0.25">
      <c r="A33">
        <v>33</v>
      </c>
      <c r="B33" t="str">
        <f>IF(INDEX(Feed_D!$B$2:$MR$2,1,(A33-1)*6+1)=0,"",INDEX(Feed_D!$B$2:$MR$2,1,(A33-1)*6+1))</f>
        <v/>
      </c>
      <c r="D33">
        <v>33</v>
      </c>
      <c r="E33">
        <f>IF(INDEX(Feed_D!$B$4:$FA$42,$D33-3,MATCH(E$3,Feed_D!$B$2:$FA$2,0)+5)=0,#N/A,INDEX(Feed_D!$B$4:$FA$42,$D33-3,MATCH(E$3,Feed_D!$B$2:$FA$2,0)+5))</f>
        <v>72.727272727272634</v>
      </c>
      <c r="F33">
        <f>IF(INDEX(Feed_D!$B$4:$FA$42,$D33-3,MATCH(F$3,Feed_D!$B$2:$FA$2,0)+5)=0,#N/A,INDEX(Feed_D!$B$4:$FA$42,$D33-3,MATCH(F$3,Feed_D!$B$2:$FA$2,0)+5))</f>
        <v>82.051282051282001</v>
      </c>
      <c r="G33">
        <f>IF(INDEX(Feed_D!$B$4:$FA$42,$D33-3,MATCH(G$3,Feed_D!$B$2:$FA$2,0)+5)=0,#N/A,INDEX(Feed_D!$B$4:$FA$42,$D33-3,MATCH(G$3,Feed_D!$B$2:$FA$2,0)+5))</f>
        <v>96.296296296296319</v>
      </c>
      <c r="H33">
        <f>IF(INDEX(Feed_D!$B$4:$FA$42,$D33-3,MATCH(H$3,Feed_D!$B$2:$FA$2,0)+5)=0,#N/A,INDEX(Feed_D!$B$4:$FA$42,$D33-3,MATCH(H$3,Feed_D!$B$2:$FA$2,0)+5))</f>
        <v>145.83333333333329</v>
      </c>
      <c r="I33">
        <f>IF(INDEX(Feed_D!$B$4:$FA$42,$D33-3,MATCH(I$3,Feed_D!$B$2:$FA$2,0)+5)=0,#N/A,INDEX(Feed_D!$B$4:$FA$42,$D33-3,MATCH(I$3,Feed_D!$B$2:$FA$2,0)+5))</f>
        <v>80</v>
      </c>
    </row>
    <row r="34" spans="1:9" x14ac:dyDescent="0.25">
      <c r="A34">
        <v>34</v>
      </c>
      <c r="B34" t="str">
        <f>IF(INDEX(Feed_D!$B$2:$MR$2,1,(A34-1)*6+1)=0,"",INDEX(Feed_D!$B$2:$MR$2,1,(A34-1)*6+1))</f>
        <v/>
      </c>
      <c r="D34">
        <v>34</v>
      </c>
      <c r="E34">
        <f>IF(INDEX(Feed_D!$B$4:$FA$42,$D34-3,MATCH(E$3,Feed_D!$B$2:$FA$2,0)+5)=0,#N/A,INDEX(Feed_D!$B$4:$FA$42,$D34-3,MATCH(E$3,Feed_D!$B$2:$FA$2,0)+5))</f>
        <v>93.658536585365979</v>
      </c>
      <c r="F34">
        <f>IF(INDEX(Feed_D!$B$4:$FA$42,$D34-3,MATCH(F$3,Feed_D!$B$2:$FA$2,0)+5)=0,#N/A,INDEX(Feed_D!$B$4:$FA$42,$D34-3,MATCH(F$3,Feed_D!$B$2:$FA$2,0)+5))</f>
        <v>101.05263157894744</v>
      </c>
      <c r="G34">
        <f>IF(INDEX(Feed_D!$B$4:$FA$42,$D34-3,MATCH(G$3,Feed_D!$B$2:$FA$2,0)+5)=0,#N/A,INDEX(Feed_D!$B$4:$FA$42,$D34-3,MATCH(G$3,Feed_D!$B$2:$FA$2,0)+5))</f>
        <v>130.00000000000009</v>
      </c>
      <c r="H34">
        <f>IF(INDEX(Feed_D!$B$4:$FA$42,$D34-3,MATCH(H$3,Feed_D!$B$2:$FA$2,0)+5)=0,#N/A,INDEX(Feed_D!$B$4:$FA$42,$D34-3,MATCH(H$3,Feed_D!$B$2:$FA$2,0)+5))</f>
        <v>171.42857142857142</v>
      </c>
      <c r="I34">
        <f>IF(INDEX(Feed_D!$B$4:$FA$42,$D34-3,MATCH(I$3,Feed_D!$B$2:$FA$2,0)+5)=0,#N/A,INDEX(Feed_D!$B$4:$FA$42,$D34-3,MATCH(I$3,Feed_D!$B$2:$FA$2,0)+5))</f>
        <v>101.05263157894744</v>
      </c>
    </row>
    <row r="35" spans="1:9" x14ac:dyDescent="0.25">
      <c r="A35">
        <v>35</v>
      </c>
      <c r="B35" t="str">
        <f>IF(INDEX(Feed_D!$B$2:$MR$2,1,(A35-1)*6+1)=0,"",INDEX(Feed_D!$B$2:$MR$2,1,(A35-1)*6+1))</f>
        <v/>
      </c>
      <c r="D35">
        <v>35</v>
      </c>
      <c r="E35">
        <f>IF(INDEX(Feed_D!$B$4:$FA$42,$D35-3,MATCH(E$3,Feed_D!$B$2:$FA$2,0)+5)=0,#N/A,INDEX(Feed_D!$B$4:$FA$42,$D35-3,MATCH(E$3,Feed_D!$B$2:$FA$2,0)+5))</f>
        <v>196.36363636363612</v>
      </c>
      <c r="F35">
        <f>IF(INDEX(Feed_D!$B$4:$FA$42,$D35-3,MATCH(F$3,Feed_D!$B$2:$FA$2,0)+5)=0,#N/A,INDEX(Feed_D!$B$4:$FA$42,$D35-3,MATCH(F$3,Feed_D!$B$2:$FA$2,0)+5))</f>
        <v>216</v>
      </c>
      <c r="G35">
        <f>IF(INDEX(Feed_D!$B$4:$FA$42,$D35-3,MATCH(G$3,Feed_D!$B$2:$FA$2,0)+5)=0,#N/A,INDEX(Feed_D!$B$4:$FA$42,$D35-3,MATCH(G$3,Feed_D!$B$2:$FA$2,0)+5))</f>
        <v>250.71428571428532</v>
      </c>
      <c r="H35">
        <f>IF(INDEX(Feed_D!$B$4:$FA$42,$D35-3,MATCH(H$3,Feed_D!$B$2:$FA$2,0)+5)=0,#N/A,INDEX(Feed_D!$B$4:$FA$42,$D35-3,MATCH(H$3,Feed_D!$B$2:$FA$2,0)+5))</f>
        <v>375.00000000000057</v>
      </c>
      <c r="I35">
        <f>IF(INDEX(Feed_D!$B$4:$FA$42,$D35-3,MATCH(I$3,Feed_D!$B$2:$FA$2,0)+5)=0,#N/A,INDEX(Feed_D!$B$4:$FA$42,$D35-3,MATCH(I$3,Feed_D!$B$2:$FA$2,0)+5))</f>
        <v>216</v>
      </c>
    </row>
    <row r="36" spans="1:9" x14ac:dyDescent="0.25">
      <c r="A36">
        <v>36</v>
      </c>
      <c r="B36" t="str">
        <f>IF(INDEX(Feed_D!$B$2:$MR$2,1,(A36-1)*6+1)=0,"",INDEX(Feed_D!$B$2:$MR$2,1,(A36-1)*6+1))</f>
        <v/>
      </c>
      <c r="D36">
        <v>36</v>
      </c>
      <c r="E36">
        <f>IF(INDEX(Feed_D!$B$4:$FA$42,$D36-3,MATCH(E$3,Feed_D!$B$2:$FA$2,0)+5)=0,#N/A,INDEX(Feed_D!$B$4:$FA$42,$D36-3,MATCH(E$3,Feed_D!$B$2:$FA$2,0)+5))</f>
        <v>163.63636363636343</v>
      </c>
      <c r="F36">
        <f>IF(INDEX(Feed_D!$B$4:$FA$42,$D36-3,MATCH(F$3,Feed_D!$B$2:$FA$2,0)+5)=0,#N/A,INDEX(Feed_D!$B$4:$FA$42,$D36-3,MATCH(F$3,Feed_D!$B$2:$FA$2,0)+5))</f>
        <v>180</v>
      </c>
      <c r="G36">
        <f>IF(INDEX(Feed_D!$B$4:$FA$42,$D36-3,MATCH(G$3,Feed_D!$B$2:$FA$2,0)+5)=0,#N/A,INDEX(Feed_D!$B$4:$FA$42,$D36-3,MATCH(G$3,Feed_D!$B$2:$FA$2,0)+5))</f>
        <v>217.69230769230816</v>
      </c>
      <c r="H36">
        <f>IF(INDEX(Feed_D!$B$4:$FA$42,$D36-3,MATCH(H$3,Feed_D!$B$2:$FA$2,0)+5)=0,#N/A,INDEX(Feed_D!$B$4:$FA$42,$D36-3,MATCH(H$3,Feed_D!$B$2:$FA$2,0)+5))</f>
        <v>312.22222222222149</v>
      </c>
      <c r="I36">
        <f>IF(INDEX(Feed_D!$B$4:$FA$42,$D36-3,MATCH(I$3,Feed_D!$B$2:$FA$2,0)+5)=0,#N/A,INDEX(Feed_D!$B$4:$FA$42,$D36-3,MATCH(I$3,Feed_D!$B$2:$FA$2,0)+5))</f>
        <v>180</v>
      </c>
    </row>
    <row r="37" spans="1:9" x14ac:dyDescent="0.25">
      <c r="A37">
        <v>37</v>
      </c>
      <c r="B37" t="str">
        <f>IF(INDEX(Feed_D!$B$2:$MR$2,1,(A37-1)*6+1)=0,"",INDEX(Feed_D!$B$2:$MR$2,1,(A37-1)*6+1))</f>
        <v/>
      </c>
      <c r="D37">
        <v>37</v>
      </c>
      <c r="E37">
        <f>IF(INDEX(Feed_D!$B$4:$FA$42,$D37-3,MATCH(E$3,Feed_D!$B$2:$FA$2,0)+5)=0,#N/A,INDEX(Feed_D!$B$4:$FA$42,$D37-3,MATCH(E$3,Feed_D!$B$2:$FA$2,0)+5))</f>
        <v>411.42857142857184</v>
      </c>
      <c r="F37">
        <f>IF(INDEX(Feed_D!$B$4:$FA$42,$D37-3,MATCH(F$3,Feed_D!$B$2:$FA$2,0)+5)=0,#N/A,INDEX(Feed_D!$B$4:$FA$42,$D37-3,MATCH(F$3,Feed_D!$B$2:$FA$2,0)+5))</f>
        <v>479.99999999999886</v>
      </c>
      <c r="G37">
        <f>IF(INDEX(Feed_D!$B$4:$FA$42,$D37-3,MATCH(G$3,Feed_D!$B$2:$FA$2,0)+5)=0,#N/A,INDEX(Feed_D!$B$4:$FA$42,$D37-3,MATCH(G$3,Feed_D!$B$2:$FA$2,0)+5))</f>
        <v>584.99999999999943</v>
      </c>
      <c r="H37">
        <f>IF(INDEX(Feed_D!$B$4:$FA$42,$D37-3,MATCH(H$3,Feed_D!$B$2:$FA$2,0)+5)=0,#N/A,INDEX(Feed_D!$B$4:$FA$42,$D37-3,MATCH(H$3,Feed_D!$B$2:$FA$2,0)+5))</f>
        <v>750.00000000000261</v>
      </c>
      <c r="I37">
        <f>IF(INDEX(Feed_D!$B$4:$FA$42,$D37-3,MATCH(I$3,Feed_D!$B$2:$FA$2,0)+5)=0,#N/A,INDEX(Feed_D!$B$4:$FA$42,$D37-3,MATCH(I$3,Feed_D!$B$2:$FA$2,0)+5))</f>
        <v>479.99999999999886</v>
      </c>
    </row>
    <row r="38" spans="1:9" x14ac:dyDescent="0.25">
      <c r="A38">
        <v>38</v>
      </c>
      <c r="B38" t="str">
        <f>IF(INDEX(Feed_D!$B$2:$MR$2,1,(A38-1)*6+1)=0,"",INDEX(Feed_D!$B$2:$MR$2,1,(A38-1)*6+1))</f>
        <v/>
      </c>
      <c r="D38">
        <v>38</v>
      </c>
      <c r="E38">
        <f>IF(INDEX(Feed_D!$B$4:$FA$42,$D38-3,MATCH(E$3,Feed_D!$B$2:$FA$2,0)+5)=0,#N/A,INDEX(Feed_D!$B$4:$FA$42,$D38-3,MATCH(E$3,Feed_D!$B$2:$FA$2,0)+5))</f>
        <v>342.85714285714261</v>
      </c>
      <c r="F38">
        <f>IF(INDEX(Feed_D!$B$4:$FA$42,$D38-3,MATCH(F$3,Feed_D!$B$2:$FA$2,0)+5)=0,#N/A,INDEX(Feed_D!$B$4:$FA$42,$D38-3,MATCH(F$3,Feed_D!$B$2:$FA$2,0)+5))</f>
        <v>360</v>
      </c>
      <c r="G38">
        <f>IF(INDEX(Feed_D!$B$4:$FA$42,$D38-3,MATCH(G$3,Feed_D!$B$2:$FA$2,0)+5)=0,#N/A,INDEX(Feed_D!$B$4:$FA$42,$D38-3,MATCH(G$3,Feed_D!$B$2:$FA$2,0)+5))</f>
        <v>449.99999999999977</v>
      </c>
      <c r="H38">
        <f>IF(INDEX(Feed_D!$B$4:$FA$42,$D38-3,MATCH(H$3,Feed_D!$B$2:$FA$2,0)+5)=0,#N/A,INDEX(Feed_D!$B$4:$FA$42,$D38-3,MATCH(H$3,Feed_D!$B$2:$FA$2,0)+5))</f>
        <v>624.99999999999852</v>
      </c>
      <c r="I38">
        <f>IF(INDEX(Feed_D!$B$4:$FA$42,$D38-3,MATCH(I$3,Feed_D!$B$2:$FA$2,0)+5)=0,#N/A,INDEX(Feed_D!$B$4:$FA$42,$D38-3,MATCH(I$3,Feed_D!$B$2:$FA$2,0)+5))</f>
        <v>360</v>
      </c>
    </row>
    <row r="39" spans="1:9" x14ac:dyDescent="0.25">
      <c r="A39">
        <v>39</v>
      </c>
      <c r="B39" t="str">
        <f>IF(INDEX(Feed_D!$B$2:$MR$2,1,(A39-1)*6+1)=0,"",INDEX(Feed_D!$B$2:$MR$2,1,(A39-1)*6+1))</f>
        <v/>
      </c>
      <c r="D39">
        <v>39</v>
      </c>
      <c r="E39">
        <f>IF(INDEX(Feed_D!$B$4:$FA$42,$D39-3,MATCH(E$3,Feed_D!$B$2:$FA$2,0)+5)=0,#N/A,INDEX(Feed_D!$B$4:$FA$42,$D39-3,MATCH(E$3,Feed_D!$B$2:$FA$2,0)+5))</f>
        <v>200.0000000000004</v>
      </c>
      <c r="F39">
        <f>IF(INDEX(Feed_D!$B$4:$FA$42,$D39-3,MATCH(F$3,Feed_D!$B$2:$FA$2,0)+5)=0,#N/A,INDEX(Feed_D!$B$4:$FA$42,$D39-3,MATCH(F$3,Feed_D!$B$2:$FA$2,0)+5))</f>
        <v>220</v>
      </c>
      <c r="G39">
        <f>IF(INDEX(Feed_D!$B$4:$FA$42,$D39-3,MATCH(G$3,Feed_D!$B$2:$FA$2,0)+5)=0,#N/A,INDEX(Feed_D!$B$4:$FA$42,$D39-3,MATCH(G$3,Feed_D!$B$2:$FA$2,0)+5))</f>
        <v>275.38461538461598</v>
      </c>
      <c r="H39">
        <f>IF(INDEX(Feed_D!$B$4:$FA$42,$D39-3,MATCH(H$3,Feed_D!$B$2:$FA$2,0)+5)=0,#N/A,INDEX(Feed_D!$B$4:$FA$42,$D39-3,MATCH(H$3,Feed_D!$B$2:$FA$2,0)+5))</f>
        <v>381.66666666666725</v>
      </c>
      <c r="I39">
        <f>IF(INDEX(Feed_D!$B$4:$FA$42,$D39-3,MATCH(I$3,Feed_D!$B$2:$FA$2,0)+5)=0,#N/A,INDEX(Feed_D!$B$4:$FA$42,$D39-3,MATCH(I$3,Feed_D!$B$2:$FA$2,0)+5))</f>
        <v>220</v>
      </c>
    </row>
    <row r="40" spans="1:9" x14ac:dyDescent="0.25">
      <c r="A40">
        <v>40</v>
      </c>
      <c r="B40" t="str">
        <f>IF(INDEX(Feed_D!$B$2:$MR$2,1,(A40-1)*6+1)=0,"",INDEX(Feed_D!$B$2:$MR$2,1,(A40-1)*6+1))</f>
        <v/>
      </c>
      <c r="D40">
        <v>40</v>
      </c>
      <c r="E40">
        <f>IF(INDEX(Feed_D!$B$4:$FA$42,$D40-3,MATCH(E$3,Feed_D!$B$2:$FA$2,0)+5)=0,#N/A,INDEX(Feed_D!$B$4:$FA$42,$D40-3,MATCH(E$3,Feed_D!$B$2:$FA$2,0)+5))</f>
        <v>359.99999999999955</v>
      </c>
      <c r="F40">
        <f>IF(INDEX(Feed_D!$B$4:$FA$42,$D40-3,MATCH(F$3,Feed_D!$B$2:$FA$2,0)+5)=0,#N/A,INDEX(Feed_D!$B$4:$FA$42,$D40-3,MATCH(F$3,Feed_D!$B$2:$FA$2,0)+5))</f>
        <v>416.8421052631582</v>
      </c>
      <c r="G40">
        <f>IF(INDEX(Feed_D!$B$4:$FA$42,$D40-3,MATCH(G$3,Feed_D!$B$2:$FA$2,0)+5)=0,#N/A,INDEX(Feed_D!$B$4:$FA$42,$D40-3,MATCH(G$3,Feed_D!$B$2:$FA$2,0)+5))</f>
        <v>458.57142857142674</v>
      </c>
      <c r="H40">
        <f>IF(INDEX(Feed_D!$B$4:$FA$42,$D40-3,MATCH(H$3,Feed_D!$B$2:$FA$2,0)+5)=0,#N/A,INDEX(Feed_D!$B$4:$FA$42,$D40-3,MATCH(H$3,Feed_D!$B$2:$FA$2,0)+5))</f>
        <v>686.66666666666777</v>
      </c>
      <c r="I40">
        <f>IF(INDEX(Feed_D!$B$4:$FA$42,$D40-3,MATCH(I$3,Feed_D!$B$2:$FA$2,0)+5)=0,#N/A,INDEX(Feed_D!$B$4:$FA$42,$D40-3,MATCH(I$3,Feed_D!$B$2:$FA$2,0)+5))</f>
        <v>416.8421052631582</v>
      </c>
    </row>
    <row r="41" spans="1:9" x14ac:dyDescent="0.25">
      <c r="A41">
        <v>41</v>
      </c>
      <c r="B41" t="str">
        <f>IF(INDEX(Feed_D!$B$2:$MR$2,1,(A41-1)*6+1)=0,"",INDEX(Feed_D!$B$2:$MR$2,1,(A41-1)*6+1))</f>
        <v/>
      </c>
      <c r="D41">
        <v>41</v>
      </c>
      <c r="E41">
        <f>IF(INDEX(Feed_D!$B$4:$FA$42,$D41-3,MATCH(E$3,Feed_D!$B$2:$FA$2,0)+5)=0,#N/A,INDEX(Feed_D!$B$4:$FA$42,$D41-3,MATCH(E$3,Feed_D!$B$2:$FA$2,0)+5))</f>
        <v>436.36363636363723</v>
      </c>
      <c r="F41">
        <f>IF(INDEX(Feed_D!$B$4:$FA$42,$D41-3,MATCH(F$3,Feed_D!$B$2:$FA$2,0)+5)=0,#N/A,INDEX(Feed_D!$B$4:$FA$42,$D41-3,MATCH(F$3,Feed_D!$B$2:$FA$2,0)+5))</f>
        <v>480</v>
      </c>
      <c r="G41">
        <f>IF(INDEX(Feed_D!$B$4:$FA$42,$D41-3,MATCH(G$3,Feed_D!$B$2:$FA$2,0)+5)=0,#N/A,INDEX(Feed_D!$B$4:$FA$42,$D41-3,MATCH(G$3,Feed_D!$B$2:$FA$2,0)+5))</f>
        <v>597.69230769230899</v>
      </c>
      <c r="H41">
        <f>IF(INDEX(Feed_D!$B$4:$FA$42,$D41-3,MATCH(H$3,Feed_D!$B$2:$FA$2,0)+5)=0,#N/A,INDEX(Feed_D!$B$4:$FA$42,$D41-3,MATCH(H$3,Feed_D!$B$2:$FA$2,0)+5))</f>
        <v>833.33333333333132</v>
      </c>
      <c r="I41">
        <f>IF(INDEX(Feed_D!$B$4:$FA$42,$D41-3,MATCH(I$3,Feed_D!$B$2:$FA$2,0)+5)=0,#N/A,INDEX(Feed_D!$B$4:$FA$42,$D41-3,MATCH(I$3,Feed_D!$B$2:$FA$2,0)+5))</f>
        <v>480</v>
      </c>
    </row>
    <row r="42" spans="1:9" x14ac:dyDescent="0.25">
      <c r="A42">
        <v>42</v>
      </c>
      <c r="B42" t="str">
        <f>IF(INDEX(Feed_D!$B$2:$MR$2,1,(A42-1)*6+1)=0,"",INDEX(Feed_D!$B$2:$MR$2,1,(A42-1)*6+1))</f>
        <v/>
      </c>
      <c r="D42">
        <v>42</v>
      </c>
      <c r="E42" t="e">
        <f>IF(INDEX(Feed_D!$B$4:$FA$42,$D42-3,MATCH(E$3,Feed_D!$B$2:$FA$2,0)+5)=0,#N/A,INDEX(Feed_D!$B$4:$FA$42,$D42-3,MATCH(E$3,Feed_D!$B$2:$FA$2,0)+5))</f>
        <v>#N/A</v>
      </c>
      <c r="F42" t="e">
        <f>IF(INDEX(Feed_D!$B$4:$FA$42,$D42-3,MATCH(F$3,Feed_D!$B$2:$FA$2,0)+5)=0,#N/A,INDEX(Feed_D!$B$4:$FA$42,$D42-3,MATCH(F$3,Feed_D!$B$2:$FA$2,0)+5))</f>
        <v>#N/A</v>
      </c>
      <c r="G42">
        <f>IF(INDEX(Feed_D!$B$4:$FA$42,$D42-3,MATCH(G$3,Feed_D!$B$2:$FA$2,0)+5)=0,#N/A,INDEX(Feed_D!$B$4:$FA$42,$D42-3,MATCH(G$3,Feed_D!$B$2:$FA$2,0)+5))</f>
        <v>649.99999999999841</v>
      </c>
      <c r="H42">
        <f>IF(INDEX(Feed_D!$B$4:$FA$42,$D42-3,MATCH(H$3,Feed_D!$B$2:$FA$2,0)+5)=0,#N/A,INDEX(Feed_D!$B$4:$FA$42,$D42-3,MATCH(H$3,Feed_D!$B$2:$FA$2,0)+5))</f>
        <v>833.33333333333462</v>
      </c>
      <c r="I42">
        <f>IF(INDEX(Feed_D!$B$4:$FA$42,$D42-3,MATCH(I$3,Feed_D!$B$2:$FA$2,0)+5)=0,#N/A,INDEX(Feed_D!$B$4:$FA$42,$D42-3,MATCH(I$3,Feed_D!$B$2:$FA$2,0)+5))</f>
        <v>533.33333333333417</v>
      </c>
    </row>
    <row r="43" spans="1:9" x14ac:dyDescent="0.25">
      <c r="A43">
        <v>43</v>
      </c>
      <c r="B43" t="str">
        <f>IF(INDEX(Feed_D!$B$2:$MR$2,1,(A43-1)*6+1)=0,"",INDEX(Feed_D!$B$2:$MR$2,1,(A43-1)*6+1))</f>
        <v/>
      </c>
    </row>
    <row r="44" spans="1:9" x14ac:dyDescent="0.25">
      <c r="A44">
        <v>44</v>
      </c>
      <c r="B44" t="str">
        <f>IF(INDEX(Feed_D!$B$2:$MR$2,1,(A44-1)*6+1)=0,"",INDEX(Feed_D!$B$2:$MR$2,1,(A44-1)*6+1))</f>
        <v/>
      </c>
    </row>
    <row r="45" spans="1:9" x14ac:dyDescent="0.25">
      <c r="A45">
        <v>45</v>
      </c>
      <c r="B45" t="str">
        <f>IF(INDEX(Feed_D!$B$2:$MR$2,1,(A45-1)*6+1)=0,"",INDEX(Feed_D!$B$2:$MR$2,1,(A45-1)*6+1))</f>
        <v/>
      </c>
    </row>
    <row r="46" spans="1:9" x14ac:dyDescent="0.25">
      <c r="A46">
        <v>46</v>
      </c>
      <c r="B46" t="str">
        <f>IF(INDEX(Feed_D!$B$2:$MR$2,1,(A46-1)*6+1)=0,"",INDEX(Feed_D!$B$2:$MR$2,1,(A46-1)*6+1))</f>
        <v/>
      </c>
    </row>
    <row r="47" spans="1:9" x14ac:dyDescent="0.25">
      <c r="A47">
        <v>47</v>
      </c>
      <c r="B47" t="str">
        <f>IF(INDEX(Feed_D!$B$2:$MR$2,1,(A47-1)*6+1)=0,"",INDEX(Feed_D!$B$2:$MR$2,1,(A47-1)*6+1))</f>
        <v/>
      </c>
    </row>
    <row r="48" spans="1:9" x14ac:dyDescent="0.25">
      <c r="A48">
        <v>48</v>
      </c>
      <c r="B48" t="str">
        <f>IF(INDEX(Feed_D!$B$2:$MR$2,1,(A48-1)*6+1)=0,"",INDEX(Feed_D!$B$2:$MR$2,1,(A48-1)*6+1))</f>
        <v/>
      </c>
    </row>
    <row r="49" spans="1:2" x14ac:dyDescent="0.25">
      <c r="A49">
        <v>49</v>
      </c>
      <c r="B49" t="str">
        <f>IF(INDEX(Feed_D!$B$2:$MR$2,1,(A49-1)*6+1)=0,"",INDEX(Feed_D!$B$2:$MR$2,1,(A49-1)*6+1))</f>
        <v/>
      </c>
    </row>
    <row r="50" spans="1:2" x14ac:dyDescent="0.25">
      <c r="A50">
        <v>50</v>
      </c>
      <c r="B50" t="str">
        <f>IF(INDEX(Feed_D!$B$2:$MR$2,1,(A50-1)*6+1)=0,"",INDEX(Feed_D!$B$2:$MR$2,1,(A50-1)*6+1))</f>
        <v/>
      </c>
    </row>
  </sheetData>
  <dataValidations count="1">
    <dataValidation type="list" allowBlank="1" showInputMessage="1" showErrorMessage="1" sqref="E3:I3">
      <formula1>Whispering_Death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L10" sqref="L10"/>
    </sheetView>
  </sheetViews>
  <sheetFormatPr defaultRowHeight="15" x14ac:dyDescent="0.25"/>
  <cols>
    <col min="2" max="2" width="20.5703125" bestFit="1" customWidth="1"/>
    <col min="3" max="3" width="8" customWidth="1"/>
    <col min="8" max="8" width="13.7109375" bestFit="1" customWidth="1"/>
    <col min="12" max="12" width="10" bestFit="1" customWidth="1"/>
    <col min="16" max="16" width="9.140625" style="4"/>
    <col min="17" max="18" width="9.140625" style="91"/>
    <col min="19" max="19" width="9.140625" customWidth="1"/>
  </cols>
  <sheetData>
    <row r="1" spans="1:18" x14ac:dyDescent="0.25">
      <c r="K1" s="76"/>
      <c r="L1" s="171" t="s">
        <v>58</v>
      </c>
      <c r="M1" s="171"/>
      <c r="N1" s="171" t="s">
        <v>63</v>
      </c>
      <c r="O1" s="171"/>
    </row>
    <row r="2" spans="1:18" x14ac:dyDescent="0.25">
      <c r="A2" s="19" t="s">
        <v>0</v>
      </c>
      <c r="B2" s="19" t="s">
        <v>1</v>
      </c>
      <c r="C2" s="19" t="s">
        <v>62</v>
      </c>
      <c r="D2" s="19" t="s">
        <v>53</v>
      </c>
      <c r="E2" s="19" t="s">
        <v>54</v>
      </c>
      <c r="F2" s="19" t="s">
        <v>55</v>
      </c>
      <c r="G2" s="19" t="s">
        <v>56</v>
      </c>
      <c r="H2" s="19" t="s">
        <v>6</v>
      </c>
      <c r="I2" s="19" t="s">
        <v>57</v>
      </c>
      <c r="J2" s="19" t="s">
        <v>5</v>
      </c>
      <c r="K2" s="19" t="s">
        <v>4</v>
      </c>
      <c r="L2" s="19" t="s">
        <v>3</v>
      </c>
      <c r="M2" s="19" t="s">
        <v>2</v>
      </c>
      <c r="N2" s="19" t="s">
        <v>3</v>
      </c>
      <c r="O2" s="19" t="s">
        <v>2</v>
      </c>
    </row>
    <row r="3" spans="1:18" x14ac:dyDescent="0.25">
      <c r="A3" s="31" t="s">
        <v>20</v>
      </c>
      <c r="B3" s="31" t="s">
        <v>43</v>
      </c>
      <c r="C3" s="27"/>
      <c r="D3" s="27">
        <v>1410</v>
      </c>
      <c r="E3" s="27">
        <v>211.5</v>
      </c>
      <c r="F3" s="27">
        <v>6.25</v>
      </c>
      <c r="G3" s="27">
        <v>374</v>
      </c>
      <c r="H3" s="27" t="s">
        <v>8</v>
      </c>
      <c r="I3" s="22">
        <v>30</v>
      </c>
      <c r="J3" s="22"/>
      <c r="K3" s="77">
        <f>1+5/60</f>
        <v>1.0833333333333333</v>
      </c>
      <c r="L3" s="78">
        <v>46.5</v>
      </c>
      <c r="M3" s="78">
        <v>6.9749999999999996</v>
      </c>
      <c r="N3" s="78">
        <f t="shared" ref="N3:O3" si="0">L3*$K3</f>
        <v>50.375</v>
      </c>
      <c r="O3" s="78">
        <f t="shared" si="0"/>
        <v>7.5562499999999995</v>
      </c>
      <c r="Q3" s="92">
        <f t="shared" ref="Q3:Q6" si="1">D3*F3</f>
        <v>8812.5</v>
      </c>
      <c r="R3" s="92">
        <f t="shared" ref="R3:R6" si="2">E3*F3</f>
        <v>1321.875</v>
      </c>
    </row>
    <row r="4" spans="1:18" x14ac:dyDescent="0.25">
      <c r="A4" s="31" t="s">
        <v>20</v>
      </c>
      <c r="B4" s="31" t="s">
        <v>21</v>
      </c>
      <c r="C4" s="27"/>
      <c r="D4" s="27">
        <v>564</v>
      </c>
      <c r="E4" s="27">
        <v>564</v>
      </c>
      <c r="F4" s="27">
        <v>10.5</v>
      </c>
      <c r="G4" s="27">
        <v>310</v>
      </c>
      <c r="H4" s="27" t="s">
        <v>12</v>
      </c>
      <c r="I4" s="22">
        <v>33</v>
      </c>
      <c r="J4" s="22"/>
      <c r="K4" s="77">
        <f>2+10/60</f>
        <v>2.1666666666666665</v>
      </c>
      <c r="L4" s="78">
        <v>23.7</v>
      </c>
      <c r="M4" s="78">
        <v>23.7</v>
      </c>
      <c r="N4" s="78">
        <f>L4*$K4</f>
        <v>51.349999999999994</v>
      </c>
      <c r="O4" s="78">
        <f>M4*$K4</f>
        <v>51.349999999999994</v>
      </c>
      <c r="Q4" s="92">
        <f>D4*F4</f>
        <v>5922</v>
      </c>
      <c r="R4" s="92">
        <f>E4*F4</f>
        <v>5922</v>
      </c>
    </row>
    <row r="5" spans="1:18" x14ac:dyDescent="0.25">
      <c r="A5" s="34"/>
      <c r="B5" s="21" t="s">
        <v>38</v>
      </c>
      <c r="C5" s="22">
        <v>450</v>
      </c>
      <c r="D5" s="22">
        <v>437.1</v>
      </c>
      <c r="E5" s="22"/>
      <c r="F5" s="22">
        <v>12</v>
      </c>
      <c r="G5" s="22">
        <v>320</v>
      </c>
      <c r="H5" s="22" t="s">
        <v>10</v>
      </c>
      <c r="I5" s="22">
        <v>33</v>
      </c>
      <c r="J5" s="22"/>
      <c r="K5" s="77">
        <f>2+25/60</f>
        <v>2.4166666666666665</v>
      </c>
      <c r="L5" s="78">
        <v>18.399999999999999</v>
      </c>
      <c r="M5" s="77"/>
      <c r="N5" s="78">
        <f>L5*$K5</f>
        <v>44.466666666666661</v>
      </c>
      <c r="O5" s="77"/>
      <c r="Q5" s="93">
        <f>D5*F5</f>
        <v>5245.2000000000007</v>
      </c>
      <c r="R5" s="93"/>
    </row>
    <row r="6" spans="1:18" x14ac:dyDescent="0.25">
      <c r="A6" s="34"/>
      <c r="B6" s="26" t="s">
        <v>16</v>
      </c>
      <c r="C6" s="27">
        <v>125</v>
      </c>
      <c r="D6" s="27">
        <v>564</v>
      </c>
      <c r="E6" s="27">
        <v>564</v>
      </c>
      <c r="F6" s="27">
        <v>6.25</v>
      </c>
      <c r="G6" s="27">
        <v>259</v>
      </c>
      <c r="H6" s="27" t="s">
        <v>12</v>
      </c>
      <c r="I6" s="22">
        <v>36</v>
      </c>
      <c r="J6" s="22"/>
      <c r="K6" s="77">
        <f>1+10/60</f>
        <v>1.1666666666666667</v>
      </c>
      <c r="L6" s="78">
        <v>28.9</v>
      </c>
      <c r="M6" s="78">
        <v>28.9</v>
      </c>
      <c r="N6" s="78">
        <f t="shared" ref="N6" si="3">L6*$K6</f>
        <v>33.716666666666669</v>
      </c>
      <c r="O6" s="78">
        <f t="shared" ref="O6:O7" si="4">M6*$K6</f>
        <v>33.716666666666669</v>
      </c>
      <c r="Q6" s="92">
        <f t="shared" si="1"/>
        <v>3525</v>
      </c>
      <c r="R6" s="92">
        <f t="shared" si="2"/>
        <v>3525</v>
      </c>
    </row>
    <row r="7" spans="1:18" x14ac:dyDescent="0.25">
      <c r="A7" s="34"/>
      <c r="B7" s="17" t="s">
        <v>35</v>
      </c>
      <c r="C7" s="18">
        <v>250</v>
      </c>
      <c r="D7" s="18">
        <v>846</v>
      </c>
      <c r="E7" s="18">
        <v>282</v>
      </c>
      <c r="F7" s="18">
        <v>5.25</v>
      </c>
      <c r="G7" s="18">
        <v>313</v>
      </c>
      <c r="H7" s="18" t="s">
        <v>8</v>
      </c>
      <c r="I7" s="22">
        <v>36</v>
      </c>
      <c r="J7" s="22"/>
      <c r="K7" s="77">
        <f>1+10/60</f>
        <v>1.1666666666666667</v>
      </c>
      <c r="L7" s="78">
        <v>43.3</v>
      </c>
      <c r="M7" s="77">
        <v>14.4</v>
      </c>
      <c r="N7" s="78">
        <f>L7*$K7</f>
        <v>50.516666666666666</v>
      </c>
      <c r="O7" s="78">
        <f t="shared" si="4"/>
        <v>16.8</v>
      </c>
      <c r="Q7" s="93">
        <f t="shared" ref="Q7" si="5">D7*F7</f>
        <v>4441.5</v>
      </c>
      <c r="R7" s="93">
        <f t="shared" ref="R7" si="6">E7*F7</f>
        <v>1480.5</v>
      </c>
    </row>
    <row r="8" spans="1:18" x14ac:dyDescent="0.25">
      <c r="A8" s="34"/>
      <c r="B8" s="17" t="s">
        <v>35</v>
      </c>
      <c r="C8" s="18">
        <v>250</v>
      </c>
      <c r="D8" s="18">
        <v>846</v>
      </c>
      <c r="E8" s="18">
        <v>282</v>
      </c>
      <c r="F8" s="18">
        <v>5.25</v>
      </c>
      <c r="G8" s="18">
        <v>313</v>
      </c>
      <c r="H8" s="18" t="s">
        <v>8</v>
      </c>
      <c r="I8" s="22">
        <v>6</v>
      </c>
      <c r="J8" s="22"/>
      <c r="K8" s="77">
        <f>4/60</f>
        <v>6.6666666666666666E-2</v>
      </c>
      <c r="L8" s="78">
        <v>10.9</v>
      </c>
      <c r="M8" s="77"/>
      <c r="N8" s="78">
        <f>L8*$K8</f>
        <v>0.72666666666666668</v>
      </c>
      <c r="O8" s="78"/>
      <c r="Q8" s="93">
        <f t="shared" ref="Q8" si="7">D8*F8</f>
        <v>4441.5</v>
      </c>
      <c r="R8" s="93">
        <f t="shared" ref="R8" si="8">E8*F8</f>
        <v>1480.5</v>
      </c>
    </row>
    <row r="10" spans="1:18" s="4" customFormat="1" x14ac:dyDescent="0.25">
      <c r="N10" s="106">
        <f>SUM(N3:N8)</f>
        <v>231.15166666666667</v>
      </c>
      <c r="Q10" s="94"/>
      <c r="R10" s="94"/>
    </row>
    <row r="11" spans="1:18" s="4" customFormat="1" x14ac:dyDescent="0.25">
      <c r="Q11" s="94"/>
      <c r="R11" s="94"/>
    </row>
    <row r="12" spans="1:18" x14ac:dyDescent="0.25">
      <c r="K12" s="76"/>
      <c r="L12" s="171" t="s">
        <v>58</v>
      </c>
      <c r="M12" s="171"/>
      <c r="N12" s="171" t="s">
        <v>63</v>
      </c>
      <c r="O12" s="171"/>
    </row>
    <row r="13" spans="1:18" x14ac:dyDescent="0.25">
      <c r="A13" s="19" t="s">
        <v>0</v>
      </c>
      <c r="B13" s="19" t="s">
        <v>1</v>
      </c>
      <c r="C13" s="19" t="s">
        <v>62</v>
      </c>
      <c r="D13" s="19" t="s">
        <v>53</v>
      </c>
      <c r="E13" s="19" t="s">
        <v>54</v>
      </c>
      <c r="F13" s="19" t="s">
        <v>55</v>
      </c>
      <c r="G13" s="19" t="s">
        <v>56</v>
      </c>
      <c r="H13" s="19" t="s">
        <v>6</v>
      </c>
      <c r="I13" s="19" t="s">
        <v>57</v>
      </c>
      <c r="J13" s="19" t="s">
        <v>5</v>
      </c>
      <c r="K13" s="19" t="s">
        <v>4</v>
      </c>
      <c r="L13" s="19" t="s">
        <v>3</v>
      </c>
      <c r="M13" s="19" t="s">
        <v>2</v>
      </c>
      <c r="N13" s="19" t="s">
        <v>3</v>
      </c>
      <c r="O13" s="19" t="s">
        <v>2</v>
      </c>
    </row>
    <row r="14" spans="1:18" x14ac:dyDescent="0.25">
      <c r="A14" s="30" t="s">
        <v>20</v>
      </c>
      <c r="B14" s="30" t="s">
        <v>23</v>
      </c>
      <c r="C14" s="22"/>
      <c r="D14" s="22">
        <v>211.5</v>
      </c>
      <c r="E14" s="22">
        <v>1410</v>
      </c>
      <c r="F14" s="22">
        <v>6.25</v>
      </c>
      <c r="G14" s="22">
        <v>356</v>
      </c>
      <c r="H14" s="22" t="s">
        <v>10</v>
      </c>
      <c r="I14" s="22">
        <v>25</v>
      </c>
      <c r="J14" s="22"/>
      <c r="K14" s="77">
        <f>54/60</f>
        <v>0.9</v>
      </c>
      <c r="L14" s="78">
        <v>5.59</v>
      </c>
      <c r="M14" s="78">
        <v>37.299999999999997</v>
      </c>
      <c r="N14" s="78">
        <f>L14*$K14</f>
        <v>5.0309999999999997</v>
      </c>
      <c r="O14" s="78">
        <f>M14*$K14</f>
        <v>33.57</v>
      </c>
      <c r="Q14" s="92">
        <f>D14*F14</f>
        <v>1321.875</v>
      </c>
      <c r="R14" s="92">
        <f>E14*F14</f>
        <v>8812.5</v>
      </c>
    </row>
    <row r="15" spans="1:18" x14ac:dyDescent="0.25">
      <c r="A15" s="34"/>
      <c r="B15" s="26" t="s">
        <v>16</v>
      </c>
      <c r="C15" s="27">
        <v>125</v>
      </c>
      <c r="D15" s="27">
        <v>564</v>
      </c>
      <c r="E15" s="27">
        <v>564</v>
      </c>
      <c r="F15" s="27">
        <v>6.25</v>
      </c>
      <c r="G15" s="27">
        <v>259</v>
      </c>
      <c r="H15" s="27" t="s">
        <v>12</v>
      </c>
      <c r="I15" s="22">
        <v>36</v>
      </c>
      <c r="J15" s="22"/>
      <c r="K15" s="77">
        <f>1+10/60</f>
        <v>1.1666666666666667</v>
      </c>
      <c r="L15" s="78">
        <v>28.9</v>
      </c>
      <c r="M15" s="78">
        <v>28.9</v>
      </c>
      <c r="N15" s="78">
        <f t="shared" ref="N15:O25" si="9">L15*$K15</f>
        <v>33.716666666666669</v>
      </c>
      <c r="O15" s="78">
        <f t="shared" ref="O15:O18" si="10">M15*$K15</f>
        <v>33.716666666666669</v>
      </c>
      <c r="Q15" s="92">
        <f t="shared" ref="Q15:Q17" si="11">D15*F15</f>
        <v>3525</v>
      </c>
      <c r="R15" s="92">
        <f t="shared" ref="R15:R18" si="12">E15*F15</f>
        <v>3525</v>
      </c>
    </row>
    <row r="16" spans="1:18" x14ac:dyDescent="0.25">
      <c r="A16" s="34"/>
      <c r="B16" s="26" t="s">
        <v>16</v>
      </c>
      <c r="C16" s="27">
        <v>125</v>
      </c>
      <c r="D16" s="27">
        <v>564</v>
      </c>
      <c r="E16" s="27">
        <v>564</v>
      </c>
      <c r="F16" s="27">
        <v>6.25</v>
      </c>
      <c r="G16" s="27">
        <v>259</v>
      </c>
      <c r="H16" s="27" t="s">
        <v>12</v>
      </c>
      <c r="I16" s="22">
        <v>36</v>
      </c>
      <c r="J16" s="22"/>
      <c r="K16" s="77">
        <f>1+10/60</f>
        <v>1.1666666666666667</v>
      </c>
      <c r="L16" s="78">
        <v>28.9</v>
      </c>
      <c r="M16" s="78">
        <v>28.9</v>
      </c>
      <c r="N16" s="78">
        <f>L16*$K16</f>
        <v>33.716666666666669</v>
      </c>
      <c r="O16" s="78">
        <f>M16*$K16</f>
        <v>33.716666666666669</v>
      </c>
      <c r="Q16" s="92">
        <f>D16*F16</f>
        <v>3525</v>
      </c>
      <c r="R16" s="92">
        <f>E16*F16</f>
        <v>3525</v>
      </c>
    </row>
    <row r="17" spans="1:20" x14ac:dyDescent="0.25">
      <c r="A17" s="34"/>
      <c r="B17" s="26" t="s">
        <v>16</v>
      </c>
      <c r="C17" s="27">
        <v>125</v>
      </c>
      <c r="D17" s="27">
        <v>564</v>
      </c>
      <c r="E17" s="27">
        <v>564</v>
      </c>
      <c r="F17" s="27">
        <v>6.25</v>
      </c>
      <c r="G17" s="27">
        <v>259</v>
      </c>
      <c r="H17" s="27" t="s">
        <v>12</v>
      </c>
      <c r="I17" s="22">
        <v>36</v>
      </c>
      <c r="J17" s="22"/>
      <c r="K17" s="77">
        <f>1+10/60</f>
        <v>1.1666666666666667</v>
      </c>
      <c r="L17" s="78">
        <v>28.9</v>
      </c>
      <c r="M17" s="78">
        <v>28.9</v>
      </c>
      <c r="N17" s="78">
        <f t="shared" ref="N17" si="13">L17*$K17</f>
        <v>33.716666666666669</v>
      </c>
      <c r="O17" s="78">
        <f t="shared" ref="O17" si="14">M17*$K17</f>
        <v>33.716666666666669</v>
      </c>
      <c r="Q17" s="92">
        <f t="shared" si="11"/>
        <v>3525</v>
      </c>
      <c r="R17" s="92">
        <f t="shared" si="12"/>
        <v>3525</v>
      </c>
    </row>
    <row r="18" spans="1:20" x14ac:dyDescent="0.25">
      <c r="A18" s="30" t="s">
        <v>20</v>
      </c>
      <c r="B18" s="30" t="s">
        <v>72</v>
      </c>
      <c r="C18" s="22">
        <v>750</v>
      </c>
      <c r="D18" s="18"/>
      <c r="E18" s="18">
        <v>465.3</v>
      </c>
      <c r="F18" s="18">
        <v>10.5</v>
      </c>
      <c r="G18" s="18">
        <v>294</v>
      </c>
      <c r="H18" s="18" t="s">
        <v>10</v>
      </c>
      <c r="I18" s="22">
        <v>28</v>
      </c>
      <c r="J18" s="22"/>
      <c r="K18" s="77">
        <f>1+45/60</f>
        <v>1.75</v>
      </c>
      <c r="L18" s="78"/>
      <c r="M18" s="78">
        <v>14.3</v>
      </c>
      <c r="N18" s="78"/>
      <c r="O18" s="78">
        <f t="shared" si="10"/>
        <v>25.025000000000002</v>
      </c>
      <c r="Q18" s="92"/>
      <c r="R18" s="92">
        <f t="shared" si="12"/>
        <v>4885.6500000000005</v>
      </c>
    </row>
    <row r="19" spans="1:20" x14ac:dyDescent="0.25">
      <c r="A19" s="34"/>
      <c r="B19" s="21" t="s">
        <v>22</v>
      </c>
      <c r="C19" s="22">
        <v>300</v>
      </c>
      <c r="D19" s="22">
        <v>141</v>
      </c>
      <c r="E19" s="22">
        <v>366.6</v>
      </c>
      <c r="F19" s="22">
        <v>12.5</v>
      </c>
      <c r="G19" s="22">
        <v>301</v>
      </c>
      <c r="H19" s="22" t="s">
        <v>10</v>
      </c>
      <c r="I19" s="22">
        <v>25</v>
      </c>
      <c r="J19" s="22"/>
      <c r="K19" s="77">
        <f>1+45/60</f>
        <v>1.75</v>
      </c>
      <c r="L19" s="77">
        <v>3.73</v>
      </c>
      <c r="M19" s="78">
        <v>9.6999999999999993</v>
      </c>
      <c r="N19" s="78">
        <f t="shared" si="9"/>
        <v>6.5274999999999999</v>
      </c>
      <c r="O19" s="78">
        <f t="shared" ref="O19" si="15">M19*$K19</f>
        <v>16.974999999999998</v>
      </c>
      <c r="Q19" s="93">
        <f t="shared" ref="Q19" si="16">D19*F19</f>
        <v>1762.5</v>
      </c>
      <c r="R19" s="93">
        <f t="shared" ref="R19" si="17">E19*F19</f>
        <v>4582.5</v>
      </c>
    </row>
    <row r="20" spans="1:20" x14ac:dyDescent="0.25">
      <c r="I20" s="4"/>
      <c r="J20" s="4"/>
      <c r="K20" s="4"/>
      <c r="L20" s="4"/>
      <c r="M20" s="4"/>
      <c r="N20" s="4"/>
      <c r="O20" s="106">
        <f>SUM(O14:O19)</f>
        <v>176.72</v>
      </c>
    </row>
    <row r="21" spans="1:20" x14ac:dyDescent="0.25">
      <c r="I21" s="4"/>
      <c r="J21" s="4"/>
      <c r="K21" s="4"/>
      <c r="L21" s="4"/>
      <c r="M21" s="4"/>
      <c r="N21" s="4"/>
      <c r="O21" s="4"/>
    </row>
    <row r="22" spans="1:20" x14ac:dyDescent="0.25">
      <c r="A22" s="111" t="s">
        <v>44</v>
      </c>
      <c r="B22" s="111" t="s">
        <v>35</v>
      </c>
      <c r="C22" s="22"/>
      <c r="D22" s="22">
        <v>252</v>
      </c>
      <c r="E22" s="97">
        <v>756</v>
      </c>
      <c r="F22" s="22">
        <v>5.25</v>
      </c>
      <c r="G22" s="22">
        <v>292</v>
      </c>
      <c r="H22" s="109" t="s">
        <v>8</v>
      </c>
      <c r="I22" s="22">
        <v>21</v>
      </c>
      <c r="J22" s="3"/>
      <c r="K22" s="77">
        <f>26/60</f>
        <v>0.43333333333333335</v>
      </c>
      <c r="L22" s="78">
        <v>6.06</v>
      </c>
      <c r="M22" s="78">
        <v>18.100000000000001</v>
      </c>
      <c r="N22" s="78">
        <f t="shared" si="9"/>
        <v>2.6259999999999999</v>
      </c>
      <c r="O22" s="78">
        <f t="shared" si="9"/>
        <v>7.8433333333333346</v>
      </c>
    </row>
    <row r="23" spans="1:20" x14ac:dyDescent="0.25">
      <c r="A23" s="34"/>
      <c r="B23" s="26" t="s">
        <v>16</v>
      </c>
      <c r="C23" s="27">
        <v>125</v>
      </c>
      <c r="D23" s="27">
        <v>564</v>
      </c>
      <c r="E23" s="27">
        <v>564</v>
      </c>
      <c r="F23" s="27">
        <v>6.25</v>
      </c>
      <c r="G23" s="27">
        <v>259</v>
      </c>
      <c r="H23" s="27" t="s">
        <v>12</v>
      </c>
      <c r="I23" s="110">
        <v>21</v>
      </c>
      <c r="J23" s="3"/>
      <c r="K23" s="77">
        <f>32/60</f>
        <v>0.53333333333333333</v>
      </c>
      <c r="L23" s="78">
        <v>12.1</v>
      </c>
      <c r="M23" s="78">
        <v>12.1</v>
      </c>
      <c r="N23" s="78">
        <f t="shared" si="9"/>
        <v>6.4533333333333331</v>
      </c>
      <c r="O23" s="78">
        <f t="shared" si="9"/>
        <v>6.4533333333333331</v>
      </c>
    </row>
    <row r="24" spans="1:20" x14ac:dyDescent="0.25">
      <c r="A24" s="34"/>
      <c r="B24" s="26" t="s">
        <v>36</v>
      </c>
      <c r="C24" s="27">
        <v>300</v>
      </c>
      <c r="D24" s="27">
        <v>252</v>
      </c>
      <c r="E24" s="27">
        <v>756</v>
      </c>
      <c r="F24" s="27">
        <v>5.25</v>
      </c>
      <c r="G24" s="27">
        <v>303</v>
      </c>
      <c r="H24" s="27" t="s">
        <v>12</v>
      </c>
      <c r="I24" s="110">
        <v>30</v>
      </c>
      <c r="J24" s="2"/>
      <c r="K24" s="77">
        <f>56/60</f>
        <v>0.93333333333333335</v>
      </c>
      <c r="L24" s="3"/>
      <c r="M24" s="3">
        <v>27.9</v>
      </c>
      <c r="N24" s="78"/>
      <c r="O24" s="78">
        <f t="shared" si="9"/>
        <v>26.04</v>
      </c>
    </row>
    <row r="25" spans="1:20" x14ac:dyDescent="0.25">
      <c r="A25" s="2"/>
      <c r="B25" s="2" t="s">
        <v>24</v>
      </c>
      <c r="C25" s="97">
        <v>1000</v>
      </c>
      <c r="D25" s="27">
        <v>775.5</v>
      </c>
      <c r="E25" s="27">
        <v>775.5</v>
      </c>
      <c r="F25" s="122">
        <v>10.5</v>
      </c>
      <c r="G25" s="27">
        <v>477</v>
      </c>
      <c r="H25" s="27" t="s">
        <v>12</v>
      </c>
      <c r="I25" s="3">
        <v>6</v>
      </c>
      <c r="J25" s="3"/>
      <c r="K25" s="3">
        <f>8/60</f>
        <v>0.13333333333333333</v>
      </c>
      <c r="L25" s="78">
        <v>10</v>
      </c>
      <c r="M25" s="78">
        <v>10</v>
      </c>
      <c r="N25" s="78">
        <f t="shared" si="9"/>
        <v>1.3333333333333333</v>
      </c>
      <c r="O25" s="78">
        <f t="shared" si="9"/>
        <v>1.3333333333333333</v>
      </c>
    </row>
    <row r="26" spans="1:20" s="75" customFormat="1" x14ac:dyDescent="0.25">
      <c r="A26" s="22"/>
      <c r="B26" s="95" t="s">
        <v>19</v>
      </c>
      <c r="C26" s="27">
        <v>250</v>
      </c>
      <c r="D26" s="18">
        <v>366.6</v>
      </c>
      <c r="E26" s="18">
        <v>141</v>
      </c>
      <c r="F26" s="22">
        <v>12.5</v>
      </c>
      <c r="G26" s="22">
        <v>285</v>
      </c>
      <c r="H26" s="22" t="s">
        <v>12</v>
      </c>
      <c r="I26" s="22">
        <v>24</v>
      </c>
      <c r="J26" s="22"/>
      <c r="K26" s="77">
        <f>1+35/60</f>
        <v>1.5833333333333335</v>
      </c>
      <c r="L26" s="78">
        <v>9.44</v>
      </c>
      <c r="M26" s="77"/>
      <c r="N26" s="78">
        <f>L26*$K26</f>
        <v>14.946666666666667</v>
      </c>
      <c r="O26" s="78"/>
      <c r="P26" s="22"/>
      <c r="Q26" s="93">
        <f>D26*F26</f>
        <v>4582.5</v>
      </c>
      <c r="R26" s="93">
        <f>E26*F26</f>
        <v>1762.5</v>
      </c>
      <c r="S26" s="74"/>
      <c r="T26" s="74"/>
    </row>
  </sheetData>
  <mergeCells count="4">
    <mergeCell ref="L1:M1"/>
    <mergeCell ref="N1:O1"/>
    <mergeCell ref="L12:M12"/>
    <mergeCell ref="N12:O12"/>
  </mergeCells>
  <conditionalFormatting sqref="L3:L4 L6">
    <cfRule type="colorScale" priority="5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 N5">
    <cfRule type="colorScale" priority="4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">
    <cfRule type="colorScale" priority="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">
    <cfRule type="colorScale" priority="3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">
    <cfRule type="colorScale" priority="3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 N7">
    <cfRule type="colorScale" priority="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"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7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7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7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13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4 L6">
    <cfRule type="colorScale" priority="1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4 L6">
    <cfRule type="colorScale" priority="14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7">
    <cfRule type="colorScale" priority="14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">
    <cfRule type="colorScale" priority="1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 Q7">
    <cfRule type="colorScale" priority="14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">
    <cfRule type="colorScale" priority="14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4 L6">
    <cfRule type="colorScale" priority="14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14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9 O19">
    <cfRule type="colorScale" priority="15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9 O19">
    <cfRule type="colorScale" priority="1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9">
    <cfRule type="colorScale" priority="15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">
    <cfRule type="colorScale" priority="16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16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8:M19 M14:M15">
    <cfRule type="colorScale" priority="17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:O19 O14:O15">
    <cfRule type="colorScale" priority="17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7:R19 R14:R15">
    <cfRule type="colorScale" priority="17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19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8:M19">
    <cfRule type="colorScale" priority="19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20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4:M15 M18">
    <cfRule type="colorScale" priority="20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8:M19">
    <cfRule type="colorScale" priority="20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:R19 R14">
    <cfRule type="colorScale" priority="20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:R19 R14:R15">
    <cfRule type="colorScale" priority="20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:O19">
    <cfRule type="colorScale" priority="20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:O19 O14">
    <cfRule type="colorScale" priority="20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:Q11 Q7 Q3:Q5">
    <cfRule type="colorScale" priority="2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:R11 R16">
    <cfRule type="colorScale" priority="2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4:M15 M18:M19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:O16 O18:O19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:R19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4:M16 M18:M19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4:M19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:O19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D1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:E19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7">
    <cfRule type="colorScale" priority="2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7">
    <cfRule type="colorScale" priority="2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7">
    <cfRule type="colorScale" priority="22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N5 N7">
    <cfRule type="colorScale" priority="2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5 N7">
    <cfRule type="colorScale" priority="22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7">
    <cfRule type="colorScale" priority="22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7">
    <cfRule type="colorScale" priority="22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2"/>
  <sheetViews>
    <sheetView workbookViewId="0">
      <selection activeCell="L19" sqref="L19"/>
    </sheetView>
  </sheetViews>
  <sheetFormatPr defaultRowHeight="15" x14ac:dyDescent="0.25"/>
  <cols>
    <col min="1" max="1" width="9.140625" style="52"/>
    <col min="2" max="2" width="9.5703125" style="48" customWidth="1"/>
    <col min="3" max="3" width="6.85546875" style="49" customWidth="1"/>
    <col min="4" max="4" width="7.140625" style="50" customWidth="1"/>
    <col min="5" max="5" width="6.85546875" style="51" customWidth="1"/>
    <col min="6" max="6" width="6.42578125" style="50" customWidth="1"/>
    <col min="7" max="7" width="6.28515625" style="51" customWidth="1"/>
    <col min="8" max="8" width="6.28515625" style="50" customWidth="1"/>
    <col min="9" max="9" width="6.85546875" style="51" customWidth="1"/>
    <col min="10" max="10" width="6.42578125" style="50" customWidth="1"/>
    <col min="11" max="11" width="6.140625" style="49" customWidth="1"/>
    <col min="12" max="12" width="6.5703125" style="50" customWidth="1"/>
    <col min="13" max="13" width="5.85546875" style="51" customWidth="1"/>
    <col min="14" max="14" width="6.7109375" style="50" customWidth="1"/>
    <col min="15" max="15" width="6.7109375" style="51" customWidth="1"/>
    <col min="16" max="16" width="7" style="50" customWidth="1"/>
    <col min="17" max="16384" width="9.140625" style="52"/>
  </cols>
  <sheetData>
    <row r="1" spans="2:20" x14ac:dyDescent="0.25">
      <c r="B1" s="48" t="s">
        <v>67</v>
      </c>
      <c r="C1" s="49">
        <f>SUM(C5:C34)</f>
        <v>34620</v>
      </c>
      <c r="D1" s="50">
        <f>SUM(D5:D34)</f>
        <v>49000</v>
      </c>
      <c r="E1" s="51">
        <f t="shared" ref="E1:P1" si="0">SUM(E5:E34)</f>
        <v>0</v>
      </c>
      <c r="F1" s="50">
        <f t="shared" si="0"/>
        <v>900</v>
      </c>
      <c r="G1" s="51">
        <f t="shared" si="0"/>
        <v>0</v>
      </c>
      <c r="H1" s="50">
        <f t="shared" si="0"/>
        <v>13500</v>
      </c>
      <c r="I1" s="51">
        <f t="shared" si="0"/>
        <v>1140</v>
      </c>
      <c r="J1" s="50">
        <f t="shared" si="0"/>
        <v>0</v>
      </c>
      <c r="K1" s="49">
        <f t="shared" si="0"/>
        <v>0</v>
      </c>
      <c r="L1" s="50">
        <f t="shared" si="0"/>
        <v>17600</v>
      </c>
      <c r="M1" s="51">
        <f t="shared" si="0"/>
        <v>0</v>
      </c>
      <c r="N1" s="50">
        <f t="shared" si="0"/>
        <v>40500</v>
      </c>
      <c r="O1" s="51">
        <f t="shared" si="0"/>
        <v>0</v>
      </c>
      <c r="P1" s="50">
        <f t="shared" si="0"/>
        <v>28000</v>
      </c>
    </row>
    <row r="3" spans="2:20" x14ac:dyDescent="0.25">
      <c r="B3" s="48" t="s">
        <v>65</v>
      </c>
      <c r="C3" s="176" t="s">
        <v>43</v>
      </c>
      <c r="D3" s="173"/>
      <c r="E3" s="174" t="s">
        <v>9</v>
      </c>
      <c r="F3" s="175"/>
      <c r="G3" s="174" t="s">
        <v>66</v>
      </c>
      <c r="H3" s="175"/>
      <c r="I3" s="174" t="s">
        <v>15</v>
      </c>
      <c r="J3" s="175"/>
      <c r="K3" s="174" t="s">
        <v>16</v>
      </c>
      <c r="L3" s="175"/>
      <c r="M3" s="172" t="s">
        <v>21</v>
      </c>
      <c r="N3" s="173"/>
      <c r="O3" s="172" t="s">
        <v>23</v>
      </c>
      <c r="P3" s="173"/>
    </row>
    <row r="4" spans="2:20" x14ac:dyDescent="0.25">
      <c r="C4" s="53" t="s">
        <v>3</v>
      </c>
      <c r="D4" s="53" t="s">
        <v>2</v>
      </c>
      <c r="E4" s="53" t="s">
        <v>3</v>
      </c>
      <c r="F4" s="53" t="s">
        <v>2</v>
      </c>
      <c r="G4" s="53" t="s">
        <v>3</v>
      </c>
      <c r="H4" s="53" t="s">
        <v>2</v>
      </c>
      <c r="I4" s="53" t="s">
        <v>3</v>
      </c>
      <c r="J4" s="53" t="s">
        <v>2</v>
      </c>
      <c r="K4" s="54" t="s">
        <v>3</v>
      </c>
      <c r="L4" s="53" t="s">
        <v>2</v>
      </c>
      <c r="M4" s="53" t="s">
        <v>3</v>
      </c>
      <c r="N4" s="53" t="s">
        <v>2</v>
      </c>
      <c r="O4" s="53" t="s">
        <v>3</v>
      </c>
      <c r="P4" s="53" t="s">
        <v>2</v>
      </c>
    </row>
    <row r="5" spans="2:20" x14ac:dyDescent="0.25">
      <c r="B5" s="55">
        <v>4</v>
      </c>
      <c r="C5" s="56"/>
      <c r="D5" s="57"/>
      <c r="E5" s="58"/>
      <c r="F5" s="57"/>
      <c r="G5" s="58"/>
      <c r="H5" s="57"/>
      <c r="I5" s="58">
        <f>60*3</f>
        <v>180</v>
      </c>
      <c r="J5" s="57"/>
      <c r="K5" s="56"/>
      <c r="L5" s="57"/>
      <c r="M5" s="58"/>
      <c r="N5" s="57"/>
      <c r="O5" s="58"/>
      <c r="P5" s="57"/>
      <c r="Q5" s="48"/>
      <c r="R5" s="48"/>
      <c r="S5" s="48"/>
      <c r="T5" s="48"/>
    </row>
    <row r="6" spans="2:20" x14ac:dyDescent="0.25">
      <c r="B6" s="55">
        <v>5</v>
      </c>
      <c r="C6" s="56"/>
      <c r="D6" s="57"/>
      <c r="E6" s="58"/>
      <c r="F6" s="57"/>
      <c r="G6" s="58"/>
      <c r="H6" s="57"/>
      <c r="I6" s="58"/>
      <c r="J6" s="57"/>
      <c r="K6" s="56"/>
      <c r="L6" s="57"/>
      <c r="M6" s="58"/>
      <c r="N6" s="57"/>
      <c r="O6" s="58"/>
      <c r="P6" s="57"/>
      <c r="Q6" s="48"/>
      <c r="R6" s="48"/>
      <c r="S6" s="48"/>
      <c r="T6" s="48"/>
    </row>
    <row r="7" spans="2:20" x14ac:dyDescent="0.25">
      <c r="B7" s="55">
        <v>6</v>
      </c>
      <c r="C7" s="56"/>
      <c r="D7" s="57"/>
      <c r="E7" s="58"/>
      <c r="F7" s="57"/>
      <c r="G7" s="58"/>
      <c r="H7" s="57"/>
      <c r="I7" s="58"/>
      <c r="J7" s="57"/>
      <c r="K7" s="56"/>
      <c r="L7" s="57"/>
      <c r="M7" s="58"/>
      <c r="N7" s="57"/>
      <c r="O7" s="58"/>
      <c r="P7" s="57"/>
      <c r="Q7" s="48"/>
      <c r="R7" s="48"/>
      <c r="S7" s="48"/>
      <c r="T7" s="48"/>
    </row>
    <row r="8" spans="2:20" x14ac:dyDescent="0.25">
      <c r="B8" s="55">
        <v>7</v>
      </c>
      <c r="C8" s="56"/>
      <c r="D8" s="57"/>
      <c r="E8" s="58"/>
      <c r="F8" s="57"/>
      <c r="G8" s="58"/>
      <c r="H8" s="57"/>
      <c r="I8" s="58">
        <f>320*3</f>
        <v>960</v>
      </c>
      <c r="J8" s="57"/>
      <c r="K8" s="56"/>
      <c r="L8" s="57"/>
      <c r="M8" s="58"/>
      <c r="N8" s="57"/>
      <c r="O8" s="58"/>
      <c r="P8" s="57"/>
      <c r="Q8" s="48"/>
      <c r="R8" s="48"/>
      <c r="S8" s="48"/>
      <c r="T8" s="48"/>
    </row>
    <row r="9" spans="2:20" x14ac:dyDescent="0.25">
      <c r="B9" s="55">
        <v>8</v>
      </c>
      <c r="C9" s="56"/>
      <c r="D9" s="57"/>
      <c r="E9" s="58"/>
      <c r="F9" s="57"/>
      <c r="G9" s="58"/>
      <c r="H9" s="57"/>
      <c r="I9" s="58"/>
      <c r="J9" s="57"/>
      <c r="K9" s="56"/>
      <c r="L9" s="57"/>
      <c r="M9" s="58"/>
      <c r="N9" s="57"/>
      <c r="O9" s="58"/>
      <c r="P9" s="57"/>
      <c r="Q9" s="48"/>
      <c r="R9" s="48"/>
      <c r="S9" s="48"/>
      <c r="T9" s="48"/>
    </row>
    <row r="10" spans="2:20" x14ac:dyDescent="0.25">
      <c r="B10" s="55">
        <v>9</v>
      </c>
      <c r="C10" s="56"/>
      <c r="D10" s="57">
        <v>21000</v>
      </c>
      <c r="E10" s="58"/>
      <c r="F10" s="57">
        <v>900</v>
      </c>
      <c r="G10" s="58"/>
      <c r="H10" s="57"/>
      <c r="I10" s="58"/>
      <c r="J10" s="57"/>
      <c r="K10" s="56"/>
      <c r="L10" s="57"/>
      <c r="M10" s="58"/>
      <c r="N10" s="57"/>
      <c r="O10" s="58"/>
      <c r="P10" s="57"/>
      <c r="Q10" s="48"/>
      <c r="R10" s="48"/>
      <c r="S10" s="48"/>
      <c r="T10" s="48"/>
    </row>
    <row r="11" spans="2:20" x14ac:dyDescent="0.25">
      <c r="B11" s="55">
        <v>10</v>
      </c>
      <c r="C11" s="56">
        <f>5710*3</f>
        <v>17130</v>
      </c>
      <c r="D11" s="57"/>
      <c r="E11" s="58"/>
      <c r="F11" s="57"/>
      <c r="G11" s="58"/>
      <c r="H11" s="57"/>
      <c r="I11" s="58"/>
      <c r="J11" s="57"/>
      <c r="K11" s="56"/>
      <c r="L11" s="57"/>
      <c r="M11" s="58"/>
      <c r="N11" s="57"/>
      <c r="O11" s="58"/>
      <c r="P11" s="57"/>
      <c r="Q11" s="48"/>
      <c r="R11" s="48"/>
      <c r="S11" s="48"/>
      <c r="T11" s="48"/>
    </row>
    <row r="12" spans="2:20" x14ac:dyDescent="0.25">
      <c r="B12" s="55">
        <v>11</v>
      </c>
      <c r="C12" s="56">
        <f>5830*3</f>
        <v>17490</v>
      </c>
      <c r="D12" s="57"/>
      <c r="E12" s="58"/>
      <c r="F12" s="57"/>
      <c r="G12" s="58"/>
      <c r="H12" s="57"/>
      <c r="I12" s="58"/>
      <c r="J12" s="57"/>
      <c r="K12" s="56"/>
      <c r="L12" s="57"/>
      <c r="M12" s="58"/>
      <c r="N12" s="57"/>
      <c r="O12" s="58"/>
      <c r="P12" s="57"/>
      <c r="Q12" s="48"/>
      <c r="R12" s="48"/>
      <c r="S12" s="48"/>
      <c r="T12" s="48"/>
    </row>
    <row r="13" spans="2:20" x14ac:dyDescent="0.25">
      <c r="B13" s="55">
        <v>12</v>
      </c>
      <c r="C13" s="56"/>
      <c r="D13" s="57">
        <v>28000</v>
      </c>
      <c r="E13" s="58"/>
      <c r="F13" s="57"/>
      <c r="G13" s="58"/>
      <c r="H13" s="57"/>
      <c r="I13" s="58"/>
      <c r="J13" s="57"/>
      <c r="K13" s="56"/>
      <c r="L13" s="57"/>
      <c r="M13" s="58"/>
      <c r="N13" s="57"/>
      <c r="O13" s="58"/>
      <c r="P13" s="57">
        <v>28000</v>
      </c>
      <c r="Q13" s="48"/>
      <c r="R13" s="48"/>
      <c r="S13" s="48"/>
      <c r="T13" s="48"/>
    </row>
    <row r="14" spans="2:20" x14ac:dyDescent="0.25">
      <c r="B14" s="55">
        <v>13</v>
      </c>
      <c r="C14" s="56"/>
      <c r="D14" s="57"/>
      <c r="E14" s="58"/>
      <c r="F14" s="57"/>
      <c r="G14" s="58"/>
      <c r="H14" s="57"/>
      <c r="I14" s="58"/>
      <c r="J14" s="57"/>
      <c r="K14" s="56"/>
      <c r="L14" s="57"/>
      <c r="M14" s="58"/>
      <c r="N14" s="57"/>
      <c r="O14" s="58"/>
      <c r="P14" s="57"/>
      <c r="Q14" s="48"/>
      <c r="R14" s="48"/>
      <c r="S14" s="48"/>
      <c r="T14" s="48"/>
    </row>
    <row r="15" spans="2:20" x14ac:dyDescent="0.25">
      <c r="B15" s="55">
        <v>14</v>
      </c>
      <c r="C15" s="56"/>
      <c r="D15" s="57"/>
      <c r="E15" s="58"/>
      <c r="F15" s="57"/>
      <c r="G15" s="58"/>
      <c r="H15" s="57"/>
      <c r="I15" s="58"/>
      <c r="J15" s="57"/>
      <c r="K15" s="56"/>
      <c r="L15" s="57"/>
      <c r="M15" s="58"/>
      <c r="N15" s="57"/>
      <c r="O15" s="58"/>
      <c r="P15" s="57"/>
      <c r="Q15" s="48"/>
      <c r="R15" s="48"/>
      <c r="S15" s="48"/>
      <c r="T15" s="48"/>
    </row>
    <row r="16" spans="2:20" x14ac:dyDescent="0.25">
      <c r="B16" s="55">
        <v>15</v>
      </c>
      <c r="C16" s="56"/>
      <c r="D16" s="57"/>
      <c r="E16" s="58"/>
      <c r="F16" s="57"/>
      <c r="G16" s="58"/>
      <c r="H16" s="57"/>
      <c r="I16" s="58"/>
      <c r="J16" s="57"/>
      <c r="K16" s="56"/>
      <c r="L16" s="57"/>
      <c r="M16" s="58"/>
      <c r="N16" s="57"/>
      <c r="O16" s="58"/>
      <c r="P16" s="57"/>
      <c r="Q16" s="48"/>
      <c r="R16" s="48"/>
      <c r="S16" s="48"/>
      <c r="T16" s="48"/>
    </row>
    <row r="17" spans="2:20" x14ac:dyDescent="0.25">
      <c r="B17" s="55">
        <v>16</v>
      </c>
      <c r="C17" s="56"/>
      <c r="D17" s="57"/>
      <c r="E17" s="58"/>
      <c r="F17" s="57"/>
      <c r="G17" s="58"/>
      <c r="H17" s="57"/>
      <c r="I17" s="58"/>
      <c r="J17" s="57"/>
      <c r="K17" s="56"/>
      <c r="L17" s="57"/>
      <c r="M17" s="58"/>
      <c r="N17" s="57"/>
      <c r="O17" s="58"/>
      <c r="P17" s="57"/>
      <c r="Q17" s="48"/>
      <c r="R17" s="48"/>
      <c r="S17" s="48"/>
      <c r="T17" s="48"/>
    </row>
    <row r="18" spans="2:20" x14ac:dyDescent="0.25">
      <c r="B18" s="55">
        <v>17</v>
      </c>
      <c r="C18" s="59"/>
      <c r="D18" s="60"/>
      <c r="E18" s="61"/>
      <c r="F18" s="60"/>
      <c r="G18" s="58"/>
      <c r="H18" s="57"/>
      <c r="I18" s="58"/>
      <c r="J18" s="57"/>
      <c r="K18" s="56"/>
      <c r="L18" s="57"/>
      <c r="M18" s="58"/>
      <c r="N18" s="57"/>
      <c r="O18" s="58"/>
      <c r="P18" s="57"/>
      <c r="Q18" s="48"/>
      <c r="R18" s="48"/>
      <c r="S18" s="48"/>
      <c r="T18" s="48"/>
    </row>
    <row r="19" spans="2:20" x14ac:dyDescent="0.25">
      <c r="B19" s="55">
        <v>18</v>
      </c>
      <c r="C19" s="56"/>
      <c r="D19" s="57"/>
      <c r="E19" s="58"/>
      <c r="F19" s="57"/>
      <c r="G19" s="58"/>
      <c r="H19" s="57">
        <v>13500</v>
      </c>
      <c r="I19" s="58"/>
      <c r="J19" s="57"/>
      <c r="K19" s="56"/>
      <c r="L19" s="57">
        <v>17600</v>
      </c>
      <c r="M19" s="58"/>
      <c r="N19" s="57">
        <v>40500</v>
      </c>
      <c r="O19" s="58"/>
      <c r="P19" s="57"/>
      <c r="Q19" s="48"/>
      <c r="R19" s="48"/>
      <c r="S19" s="48"/>
      <c r="T19" s="48"/>
    </row>
    <row r="20" spans="2:20" x14ac:dyDescent="0.25">
      <c r="B20" s="55">
        <v>19</v>
      </c>
      <c r="C20" s="56"/>
      <c r="D20" s="57"/>
      <c r="E20" s="58"/>
      <c r="F20" s="57"/>
      <c r="G20" s="58"/>
      <c r="H20" s="57"/>
      <c r="I20" s="58"/>
      <c r="J20" s="57"/>
      <c r="K20" s="56"/>
      <c r="L20" s="57"/>
      <c r="M20" s="58"/>
      <c r="N20" s="57"/>
      <c r="O20" s="58"/>
      <c r="P20" s="57"/>
      <c r="Q20" s="48"/>
      <c r="R20" s="48"/>
      <c r="S20" s="48"/>
      <c r="T20" s="48"/>
    </row>
    <row r="21" spans="2:20" x14ac:dyDescent="0.25">
      <c r="B21" s="55">
        <v>20</v>
      </c>
      <c r="C21" s="56"/>
      <c r="D21" s="57"/>
      <c r="E21" s="58"/>
      <c r="F21" s="57"/>
      <c r="G21" s="58"/>
      <c r="H21" s="57"/>
      <c r="I21" s="58"/>
      <c r="J21" s="57"/>
      <c r="K21" s="56"/>
      <c r="L21" s="57"/>
      <c r="M21" s="58"/>
      <c r="N21" s="57"/>
      <c r="O21" s="58"/>
      <c r="P21" s="57"/>
      <c r="Q21" s="48"/>
      <c r="R21" s="48"/>
      <c r="S21" s="48"/>
      <c r="T21" s="48"/>
    </row>
    <row r="22" spans="2:20" x14ac:dyDescent="0.25">
      <c r="B22" s="55">
        <v>21</v>
      </c>
      <c r="C22" s="56"/>
      <c r="D22" s="57"/>
      <c r="E22" s="58"/>
      <c r="F22" s="57"/>
      <c r="G22" s="58"/>
      <c r="H22" s="57"/>
      <c r="I22" s="58"/>
      <c r="J22" s="57"/>
      <c r="K22" s="56"/>
      <c r="L22" s="57"/>
      <c r="M22" s="58"/>
      <c r="N22" s="57"/>
      <c r="O22" s="58"/>
      <c r="P22" s="57"/>
      <c r="Q22" s="48"/>
      <c r="R22" s="48"/>
      <c r="S22" s="48"/>
      <c r="T22" s="48"/>
    </row>
    <row r="23" spans="2:20" x14ac:dyDescent="0.25">
      <c r="B23" s="55">
        <v>22</v>
      </c>
      <c r="C23" s="56"/>
      <c r="D23" s="57"/>
      <c r="E23" s="58"/>
      <c r="F23" s="57"/>
      <c r="G23" s="58"/>
      <c r="H23" s="57"/>
      <c r="I23" s="58"/>
      <c r="J23" s="57"/>
      <c r="K23" s="56"/>
      <c r="L23" s="57"/>
      <c r="M23" s="58"/>
      <c r="N23" s="57"/>
      <c r="O23" s="58"/>
      <c r="P23" s="57"/>
      <c r="Q23" s="48"/>
      <c r="R23" s="48"/>
      <c r="S23" s="48"/>
      <c r="T23" s="48"/>
    </row>
    <row r="24" spans="2:20" x14ac:dyDescent="0.25">
      <c r="B24" s="55">
        <v>23</v>
      </c>
      <c r="C24" s="56"/>
      <c r="D24" s="57"/>
      <c r="E24" s="58"/>
      <c r="F24" s="57"/>
      <c r="G24" s="58"/>
      <c r="H24" s="57"/>
      <c r="I24" s="58"/>
      <c r="J24" s="57"/>
      <c r="K24" s="56"/>
      <c r="L24" s="57"/>
      <c r="M24" s="58"/>
      <c r="N24" s="57"/>
      <c r="O24" s="58"/>
      <c r="P24" s="57"/>
      <c r="Q24" s="48"/>
      <c r="R24" s="48"/>
      <c r="S24" s="48"/>
      <c r="T24" s="48"/>
    </row>
    <row r="25" spans="2:20" x14ac:dyDescent="0.25">
      <c r="B25" s="55">
        <v>24</v>
      </c>
      <c r="C25" s="56"/>
      <c r="D25" s="57"/>
      <c r="E25" s="58"/>
      <c r="F25" s="57"/>
      <c r="G25" s="58"/>
      <c r="H25" s="57"/>
      <c r="I25" s="58"/>
      <c r="J25" s="57"/>
      <c r="K25" s="56"/>
      <c r="L25" s="57"/>
      <c r="M25" s="58"/>
      <c r="N25" s="57"/>
      <c r="O25" s="58"/>
      <c r="P25" s="57"/>
      <c r="Q25" s="48"/>
      <c r="R25" s="48"/>
      <c r="S25" s="48"/>
      <c r="T25" s="48"/>
    </row>
    <row r="26" spans="2:20" x14ac:dyDescent="0.25">
      <c r="B26" s="55">
        <v>25</v>
      </c>
      <c r="C26" s="56"/>
      <c r="D26" s="57"/>
      <c r="E26" s="58"/>
      <c r="F26" s="57"/>
      <c r="G26" s="58"/>
      <c r="H26" s="57"/>
      <c r="I26" s="58"/>
      <c r="J26" s="57"/>
      <c r="K26" s="56"/>
      <c r="L26" s="57"/>
      <c r="M26" s="58"/>
      <c r="N26" s="57"/>
      <c r="O26" s="58"/>
      <c r="P26" s="57"/>
      <c r="Q26" s="48"/>
      <c r="R26" s="48"/>
      <c r="S26" s="48"/>
      <c r="T26" s="48"/>
    </row>
    <row r="27" spans="2:20" x14ac:dyDescent="0.25">
      <c r="B27" s="55">
        <v>26</v>
      </c>
      <c r="C27" s="56"/>
      <c r="D27" s="57"/>
      <c r="E27" s="58"/>
      <c r="F27" s="57"/>
      <c r="G27" s="58"/>
      <c r="H27" s="57"/>
      <c r="I27" s="58"/>
      <c r="J27" s="57"/>
      <c r="K27" s="56"/>
      <c r="L27" s="57"/>
      <c r="M27" s="58"/>
      <c r="N27" s="57"/>
      <c r="O27" s="58"/>
      <c r="P27" s="57"/>
      <c r="Q27" s="48"/>
      <c r="R27" s="48"/>
      <c r="S27" s="48"/>
      <c r="T27" s="48"/>
    </row>
    <row r="28" spans="2:20" x14ac:dyDescent="0.25">
      <c r="B28" s="55">
        <v>27</v>
      </c>
      <c r="C28" s="56"/>
      <c r="D28" s="57"/>
      <c r="E28" s="58"/>
      <c r="F28" s="57"/>
      <c r="G28" s="58"/>
      <c r="H28" s="57"/>
      <c r="I28" s="58"/>
      <c r="J28" s="57"/>
      <c r="K28" s="56"/>
      <c r="L28" s="57"/>
      <c r="M28" s="58"/>
      <c r="N28" s="57"/>
      <c r="O28" s="58"/>
      <c r="P28" s="57"/>
      <c r="Q28" s="48"/>
      <c r="R28" s="48"/>
      <c r="S28" s="48"/>
      <c r="T28" s="48"/>
    </row>
    <row r="29" spans="2:20" x14ac:dyDescent="0.25">
      <c r="B29" s="55">
        <v>28</v>
      </c>
      <c r="C29" s="56"/>
      <c r="D29" s="57"/>
      <c r="E29" s="58"/>
      <c r="F29" s="57"/>
      <c r="G29" s="58"/>
      <c r="H29" s="57"/>
      <c r="I29" s="58"/>
      <c r="J29" s="57"/>
      <c r="K29" s="56"/>
      <c r="L29" s="57"/>
      <c r="M29" s="58"/>
      <c r="N29" s="57"/>
      <c r="O29" s="58"/>
      <c r="P29" s="57"/>
      <c r="Q29" s="48"/>
      <c r="R29" s="48"/>
      <c r="S29" s="48"/>
      <c r="T29" s="48"/>
    </row>
    <row r="30" spans="2:20" x14ac:dyDescent="0.25">
      <c r="B30" s="55">
        <v>29</v>
      </c>
      <c r="C30" s="56"/>
      <c r="D30" s="57"/>
      <c r="E30" s="58"/>
      <c r="F30" s="57"/>
      <c r="G30" s="58"/>
      <c r="H30" s="57"/>
      <c r="I30" s="58"/>
      <c r="J30" s="57"/>
      <c r="K30" s="56"/>
      <c r="L30" s="57"/>
      <c r="M30" s="58"/>
      <c r="N30" s="57"/>
      <c r="O30" s="58"/>
      <c r="P30" s="57"/>
      <c r="Q30" s="48"/>
      <c r="R30" s="48"/>
      <c r="S30" s="48"/>
      <c r="T30" s="48"/>
    </row>
    <row r="31" spans="2:20" x14ac:dyDescent="0.25">
      <c r="B31" s="55">
        <v>30</v>
      </c>
      <c r="C31" s="56"/>
      <c r="D31" s="57"/>
      <c r="E31" s="58"/>
      <c r="F31" s="57"/>
      <c r="G31" s="58"/>
      <c r="H31" s="57"/>
      <c r="I31" s="58"/>
      <c r="J31" s="57"/>
      <c r="K31" s="56"/>
      <c r="L31" s="57"/>
      <c r="M31" s="58"/>
      <c r="N31" s="57"/>
      <c r="O31" s="58"/>
      <c r="P31" s="57"/>
      <c r="Q31" s="48"/>
      <c r="R31" s="48"/>
      <c r="S31" s="48"/>
      <c r="T31" s="48"/>
    </row>
    <row r="32" spans="2:20" x14ac:dyDescent="0.25">
      <c r="B32" s="55">
        <v>31</v>
      </c>
      <c r="C32" s="56"/>
      <c r="D32" s="57"/>
      <c r="E32" s="58"/>
      <c r="F32" s="57"/>
      <c r="G32" s="58"/>
      <c r="H32" s="57"/>
      <c r="I32" s="58"/>
      <c r="J32" s="57"/>
      <c r="K32" s="56"/>
      <c r="L32" s="57"/>
      <c r="M32" s="58"/>
      <c r="N32" s="57"/>
      <c r="O32" s="58"/>
      <c r="P32" s="57"/>
      <c r="Q32" s="48"/>
      <c r="R32" s="48"/>
      <c r="S32" s="48"/>
      <c r="T32" s="48"/>
    </row>
    <row r="33" spans="2:20" x14ac:dyDescent="0.25">
      <c r="B33" s="55">
        <v>32</v>
      </c>
      <c r="C33" s="56"/>
      <c r="D33" s="57"/>
      <c r="E33" s="58"/>
      <c r="F33" s="57"/>
      <c r="G33" s="58"/>
      <c r="H33" s="57"/>
      <c r="I33" s="58"/>
      <c r="J33" s="57"/>
      <c r="K33" s="56"/>
      <c r="L33" s="57"/>
      <c r="M33" s="58"/>
      <c r="N33" s="57"/>
      <c r="O33" s="58"/>
      <c r="P33" s="57"/>
      <c r="Q33" s="48"/>
      <c r="R33" s="48"/>
      <c r="S33" s="48"/>
      <c r="T33" s="48"/>
    </row>
    <row r="34" spans="2:20" x14ac:dyDescent="0.25">
      <c r="B34" s="55">
        <v>33</v>
      </c>
      <c r="C34" s="56"/>
      <c r="D34" s="57"/>
      <c r="E34" s="58"/>
      <c r="F34" s="57"/>
      <c r="G34" s="58"/>
      <c r="H34" s="57"/>
      <c r="I34" s="58"/>
      <c r="J34" s="57"/>
      <c r="K34" s="56"/>
      <c r="L34" s="57"/>
      <c r="M34" s="58"/>
      <c r="N34" s="57"/>
      <c r="O34" s="58"/>
      <c r="P34" s="57"/>
    </row>
    <row r="35" spans="2:20" x14ac:dyDescent="0.25">
      <c r="B35" s="55">
        <v>34</v>
      </c>
      <c r="C35" s="56"/>
      <c r="D35" s="57"/>
      <c r="E35" s="58"/>
      <c r="F35" s="57"/>
      <c r="G35" s="58"/>
      <c r="H35" s="57"/>
      <c r="I35" s="58"/>
      <c r="J35" s="57"/>
      <c r="K35" s="56"/>
      <c r="L35" s="57"/>
      <c r="M35" s="58"/>
      <c r="N35" s="57"/>
      <c r="O35" s="58"/>
      <c r="P35" s="57"/>
    </row>
    <row r="36" spans="2:20" x14ac:dyDescent="0.25">
      <c r="B36" s="55">
        <v>35</v>
      </c>
      <c r="C36" s="56"/>
      <c r="D36" s="57"/>
      <c r="E36" s="58"/>
      <c r="F36" s="57"/>
      <c r="G36" s="58"/>
      <c r="H36" s="57"/>
      <c r="I36" s="58"/>
      <c r="J36" s="57"/>
      <c r="K36" s="56"/>
      <c r="L36" s="57"/>
      <c r="M36" s="58"/>
      <c r="N36" s="57"/>
      <c r="O36" s="58"/>
      <c r="P36" s="57"/>
    </row>
    <row r="37" spans="2:20" x14ac:dyDescent="0.25">
      <c r="B37" s="55">
        <v>36</v>
      </c>
      <c r="C37" s="56"/>
      <c r="D37" s="57"/>
      <c r="E37" s="58"/>
      <c r="F37" s="57"/>
      <c r="G37" s="58"/>
      <c r="H37" s="57"/>
      <c r="I37" s="58"/>
      <c r="J37" s="57"/>
      <c r="K37" s="56"/>
      <c r="L37" s="57"/>
      <c r="M37" s="58"/>
      <c r="N37" s="57"/>
      <c r="O37" s="58"/>
      <c r="P37" s="57"/>
    </row>
    <row r="38" spans="2:20" x14ac:dyDescent="0.25">
      <c r="B38" s="55">
        <v>37</v>
      </c>
      <c r="C38" s="56"/>
      <c r="D38" s="57"/>
      <c r="E38" s="58"/>
      <c r="F38" s="57"/>
      <c r="G38" s="58"/>
      <c r="H38" s="57"/>
      <c r="I38" s="58"/>
      <c r="J38" s="57"/>
      <c r="K38" s="56"/>
      <c r="L38" s="57"/>
      <c r="M38" s="58"/>
      <c r="N38" s="57"/>
      <c r="O38" s="58"/>
      <c r="P38" s="57"/>
    </row>
    <row r="39" spans="2:20" x14ac:dyDescent="0.25">
      <c r="B39" s="55">
        <v>38</v>
      </c>
      <c r="C39" s="56"/>
      <c r="D39" s="57"/>
      <c r="E39" s="58"/>
      <c r="F39" s="57"/>
      <c r="G39" s="58"/>
      <c r="H39" s="57"/>
      <c r="I39" s="58"/>
      <c r="J39" s="57"/>
      <c r="K39" s="56"/>
      <c r="L39" s="57"/>
      <c r="M39" s="58"/>
      <c r="N39" s="57"/>
      <c r="O39" s="58"/>
      <c r="P39" s="57"/>
    </row>
    <row r="40" spans="2:20" x14ac:dyDescent="0.25">
      <c r="B40" s="55">
        <v>39</v>
      </c>
      <c r="C40" s="56"/>
      <c r="D40" s="57"/>
      <c r="E40" s="58"/>
      <c r="F40" s="57"/>
      <c r="G40" s="58"/>
      <c r="H40" s="57"/>
      <c r="I40" s="58"/>
      <c r="J40" s="57"/>
      <c r="K40" s="56"/>
      <c r="L40" s="57"/>
      <c r="M40" s="58"/>
      <c r="N40" s="57"/>
      <c r="O40" s="58"/>
      <c r="P40" s="57"/>
    </row>
    <row r="41" spans="2:20" x14ac:dyDescent="0.25">
      <c r="B41" s="55">
        <v>40</v>
      </c>
      <c r="C41" s="56"/>
      <c r="D41" s="57"/>
      <c r="E41" s="58"/>
      <c r="F41" s="57"/>
      <c r="G41" s="58"/>
      <c r="H41" s="57"/>
      <c r="I41" s="58"/>
      <c r="J41" s="57"/>
      <c r="K41" s="56"/>
      <c r="L41" s="57"/>
      <c r="M41" s="58"/>
      <c r="N41" s="57"/>
      <c r="O41" s="58"/>
      <c r="P41" s="57"/>
    </row>
    <row r="42" spans="2:20" x14ac:dyDescent="0.25">
      <c r="B42" s="55">
        <v>41</v>
      </c>
      <c r="C42" s="56"/>
      <c r="D42" s="57"/>
      <c r="E42" s="58"/>
      <c r="F42" s="57"/>
      <c r="G42" s="58"/>
      <c r="H42" s="57"/>
      <c r="I42" s="58"/>
      <c r="J42" s="57"/>
      <c r="K42" s="56"/>
      <c r="L42" s="57"/>
      <c r="M42" s="58"/>
      <c r="N42" s="57"/>
      <c r="O42" s="58"/>
      <c r="P42" s="57"/>
    </row>
    <row r="43" spans="2:20" x14ac:dyDescent="0.25">
      <c r="B43" s="55">
        <v>42</v>
      </c>
      <c r="C43" s="56"/>
      <c r="D43" s="57"/>
      <c r="E43" s="58"/>
      <c r="F43" s="57"/>
      <c r="G43" s="58"/>
      <c r="H43" s="57"/>
      <c r="I43" s="58"/>
      <c r="J43" s="57"/>
      <c r="K43" s="56"/>
      <c r="L43" s="57"/>
      <c r="M43" s="58"/>
      <c r="N43" s="57"/>
      <c r="O43" s="58"/>
      <c r="P43" s="57"/>
    </row>
    <row r="44" spans="2:20" x14ac:dyDescent="0.25">
      <c r="B44" s="55">
        <v>43</v>
      </c>
      <c r="C44" s="56"/>
      <c r="D44" s="57"/>
      <c r="E44" s="58"/>
      <c r="F44" s="57"/>
      <c r="G44" s="58"/>
      <c r="H44" s="57"/>
      <c r="I44" s="58"/>
      <c r="J44" s="57"/>
      <c r="K44" s="56"/>
      <c r="L44" s="57"/>
      <c r="M44" s="58"/>
      <c r="N44" s="57"/>
      <c r="O44" s="58"/>
      <c r="P44" s="57"/>
    </row>
    <row r="45" spans="2:20" x14ac:dyDescent="0.25">
      <c r="B45" s="55">
        <v>44</v>
      </c>
      <c r="C45" s="56"/>
      <c r="D45" s="57"/>
      <c r="E45" s="58"/>
      <c r="F45" s="57"/>
      <c r="G45" s="58"/>
      <c r="H45" s="57"/>
      <c r="I45" s="58"/>
      <c r="J45" s="57"/>
      <c r="K45" s="56"/>
      <c r="L45" s="57"/>
      <c r="M45" s="58"/>
      <c r="N45" s="57"/>
      <c r="O45" s="58"/>
      <c r="P45" s="57"/>
    </row>
    <row r="46" spans="2:20" x14ac:dyDescent="0.25">
      <c r="B46" s="55">
        <v>45</v>
      </c>
      <c r="C46" s="56"/>
      <c r="D46" s="57"/>
      <c r="E46" s="58"/>
      <c r="F46" s="57"/>
      <c r="G46" s="58"/>
      <c r="H46" s="57"/>
      <c r="I46" s="58"/>
      <c r="J46" s="57"/>
      <c r="K46" s="56"/>
      <c r="L46" s="57"/>
      <c r="M46" s="58"/>
      <c r="N46" s="57"/>
      <c r="O46" s="58"/>
      <c r="P46" s="57"/>
    </row>
    <row r="47" spans="2:20" x14ac:dyDescent="0.25">
      <c r="B47" s="55">
        <v>46</v>
      </c>
      <c r="C47" s="56"/>
      <c r="D47" s="57"/>
      <c r="E47" s="58"/>
      <c r="F47" s="57"/>
      <c r="G47" s="58"/>
      <c r="H47" s="57"/>
      <c r="I47" s="58"/>
      <c r="J47" s="57"/>
      <c r="K47" s="56"/>
      <c r="L47" s="57"/>
      <c r="M47" s="58"/>
      <c r="N47" s="57"/>
      <c r="O47" s="58"/>
      <c r="P47" s="57"/>
    </row>
    <row r="48" spans="2:20" x14ac:dyDescent="0.25">
      <c r="B48" s="55">
        <v>47</v>
      </c>
      <c r="C48" s="56"/>
      <c r="D48" s="57"/>
      <c r="E48" s="58"/>
      <c r="F48" s="57"/>
      <c r="G48" s="58"/>
      <c r="H48" s="57"/>
      <c r="I48" s="58"/>
      <c r="J48" s="57"/>
      <c r="K48" s="56"/>
      <c r="L48" s="57"/>
      <c r="M48" s="58"/>
      <c r="N48" s="57"/>
      <c r="O48" s="58"/>
      <c r="P48" s="57"/>
    </row>
    <row r="49" spans="2:16" x14ac:dyDescent="0.25">
      <c r="B49" s="55">
        <v>48</v>
      </c>
      <c r="C49" s="56"/>
      <c r="D49" s="57"/>
      <c r="E49" s="58"/>
      <c r="F49" s="57"/>
      <c r="G49" s="58"/>
      <c r="H49" s="57"/>
      <c r="I49" s="58"/>
      <c r="J49" s="57"/>
      <c r="K49" s="56"/>
      <c r="L49" s="57"/>
      <c r="M49" s="58"/>
      <c r="N49" s="57"/>
      <c r="O49" s="58"/>
      <c r="P49" s="57"/>
    </row>
    <row r="50" spans="2:16" x14ac:dyDescent="0.25">
      <c r="B50" s="55">
        <v>49</v>
      </c>
      <c r="C50" s="56"/>
      <c r="D50" s="57"/>
      <c r="E50" s="58"/>
      <c r="F50" s="57"/>
      <c r="G50" s="58"/>
      <c r="H50" s="57"/>
      <c r="I50" s="58"/>
      <c r="J50" s="57"/>
      <c r="K50" s="56"/>
      <c r="L50" s="57"/>
      <c r="M50" s="58"/>
      <c r="N50" s="57"/>
      <c r="O50" s="58"/>
      <c r="P50" s="57"/>
    </row>
    <row r="51" spans="2:16" x14ac:dyDescent="0.25">
      <c r="B51" s="55">
        <v>50</v>
      </c>
    </row>
    <row r="52" spans="2:16" x14ac:dyDescent="0.25">
      <c r="B52" s="55">
        <v>51</v>
      </c>
    </row>
  </sheetData>
  <mergeCells count="7">
    <mergeCell ref="O3:P3"/>
    <mergeCell ref="E3:F3"/>
    <mergeCell ref="C3:D3"/>
    <mergeCell ref="G3:H3"/>
    <mergeCell ref="I3:J3"/>
    <mergeCell ref="K3:L3"/>
    <mergeCell ref="M3:N3"/>
  </mergeCells>
  <conditionalFormatting sqref="B5:B5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Лист1</vt:lpstr>
      <vt:lpstr>Denys</vt:lpstr>
      <vt:lpstr>Feed_D</vt:lpstr>
      <vt:lpstr>Feed_Diag</vt:lpstr>
      <vt:lpstr>Elena</vt:lpstr>
      <vt:lpstr>Feeding</vt:lpstr>
      <vt:lpstr>Whispering_Death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2015-02-26T19:27:19Z</dcterms:created>
  <dcterms:modified xsi:type="dcterms:W3CDTF">2015-02-26T19:27:29Z</dcterms:modified>
</cp:coreProperties>
</file>