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defaultThemeVersion="124226"/>
  <bookViews>
    <workbookView xWindow="240" yWindow="300" windowWidth="21075" windowHeight="9090"/>
  </bookViews>
  <sheets>
    <sheet name="Основная" sheetId="1" r:id="rId1"/>
    <sheet name="План-факт" sheetId="2" r:id="rId2"/>
    <sheet name="Лист3" sheetId="3" r:id="rId3"/>
  </sheets>
  <definedNames>
    <definedName name="план_факт">Лист3!$A$1:$A$2</definedName>
    <definedName name="Шифр">Таблица1[Шифр]</definedName>
  </definedNames>
  <calcPr calcId="145621"/>
</workbook>
</file>

<file path=xl/calcChain.xml><?xml version="1.0" encoding="utf-8"?>
<calcChain xmlns="http://schemas.openxmlformats.org/spreadsheetml/2006/main">
  <c r="E17" i="2" l="1"/>
  <c r="E18" i="2"/>
  <c r="E19" i="2"/>
  <c r="E20" i="2"/>
  <c r="E21" i="2"/>
  <c r="E22" i="2"/>
  <c r="F17" i="2"/>
  <c r="F18" i="2"/>
  <c r="F19" i="2"/>
  <c r="F20" i="2"/>
  <c r="F21" i="2"/>
  <c r="F22" i="2"/>
  <c r="G17" i="2"/>
  <c r="G18" i="2"/>
  <c r="G19" i="2"/>
  <c r="G20" i="2"/>
  <c r="G21" i="2"/>
  <c r="G22" i="2"/>
  <c r="H17" i="2"/>
  <c r="H18" i="2"/>
  <c r="H19" i="2"/>
  <c r="H20" i="2"/>
  <c r="H21" i="2"/>
  <c r="H22" i="2"/>
  <c r="N17" i="2"/>
  <c r="N18" i="2"/>
  <c r="N19" i="2"/>
  <c r="N20" i="2"/>
  <c r="N21" i="2"/>
  <c r="N22" i="2"/>
  <c r="M22" i="2" l="1"/>
  <c r="M18" i="2"/>
  <c r="M19" i="2"/>
  <c r="M20" i="2"/>
  <c r="M21" i="2"/>
  <c r="M17" i="2"/>
  <c r="G16" i="2" l="1"/>
  <c r="F16" i="2"/>
  <c r="H16" i="2"/>
  <c r="N16" i="2"/>
  <c r="N4" i="2"/>
  <c r="M16" i="2" l="1"/>
  <c r="N5" i="2" l="1"/>
  <c r="N6" i="2"/>
  <c r="N7" i="2"/>
  <c r="N8" i="2"/>
  <c r="N9" i="2"/>
  <c r="N10" i="2"/>
  <c r="N11" i="2"/>
  <c r="N12" i="2"/>
  <c r="N13" i="2"/>
  <c r="N14" i="2"/>
  <c r="N15" i="2"/>
  <c r="T6" i="1" a="1"/>
  <c r="T6" i="1" s="1"/>
  <c r="T7" i="1" a="1"/>
  <c r="T7" i="1" s="1"/>
  <c r="T8" i="1" a="1"/>
  <c r="T8" i="1" s="1"/>
  <c r="T9" i="1" a="1"/>
  <c r="T9" i="1" s="1"/>
  <c r="T10" i="1" a="1"/>
  <c r="T10" i="1" s="1"/>
  <c r="T11" i="1" a="1"/>
  <c r="T11" i="1" s="1"/>
  <c r="T12" i="1" a="1"/>
  <c r="T12" i="1" s="1"/>
  <c r="R6" i="1"/>
  <c r="R7" i="1"/>
  <c r="R8" i="1"/>
  <c r="R9" i="1"/>
  <c r="R10" i="1"/>
  <c r="R11" i="1"/>
  <c r="R12" i="1"/>
  <c r="Q7" i="1"/>
  <c r="Q8" i="1"/>
  <c r="Q9" i="1"/>
  <c r="Q10" i="1"/>
  <c r="Q11" i="1"/>
  <c r="Q12" i="1"/>
  <c r="Q6" i="1"/>
  <c r="P7" i="1"/>
  <c r="P8" i="1"/>
  <c r="P9" i="1"/>
  <c r="P10" i="1"/>
  <c r="P11" i="1"/>
  <c r="P12" i="1"/>
  <c r="P6" i="1"/>
  <c r="N8" i="1"/>
  <c r="N1" i="1"/>
  <c r="AD6" i="1"/>
  <c r="AD7" i="1"/>
  <c r="AD8" i="1"/>
  <c r="AD9" i="1"/>
  <c r="AD10" i="1"/>
  <c r="AD11" i="1"/>
  <c r="AD12" i="1"/>
  <c r="AC6" i="1" a="1"/>
  <c r="AC6" i="1" s="1"/>
  <c r="AC7" i="1" a="1"/>
  <c r="AC7" i="1" s="1"/>
  <c r="AC8" i="1" a="1"/>
  <c r="AC8" i="1" s="1"/>
  <c r="AC9" i="1" a="1"/>
  <c r="AC9" i="1" s="1"/>
  <c r="AC10" i="1" a="1"/>
  <c r="AC10" i="1" s="1"/>
  <c r="AC11" i="1" a="1"/>
  <c r="AC11" i="1" s="1"/>
  <c r="AC12" i="1" a="1"/>
  <c r="AC12" i="1" s="1"/>
  <c r="AB6" i="1" a="1"/>
  <c r="AB6" i="1" s="1"/>
  <c r="AB7" i="1" a="1"/>
  <c r="AB7" i="1" s="1"/>
  <c r="AB8" i="1" a="1"/>
  <c r="AB8" i="1" s="1"/>
  <c r="AB9" i="1" a="1"/>
  <c r="AB9" i="1" s="1"/>
  <c r="AB10" i="1" a="1"/>
  <c r="AB10" i="1" s="1"/>
  <c r="AB11" i="1" a="1"/>
  <c r="AB11" i="1" s="1"/>
  <c r="AB12" i="1" a="1"/>
  <c r="AB12" i="1" s="1"/>
  <c r="AA6" i="1" a="1"/>
  <c r="AA6" i="1" s="1"/>
  <c r="AA7" i="1" a="1"/>
  <c r="AA7" i="1" s="1"/>
  <c r="AA8" i="1" a="1"/>
  <c r="AA8" i="1" s="1"/>
  <c r="AA9" i="1" a="1"/>
  <c r="AA9" i="1" s="1"/>
  <c r="AA10" i="1" a="1"/>
  <c r="AA10" i="1" s="1"/>
  <c r="AA11" i="1" a="1"/>
  <c r="AA11" i="1" s="1"/>
  <c r="AA12" i="1" a="1"/>
  <c r="AA12" i="1" s="1"/>
  <c r="Z6" i="1" a="1"/>
  <c r="Z6" i="1" s="1"/>
  <c r="Z7" i="1" a="1"/>
  <c r="Z7" i="1" s="1"/>
  <c r="Z8" i="1" a="1"/>
  <c r="Z8" i="1" s="1"/>
  <c r="Z9" i="1" a="1"/>
  <c r="Z9" i="1" s="1"/>
  <c r="Z10" i="1" a="1"/>
  <c r="Z10" i="1" s="1"/>
  <c r="Z11" i="1" a="1"/>
  <c r="Z11" i="1" s="1"/>
  <c r="Z12" i="1" a="1"/>
  <c r="Z12" i="1" s="1"/>
  <c r="Y6" i="1" a="1"/>
  <c r="Y6" i="1" s="1"/>
  <c r="Y7" i="1" a="1"/>
  <c r="Y7" i="1" s="1"/>
  <c r="Y8" i="1" a="1"/>
  <c r="Y8" i="1" s="1"/>
  <c r="Y9" i="1" a="1"/>
  <c r="Y9" i="1" s="1"/>
  <c r="Y10" i="1" a="1"/>
  <c r="Y10" i="1" s="1"/>
  <c r="Y11" i="1" a="1"/>
  <c r="Y11" i="1" s="1"/>
  <c r="Y12" i="1" a="1"/>
  <c r="Y12" i="1" s="1"/>
  <c r="X6" i="1" a="1"/>
  <c r="X6" i="1" s="1"/>
  <c r="X7" i="1" a="1"/>
  <c r="X7" i="1" s="1"/>
  <c r="X8" i="1" a="1"/>
  <c r="X8" i="1" s="1"/>
  <c r="X9" i="1" a="1"/>
  <c r="X9" i="1" s="1"/>
  <c r="X10" i="1" a="1"/>
  <c r="X10" i="1" s="1"/>
  <c r="X11" i="1" a="1"/>
  <c r="X11" i="1" s="1"/>
  <c r="X12" i="1" a="1"/>
  <c r="X12" i="1" s="1"/>
  <c r="W6" i="1" a="1"/>
  <c r="W6" i="1" s="1"/>
  <c r="W7" i="1" a="1"/>
  <c r="W7" i="1" s="1"/>
  <c r="W8" i="1" a="1"/>
  <c r="W8" i="1" s="1"/>
  <c r="W9" i="1" a="1"/>
  <c r="W9" i="1" s="1"/>
  <c r="W10" i="1" a="1"/>
  <c r="W10" i="1" s="1"/>
  <c r="W11" i="1" a="1"/>
  <c r="W11" i="1" s="1"/>
  <c r="W12" i="1" a="1"/>
  <c r="W12" i="1" s="1"/>
  <c r="V6" i="1" a="1"/>
  <c r="V6" i="1" s="1"/>
  <c r="V7" i="1" a="1"/>
  <c r="V7" i="1" s="1"/>
  <c r="V8" i="1" a="1"/>
  <c r="V8" i="1" s="1"/>
  <c r="V9" i="1" a="1"/>
  <c r="V9" i="1" s="1"/>
  <c r="V10" i="1" a="1"/>
  <c r="V10" i="1" s="1"/>
  <c r="V11" i="1" a="1"/>
  <c r="V11" i="1" s="1"/>
  <c r="V12" i="1" a="1"/>
  <c r="V12" i="1" s="1"/>
  <c r="U6" i="1" a="1"/>
  <c r="U6" i="1" s="1"/>
  <c r="U7" i="1" a="1"/>
  <c r="U7" i="1" s="1"/>
  <c r="U8" i="1" a="1"/>
  <c r="U8" i="1" s="1"/>
  <c r="U9" i="1" a="1"/>
  <c r="U9" i="1" s="1"/>
  <c r="U10" i="1" a="1"/>
  <c r="U10" i="1" s="1"/>
  <c r="U11" i="1" a="1"/>
  <c r="U11" i="1" s="1"/>
  <c r="U12" i="1" a="1"/>
  <c r="U12" i="1" s="1"/>
  <c r="S6" i="1" a="1"/>
  <c r="S6" i="1" s="1"/>
  <c r="S7" i="1" a="1"/>
  <c r="S7" i="1" s="1"/>
  <c r="S8" i="1" a="1"/>
  <c r="S8" i="1" s="1"/>
  <c r="S9" i="1" a="1"/>
  <c r="S9" i="1" s="1"/>
  <c r="S10" i="1" a="1"/>
  <c r="S10" i="1" s="1"/>
  <c r="S11" i="1" a="1"/>
  <c r="S11" i="1" s="1"/>
  <c r="S12" i="1" a="1"/>
  <c r="S12" i="1" s="1"/>
  <c r="P3" i="1"/>
  <c r="E11" i="2"/>
  <c r="E12" i="2"/>
  <c r="E13" i="2"/>
  <c r="E14" i="2"/>
  <c r="E15" i="2"/>
  <c r="F10" i="2"/>
  <c r="F11" i="2"/>
  <c r="F12" i="2"/>
  <c r="F13" i="2"/>
  <c r="F14" i="2"/>
  <c r="F15" i="2"/>
  <c r="G10" i="2"/>
  <c r="G11" i="2"/>
  <c r="G12" i="2"/>
  <c r="G13" i="2"/>
  <c r="G14" i="2"/>
  <c r="G15" i="2"/>
  <c r="H10" i="2"/>
  <c r="H11" i="2"/>
  <c r="H12" i="2"/>
  <c r="H13" i="2"/>
  <c r="H14" i="2"/>
  <c r="H15" i="2"/>
  <c r="E9" i="2"/>
  <c r="F9" i="2"/>
  <c r="G9" i="2"/>
  <c r="H9" i="2"/>
  <c r="E8" i="2"/>
  <c r="F8" i="2"/>
  <c r="G8" i="2"/>
  <c r="H8" i="2"/>
  <c r="E7" i="2"/>
  <c r="F7" i="2"/>
  <c r="G7" i="2"/>
  <c r="H7" i="2"/>
  <c r="E6" i="2"/>
  <c r="F6" i="2"/>
  <c r="G6" i="2"/>
  <c r="H6" i="2"/>
  <c r="E5" i="2"/>
  <c r="F5" i="2"/>
  <c r="G5" i="2"/>
  <c r="H5" i="2"/>
  <c r="N9" i="1" l="1"/>
  <c r="K6" i="1"/>
  <c r="N6" i="1"/>
  <c r="M5" i="2"/>
  <c r="N11" i="1"/>
  <c r="N7" i="1"/>
  <c r="N10" i="1"/>
  <c r="N12" i="1"/>
  <c r="M13" i="2"/>
  <c r="M14" i="2"/>
  <c r="M6" i="2"/>
  <c r="M12" i="2"/>
  <c r="M10" i="2"/>
  <c r="M7" i="2"/>
  <c r="M8" i="2"/>
  <c r="M15" i="2"/>
  <c r="M11" i="2"/>
  <c r="M9" i="2"/>
  <c r="H4" i="2" l="1"/>
  <c r="G4" i="2"/>
  <c r="F4" i="2"/>
  <c r="P13" i="1"/>
  <c r="Q13" i="1"/>
  <c r="M4" i="2" l="1"/>
  <c r="O12" i="1"/>
  <c r="M12" i="1"/>
  <c r="O11" i="1"/>
  <c r="M11" i="1"/>
  <c r="O10" i="1"/>
  <c r="M10" i="1"/>
  <c r="O9" i="1"/>
  <c r="M9" i="1"/>
  <c r="O8" i="1"/>
  <c r="M8" i="1"/>
  <c r="O7" i="1"/>
  <c r="M7" i="1"/>
  <c r="O6" i="1"/>
  <c r="M6" i="1"/>
  <c r="R13" i="1" l="1"/>
  <c r="E16" i="2" l="1"/>
  <c r="E10" i="2"/>
  <c r="E4" i="2"/>
</calcChain>
</file>

<file path=xl/comments1.xml><?xml version="1.0" encoding="utf-8"?>
<comments xmlns="http://schemas.openxmlformats.org/spreadsheetml/2006/main">
  <authors>
    <author>Саков Дмитрий Игоревич</author>
  </authors>
  <commentLis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>период-начало &gt;= день начало*(-1) и период - окончание &lt;=0
тк по умолчанию период - это 1 число месяца, тогда если начало в одном месяце с периодом то получается отрицательное число и сравниваем дни</t>
        </r>
      </text>
    </comment>
    <comment ref="N3" authorId="0">
      <text>
        <r>
          <rPr>
            <b/>
            <sz val="9"/>
            <color indexed="81"/>
            <rFont val="Tahoma"/>
            <family val="2"/>
            <charset val="204"/>
          </rPr>
          <t>если столбец "План-факт"=плану, то по шифру ищем плановый ФОТ в "Основная", вычетаем фактический ФОТ за период &lt;=(-1) день от планового периода и минус плановый ФОТ на текущий период</t>
        </r>
      </text>
    </comment>
  </commentList>
</comments>
</file>

<file path=xl/sharedStrings.xml><?xml version="1.0" encoding="utf-8"?>
<sst xmlns="http://schemas.openxmlformats.org/spreadsheetml/2006/main" count="156" uniqueCount="98">
  <si>
    <t>Шифр</t>
  </si>
  <si>
    <t>Тема</t>
  </si>
  <si>
    <t>Этап</t>
  </si>
  <si>
    <t>Начало</t>
  </si>
  <si>
    <t>Окончание</t>
  </si>
  <si>
    <t>Договор №</t>
  </si>
  <si>
    <t>Дата договора</t>
  </si>
  <si>
    <t>Организация</t>
  </si>
  <si>
    <t>План трудоемкость</t>
  </si>
  <si>
    <t>План ФОТ</t>
  </si>
  <si>
    <t>Столбец1</t>
  </si>
  <si>
    <t>Факт ФОТ</t>
  </si>
  <si>
    <t>Остаток ФОТ</t>
  </si>
  <si>
    <t>Трудоемкость</t>
  </si>
  <si>
    <t>Расчетный ФОТ,
руб.</t>
  </si>
  <si>
    <t>Расчетный ФОТ 
с учетом ДЗП,
руб.</t>
  </si>
  <si>
    <t>2.1</t>
  </si>
  <si>
    <t>2.2</t>
  </si>
  <si>
    <t>Норматив з/п</t>
  </si>
  <si>
    <t>Факт трудоемкость</t>
  </si>
  <si>
    <t>№ П/п</t>
  </si>
  <si>
    <t>Подразделение</t>
  </si>
  <si>
    <t>Период</t>
  </si>
  <si>
    <t>План/факт</t>
  </si>
  <si>
    <t>План</t>
  </si>
  <si>
    <t>Факт</t>
  </si>
  <si>
    <t>ФОТ</t>
  </si>
  <si>
    <t>ФОТ с учетом ДЗП</t>
  </si>
  <si>
    <t>Факт на:</t>
  </si>
  <si>
    <t>Плана на</t>
  </si>
  <si>
    <t>Январь 2015</t>
  </si>
  <si>
    <t>Март 2015</t>
  </si>
  <si>
    <t>Февраль 2015</t>
  </si>
  <si>
    <t>Апрель 2015</t>
  </si>
  <si>
    <t>Май 2015</t>
  </si>
  <si>
    <t>Июнь 2015</t>
  </si>
  <si>
    <t>Июль 2015</t>
  </si>
  <si>
    <t>Август 2015</t>
  </si>
  <si>
    <t>Сентябрь 2015</t>
  </si>
  <si>
    <t>Октябрь 2015</t>
  </si>
  <si>
    <t>Ноябрь 2015</t>
  </si>
  <si>
    <t>Декабрь 2015</t>
  </si>
  <si>
    <t>&gt;=01.01.2015</t>
  </si>
  <si>
    <t>&lt;=31.01.2015</t>
  </si>
  <si>
    <t>&gt;=01.02.2015</t>
  </si>
  <si>
    <t>&gt;=01.03.2015</t>
  </si>
  <si>
    <t>&gt;=01.04.2015</t>
  </si>
  <si>
    <t>&gt;=01.05.2015</t>
  </si>
  <si>
    <t>&gt;=01.06.2015</t>
  </si>
  <si>
    <t>&gt;=01.07.2015</t>
  </si>
  <si>
    <t>&gt;=01.08.2015</t>
  </si>
  <si>
    <t>&gt;=01.09.2015</t>
  </si>
  <si>
    <t>&gt;=01.10.2015</t>
  </si>
  <si>
    <t>&gt;=01.11.2015</t>
  </si>
  <si>
    <t>&gt;=01.12.2015</t>
  </si>
  <si>
    <t>&lt;=28.02.2015</t>
  </si>
  <si>
    <t>&lt;=31.03.2015</t>
  </si>
  <si>
    <t>&lt;=30.04.2015</t>
  </si>
  <si>
    <t>&lt;=31.05.2015</t>
  </si>
  <si>
    <t>&lt;=30.06.2015</t>
  </si>
  <si>
    <t>&lt;=31.07.2015</t>
  </si>
  <si>
    <t>&lt;=31.08.2015</t>
  </si>
  <si>
    <t>&lt;=30.09.2015</t>
  </si>
  <si>
    <t>&lt;=31.10.2015</t>
  </si>
  <si>
    <t>&lt;=30.11.2015</t>
  </si>
  <si>
    <t>&lt;=31.12.2015</t>
  </si>
  <si>
    <t>Аналитика вхождения в интервал дат</t>
  </si>
  <si>
    <t>Аналитика перерасход</t>
  </si>
  <si>
    <t>-перерасход</t>
  </si>
  <si>
    <t>-этап закрыт</t>
  </si>
  <si>
    <t>Шифр1</t>
  </si>
  <si>
    <t>Шифр2</t>
  </si>
  <si>
    <t>Шифр3</t>
  </si>
  <si>
    <t>Шифр4</t>
  </si>
  <si>
    <t>Шифр5</t>
  </si>
  <si>
    <t>Шифр6</t>
  </si>
  <si>
    <t>Шифр7</t>
  </si>
  <si>
    <t>Тема1</t>
  </si>
  <si>
    <t>Тема2</t>
  </si>
  <si>
    <t>Тема3</t>
  </si>
  <si>
    <t>Тема4</t>
  </si>
  <si>
    <t>Тема5</t>
  </si>
  <si>
    <t>Тема6</t>
  </si>
  <si>
    <t>Тема7</t>
  </si>
  <si>
    <t>Договор №1</t>
  </si>
  <si>
    <t>Договор №2</t>
  </si>
  <si>
    <t>Договор №3</t>
  </si>
  <si>
    <t>Договор №4</t>
  </si>
  <si>
    <t>Договор №5</t>
  </si>
  <si>
    <t>Договор №6</t>
  </si>
  <si>
    <t>Договор №7</t>
  </si>
  <si>
    <t>Орг1</t>
  </si>
  <si>
    <t>Орг2</t>
  </si>
  <si>
    <t>Орг3</t>
  </si>
  <si>
    <t>Орг4</t>
  </si>
  <si>
    <t>Орг5</t>
  </si>
  <si>
    <t>Орг6</t>
  </si>
  <si>
    <t>Орг7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</si>
</sst>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mmmm\ yyyy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2" xfId="0" applyFont="1" applyFill="1" applyBorder="1"/>
    <xf numFmtId="0" fontId="0" fillId="0" borderId="2" xfId="0" applyFill="1" applyBorder="1"/>
    <xf numFmtId="14" fontId="0" fillId="0" borderId="2" xfId="0" applyNumberFormat="1" applyFill="1" applyBorder="1"/>
    <xf numFmtId="4" fontId="0" fillId="0" borderId="2" xfId="0" applyNumberFormat="1" applyFill="1" applyBorder="1"/>
    <xf numFmtId="4" fontId="0" fillId="2" borderId="2" xfId="0" applyNumberFormat="1" applyFill="1" applyBorder="1"/>
    <xf numFmtId="4" fontId="0" fillId="0" borderId="0" xfId="0" applyNumberFormat="1"/>
    <xf numFmtId="165" fontId="0" fillId="0" borderId="2" xfId="0" applyNumberFormat="1" applyFill="1" applyBorder="1"/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17" fontId="0" fillId="0" borderId="0" xfId="0" applyNumberFormat="1"/>
    <xf numFmtId="4" fontId="1" fillId="3" borderId="0" xfId="0" applyNumberFormat="1" applyFont="1" applyFill="1" applyBorder="1" applyAlignment="1">
      <alignment horizontal="center" vertical="center"/>
    </xf>
    <xf numFmtId="165" fontId="0" fillId="0" borderId="0" xfId="0" applyNumberFormat="1"/>
    <xf numFmtId="17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14" fontId="0" fillId="2" borderId="0" xfId="0" applyNumberFormat="1" applyFill="1"/>
    <xf numFmtId="166" fontId="0" fillId="2" borderId="0" xfId="0" applyNumberFormat="1" applyFill="1"/>
    <xf numFmtId="0" fontId="3" fillId="0" borderId="1" xfId="0" applyFont="1" applyFill="1" applyBorder="1" applyAlignment="1">
      <alignment wrapText="1"/>
    </xf>
    <xf numFmtId="14" fontId="5" fillId="0" borderId="0" xfId="0" applyNumberFormat="1" applyFont="1" applyFill="1"/>
    <xf numFmtId="0" fontId="0" fillId="0" borderId="0" xfId="0" applyBorder="1"/>
    <xf numFmtId="0" fontId="3" fillId="0" borderId="2" xfId="0" applyFont="1" applyFill="1" applyBorder="1" applyAlignment="1">
      <alignment horizontal="center" vertical="center" wrapText="1"/>
    </xf>
    <xf numFmtId="164" fontId="0" fillId="0" borderId="2" xfId="0" applyNumberFormat="1" applyFill="1" applyBorder="1"/>
    <xf numFmtId="164" fontId="2" fillId="0" borderId="2" xfId="0" applyNumberFormat="1" applyFont="1" applyFill="1" applyBorder="1"/>
    <xf numFmtId="4" fontId="2" fillId="0" borderId="2" xfId="0" applyNumberFormat="1" applyFont="1" applyFill="1" applyBorder="1"/>
    <xf numFmtId="4" fontId="2" fillId="0" borderId="2" xfId="0" applyNumberFormat="1" applyFont="1" applyBorder="1"/>
    <xf numFmtId="0" fontId="0" fillId="0" borderId="2" xfId="0" applyBorder="1"/>
    <xf numFmtId="166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/>
    <xf numFmtId="0" fontId="2" fillId="0" borderId="2" xfId="0" applyFont="1" applyBorder="1"/>
    <xf numFmtId="0" fontId="0" fillId="0" borderId="0" xfId="0" applyBorder="1" applyAlignment="1">
      <alignment horizontal="center" vertical="center"/>
    </xf>
    <xf numFmtId="0" fontId="0" fillId="2" borderId="0" xfId="0" applyFill="1"/>
    <xf numFmtId="0" fontId="0" fillId="4" borderId="0" xfId="0" applyFill="1"/>
    <xf numFmtId="0" fontId="0" fillId="0" borderId="0" xfId="0" quotePrefix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78">
    <dxf>
      <numFmt numFmtId="4" formatCode="#,##0.00"/>
    </dxf>
    <dxf>
      <numFmt numFmtId="165" formatCode="#,##0.000"/>
    </dxf>
    <dxf>
      <numFmt numFmtId="4" formatCode="#,##0.00"/>
    </dxf>
    <dxf>
      <numFmt numFmtId="4" formatCode="#,##0.00"/>
    </dxf>
    <dxf>
      <numFmt numFmtId="165" formatCode="#,##0.000"/>
    </dxf>
    <dxf>
      <numFmt numFmtId="19" formatCode="dd/mm/yyyy"/>
    </dxf>
    <dxf>
      <numFmt numFmtId="19" formatCode="dd/mm/yyyy"/>
    </dxf>
    <dxf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b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5:AD13" totalsRowCount="1" headerRowDxfId="76" dataDxfId="74" totalsRowDxfId="72" headerRowBorderDxfId="75" tableBorderDxfId="73" totalsRowBorderDxfId="71">
  <autoFilter ref="A5:AD12"/>
  <tableColumns count="30">
    <tableColumn id="1" name="Шифр" dataDxfId="70" totalsRowDxfId="69"/>
    <tableColumn id="2" name="Тема" dataDxfId="68" totalsRowDxfId="67"/>
    <tableColumn id="3" name="Этап" dataDxfId="66" totalsRowDxfId="65"/>
    <tableColumn id="4" name="Начало" dataDxfId="64" totalsRowDxfId="63"/>
    <tableColumn id="5" name="Окончание" dataDxfId="62" totalsRowDxfId="61"/>
    <tableColumn id="6" name="Договор №" dataDxfId="60" totalsRowDxfId="59"/>
    <tableColumn id="7" name="Дата договора" dataDxfId="58" totalsRowDxfId="57"/>
    <tableColumn id="8" name="Организация" dataDxfId="56" totalsRowDxfId="55"/>
    <tableColumn id="12" name="Норматив з/п" dataDxfId="54" totalsRowDxfId="53"/>
    <tableColumn id="15" name="План трудоемкость" dataDxfId="52" totalsRowDxfId="51"/>
    <tableColumn id="13" name="Факт трудоемкость" dataDxfId="50" totalsRowDxfId="49"/>
    <tableColumn id="9" name="План ФОТ" dataDxfId="48" totalsRowDxfId="47"/>
    <tableColumn id="14" name="Столбец1" dataDxfId="46" totalsRowDxfId="45">
      <calculatedColumnFormula>(YEAR(E6)-YEAR(D6))*12+MONTH(E6)-MONTH(D6)</calculatedColumnFormula>
    </tableColumn>
    <tableColumn id="10" name="Факт ФОТ" dataDxfId="44" totalsRowDxfId="43">
      <calculatedColumnFormula>SUMIFS(Таблица2[ФОТ с учетом ДЗП],Таблица2[План/факт],"Факт",Таблица2[Шифр],Таблица1[[#This Row],[Шифр]],Таблица2[Период],$N$1)</calculatedColumnFormula>
    </tableColumn>
    <tableColumn id="11" name="Остаток ФОТ" dataDxfId="42" totalsRowDxfId="41">
      <calculatedColumnFormula>Таблица1[[#This Row],[План ФОТ]]-Таблица1[[#This Row],[Факт ФОТ]]</calculatedColumnFormula>
    </tableColumn>
    <tableColumn id="16" name="Трудоемкость" totalsRowFunction="sum" dataDxfId="40" totalsRowDxfId="39">
      <calculatedColumnFormula>SUMIFS(Таблица2[Трудоемкость],Таблица2[План/факт],"План",Таблица2[Шифр],Таблица1[[#This Row],[Шифр]],Таблица2[Период],Основная!$Q$2)</calculatedColumnFormula>
    </tableColumn>
    <tableColumn id="17" name="Расчетный ФОТ,_x000a_руб." totalsRowFunction="sum" dataDxfId="38" totalsRowDxfId="37">
      <calculatedColumnFormula>SUMIFS(Таблица2[ФОТ],Таблица2[План/факт],"План",Таблица2[Шифр],Таблица1[[#This Row],[Шифр]],Таблица2[Период],Основная!$Q$2)</calculatedColumnFormula>
    </tableColumn>
    <tableColumn id="18" name="Расчетный ФОТ _x000a_с учетом ДЗП,_x000a_руб." totalsRowFunction="sum" dataDxfId="36" totalsRowDxfId="35">
      <calculatedColumnFormula>SUMIFS(Таблица2[ФОТ с учетом ДЗП],Таблица2[План/факт],"План",Таблица2[Шифр],Таблица1[[#This Row],[Шифр]],Таблица2[Период],Основная!$Q$2)</calculatedColumnFormula>
    </tableColumn>
    <tableColumn id="19" name="Январь 2015" dataDxfId="34" totalsRowDxfId="33">
      <calculatedColumnFormula array="1">SUMIFS(Таблица2[ФОТ с учетом ДЗП],Таблица2[План/факт],Основная!$S$3,Таблица2[Шифр],Таблица1[[#This Row],[Шифр]],Таблица2[Период],Основная!S$1,Таблица2[Период],Основная!S$2)</calculatedColumnFormula>
    </tableColumn>
    <tableColumn id="20" name="Февраль 2015" dataDxfId="32" totalsRowDxfId="31">
      <calculatedColumnFormula array="1">SUMIFS(Таблица2[ФОТ с учетом ДЗП],Таблица2[План/факт],Основная!$S$3,Таблица2[Шифр],Таблица1[[#This Row],[Шифр]],Таблица2[Период],Основная!T$1,Таблица2[Период],Основная!T$2)</calculatedColumnFormula>
    </tableColumn>
    <tableColumn id="21" name="Март 2015" dataDxfId="30" totalsRowDxfId="29">
      <calculatedColumnFormula array="1">SUMIFS(Таблица2[ФОТ с учетом ДЗП],Таблица2[План/факт],Основная!$S$3,Таблица2[Шифр],Таблица1[[#This Row],[Шифр]],Таблица2[Период],Основная!U$1,Таблица2[Период],Основная!U$2)</calculatedColumnFormula>
    </tableColumn>
    <tableColumn id="22" name="Апрель 2015" dataDxfId="28" totalsRowDxfId="27">
      <calculatedColumnFormula array="1">SUMIFS(Таблица2[ФОТ с учетом ДЗП],Таблица2[План/факт],Основная!$S$3,Таблица2[Шифр],Таблица1[[#This Row],[Шифр]],Таблица2[Период],Основная!V$1,Таблица2[Период],Основная!V$2)</calculatedColumnFormula>
    </tableColumn>
    <tableColumn id="23" name="Май 2015" dataDxfId="26" totalsRowDxfId="25">
      <calculatedColumnFormula array="1">SUMIFS(Таблица2[ФОТ с учетом ДЗП],Таблица2[План/факт],Основная!$S$3,Таблица2[Шифр],Таблица1[[#This Row],[Шифр]],Таблица2[Период],Основная!W$1,Таблица2[Период],Основная!W$2)</calculatedColumnFormula>
    </tableColumn>
    <tableColumn id="24" name="Июнь 2015" dataDxfId="24" totalsRowDxfId="23">
      <calculatedColumnFormula array="1">SUMIFS(Таблица2[ФОТ с учетом ДЗП],Таблица2[План/факт],Основная!$S$3,Таблица2[Шифр],Таблица1[[#This Row],[Шифр]],Таблица2[Период],Основная!X$1,Таблица2[Период],Основная!X$2)</calculatedColumnFormula>
    </tableColumn>
    <tableColumn id="25" name="Июль 2015" dataDxfId="22" totalsRowDxfId="21">
      <calculatedColumnFormula array="1">SUMIFS(Таблица2[ФОТ с учетом ДЗП],Таблица2[План/факт],Основная!$S$3,Таблица2[Шифр],Таблица1[[#This Row],[Шифр]],Таблица2[Период],Основная!Y$1,Таблица2[Период],Основная!Y$2)</calculatedColumnFormula>
    </tableColumn>
    <tableColumn id="26" name="Август 2015" dataDxfId="20" totalsRowDxfId="19">
      <calculatedColumnFormula array="1">SUMIFS(Таблица2[ФОТ с учетом ДЗП],Таблица2[План/факт],Основная!$S$3,Таблица2[Шифр],Таблица1[[#This Row],[Шифр]],Таблица2[Период],Основная!Z$1,Таблица2[Период],Основная!Z$2)</calculatedColumnFormula>
    </tableColumn>
    <tableColumn id="27" name="Сентябрь 2015" dataDxfId="18" totalsRowDxfId="17">
      <calculatedColumnFormula array="1">SUMIFS(Таблица2[ФОТ с учетом ДЗП],Таблица2[План/факт],Основная!$S$3,Таблица2[Шифр],Таблица1[[#This Row],[Шифр]],Таблица2[Период],Основная!AA$1,Таблица2[Период],Основная!AA$2)</calculatedColumnFormula>
    </tableColumn>
    <tableColumn id="28" name="Октябрь 2015" dataDxfId="16" totalsRowDxfId="15">
      <calculatedColumnFormula array="1">SUMIFS(Таблица2[ФОТ с учетом ДЗП],Таблица2[План/факт],Основная!$S$3,Таблица2[Шифр],Таблица1[[#This Row],[Шифр]],Таблица2[Период],Основная!AB$1,Таблица2[Период],Основная!AB$2)</calculatedColumnFormula>
    </tableColumn>
    <tableColumn id="29" name="Ноябрь 2015" dataDxfId="14" totalsRowDxfId="13">
      <calculatedColumnFormula array="1">SUMIFS(Таблица2[ФОТ с учетом ДЗП],Таблица2[План/факт],Основная!$S$3,Таблица2[Шифр],Таблица1[[#This Row],[Шифр]],Таблица2[Период],Основная!AC$1,Таблица2[Период],Основная!AC$2)</calculatedColumnFormula>
    </tableColumn>
    <tableColumn id="30" name="Декабрь 2015" dataDxfId="12" totalsRowDxfId="11">
      <calculatedColumnFormula>SUMIFS(Таблица2[ФОТ с учетом ДЗП],Таблица2[План/факт],Основная!$S$3,Таблица2[Шифр],Таблица1[[#This Row],[Шифр]],Таблица2[Период],Основная!AD$1,Таблица2[Период],Основная!AD$2)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3:N22" totalsRowShown="0" headerRowDxfId="8">
  <autoFilter ref="A3:N22"/>
  <tableColumns count="14">
    <tableColumn id="1" name="№ П/п"/>
    <tableColumn id="13" name="План/факт"/>
    <tableColumn id="2" name="Подразделение"/>
    <tableColumn id="3" name="Шифр"/>
    <tableColumn id="4" name="Тема">
      <calculatedColumnFormula>VLOOKUP(Таблица2[Шифр],Таблица1[[Шифр]:[Окончание]],2,FALSE)</calculatedColumnFormula>
    </tableColumn>
    <tableColumn id="5" name="Этап" dataDxfId="7">
      <calculatedColumnFormula>VLOOKUP(Таблица2[Шифр],Таблица1[[Шифр]:[Окончание]],3,FALSE)</calculatedColumnFormula>
    </tableColumn>
    <tableColumn id="9" name="Начало" dataDxfId="6">
      <calculatedColumnFormula>VLOOKUP(Таблица2[Шифр],Таблица1[[Шифр]:[Окончание]],4,FALSE)</calculatedColumnFormula>
    </tableColumn>
    <tableColumn id="10" name="Окончание" dataDxfId="5">
      <calculatedColumnFormula>VLOOKUP(Таблица2[Шифр],Таблица1[[Шифр]:[Окончание]],5,FALSE)</calculatedColumnFormula>
    </tableColumn>
    <tableColumn id="6" name="Период"/>
    <tableColumn id="7" name="Трудоемкость" dataDxfId="4"/>
    <tableColumn id="8" name="ФОТ" dataDxfId="3"/>
    <tableColumn id="14" name="ФОТ с учетом ДЗП" dataDxfId="2"/>
    <tableColumn id="11" name="Аналитика вхождения в интервал дат" dataDxfId="1">
      <calculatedColumnFormula>AND((Таблица2[[#This Row],[Период]]-Таблица2[[#This Row],[Начало]])&gt;=DAY(Таблица2[[#This Row],[Начало]])*(-1),(Таблица2[[#This Row],[Период]]-Таблица2[[#This Row],[Окончание]])&lt;=0)</calculatedColumnFormula>
    </tableColumn>
    <tableColumn id="12" name="Аналитика перерасход" dataDxfId="0">
      <calculatedColumnFormula>IF(Таблица2[[#This Row],[План/факт]]="План",VLOOKUP(Таблица2[[#This Row],[Шифр]],Таблица1[[Шифр]:[План ФОТ]],12,FALSE)-SUMIFS(Таблица2[ФОТ с учетом ДЗП],Таблица2[План/факт],"Факт",Таблица2[Шифр],Таблица2[[#This Row],[Шифр]],Таблица2[Период],CONCATENATE("&lt;=",TEXT((Таблица2[[#This Row],[Период]]-1),"ДД.ММ.ГГГГ")))-Таблица2[[#This Row],[ФОТ с учетом ДЗП]],"")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14"/>
  <sheetViews>
    <sheetView tabSelected="1" topLeftCell="I1" zoomScaleNormal="100" workbookViewId="0">
      <selection activeCell="J20" sqref="J20"/>
    </sheetView>
  </sheetViews>
  <sheetFormatPr defaultRowHeight="15" outlineLevelCol="1" x14ac:dyDescent="0.25"/>
  <cols>
    <col min="1" max="1" width="8.7109375" customWidth="1"/>
    <col min="2" max="2" width="34.140625" bestFit="1" customWidth="1"/>
    <col min="3" max="3" width="9.140625" style="11"/>
    <col min="4" max="4" width="10.140625" bestFit="1" customWidth="1"/>
    <col min="5" max="5" width="13.28515625" customWidth="1"/>
    <col min="6" max="6" width="20.140625" customWidth="1" outlineLevel="1"/>
    <col min="7" max="7" width="16.42578125" customWidth="1" outlineLevel="1"/>
    <col min="8" max="9" width="20.140625" customWidth="1" outlineLevel="1"/>
    <col min="10" max="10" width="20.140625" customWidth="1" outlineLevel="1" collapsed="1"/>
    <col min="11" max="11" width="20.140625" customWidth="1" outlineLevel="1"/>
    <col min="12" max="12" width="16.7109375" customWidth="1"/>
    <col min="13" max="13" width="16.7109375" hidden="1" customWidth="1"/>
    <col min="14" max="14" width="17.5703125" customWidth="1"/>
    <col min="15" max="15" width="14.85546875" bestFit="1" customWidth="1"/>
    <col min="16" max="16" width="18.85546875" bestFit="1" customWidth="1"/>
    <col min="17" max="17" width="13.42578125" bestFit="1" customWidth="1"/>
    <col min="18" max="18" width="15.42578125" bestFit="1" customWidth="1"/>
    <col min="19" max="19" width="12.140625" bestFit="1" customWidth="1"/>
    <col min="20" max="20" width="13.5703125" bestFit="1" customWidth="1"/>
    <col min="21" max="21" width="14.85546875" bestFit="1" customWidth="1"/>
    <col min="22" max="22" width="12.42578125" bestFit="1" customWidth="1"/>
    <col min="23" max="23" width="14" bestFit="1" customWidth="1"/>
    <col min="24" max="30" width="11" customWidth="1"/>
  </cols>
  <sheetData>
    <row r="1" spans="1:30" x14ac:dyDescent="0.25">
      <c r="N1" s="27" t="str">
        <f>CONCATENATE("&lt;=",TEXT(O2,"ДД.ММ.ГГГГ"))</f>
        <v>&lt;=31.12.2014</v>
      </c>
      <c r="S1" s="1" t="s">
        <v>42</v>
      </c>
      <c r="T1" s="1" t="s">
        <v>44</v>
      </c>
      <c r="U1" s="1" t="s">
        <v>45</v>
      </c>
      <c r="V1" s="1" t="s">
        <v>46</v>
      </c>
      <c r="W1" s="1" t="s">
        <v>47</v>
      </c>
      <c r="X1" s="1" t="s">
        <v>48</v>
      </c>
      <c r="Y1" s="1" t="s">
        <v>49</v>
      </c>
      <c r="Z1" s="1" t="s">
        <v>50</v>
      </c>
      <c r="AA1" s="1" t="s">
        <v>51</v>
      </c>
      <c r="AB1" s="1" t="s">
        <v>52</v>
      </c>
      <c r="AC1" s="1" t="s">
        <v>53</v>
      </c>
      <c r="AD1" s="1" t="s">
        <v>54</v>
      </c>
    </row>
    <row r="2" spans="1:30" x14ac:dyDescent="0.25">
      <c r="N2" s="23" t="s">
        <v>28</v>
      </c>
      <c r="O2" s="24">
        <v>42004</v>
      </c>
      <c r="P2" s="23" t="s">
        <v>29</v>
      </c>
      <c r="Q2" s="25">
        <v>42005</v>
      </c>
      <c r="S2" s="1" t="s">
        <v>43</v>
      </c>
      <c r="T2" s="1" t="s">
        <v>55</v>
      </c>
      <c r="U2" s="1" t="s">
        <v>56</v>
      </c>
      <c r="V2" s="1" t="s">
        <v>57</v>
      </c>
      <c r="W2" s="1" t="s">
        <v>58</v>
      </c>
      <c r="X2" s="1" t="s">
        <v>59</v>
      </c>
      <c r="Y2" s="1" t="s">
        <v>60</v>
      </c>
      <c r="Z2" s="1" t="s">
        <v>61</v>
      </c>
      <c r="AA2" s="1" t="s">
        <v>62</v>
      </c>
      <c r="AB2" s="1" t="s">
        <v>63</v>
      </c>
      <c r="AC2" s="1" t="s">
        <v>64</v>
      </c>
      <c r="AD2" s="1" t="s">
        <v>65</v>
      </c>
    </row>
    <row r="3" spans="1:30" x14ac:dyDescent="0.25">
      <c r="A3" s="28"/>
      <c r="B3" s="28"/>
      <c r="C3" s="40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46" t="str">
        <f>CONCATENATE("План на ",TEXT(Q2,"ММММ ГГГГ"))</f>
        <v>План на Январь 2015</v>
      </c>
      <c r="Q3" s="46"/>
      <c r="R3" s="46"/>
      <c r="S3" s="47" t="s">
        <v>25</v>
      </c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</row>
    <row r="4" spans="1:30" x14ac:dyDescent="0.25">
      <c r="A4" s="28"/>
      <c r="B4" s="28"/>
      <c r="C4" s="40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44"/>
      <c r="Q4" s="44"/>
      <c r="R4" s="44"/>
      <c r="S4" s="45" t="s">
        <v>24</v>
      </c>
      <c r="T4" s="45" t="s">
        <v>24</v>
      </c>
      <c r="U4" s="45" t="s">
        <v>24</v>
      </c>
      <c r="V4" s="45" t="s">
        <v>24</v>
      </c>
      <c r="W4" s="45" t="s">
        <v>24</v>
      </c>
      <c r="X4" s="45" t="s">
        <v>24</v>
      </c>
      <c r="Y4" s="45" t="s">
        <v>24</v>
      </c>
      <c r="Z4" s="45" t="s">
        <v>24</v>
      </c>
      <c r="AA4" s="45" t="s">
        <v>24</v>
      </c>
      <c r="AB4" s="45" t="s">
        <v>24</v>
      </c>
      <c r="AC4" s="45" t="s">
        <v>24</v>
      </c>
      <c r="AD4" s="45" t="s">
        <v>24</v>
      </c>
    </row>
    <row r="5" spans="1:30" s="3" customFormat="1" ht="45" x14ac:dyDescent="0.25">
      <c r="A5" s="26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18</v>
      </c>
      <c r="J5" s="2" t="s">
        <v>8</v>
      </c>
      <c r="K5" s="2" t="s">
        <v>19</v>
      </c>
      <c r="L5" s="2" t="s">
        <v>9</v>
      </c>
      <c r="M5" s="2" t="s">
        <v>10</v>
      </c>
      <c r="N5" s="2" t="s">
        <v>11</v>
      </c>
      <c r="O5" s="2" t="s">
        <v>12</v>
      </c>
      <c r="P5" s="29" t="s">
        <v>13</v>
      </c>
      <c r="Q5" s="29" t="s">
        <v>14</v>
      </c>
      <c r="R5" s="29" t="s">
        <v>15</v>
      </c>
      <c r="S5" s="35" t="s">
        <v>30</v>
      </c>
      <c r="T5" s="35" t="s">
        <v>32</v>
      </c>
      <c r="U5" s="35" t="s">
        <v>31</v>
      </c>
      <c r="V5" s="35" t="s">
        <v>33</v>
      </c>
      <c r="W5" s="35" t="s">
        <v>34</v>
      </c>
      <c r="X5" s="35" t="s">
        <v>35</v>
      </c>
      <c r="Y5" s="35" t="s">
        <v>36</v>
      </c>
      <c r="Z5" s="35" t="s">
        <v>37</v>
      </c>
      <c r="AA5" s="35" t="s">
        <v>38</v>
      </c>
      <c r="AB5" s="35" t="s">
        <v>39</v>
      </c>
      <c r="AC5" s="35" t="s">
        <v>40</v>
      </c>
      <c r="AD5" s="35" t="s">
        <v>41</v>
      </c>
    </row>
    <row r="6" spans="1:30" x14ac:dyDescent="0.25">
      <c r="A6" s="4" t="s">
        <v>70</v>
      </c>
      <c r="B6" s="4" t="s">
        <v>77</v>
      </c>
      <c r="C6" s="4">
        <v>3</v>
      </c>
      <c r="D6" s="6">
        <v>41770</v>
      </c>
      <c r="E6" s="6">
        <v>42134</v>
      </c>
      <c r="F6" s="6" t="s">
        <v>84</v>
      </c>
      <c r="G6" s="6">
        <v>41635</v>
      </c>
      <c r="H6" s="6" t="s">
        <v>91</v>
      </c>
      <c r="I6" s="10">
        <v>60000</v>
      </c>
      <c r="J6" s="10">
        <v>193.60249999999999</v>
      </c>
      <c r="K6" s="10">
        <f>SUMIFS(Таблица2[Трудоемкость],Таблица2[Шифр],Таблица1[[#This Row],[Шифр]],Таблица2[Период],$N$1)</f>
        <v>29.620074166666662</v>
      </c>
      <c r="L6" s="10">
        <v>11616150</v>
      </c>
      <c r="M6" s="34">
        <f t="shared" ref="M6:M12" si="0">(YEAR(E6)-YEAR(D6))*12+MONTH(E6)-MONTH(D6)</f>
        <v>12</v>
      </c>
      <c r="N6" s="7">
        <f>SUMIFS(Таблица2[ФОТ с учетом ДЗП],Таблица2[План/факт],"Факт",Таблица2[Шифр],Таблица1[[#This Row],[Шифр]],Таблица2[Период],$N$1)</f>
        <v>1777204.4499999997</v>
      </c>
      <c r="O6" s="7">
        <f>Таблица1[[#This Row],[План ФОТ]]-Таблица1[[#This Row],[Факт ФОТ]]</f>
        <v>9838945.5500000007</v>
      </c>
      <c r="P6" s="30">
        <f>SUMIFS(Таблица2[Трудоемкость],Таблица2[План/факт],"План",Таблица2[Шифр],Таблица1[[#This Row],[Шифр]],Таблица2[Период],Основная!$Q$2)</f>
        <v>8.8670000000000009</v>
      </c>
      <c r="Q6" s="7">
        <f>SUMIFS(Таблица2[ФОТ],Таблица2[План/факт],"План",Таблица2[Шифр],Таблица1[[#This Row],[Шифр]],Таблица2[Период],Основная!$Q$2)</f>
        <v>1131600</v>
      </c>
      <c r="R6" s="7">
        <f>SUMIFS(Таблица2[ФОТ с учетом ДЗП],Таблица2[План/факт],"План",Таблица2[Шифр],Таблица1[[#This Row],[Шифр]],Таблица2[Период],Основная!$Q$2)</f>
        <v>1256415.48</v>
      </c>
      <c r="S6" s="5">
        <f t="array" ref="S6">SUMIFS(Таблица2[ФОТ с учетом ДЗП],Таблица2[План/факт],Основная!$S$3,Таблица2[Шифр],Таблица1[[#This Row],[Шифр]],Таблица2[Период],Основная!S$1,Таблица2[Период],Основная!S$2)</f>
        <v>0</v>
      </c>
      <c r="T6" s="5">
        <f t="array" ref="T6">SUMIFS(Таблица2[ФОТ с учетом ДЗП],Таблица2[План/факт],Основная!$S$3,Таблица2[Шифр],Таблица1[[#This Row],[Шифр]],Таблица2[Период],Основная!T$1,Таблица2[Период],Основная!T$2)</f>
        <v>0</v>
      </c>
      <c r="U6" s="5">
        <f t="array" ref="U6">SUMIFS(Таблица2[ФОТ с учетом ДЗП],Таблица2[План/факт],Основная!$S$3,Таблица2[Шифр],Таблица1[[#This Row],[Шифр]],Таблица2[Период],Основная!U$1,Таблица2[Период],Основная!U$2)</f>
        <v>0</v>
      </c>
      <c r="V6" s="5">
        <f t="array" ref="V6">SUMIFS(Таблица2[ФОТ с учетом ДЗП],Таблица2[План/факт],Основная!$S$3,Таблица2[Шифр],Таблица1[[#This Row],[Шифр]],Таблица2[Период],Основная!V$1,Таблица2[Период],Основная!V$2)</f>
        <v>0</v>
      </c>
      <c r="W6" s="5">
        <f t="array" ref="W6">SUMIFS(Таблица2[ФОТ с учетом ДЗП],Таблица2[План/факт],Основная!$S$3,Таблица2[Шифр],Таблица1[[#This Row],[Шифр]],Таблица2[Период],Основная!W$1,Таблица2[Период],Основная!W$2)</f>
        <v>0</v>
      </c>
      <c r="X6" s="5">
        <f t="array" ref="X6">SUMIFS(Таблица2[ФОТ с учетом ДЗП],Таблица2[План/факт],Основная!$S$3,Таблица2[Шифр],Таблица1[[#This Row],[Шифр]],Таблица2[Период],Основная!X$1,Таблица2[Период],Основная!X$2)</f>
        <v>0</v>
      </c>
      <c r="Y6" s="5">
        <f t="array" ref="Y6">SUMIFS(Таблица2[ФОТ с учетом ДЗП],Таблица2[План/факт],Основная!$S$3,Таблица2[Шифр],Таблица1[[#This Row],[Шифр]],Таблица2[Период],Основная!Y$1,Таблица2[Период],Основная!Y$2)</f>
        <v>0</v>
      </c>
      <c r="Z6" s="5">
        <f t="array" ref="Z6">SUMIFS(Таблица2[ФОТ с учетом ДЗП],Таблица2[План/факт],Основная!$S$3,Таблица2[Шифр],Таблица1[[#This Row],[Шифр]],Таблица2[Период],Основная!Z$1,Таблица2[Период],Основная!Z$2)</f>
        <v>0</v>
      </c>
      <c r="AA6" s="5">
        <f t="array" ref="AA6">SUMIFS(Таблица2[ФОТ с учетом ДЗП],Таблица2[План/факт],Основная!$S$3,Таблица2[Шифр],Таблица1[[#This Row],[Шифр]],Таблица2[Период],Основная!AA$1,Таблица2[Период],Основная!AA$2)</f>
        <v>0</v>
      </c>
      <c r="AB6" s="5">
        <f t="array" ref="AB6">SUMIFS(Таблица2[ФОТ с учетом ДЗП],Таблица2[План/факт],Основная!$S$3,Таблица2[Шифр],Таблица1[[#This Row],[Шифр]],Таблица2[Период],Основная!AB$1,Таблица2[Период],Основная!AB$2)</f>
        <v>0</v>
      </c>
      <c r="AC6" s="5">
        <f t="array" ref="AC6">SUMIFS(Таблица2[ФОТ с учетом ДЗП],Таблица2[План/факт],Основная!$S$3,Таблица2[Шифр],Таблица1[[#This Row],[Шифр]],Таблица2[Период],Основная!AC$1,Таблица2[Период],Основная!AC$2)</f>
        <v>0</v>
      </c>
      <c r="AD6" s="5">
        <f>SUMIFS(Таблица2[ФОТ с учетом ДЗП],Таблица2[План/факт],Основная!$S$3,Таблица2[Шифр],Таблица1[[#This Row],[Шифр]],Таблица2[Период],Основная!AD$1,Таблица2[Период],Основная!AD$2)</f>
        <v>0</v>
      </c>
    </row>
    <row r="7" spans="1:30" x14ac:dyDescent="0.25">
      <c r="A7" s="5" t="s">
        <v>71</v>
      </c>
      <c r="B7" s="4" t="s">
        <v>78</v>
      </c>
      <c r="C7" s="4">
        <v>2</v>
      </c>
      <c r="D7" s="6">
        <v>41883</v>
      </c>
      <c r="E7" s="6">
        <v>42246</v>
      </c>
      <c r="F7" s="6" t="s">
        <v>85</v>
      </c>
      <c r="G7" s="6">
        <v>41722</v>
      </c>
      <c r="H7" s="6" t="s">
        <v>92</v>
      </c>
      <c r="I7" s="10">
        <v>90000</v>
      </c>
      <c r="J7" s="10">
        <v>240.15844444444446</v>
      </c>
      <c r="K7" s="10">
        <v>9.5955778888888883</v>
      </c>
      <c r="L7" s="10">
        <v>21614260</v>
      </c>
      <c r="M7" s="7">
        <f t="shared" si="0"/>
        <v>11</v>
      </c>
      <c r="N7" s="7">
        <f>SUMIFS(Таблица2[ФОТ с учетом ДЗП],Таблица2[План/факт],"Факт",Таблица2[Шифр],Таблица1[[#This Row],[Шифр]],Таблица2[Период],$N$1)</f>
        <v>863602.01</v>
      </c>
      <c r="O7" s="7">
        <f>Таблица1[[#This Row],[План ФОТ]]-Таблица1[[#This Row],[Факт ФОТ]]</f>
        <v>20750657.989999998</v>
      </c>
      <c r="P7" s="30">
        <f>SUMIFS(Таблица2[Трудоемкость],Таблица2[План/факт],"План",Таблица2[Шифр],Таблица1[[#This Row],[Шифр]],Таблица2[Период],Основная!$Q$2)</f>
        <v>4.6669999999999998</v>
      </c>
      <c r="Q7" s="7">
        <f>SUMIFS(Таблица2[ФОТ],Таблица2[План/факт],"План",Таблица2[Шифр],Таблица1[[#This Row],[Шифр]],Таблица2[Период],Основная!$Q$2)</f>
        <v>436000</v>
      </c>
      <c r="R7" s="7">
        <f>SUMIFS(Таблица2[ФОТ с учетом ДЗП],Таблица2[План/факт],"План",Таблица2[Шифр],Таблица1[[#This Row],[Шифр]],Таблица2[Период],Основная!$Q$2)</f>
        <v>484090.80000000005</v>
      </c>
      <c r="S7" s="5">
        <f t="array" ref="S7">SUMIFS(Таблица2[ФОТ с учетом ДЗП],Таблица2[План/факт],Основная!$S$3,Таблица2[Шифр],Таблица1[[#This Row],[Шифр]],Таблица2[Период],Основная!S$1,Таблица2[Период],Основная!S$2)</f>
        <v>0</v>
      </c>
      <c r="T7" s="5">
        <f t="array" ref="T7">SUMIFS(Таблица2[ФОТ с учетом ДЗП],Таблица2[План/факт],Основная!$S$3,Таблица2[Шифр],Таблица1[[#This Row],[Шифр]],Таблица2[Период],Основная!T$1,Таблица2[Период],Основная!T$2)</f>
        <v>0</v>
      </c>
      <c r="U7" s="5">
        <f t="array" ref="U7">SUMIFS(Таблица2[ФОТ с учетом ДЗП],Таблица2[План/факт],Основная!$S$3,Таблица2[Шифр],Таблица1[[#This Row],[Шифр]],Таблица2[Период],Основная!U$1,Таблица2[Период],Основная!U$2)</f>
        <v>0</v>
      </c>
      <c r="V7" s="5">
        <f t="array" ref="V7">SUMIFS(Таблица2[ФОТ с учетом ДЗП],Таблица2[План/факт],Основная!$S$3,Таблица2[Шифр],Таблица1[[#This Row],[Шифр]],Таблица2[Период],Основная!V$1,Таблица2[Период],Основная!V$2)</f>
        <v>0</v>
      </c>
      <c r="W7" s="5">
        <f t="array" ref="W7">SUMIFS(Таблица2[ФОТ с учетом ДЗП],Таблица2[План/факт],Основная!$S$3,Таблица2[Шифр],Таблица1[[#This Row],[Шифр]],Таблица2[Период],Основная!W$1,Таблица2[Период],Основная!W$2)</f>
        <v>0</v>
      </c>
      <c r="X7" s="5">
        <f t="array" ref="X7">SUMIFS(Таблица2[ФОТ с учетом ДЗП],Таблица2[План/факт],Основная!$S$3,Таблица2[Шифр],Таблица1[[#This Row],[Шифр]],Таблица2[Период],Основная!X$1,Таблица2[Период],Основная!X$2)</f>
        <v>0</v>
      </c>
      <c r="Y7" s="5">
        <f t="array" ref="Y7">SUMIFS(Таблица2[ФОТ с учетом ДЗП],Таблица2[План/факт],Основная!$S$3,Таблица2[Шифр],Таблица1[[#This Row],[Шифр]],Таблица2[Период],Основная!Y$1,Таблица2[Период],Основная!Y$2)</f>
        <v>0</v>
      </c>
      <c r="Z7" s="5">
        <f t="array" ref="Z7">SUMIFS(Таблица2[ФОТ с учетом ДЗП],Таблица2[План/факт],Основная!$S$3,Таблица2[Шифр],Таблица1[[#This Row],[Шифр]],Таблица2[Период],Основная!Z$1,Таблица2[Период],Основная!Z$2)</f>
        <v>0</v>
      </c>
      <c r="AA7" s="5">
        <f t="array" ref="AA7">SUMIFS(Таблица2[ФОТ с учетом ДЗП],Таблица2[План/факт],Основная!$S$3,Таблица2[Шифр],Таблица1[[#This Row],[Шифр]],Таблица2[Период],Основная!AA$1,Таблица2[Период],Основная!AA$2)</f>
        <v>0</v>
      </c>
      <c r="AB7" s="5">
        <f t="array" ref="AB7">SUMIFS(Таблица2[ФОТ с учетом ДЗП],Таблица2[План/факт],Основная!$S$3,Таблица2[Шифр],Таблица1[[#This Row],[Шифр]],Таблица2[Период],Основная!AB$1,Таблица2[Период],Основная!AB$2)</f>
        <v>0</v>
      </c>
      <c r="AC7" s="5">
        <f t="array" ref="AC7">SUMIFS(Таблица2[ФОТ с учетом ДЗП],Таблица2[План/факт],Основная!$S$3,Таблица2[Шифр],Таблица1[[#This Row],[Шифр]],Таблица2[Период],Основная!AC$1,Таблица2[Период],Основная!AC$2)</f>
        <v>0</v>
      </c>
      <c r="AD7" s="5">
        <f>SUMIFS(Таблица2[ФОТ с учетом ДЗП],Таблица2[План/факт],Основная!$S$3,Таблица2[Шифр],Таблица1[[#This Row],[Шифр]],Таблица2[Период],Основная!AD$1,Таблица2[Период],Основная!AD$2)</f>
        <v>0</v>
      </c>
    </row>
    <row r="8" spans="1:30" x14ac:dyDescent="0.25">
      <c r="A8" s="5" t="s">
        <v>72</v>
      </c>
      <c r="B8" s="4" t="s">
        <v>79</v>
      </c>
      <c r="C8" s="4">
        <v>1</v>
      </c>
      <c r="D8" s="6">
        <v>41852</v>
      </c>
      <c r="E8" s="6">
        <v>42078</v>
      </c>
      <c r="F8" s="6" t="s">
        <v>86</v>
      </c>
      <c r="G8" s="6">
        <v>41852</v>
      </c>
      <c r="H8" s="6" t="s">
        <v>93</v>
      </c>
      <c r="I8" s="10">
        <v>89995.566607460045</v>
      </c>
      <c r="J8" s="10">
        <v>28.15</v>
      </c>
      <c r="K8" s="10">
        <v>16.058370589559729</v>
      </c>
      <c r="L8" s="10">
        <v>2533375.2000000002</v>
      </c>
      <c r="M8" s="8">
        <f t="shared" si="0"/>
        <v>7</v>
      </c>
      <c r="N8" s="7">
        <f>SUMIFS(Таблица2[ФОТ с учетом ДЗП],Таблица2[План/факт],"Факт",Таблица2[Шифр],Таблица1[[#This Row],[Шифр]],Таблица2[Период],$N$1)</f>
        <v>1445182.1600000001</v>
      </c>
      <c r="O8" s="7">
        <f>Таблица1[[#This Row],[План ФОТ]]-Таблица1[[#This Row],[Факт ФОТ]]</f>
        <v>1088193.04</v>
      </c>
      <c r="P8" s="30">
        <f>SUMIFS(Таблица2[Трудоемкость],Таблица2[План/факт],"План",Таблица2[Шифр],Таблица1[[#This Row],[Шифр]],Таблица2[Период],Основная!$Q$2)</f>
        <v>3</v>
      </c>
      <c r="Q8" s="7">
        <f>SUMIFS(Таблица2[ФОТ],Таблица2[План/факт],"План",Таблица2[Шифр],Таблица1[[#This Row],[Шифр]],Таблица2[Период],Основная!$Q$2)</f>
        <v>321000</v>
      </c>
      <c r="R8" s="7">
        <f>SUMIFS(Таблица2[ФОТ с учетом ДЗП],Таблица2[План/факт],"План",Таблица2[Шифр],Таблица1[[#This Row],[Шифр]],Таблица2[Период],Основная!$Q$2)</f>
        <v>356406.30000000005</v>
      </c>
      <c r="S8" s="5">
        <f t="array" ref="S8">SUMIFS(Таблица2[ФОТ с учетом ДЗП],Таблица2[План/факт],Основная!$S$3,Таблица2[Шифр],Таблица1[[#This Row],[Шифр]],Таблица2[Период],Основная!S$1,Таблица2[Период],Основная!S$2)</f>
        <v>0</v>
      </c>
      <c r="T8" s="5">
        <f t="array" ref="T8">SUMIFS(Таблица2[ФОТ с учетом ДЗП],Таблица2[План/факт],Основная!$S$3,Таблица2[Шифр],Таблица1[[#This Row],[Шифр]],Таблица2[Период],Основная!T$1,Таблица2[Период],Основная!T$2)</f>
        <v>0</v>
      </c>
      <c r="U8" s="5">
        <f t="array" ref="U8">SUMIFS(Таблица2[ФОТ с учетом ДЗП],Таблица2[План/факт],Основная!$S$3,Таблица2[Шифр],Таблица1[[#This Row],[Шифр]],Таблица2[Период],Основная!U$1,Таблица2[Период],Основная!U$2)</f>
        <v>0</v>
      </c>
      <c r="V8" s="5">
        <f t="array" ref="V8">SUMIFS(Таблица2[ФОТ с учетом ДЗП],Таблица2[План/факт],Основная!$S$3,Таблица2[Шифр],Таблица1[[#This Row],[Шифр]],Таблица2[Период],Основная!V$1,Таблица2[Период],Основная!V$2)</f>
        <v>0</v>
      </c>
      <c r="W8" s="5">
        <f t="array" ref="W8">SUMIFS(Таблица2[ФОТ с учетом ДЗП],Таблица2[План/факт],Основная!$S$3,Таблица2[Шифр],Таблица1[[#This Row],[Шифр]],Таблица2[Период],Основная!W$1,Таблица2[Период],Основная!W$2)</f>
        <v>0</v>
      </c>
      <c r="X8" s="5">
        <f t="array" ref="X8">SUMIFS(Таблица2[ФОТ с учетом ДЗП],Таблица2[План/факт],Основная!$S$3,Таблица2[Шифр],Таблица1[[#This Row],[Шифр]],Таблица2[Период],Основная!X$1,Таблица2[Период],Основная!X$2)</f>
        <v>0</v>
      </c>
      <c r="Y8" s="5">
        <f t="array" ref="Y8">SUMIFS(Таблица2[ФОТ с учетом ДЗП],Таблица2[План/факт],Основная!$S$3,Таблица2[Шифр],Таблица1[[#This Row],[Шифр]],Таблица2[Период],Основная!Y$1,Таблица2[Период],Основная!Y$2)</f>
        <v>0</v>
      </c>
      <c r="Z8" s="5">
        <f t="array" ref="Z8">SUMIFS(Таблица2[ФОТ с учетом ДЗП],Таблица2[План/факт],Основная!$S$3,Таблица2[Шифр],Таблица1[[#This Row],[Шифр]],Таблица2[Период],Основная!Z$1,Таблица2[Период],Основная!Z$2)</f>
        <v>0</v>
      </c>
      <c r="AA8" s="5">
        <f t="array" ref="AA8">SUMIFS(Таблица2[ФОТ с учетом ДЗП],Таблица2[План/факт],Основная!$S$3,Таблица2[Шифр],Таблица1[[#This Row],[Шифр]],Таблица2[Период],Основная!AA$1,Таблица2[Период],Основная!AA$2)</f>
        <v>0</v>
      </c>
      <c r="AB8" s="5">
        <f t="array" ref="AB8">SUMIFS(Таблица2[ФОТ с учетом ДЗП],Таблица2[План/факт],Основная!$S$3,Таблица2[Шифр],Таблица1[[#This Row],[Шифр]],Таблица2[Период],Основная!AB$1,Таблица2[Период],Основная!AB$2)</f>
        <v>0</v>
      </c>
      <c r="AC8" s="5">
        <f t="array" ref="AC8">SUMIFS(Таблица2[ФОТ с учетом ДЗП],Таблица2[План/факт],Основная!$S$3,Таблица2[Шифр],Таблица1[[#This Row],[Шифр]],Таблица2[Период],Основная!AC$1,Таблица2[Период],Основная!AC$2)</f>
        <v>0</v>
      </c>
      <c r="AD8" s="5">
        <f>SUMIFS(Таблица2[ФОТ с учетом ДЗП],Таблица2[План/факт],Основная!$S$3,Таблица2[Шифр],Таблица1[[#This Row],[Шифр]],Таблица2[Период],Основная!AD$1,Таблица2[Период],Основная!AD$2)</f>
        <v>0</v>
      </c>
    </row>
    <row r="9" spans="1:30" x14ac:dyDescent="0.25">
      <c r="A9" s="5" t="s">
        <v>73</v>
      </c>
      <c r="B9" s="4" t="s">
        <v>80</v>
      </c>
      <c r="C9" s="4">
        <v>2</v>
      </c>
      <c r="D9" s="6">
        <v>41822</v>
      </c>
      <c r="E9" s="6">
        <v>42037</v>
      </c>
      <c r="F9" s="6" t="s">
        <v>87</v>
      </c>
      <c r="G9" s="6">
        <v>41781</v>
      </c>
      <c r="H9" s="6" t="s">
        <v>94</v>
      </c>
      <c r="I9" s="10">
        <v>90000</v>
      </c>
      <c r="J9" s="10">
        <v>59.2</v>
      </c>
      <c r="K9" s="10">
        <v>72.968524444444441</v>
      </c>
      <c r="L9" s="10">
        <v>5328000</v>
      </c>
      <c r="M9" s="7">
        <f t="shared" si="0"/>
        <v>7</v>
      </c>
      <c r="N9" s="7">
        <f>SUMIFS(Таблица2[ФОТ с учетом ДЗП],Таблица2[План/факт],"Факт",Таблица2[Шифр],Таблица1[[#This Row],[Шифр]],Таблица2[Период],$N$1)</f>
        <v>6567167.1999999993</v>
      </c>
      <c r="O9" s="7">
        <f>Таблица1[[#This Row],[План ФОТ]]-Таблица1[[#This Row],[Факт ФОТ]]</f>
        <v>-1239167.1999999993</v>
      </c>
      <c r="P9" s="30">
        <f>SUMIFS(Таблица2[Трудоемкость],Таблица2[План/факт],"План",Таблица2[Шифр],Таблица1[[#This Row],[Шифр]],Таблица2[Период],Основная!$Q$2)</f>
        <v>0</v>
      </c>
      <c r="Q9" s="7">
        <f>SUMIFS(Таблица2[ФОТ],Таблица2[План/факт],"План",Таблица2[Шифр],Таблица1[[#This Row],[Шифр]],Таблица2[Период],Основная!$Q$2)</f>
        <v>0</v>
      </c>
      <c r="R9" s="7">
        <f>SUMIFS(Таблица2[ФОТ с учетом ДЗП],Таблица2[План/факт],"План",Таблица2[Шифр],Таблица1[[#This Row],[Шифр]],Таблица2[Период],Основная!$Q$2)</f>
        <v>0</v>
      </c>
      <c r="S9" s="5">
        <f t="array" ref="S9">SUMIFS(Таблица2[ФОТ с учетом ДЗП],Таблица2[План/факт],Основная!$S$3,Таблица2[Шифр],Таблица1[[#This Row],[Шифр]],Таблица2[Период],Основная!S$1,Таблица2[Период],Основная!S$2)</f>
        <v>0</v>
      </c>
      <c r="T9" s="5">
        <f t="array" ref="T9">SUMIFS(Таблица2[ФОТ с учетом ДЗП],Таблица2[План/факт],Основная!$S$3,Таблица2[Шифр],Таблица1[[#This Row],[Шифр]],Таблица2[Период],Основная!T$1,Таблица2[Период],Основная!T$2)</f>
        <v>0</v>
      </c>
      <c r="U9" s="5">
        <f t="array" ref="U9">SUMIFS(Таблица2[ФОТ с учетом ДЗП],Таблица2[План/факт],Основная!$S$3,Таблица2[Шифр],Таблица1[[#This Row],[Шифр]],Таблица2[Период],Основная!U$1,Таблица2[Период],Основная!U$2)</f>
        <v>0</v>
      </c>
      <c r="V9" s="5">
        <f t="array" ref="V9">SUMIFS(Таблица2[ФОТ с учетом ДЗП],Таблица2[План/факт],Основная!$S$3,Таблица2[Шифр],Таблица1[[#This Row],[Шифр]],Таблица2[Период],Основная!V$1,Таблица2[Период],Основная!V$2)</f>
        <v>0</v>
      </c>
      <c r="W9" s="5">
        <f t="array" ref="W9">SUMIFS(Таблица2[ФОТ с учетом ДЗП],Таблица2[План/факт],Основная!$S$3,Таблица2[Шифр],Таблица1[[#This Row],[Шифр]],Таблица2[Период],Основная!W$1,Таблица2[Период],Основная!W$2)</f>
        <v>0</v>
      </c>
      <c r="X9" s="5">
        <f t="array" ref="X9">SUMIFS(Таблица2[ФОТ с учетом ДЗП],Таблица2[План/факт],Основная!$S$3,Таблица2[Шифр],Таблица1[[#This Row],[Шифр]],Таблица2[Период],Основная!X$1,Таблица2[Период],Основная!X$2)</f>
        <v>0</v>
      </c>
      <c r="Y9" s="5">
        <f t="array" ref="Y9">SUMIFS(Таблица2[ФОТ с учетом ДЗП],Таблица2[План/факт],Основная!$S$3,Таблица2[Шифр],Таблица1[[#This Row],[Шифр]],Таблица2[Период],Основная!Y$1,Таблица2[Период],Основная!Y$2)</f>
        <v>0</v>
      </c>
      <c r="Z9" s="5">
        <f t="array" ref="Z9">SUMIFS(Таблица2[ФОТ с учетом ДЗП],Таблица2[План/факт],Основная!$S$3,Таблица2[Шифр],Таблица1[[#This Row],[Шифр]],Таблица2[Период],Основная!Z$1,Таблица2[Период],Основная!Z$2)</f>
        <v>0</v>
      </c>
      <c r="AA9" s="5">
        <f t="array" ref="AA9">SUMIFS(Таблица2[ФОТ с учетом ДЗП],Таблица2[План/факт],Основная!$S$3,Таблица2[Шифр],Таблица1[[#This Row],[Шифр]],Таблица2[Период],Основная!AA$1,Таблица2[Период],Основная!AA$2)</f>
        <v>0</v>
      </c>
      <c r="AB9" s="5">
        <f t="array" ref="AB9">SUMIFS(Таблица2[ФОТ с учетом ДЗП],Таблица2[План/факт],Основная!$S$3,Таблица2[Шифр],Таблица1[[#This Row],[Шифр]],Таблица2[Период],Основная!AB$1,Таблица2[Период],Основная!AB$2)</f>
        <v>0</v>
      </c>
      <c r="AC9" s="5">
        <f t="array" ref="AC9">SUMIFS(Таблица2[ФОТ с учетом ДЗП],Таблица2[План/факт],Основная!$S$3,Таблица2[Шифр],Таблица1[[#This Row],[Шифр]],Таблица2[Период],Основная!AC$1,Таблица2[Период],Основная!AC$2)</f>
        <v>0</v>
      </c>
      <c r="AD9" s="5">
        <f>SUMIFS(Таблица2[ФОТ с учетом ДЗП],Таблица2[План/факт],Основная!$S$3,Таблица2[Шифр],Таблица1[[#This Row],[Шифр]],Таблица2[Период],Основная!AD$1,Таблица2[Период],Основная!AD$2)</f>
        <v>0</v>
      </c>
    </row>
    <row r="10" spans="1:30" x14ac:dyDescent="0.25">
      <c r="A10" s="5" t="s">
        <v>74</v>
      </c>
      <c r="B10" s="4" t="s">
        <v>81</v>
      </c>
      <c r="C10" s="4" t="s">
        <v>16</v>
      </c>
      <c r="D10" s="6">
        <v>41974</v>
      </c>
      <c r="E10" s="6">
        <v>42333</v>
      </c>
      <c r="F10" s="6" t="s">
        <v>88</v>
      </c>
      <c r="G10" s="6">
        <v>41697</v>
      </c>
      <c r="H10" s="6" t="s">
        <v>95</v>
      </c>
      <c r="I10" s="10">
        <v>90000.530503978778</v>
      </c>
      <c r="J10" s="10">
        <v>603.20000000000005</v>
      </c>
      <c r="K10" s="10">
        <v>120.70256096456846</v>
      </c>
      <c r="L10" s="10">
        <v>54288320</v>
      </c>
      <c r="M10" s="7">
        <f t="shared" si="0"/>
        <v>11</v>
      </c>
      <c r="N10" s="7">
        <f>SUMIFS(Таблица2[ФОТ с учетом ДЗП],Таблица2[План/факт],"Факт",Таблица2[Шифр],Таблица1[[#This Row],[Шифр]],Таблица2[Период],$N$1)</f>
        <v>10863294.520000001</v>
      </c>
      <c r="O10" s="7">
        <f>Таблица1[[#This Row],[План ФОТ]]-Таблица1[[#This Row],[Факт ФОТ]]</f>
        <v>43425025.479999997</v>
      </c>
      <c r="P10" s="30">
        <f>SUMIFS(Таблица2[Трудоемкость],Таблица2[План/факт],"План",Таблица2[Шифр],Таблица1[[#This Row],[Шифр]],Таблица2[Период],Основная!$Q$2)</f>
        <v>38.75</v>
      </c>
      <c r="Q10" s="7">
        <f>SUMIFS(Таблица2[ФОТ],Таблица2[План/факт],"План",Таблица2[Шифр],Таблица1[[#This Row],[Шифр]],Таблица2[Период],Основная!$Q$2)</f>
        <v>3904866.67</v>
      </c>
      <c r="R10" s="7">
        <f>SUMIFS(Таблица2[ФОТ с учетом ДЗП],Таблица2[План/факт],"План",Таблица2[Шифр],Таблица1[[#This Row],[Шифр]],Таблица2[Период],Основная!$Q$2)</f>
        <v>4335573.4637010004</v>
      </c>
      <c r="S10" s="5">
        <f t="array" ref="S10">SUMIFS(Таблица2[ФОТ с учетом ДЗП],Таблица2[План/факт],Основная!$S$3,Таблица2[Шифр],Таблица1[[#This Row],[Шифр]],Таблица2[Период],Основная!S$1,Таблица2[Период],Основная!S$2)</f>
        <v>0</v>
      </c>
      <c r="T10" s="5">
        <f t="array" ref="T10">SUMIFS(Таблица2[ФОТ с учетом ДЗП],Таблица2[План/факт],Основная!$S$3,Таблица2[Шифр],Таблица1[[#This Row],[Шифр]],Таблица2[Период],Основная!T$1,Таблица2[Период],Основная!T$2)</f>
        <v>0</v>
      </c>
      <c r="U10" s="5">
        <f t="array" ref="U10">SUMIFS(Таблица2[ФОТ с учетом ДЗП],Таблица2[План/факт],Основная!$S$3,Таблица2[Шифр],Таблица1[[#This Row],[Шифр]],Таблица2[Период],Основная!U$1,Таблица2[Период],Основная!U$2)</f>
        <v>0</v>
      </c>
      <c r="V10" s="5">
        <f t="array" ref="V10">SUMIFS(Таблица2[ФОТ с учетом ДЗП],Таблица2[План/факт],Основная!$S$3,Таблица2[Шифр],Таблица1[[#This Row],[Шифр]],Таблица2[Период],Основная!V$1,Таблица2[Период],Основная!V$2)</f>
        <v>0</v>
      </c>
      <c r="W10" s="5">
        <f t="array" ref="W10">SUMIFS(Таблица2[ФОТ с учетом ДЗП],Таблица2[План/факт],Основная!$S$3,Таблица2[Шифр],Таблица1[[#This Row],[Шифр]],Таблица2[Период],Основная!W$1,Таблица2[Период],Основная!W$2)</f>
        <v>0</v>
      </c>
      <c r="X10" s="5">
        <f t="array" ref="X10">SUMIFS(Таблица2[ФОТ с учетом ДЗП],Таблица2[План/факт],Основная!$S$3,Таблица2[Шифр],Таблица1[[#This Row],[Шифр]],Таблица2[Период],Основная!X$1,Таблица2[Период],Основная!X$2)</f>
        <v>0</v>
      </c>
      <c r="Y10" s="5">
        <f t="array" ref="Y10">SUMIFS(Таблица2[ФОТ с учетом ДЗП],Таблица2[План/факт],Основная!$S$3,Таблица2[Шифр],Таблица1[[#This Row],[Шифр]],Таблица2[Период],Основная!Y$1,Таблица2[Период],Основная!Y$2)</f>
        <v>0</v>
      </c>
      <c r="Z10" s="5">
        <f t="array" ref="Z10">SUMIFS(Таблица2[ФОТ с учетом ДЗП],Таблица2[План/факт],Основная!$S$3,Таблица2[Шифр],Таблица1[[#This Row],[Шифр]],Таблица2[Период],Основная!Z$1,Таблица2[Период],Основная!Z$2)</f>
        <v>0</v>
      </c>
      <c r="AA10" s="5">
        <f t="array" ref="AA10">SUMIFS(Таблица2[ФОТ с учетом ДЗП],Таблица2[План/факт],Основная!$S$3,Таблица2[Шифр],Таблица1[[#This Row],[Шифр]],Таблица2[Период],Основная!AA$1,Таблица2[Период],Основная!AA$2)</f>
        <v>0</v>
      </c>
      <c r="AB10" s="5">
        <f t="array" ref="AB10">SUMIFS(Таблица2[ФОТ с учетом ДЗП],Таблица2[План/факт],Основная!$S$3,Таблица2[Шифр],Таблица1[[#This Row],[Шифр]],Таблица2[Период],Основная!AB$1,Таблица2[Период],Основная!AB$2)</f>
        <v>0</v>
      </c>
      <c r="AC10" s="5">
        <f t="array" ref="AC10">SUMIFS(Таблица2[ФОТ с учетом ДЗП],Таблица2[План/факт],Основная!$S$3,Таблица2[Шифр],Таблица1[[#This Row],[Шифр]],Таблица2[Период],Основная!AC$1,Таблица2[Период],Основная!AC$2)</f>
        <v>0</v>
      </c>
      <c r="AD10" s="5">
        <f>SUMIFS(Таблица2[ФОТ с учетом ДЗП],Таблица2[План/факт],Основная!$S$3,Таблица2[Шифр],Таблица1[[#This Row],[Шифр]],Таблица2[Период],Основная!AD$1,Таблица2[Период],Основная!AD$2)</f>
        <v>0</v>
      </c>
    </row>
    <row r="11" spans="1:30" x14ac:dyDescent="0.25">
      <c r="A11" s="5" t="s">
        <v>75</v>
      </c>
      <c r="B11" s="4" t="s">
        <v>82</v>
      </c>
      <c r="C11" s="4" t="s">
        <v>17</v>
      </c>
      <c r="D11" s="6">
        <v>41821</v>
      </c>
      <c r="E11" s="6">
        <v>42460</v>
      </c>
      <c r="F11" s="6" t="s">
        <v>89</v>
      </c>
      <c r="G11" s="6">
        <v>41697</v>
      </c>
      <c r="H11" s="6" t="s">
        <v>96</v>
      </c>
      <c r="I11" s="10">
        <v>89998.174126029829</v>
      </c>
      <c r="J11" s="10">
        <v>224.55</v>
      </c>
      <c r="K11" s="10">
        <v>18.94317064269099</v>
      </c>
      <c r="L11" s="10">
        <v>20209090</v>
      </c>
      <c r="M11" s="7">
        <f t="shared" si="0"/>
        <v>20</v>
      </c>
      <c r="N11" s="7">
        <f>SUMIFS(Таблица2[ФОТ с учетом ДЗП],Таблица2[План/факт],"Факт",Таблица2[Шифр],Таблица1[[#This Row],[Шифр]],Таблица2[Период],$N$1)</f>
        <v>1704850.77</v>
      </c>
      <c r="O11" s="7">
        <f>Таблица1[[#This Row],[План ФОТ]]-Таблица1[[#This Row],[Факт ФОТ]]</f>
        <v>18504239.23</v>
      </c>
      <c r="P11" s="30">
        <f>SUMIFS(Таблица2[Трудоемкость],Таблица2[План/факт],"План",Таблица2[Шифр],Таблица1[[#This Row],[Шифр]],Таблица2[Период],Основная!$Q$2)</f>
        <v>17.832999999999998</v>
      </c>
      <c r="Q11" s="7">
        <f>SUMIFS(Таблица2[ФОТ],Таблица2[План/факт],"План",Таблица2[Шифр],Таблица1[[#This Row],[Шифр]],Таблица2[Период],Основная!$Q$2)</f>
        <v>1954500</v>
      </c>
      <c r="R11" s="7">
        <f>SUMIFS(Таблица2[ФОТ с учетом ДЗП],Таблица2[План/факт],"План",Таблица2[Шифр],Таблица1[[#This Row],[Шифр]],Таблица2[Период],Основная!$Q$2)</f>
        <v>2170081.35</v>
      </c>
      <c r="S11" s="5">
        <f t="array" ref="S11">SUMIFS(Таблица2[ФОТ с учетом ДЗП],Таблица2[План/факт],Основная!$S$3,Таблица2[Шифр],Таблица1[[#This Row],[Шифр]],Таблица2[Период],Основная!S$1,Таблица2[Период],Основная!S$2)</f>
        <v>0</v>
      </c>
      <c r="T11" s="5">
        <f t="array" ref="T11">SUMIFS(Таблица2[ФОТ с учетом ДЗП],Таблица2[План/факт],Основная!$S$3,Таблица2[Шифр],Таблица1[[#This Row],[Шифр]],Таблица2[Период],Основная!T$1,Таблица2[Период],Основная!T$2)</f>
        <v>0</v>
      </c>
      <c r="U11" s="5">
        <f t="array" ref="U11">SUMIFS(Таблица2[ФОТ с учетом ДЗП],Таблица2[План/факт],Основная!$S$3,Таблица2[Шифр],Таблица1[[#This Row],[Шифр]],Таблица2[Период],Основная!U$1,Таблица2[Период],Основная!U$2)</f>
        <v>0</v>
      </c>
      <c r="V11" s="5">
        <f t="array" ref="V11">SUMIFS(Таблица2[ФОТ с учетом ДЗП],Таблица2[План/факт],Основная!$S$3,Таблица2[Шифр],Таблица1[[#This Row],[Шифр]],Таблица2[Период],Основная!V$1,Таблица2[Период],Основная!V$2)</f>
        <v>0</v>
      </c>
      <c r="W11" s="5">
        <f t="array" ref="W11">SUMIFS(Таблица2[ФОТ с учетом ДЗП],Таблица2[План/факт],Основная!$S$3,Таблица2[Шифр],Таблица1[[#This Row],[Шифр]],Таблица2[Период],Основная!W$1,Таблица2[Период],Основная!W$2)</f>
        <v>0</v>
      </c>
      <c r="X11" s="5">
        <f t="array" ref="X11">SUMIFS(Таблица2[ФОТ с учетом ДЗП],Таблица2[План/факт],Основная!$S$3,Таблица2[Шифр],Таблица1[[#This Row],[Шифр]],Таблица2[Период],Основная!X$1,Таблица2[Период],Основная!X$2)</f>
        <v>0</v>
      </c>
      <c r="Y11" s="5">
        <f t="array" ref="Y11">SUMIFS(Таблица2[ФОТ с учетом ДЗП],Таблица2[План/факт],Основная!$S$3,Таблица2[Шифр],Таблица1[[#This Row],[Шифр]],Таблица2[Период],Основная!Y$1,Таблица2[Период],Основная!Y$2)</f>
        <v>0</v>
      </c>
      <c r="Z11" s="5">
        <f t="array" ref="Z11">SUMIFS(Таблица2[ФОТ с учетом ДЗП],Таблица2[План/факт],Основная!$S$3,Таблица2[Шифр],Таблица1[[#This Row],[Шифр]],Таблица2[Период],Основная!Z$1,Таблица2[Период],Основная!Z$2)</f>
        <v>0</v>
      </c>
      <c r="AA11" s="5">
        <f t="array" ref="AA11">SUMIFS(Таблица2[ФОТ с учетом ДЗП],Таблица2[План/факт],Основная!$S$3,Таблица2[Шифр],Таблица1[[#This Row],[Шифр]],Таблица2[Период],Основная!AA$1,Таблица2[Период],Основная!AA$2)</f>
        <v>0</v>
      </c>
      <c r="AB11" s="5">
        <f t="array" ref="AB11">SUMIFS(Таблица2[ФОТ с учетом ДЗП],Таблица2[План/факт],Основная!$S$3,Таблица2[Шифр],Таблица1[[#This Row],[Шифр]],Таблица2[Период],Основная!AB$1,Таблица2[Период],Основная!AB$2)</f>
        <v>0</v>
      </c>
      <c r="AC11" s="5">
        <f t="array" ref="AC11">SUMIFS(Таблица2[ФОТ с учетом ДЗП],Таблица2[План/факт],Основная!$S$3,Таблица2[Шифр],Таблица1[[#This Row],[Шифр]],Таблица2[Период],Основная!AC$1,Таблица2[Период],Основная!AC$2)</f>
        <v>0</v>
      </c>
      <c r="AD11" s="5">
        <f>SUMIFS(Таблица2[ФОТ с учетом ДЗП],Таблица2[План/факт],Основная!$S$3,Таблица2[Шифр],Таблица1[[#This Row],[Шифр]],Таблица2[Период],Основная!AD$1,Таблица2[Период],Основная!AD$2)</f>
        <v>0</v>
      </c>
    </row>
    <row r="12" spans="1:30" x14ac:dyDescent="0.25">
      <c r="A12" s="5" t="s">
        <v>76</v>
      </c>
      <c r="B12" s="4" t="s">
        <v>83</v>
      </c>
      <c r="C12" s="4" t="s">
        <v>16</v>
      </c>
      <c r="D12" s="6">
        <v>41883</v>
      </c>
      <c r="E12" s="6">
        <v>42094</v>
      </c>
      <c r="F12" s="6" t="s">
        <v>90</v>
      </c>
      <c r="G12" s="6">
        <v>41796</v>
      </c>
      <c r="H12" s="6" t="s">
        <v>97</v>
      </c>
      <c r="I12" s="10"/>
      <c r="J12" s="10"/>
      <c r="K12" s="5"/>
      <c r="L12" s="7"/>
      <c r="M12" s="7">
        <f t="shared" si="0"/>
        <v>6</v>
      </c>
      <c r="N12" s="7">
        <f>SUMIFS(Таблица2[ФОТ с учетом ДЗП],Таблица2[План/факт],"Факт",Таблица2[Шифр],Таблица1[[#This Row],[Шифр]],Таблица2[Период],$N$1)</f>
        <v>0</v>
      </c>
      <c r="O12" s="7">
        <f>Таблица1[[#This Row],[План ФОТ]]-Таблица1[[#This Row],[Факт ФОТ]]</f>
        <v>0</v>
      </c>
      <c r="P12" s="30">
        <f>SUMIFS(Таблица2[Трудоемкость],Таблица2[План/факт],"План",Таблица2[Шифр],Таблица1[[#This Row],[Шифр]],Таблица2[Период],Основная!$Q$2)</f>
        <v>73.900000000000006</v>
      </c>
      <c r="Q12" s="7">
        <f>SUMIFS(Таблица2[ФОТ],Таблица2[План/факт],"План",Таблица2[Шифр],Таблица1[[#This Row],[Шифр]],Таблица2[Период],Основная!$Q$2)</f>
        <v>6591300</v>
      </c>
      <c r="R12" s="7">
        <f>SUMIFS(Таблица2[ФОТ с учетом ДЗП],Таблица2[План/факт],"План",Таблица2[Шифр],Таблица1[[#This Row],[Шифр]],Таблица2[Период],Основная!$Q$2)</f>
        <v>7318320.3900000006</v>
      </c>
      <c r="S12" s="5">
        <f t="array" ref="S12">SUMIFS(Таблица2[ФОТ с учетом ДЗП],Таблица2[План/факт],Основная!$S$3,Таблица2[Шифр],Таблица1[[#This Row],[Шифр]],Таблица2[Период],Основная!S$1,Таблица2[Период],Основная!S$2)</f>
        <v>0</v>
      </c>
      <c r="T12" s="5">
        <f t="array" ref="T12">SUMIFS(Таблица2[ФОТ с учетом ДЗП],Таблица2[План/факт],Основная!$S$3,Таблица2[Шифр],Таблица1[[#This Row],[Шифр]],Таблица2[Период],Основная!T$1,Таблица2[Период],Основная!T$2)</f>
        <v>0</v>
      </c>
      <c r="U12" s="5">
        <f t="array" ref="U12">SUMIFS(Таблица2[ФОТ с учетом ДЗП],Таблица2[План/факт],Основная!$S$3,Таблица2[Шифр],Таблица1[[#This Row],[Шифр]],Таблица2[Период],Основная!U$1,Таблица2[Период],Основная!U$2)</f>
        <v>0</v>
      </c>
      <c r="V12" s="5">
        <f t="array" ref="V12">SUMIFS(Таблица2[ФОТ с учетом ДЗП],Таблица2[План/факт],Основная!$S$3,Таблица2[Шифр],Таблица1[[#This Row],[Шифр]],Таблица2[Период],Основная!V$1,Таблица2[Период],Основная!V$2)</f>
        <v>0</v>
      </c>
      <c r="W12" s="5">
        <f t="array" ref="W12">SUMIFS(Таблица2[ФОТ с учетом ДЗП],Таблица2[План/факт],Основная!$S$3,Таблица2[Шифр],Таблица1[[#This Row],[Шифр]],Таблица2[Период],Основная!W$1,Таблица2[Период],Основная!W$2)</f>
        <v>0</v>
      </c>
      <c r="X12" s="5">
        <f t="array" ref="X12">SUMIFS(Таблица2[ФОТ с учетом ДЗП],Таблица2[План/факт],Основная!$S$3,Таблица2[Шифр],Таблица1[[#This Row],[Шифр]],Таблица2[Период],Основная!X$1,Таблица2[Период],Основная!X$2)</f>
        <v>0</v>
      </c>
      <c r="Y12" s="5">
        <f t="array" ref="Y12">SUMIFS(Таблица2[ФОТ с учетом ДЗП],Таблица2[План/факт],Основная!$S$3,Таблица2[Шифр],Таблица1[[#This Row],[Шифр]],Таблица2[Период],Основная!Y$1,Таблица2[Период],Основная!Y$2)</f>
        <v>0</v>
      </c>
      <c r="Z12" s="5">
        <f t="array" ref="Z12">SUMIFS(Таблица2[ФОТ с учетом ДЗП],Таблица2[План/факт],Основная!$S$3,Таблица2[Шифр],Таблица1[[#This Row],[Шифр]],Таблица2[Период],Основная!Z$1,Таблица2[Период],Основная!Z$2)</f>
        <v>0</v>
      </c>
      <c r="AA12" s="5">
        <f t="array" ref="AA12">SUMIFS(Таблица2[ФОТ с учетом ДЗП],Таблица2[План/факт],Основная!$S$3,Таблица2[Шифр],Таблица1[[#This Row],[Шифр]],Таблица2[Период],Основная!AA$1,Таблица2[Период],Основная!AA$2)</f>
        <v>0</v>
      </c>
      <c r="AB12" s="5">
        <f t="array" ref="AB12">SUMIFS(Таблица2[ФОТ с учетом ДЗП],Таблица2[План/факт],Основная!$S$3,Таблица2[Шифр],Таблица1[[#This Row],[Шифр]],Таблица2[Период],Основная!AB$1,Таблица2[Период],Основная!AB$2)</f>
        <v>0</v>
      </c>
      <c r="AC12" s="5">
        <f t="array" ref="AC12">SUMIFS(Таблица2[ФОТ с учетом ДЗП],Таблица2[План/факт],Основная!$S$3,Таблица2[Шифр],Таблица1[[#This Row],[Шифр]],Таблица2[Период],Основная!AC$1,Таблица2[Период],Основная!AC$2)</f>
        <v>0</v>
      </c>
      <c r="AD12" s="5">
        <f>SUMIFS(Таблица2[ФОТ с учетом ДЗП],Таблица2[План/факт],Основная!$S$3,Таблица2[Шифр],Таблица1[[#This Row],[Шифр]],Таблица2[Период],Основная!AD$1,Таблица2[Период],Основная!AD$2)</f>
        <v>0</v>
      </c>
    </row>
    <row r="13" spans="1:30" x14ac:dyDescent="0.25">
      <c r="A13" s="36"/>
      <c r="B13" s="36"/>
      <c r="C13" s="37"/>
      <c r="D13" s="38"/>
      <c r="E13" s="38"/>
      <c r="F13" s="36"/>
      <c r="G13" s="36"/>
      <c r="H13" s="36"/>
      <c r="I13" s="36"/>
      <c r="J13" s="36"/>
      <c r="K13" s="36"/>
      <c r="L13" s="32"/>
      <c r="M13" s="32"/>
      <c r="N13" s="32"/>
      <c r="O13" s="32"/>
      <c r="P13" s="31">
        <f>SUBTOTAL(109,Таблица1[Трудоемкость])</f>
        <v>147.017</v>
      </c>
      <c r="Q13" s="32">
        <f>SUBTOTAL(109,Таблица1[Расчетный ФОТ,
руб.])</f>
        <v>14339266.67</v>
      </c>
      <c r="R13" s="33">
        <f>SUBTOTAL(109,Таблица1[Расчетный ФОТ 
с учетом ДЗП,
руб.])</f>
        <v>15920887.783701001</v>
      </c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5">
      <c r="L14" s="9"/>
      <c r="M14" s="9"/>
    </row>
  </sheetData>
  <mergeCells count="2">
    <mergeCell ref="P3:R3"/>
    <mergeCell ref="S3:AD3"/>
  </mergeCells>
  <conditionalFormatting sqref="O6:O12">
    <cfRule type="cellIs" dxfId="77" priority="4" operator="lessThan">
      <formula>0</formula>
    </cfRule>
  </conditionalFormatting>
  <dataValidations count="1">
    <dataValidation type="list" allowBlank="1" showInputMessage="1" showErrorMessage="1" sqref="S4:AD4">
      <formula1>план_факт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2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11.5703125" bestFit="1" customWidth="1"/>
    <col min="2" max="2" width="11.5703125" customWidth="1"/>
    <col min="3" max="3" width="20.5703125" bestFit="1" customWidth="1"/>
    <col min="4" max="4" width="11.140625" bestFit="1" customWidth="1"/>
    <col min="5" max="5" width="21.140625" bestFit="1" customWidth="1"/>
    <col min="6" max="6" width="10.140625" style="11" bestFit="1" customWidth="1"/>
    <col min="7" max="7" width="12.140625" bestFit="1" customWidth="1"/>
    <col min="8" max="8" width="15.7109375" bestFit="1" customWidth="1"/>
    <col min="9" max="9" width="12.7109375" bestFit="1" customWidth="1"/>
    <col min="10" max="10" width="14.42578125" bestFit="1" customWidth="1"/>
    <col min="11" max="11" width="23.85546875" bestFit="1" customWidth="1"/>
    <col min="12" max="12" width="23.85546875" customWidth="1"/>
    <col min="14" max="14" width="12.42578125" bestFit="1" customWidth="1"/>
  </cols>
  <sheetData>
    <row r="1" spans="1:14" x14ac:dyDescent="0.25">
      <c r="A1" s="42"/>
      <c r="B1" s="43" t="s">
        <v>68</v>
      </c>
    </row>
    <row r="2" spans="1:14" x14ac:dyDescent="0.25">
      <c r="A2" s="41"/>
      <c r="B2" s="43" t="s">
        <v>69</v>
      </c>
    </row>
    <row r="3" spans="1:14" s="11" customFormat="1" ht="40.5" customHeight="1" x14ac:dyDescent="0.25">
      <c r="A3" s="13" t="s">
        <v>20</v>
      </c>
      <c r="B3" s="14" t="s">
        <v>23</v>
      </c>
      <c r="C3" s="14" t="s">
        <v>21</v>
      </c>
      <c r="D3" s="12" t="s">
        <v>0</v>
      </c>
      <c r="E3" s="15" t="s">
        <v>1</v>
      </c>
      <c r="F3" s="15" t="s">
        <v>2</v>
      </c>
      <c r="G3" s="16" t="s">
        <v>3</v>
      </c>
      <c r="H3" s="16" t="s">
        <v>4</v>
      </c>
      <c r="I3" s="14" t="s">
        <v>22</v>
      </c>
      <c r="J3" s="17" t="s">
        <v>13</v>
      </c>
      <c r="K3" s="18" t="s">
        <v>26</v>
      </c>
      <c r="L3" s="20" t="s">
        <v>27</v>
      </c>
      <c r="M3" s="11" t="s">
        <v>66</v>
      </c>
      <c r="N3" s="11" t="s">
        <v>67</v>
      </c>
    </row>
    <row r="4" spans="1:14" x14ac:dyDescent="0.25">
      <c r="A4">
        <v>1</v>
      </c>
      <c r="B4" t="s">
        <v>24</v>
      </c>
      <c r="D4" t="s">
        <v>70</v>
      </c>
      <c r="E4" t="str">
        <f>VLOOKUP(Таблица2[Шифр],Таблица1[[Шифр]:[Окончание]],2,FALSE)</f>
        <v>Тема1</v>
      </c>
      <c r="F4" s="11">
        <f>VLOOKUP(Таблица2[Шифр],Таблица1[[Шифр]:[Окончание]],3,FALSE)</f>
        <v>3</v>
      </c>
      <c r="G4" s="1">
        <f>VLOOKUP(Таблица2[Шифр],Таблица1[[Шифр]:[Окончание]],4,FALSE)</f>
        <v>41770</v>
      </c>
      <c r="H4" s="1">
        <f>VLOOKUP(Таблица2[Шифр],Таблица1[[Шифр]:[Окончание]],5,FALSE)</f>
        <v>42134</v>
      </c>
      <c r="I4" s="19">
        <v>42005</v>
      </c>
      <c r="J4" s="21">
        <v>8.8670000000000009</v>
      </c>
      <c r="K4" s="9">
        <v>1131600</v>
      </c>
      <c r="L4" s="9">
        <v>1256415.48</v>
      </c>
      <c r="M4" s="21" t="b">
        <f>AND((Таблица2[[#This Row],[Период]]-Таблица2[[#This Row],[Начало]])&gt;=DAY(Таблица2[[#This Row],[Начало]])*(-1),(Таблица2[[#This Row],[Период]]-Таблица2[[#This Row],[Окончание]])&lt;=0)</f>
        <v>1</v>
      </c>
      <c r="N4" s="9">
        <f>IF(Таблица2[[#This Row],[План/факт]]="План",VLOOKUP(Таблица2[[#This Row],[Шифр]],Таблица1[[Шифр]:[План ФОТ]],12,FALSE)-SUMIFS(Таблица2[ФОТ с учетом ДЗП],Таблица2[План/факт],"Факт",Таблица2[Шифр],Таблица2[[#This Row],[Шифр]],Таблица2[Период],CONCATENATE("&lt;=",TEXT((Таблица2[[#This Row],[Период]]-1),"ДД.ММ.ГГГГ")))-Таблица2[[#This Row],[ФОТ с учетом ДЗП]],"")</f>
        <v>8582530.0700000003</v>
      </c>
    </row>
    <row r="5" spans="1:14" x14ac:dyDescent="0.25">
      <c r="A5">
        <v>2</v>
      </c>
      <c r="B5" t="s">
        <v>24</v>
      </c>
      <c r="D5" t="s">
        <v>71</v>
      </c>
      <c r="E5" t="str">
        <f>VLOOKUP(Таблица2[Шифр],Таблица1[[Шифр]:[Окончание]],2,FALSE)</f>
        <v>Тема2</v>
      </c>
      <c r="F5" s="11">
        <f>VLOOKUP(Таблица2[Шифр],Таблица1[[Шифр]:[Окончание]],3,FALSE)</f>
        <v>2</v>
      </c>
      <c r="G5" s="1">
        <f>VLOOKUP(Таблица2[Шифр],Таблица1[[Шифр]:[Окончание]],4,FALSE)</f>
        <v>41883</v>
      </c>
      <c r="H5" s="1">
        <f>VLOOKUP(Таблица2[Шифр],Таблица1[[Шифр]:[Окончание]],5,FALSE)</f>
        <v>42246</v>
      </c>
      <c r="I5" s="19">
        <v>42005</v>
      </c>
      <c r="J5" s="21">
        <v>4.6669999999999998</v>
      </c>
      <c r="K5" s="9">
        <v>436000</v>
      </c>
      <c r="L5" s="9">
        <v>484090.80000000005</v>
      </c>
      <c r="M5" s="21" t="b">
        <f>AND((Таблица2[[#This Row],[Период]]-Таблица2[[#This Row],[Начало]])&gt;=DAY(Таблица2[[#This Row],[Начало]])*(-1),(Таблица2[[#This Row],[Период]]-Таблица2[[#This Row],[Окончание]])&lt;=0)</f>
        <v>1</v>
      </c>
      <c r="N5" s="9">
        <f>IF(Таблица2[[#This Row],[План/факт]]="План",VLOOKUP(Таблица2[[#This Row],[Шифр]],Таблица1[[Шифр]:[План ФОТ]],12,FALSE)-SUMIFS(Таблица2[ФОТ с учетом ДЗП],Таблица2[План/факт],"Факт",Таблица2[Шифр],Таблица2[[#This Row],[Шифр]],Таблица2[Период],CONCATENATE("&lt;=",TEXT((Таблица2[[#This Row],[Период]]-1),"ДД.ММ.ГГГГ")))-Таблица2[[#This Row],[ФОТ с учетом ДЗП]],"")</f>
        <v>20266567.189999998</v>
      </c>
    </row>
    <row r="6" spans="1:14" x14ac:dyDescent="0.25">
      <c r="A6">
        <v>3</v>
      </c>
      <c r="B6" t="s">
        <v>24</v>
      </c>
      <c r="D6" t="s">
        <v>74</v>
      </c>
      <c r="E6" t="str">
        <f>VLOOKUP(Таблица2[Шифр],Таблица1[[Шифр]:[Окончание]],2,FALSE)</f>
        <v>Тема5</v>
      </c>
      <c r="F6" s="11" t="str">
        <f>VLOOKUP(Таблица2[Шифр],Таблица1[[Шифр]:[Окончание]],3,FALSE)</f>
        <v>2.1</v>
      </c>
      <c r="G6" s="1">
        <f>VLOOKUP(Таблица2[Шифр],Таблица1[[Шифр]:[Окончание]],4,FALSE)</f>
        <v>41974</v>
      </c>
      <c r="H6" s="1">
        <f>VLOOKUP(Таблица2[Шифр],Таблица1[[Шифр]:[Окончание]],5,FALSE)</f>
        <v>42333</v>
      </c>
      <c r="I6" s="19">
        <v>42005</v>
      </c>
      <c r="J6" s="21">
        <v>38.75</v>
      </c>
      <c r="K6" s="9">
        <v>3904866.67</v>
      </c>
      <c r="L6" s="9">
        <v>4335573.4637010004</v>
      </c>
      <c r="M6" s="21" t="b">
        <f>AND((Таблица2[[#This Row],[Период]]-Таблица2[[#This Row],[Начало]])&gt;=DAY(Таблица2[[#This Row],[Начало]])*(-1),(Таблица2[[#This Row],[Период]]-Таблица2[[#This Row],[Окончание]])&lt;=0)</f>
        <v>1</v>
      </c>
      <c r="N6" s="9">
        <f>IF(Таблица2[[#This Row],[План/факт]]="План",VLOOKUP(Таблица2[[#This Row],[Шифр]],Таблица1[[Шифр]:[План ФОТ]],12,FALSE)-SUMIFS(Таблица2[ФОТ с учетом ДЗП],Таблица2[План/факт],"Факт",Таблица2[Шифр],Таблица2[[#This Row],[Шифр]],Таблица2[Период],CONCATENATE("&lt;=",TEXT((Таблица2[[#This Row],[Период]]-1),"ДД.ММ.ГГГГ")))-Таблица2[[#This Row],[ФОТ с учетом ДЗП]],"")</f>
        <v>39089452.016298994</v>
      </c>
    </row>
    <row r="7" spans="1:14" x14ac:dyDescent="0.25">
      <c r="A7">
        <v>4</v>
      </c>
      <c r="B7" t="s">
        <v>24</v>
      </c>
      <c r="D7" t="s">
        <v>75</v>
      </c>
      <c r="E7" t="str">
        <f>VLOOKUP(Таблица2[Шифр],Таблица1[[Шифр]:[Окончание]],2,FALSE)</f>
        <v>Тема6</v>
      </c>
      <c r="F7" s="11" t="str">
        <f>VLOOKUP(Таблица2[Шифр],Таблица1[[Шифр]:[Окончание]],3,FALSE)</f>
        <v>2.2</v>
      </c>
      <c r="G7" s="1">
        <f>VLOOKUP(Таблица2[Шифр],Таблица1[[Шифр]:[Окончание]],4,FALSE)</f>
        <v>41821</v>
      </c>
      <c r="H7" s="1">
        <f>VLOOKUP(Таблица2[Шифр],Таблица1[[Шифр]:[Окончание]],5,FALSE)</f>
        <v>42460</v>
      </c>
      <c r="I7" s="19">
        <v>42005</v>
      </c>
      <c r="J7" s="21">
        <v>17.832999999999998</v>
      </c>
      <c r="K7" s="9">
        <v>1954500</v>
      </c>
      <c r="L7" s="9">
        <v>2170081.35</v>
      </c>
      <c r="M7" s="21" t="b">
        <f>AND((Таблица2[[#This Row],[Период]]-Таблица2[[#This Row],[Начало]])&gt;=DAY(Таблица2[[#This Row],[Начало]])*(-1),(Таблица2[[#This Row],[Период]]-Таблица2[[#This Row],[Окончание]])&lt;=0)</f>
        <v>1</v>
      </c>
      <c r="N7" s="9">
        <f>IF(Таблица2[[#This Row],[План/факт]]="План",VLOOKUP(Таблица2[[#This Row],[Шифр]],Таблица1[[Шифр]:[План ФОТ]],12,FALSE)-SUMIFS(Таблица2[ФОТ с учетом ДЗП],Таблица2[План/факт],"Факт",Таблица2[Шифр],Таблица2[[#This Row],[Шифр]],Таблица2[Период],CONCATENATE("&lt;=",TEXT((Таблица2[[#This Row],[Период]]-1),"ДД.ММ.ГГГГ")))-Таблица2[[#This Row],[ФОТ с учетом ДЗП]],"")</f>
        <v>16334157.880000001</v>
      </c>
    </row>
    <row r="8" spans="1:14" x14ac:dyDescent="0.25">
      <c r="A8">
        <v>5</v>
      </c>
      <c r="B8" t="s">
        <v>24</v>
      </c>
      <c r="D8" t="s">
        <v>72</v>
      </c>
      <c r="E8" t="str">
        <f>VLOOKUP(Таблица2[Шифр],Таблица1[[Шифр]:[Окончание]],2,FALSE)</f>
        <v>Тема3</v>
      </c>
      <c r="F8" s="11">
        <f>VLOOKUP(Таблица2[Шифр],Таблица1[[Шифр]:[Окончание]],3,FALSE)</f>
        <v>1</v>
      </c>
      <c r="G8" s="1">
        <f>VLOOKUP(Таблица2[Шифр],Таблица1[[Шифр]:[Окончание]],4,FALSE)</f>
        <v>41852</v>
      </c>
      <c r="H8" s="1">
        <f>VLOOKUP(Таблица2[Шифр],Таблица1[[Шифр]:[Окончание]],5,FALSE)</f>
        <v>42078</v>
      </c>
      <c r="I8" s="19">
        <v>42005</v>
      </c>
      <c r="J8" s="21">
        <v>3</v>
      </c>
      <c r="K8" s="9">
        <v>321000</v>
      </c>
      <c r="L8" s="9">
        <v>356406.30000000005</v>
      </c>
      <c r="M8" s="21" t="b">
        <f>AND((Таблица2[[#This Row],[Период]]-Таблица2[[#This Row],[Начало]])&gt;=DAY(Таблица2[[#This Row],[Начало]])*(-1),(Таблица2[[#This Row],[Период]]-Таблица2[[#This Row],[Окончание]])&lt;=0)</f>
        <v>1</v>
      </c>
      <c r="N8" s="9">
        <f>IF(Таблица2[[#This Row],[План/факт]]="План",VLOOKUP(Таблица2[[#This Row],[Шифр]],Таблица1[[Шифр]:[План ФОТ]],12,FALSE)-SUMIFS(Таблица2[ФОТ с учетом ДЗП],Таблица2[План/факт],"Факт",Таблица2[Шифр],Таблица2[[#This Row],[Шифр]],Таблица2[Период],CONCATENATE("&lt;=",TEXT((Таблица2[[#This Row],[Период]]-1),"ДД.ММ.ГГГГ")))-Таблица2[[#This Row],[ФОТ с учетом ДЗП]],"")</f>
        <v>731786.74</v>
      </c>
    </row>
    <row r="9" spans="1:14" x14ac:dyDescent="0.25">
      <c r="A9">
        <v>6</v>
      </c>
      <c r="B9" t="s">
        <v>24</v>
      </c>
      <c r="D9" t="s">
        <v>76</v>
      </c>
      <c r="E9" t="str">
        <f>VLOOKUP(Таблица2[Шифр],Таблица1[[Шифр]:[Окончание]],2,FALSE)</f>
        <v>Тема7</v>
      </c>
      <c r="F9" s="11" t="str">
        <f>VLOOKUP(Таблица2[Шифр],Таблица1[[Шифр]:[Окончание]],3,FALSE)</f>
        <v>2.1</v>
      </c>
      <c r="G9" s="1">
        <f>VLOOKUP(Таблица2[Шифр],Таблица1[[Шифр]:[Окончание]],4,FALSE)</f>
        <v>41883</v>
      </c>
      <c r="H9" s="1">
        <f>VLOOKUP(Таблица2[Шифр],Таблица1[[Шифр]:[Окончание]],5,FALSE)</f>
        <v>42094</v>
      </c>
      <c r="I9" s="19">
        <v>42005</v>
      </c>
      <c r="J9" s="21">
        <v>73.900000000000006</v>
      </c>
      <c r="K9" s="9">
        <v>6591300</v>
      </c>
      <c r="L9" s="9">
        <v>7318320.3900000006</v>
      </c>
      <c r="M9" s="21" t="b">
        <f>AND((Таблица2[[#This Row],[Период]]-Таблица2[[#This Row],[Начало]])&gt;=DAY(Таблица2[[#This Row],[Начало]])*(-1),(Таблица2[[#This Row],[Период]]-Таблица2[[#This Row],[Окончание]])&lt;=0)</f>
        <v>1</v>
      </c>
      <c r="N9" s="9">
        <f>IF(Таблица2[[#This Row],[План/факт]]="План",VLOOKUP(Таблица2[[#This Row],[Шифр]],Таблица1[[Шифр]:[План ФОТ]],12,FALSE)-SUMIFS(Таблица2[ФОТ с учетом ДЗП],Таблица2[План/факт],"Факт",Таблица2[Шифр],Таблица2[[#This Row],[Шифр]],Таблица2[Период],CONCATENATE("&lt;=",TEXT((Таблица2[[#This Row],[Период]]-1),"ДД.ММ.ГГГГ")))-Таблица2[[#This Row],[ФОТ с учетом ДЗП]],"")</f>
        <v>-7318320.3900000006</v>
      </c>
    </row>
    <row r="10" spans="1:14" x14ac:dyDescent="0.25">
      <c r="A10">
        <v>7</v>
      </c>
      <c r="B10" t="s">
        <v>25</v>
      </c>
      <c r="D10" t="s">
        <v>70</v>
      </c>
      <c r="E10" t="str">
        <f>VLOOKUP(Таблица2[Шифр],Таблица1[[Шифр]:[Окончание]],2,FALSE)</f>
        <v>Тема1</v>
      </c>
      <c r="F10" s="11">
        <f>VLOOKUP(Таблица2[Шифр],Таблица1[[Шифр]:[Окончание]],3,FALSE)</f>
        <v>3</v>
      </c>
      <c r="G10" s="1">
        <f>VLOOKUP(Таблица2[Шифр],Таблица1[[Шифр]:[Окончание]],4,FALSE)</f>
        <v>41770</v>
      </c>
      <c r="H10" s="1">
        <f>VLOOKUP(Таблица2[Шифр],Таблица1[[Шифр]:[Окончание]],5,FALSE)</f>
        <v>42134</v>
      </c>
      <c r="I10" s="19">
        <v>42004</v>
      </c>
      <c r="J10" s="21"/>
      <c r="K10" s="9"/>
      <c r="L10" s="9">
        <v>1777204.4499999997</v>
      </c>
      <c r="M10" s="21" t="b">
        <f>AND((Таблица2[[#This Row],[Период]]-Таблица2[[#This Row],[Начало]])&gt;=DAY(Таблица2[[#This Row],[Начало]])*(-1),(Таблица2[[#This Row],[Период]]-Таблица2[[#This Row],[Окончание]])&lt;=0)</f>
        <v>1</v>
      </c>
      <c r="N10" s="9" t="str">
        <f>IF(Таблица2[[#This Row],[План/факт]]="План",VLOOKUP(Таблица2[[#This Row],[Шифр]],Таблица1[[Шифр]:[План ФОТ]],12,FALSE)-SUMIFS(Таблица2[ФОТ с учетом ДЗП],Таблица2[План/факт],"Факт",Таблица2[Шифр],Таблица2[[#This Row],[Шифр]],Таблица2[Период],CONCATENATE("&lt;=",TEXT((Таблица2[[#This Row],[Период]]-1),"ДД.ММ.ГГГГ")))-Таблица2[[#This Row],[ФОТ с учетом ДЗП]],"")</f>
        <v/>
      </c>
    </row>
    <row r="11" spans="1:14" x14ac:dyDescent="0.25">
      <c r="A11">
        <v>8</v>
      </c>
      <c r="B11" t="s">
        <v>25</v>
      </c>
      <c r="D11" t="s">
        <v>71</v>
      </c>
      <c r="E11" t="str">
        <f>VLOOKUP(Таблица2[Шифр],Таблица1[[Шифр]:[Окончание]],2,FALSE)</f>
        <v>Тема2</v>
      </c>
      <c r="F11" s="11">
        <f>VLOOKUP(Таблица2[Шифр],Таблица1[[Шифр]:[Окончание]],3,FALSE)</f>
        <v>2</v>
      </c>
      <c r="G11" s="1">
        <f>VLOOKUP(Таблица2[Шифр],Таблица1[[Шифр]:[Окончание]],4,FALSE)</f>
        <v>41883</v>
      </c>
      <c r="H11" s="1">
        <f>VLOOKUP(Таблица2[Шифр],Таблица1[[Шифр]:[Окончание]],5,FALSE)</f>
        <v>42246</v>
      </c>
      <c r="I11" s="19">
        <v>42004</v>
      </c>
      <c r="J11" s="21"/>
      <c r="K11" s="9"/>
      <c r="L11" s="9">
        <v>863602.01</v>
      </c>
      <c r="M11" s="21" t="b">
        <f>AND((Таблица2[[#This Row],[Период]]-Таблица2[[#This Row],[Начало]])&gt;=DAY(Таблица2[[#This Row],[Начало]])*(-1),(Таблица2[[#This Row],[Период]]-Таблица2[[#This Row],[Окончание]])&lt;=0)</f>
        <v>1</v>
      </c>
      <c r="N11" s="9" t="str">
        <f>IF(Таблица2[[#This Row],[План/факт]]="План",VLOOKUP(Таблица2[[#This Row],[Шифр]],Таблица1[[Шифр]:[План ФОТ]],12,FALSE)-SUMIFS(Таблица2[ФОТ с учетом ДЗП],Таблица2[План/факт],"Факт",Таблица2[Шифр],Таблица2[[#This Row],[Шифр]],Таблица2[Период],CONCATENATE("&lt;=",TEXT((Таблица2[[#This Row],[Период]]-1),"ДД.ММ.ГГГГ")))-Таблица2[[#This Row],[ФОТ с учетом ДЗП]],"")</f>
        <v/>
      </c>
    </row>
    <row r="12" spans="1:14" x14ac:dyDescent="0.25">
      <c r="A12">
        <v>9</v>
      </c>
      <c r="B12" t="s">
        <v>25</v>
      </c>
      <c r="D12" t="s">
        <v>72</v>
      </c>
      <c r="E12" t="str">
        <f>VLOOKUP(Таблица2[Шифр],Таблица1[[Шифр]:[Окончание]],2,FALSE)</f>
        <v>Тема3</v>
      </c>
      <c r="F12" s="11">
        <f>VLOOKUP(Таблица2[Шифр],Таблица1[[Шифр]:[Окончание]],3,FALSE)</f>
        <v>1</v>
      </c>
      <c r="G12" s="1">
        <f>VLOOKUP(Таблица2[Шифр],Таблица1[[Шифр]:[Окончание]],4,FALSE)</f>
        <v>41852</v>
      </c>
      <c r="H12" s="1">
        <f>VLOOKUP(Таблица2[Шифр],Таблица1[[Шифр]:[Окончание]],5,FALSE)</f>
        <v>42078</v>
      </c>
      <c r="I12" s="19">
        <v>42004</v>
      </c>
      <c r="J12" s="21"/>
      <c r="K12" s="9"/>
      <c r="L12" s="9">
        <v>1445182.1600000001</v>
      </c>
      <c r="M12" s="21" t="b">
        <f>AND((Таблица2[[#This Row],[Период]]-Таблица2[[#This Row],[Начало]])&gt;=DAY(Таблица2[[#This Row],[Начало]])*(-1),(Таблица2[[#This Row],[Период]]-Таблица2[[#This Row],[Окончание]])&lt;=0)</f>
        <v>1</v>
      </c>
      <c r="N12" s="9" t="str">
        <f>IF(Таблица2[[#This Row],[План/факт]]="План",VLOOKUP(Таблица2[[#This Row],[Шифр]],Таблица1[[Шифр]:[План ФОТ]],12,FALSE)-SUMIFS(Таблица2[ФОТ с учетом ДЗП],Таблица2[План/факт],"Факт",Таблица2[Шифр],Таблица2[[#This Row],[Шифр]],Таблица2[Период],CONCATENATE("&lt;=",TEXT((Таблица2[[#This Row],[Период]]-1),"ДД.ММ.ГГГГ")))-Таблица2[[#This Row],[ФОТ с учетом ДЗП]],"")</f>
        <v/>
      </c>
    </row>
    <row r="13" spans="1:14" x14ac:dyDescent="0.25">
      <c r="A13">
        <v>10</v>
      </c>
      <c r="B13" t="s">
        <v>25</v>
      </c>
      <c r="D13" t="s">
        <v>73</v>
      </c>
      <c r="E13" t="str">
        <f>VLOOKUP(Таблица2[Шифр],Таблица1[[Шифр]:[Окончание]],2,FALSE)</f>
        <v>Тема4</v>
      </c>
      <c r="F13" s="11">
        <f>VLOOKUP(Таблица2[Шифр],Таблица1[[Шифр]:[Окончание]],3,FALSE)</f>
        <v>2</v>
      </c>
      <c r="G13" s="1">
        <f>VLOOKUP(Таблица2[Шифр],Таблица1[[Шифр]:[Окончание]],4,FALSE)</f>
        <v>41822</v>
      </c>
      <c r="H13" s="1">
        <f>VLOOKUP(Таблица2[Шифр],Таблица1[[Шифр]:[Окончание]],5,FALSE)</f>
        <v>42037</v>
      </c>
      <c r="I13" s="19">
        <v>42004</v>
      </c>
      <c r="J13" s="21"/>
      <c r="K13" s="9"/>
      <c r="L13" s="9">
        <v>6567167.1999999993</v>
      </c>
      <c r="M13" s="21" t="b">
        <f>AND((Таблица2[[#This Row],[Период]]-Таблица2[[#This Row],[Начало]])&gt;=DAY(Таблица2[[#This Row],[Начало]])*(-1),(Таблица2[[#This Row],[Период]]-Таблица2[[#This Row],[Окончание]])&lt;=0)</f>
        <v>1</v>
      </c>
      <c r="N13" s="9" t="str">
        <f>IF(Таблица2[[#This Row],[План/факт]]="План",VLOOKUP(Таблица2[[#This Row],[Шифр]],Таблица1[[Шифр]:[План ФОТ]],12,FALSE)-SUMIFS(Таблица2[ФОТ с учетом ДЗП],Таблица2[План/факт],"Факт",Таблица2[Шифр],Таблица2[[#This Row],[Шифр]],Таблица2[Период],CONCATENATE("&lt;=",TEXT((Таблица2[[#This Row],[Период]]-1),"ДД.ММ.ГГГГ")))-Таблица2[[#This Row],[ФОТ с учетом ДЗП]],"")</f>
        <v/>
      </c>
    </row>
    <row r="14" spans="1:14" x14ac:dyDescent="0.25">
      <c r="A14">
        <v>11</v>
      </c>
      <c r="B14" t="s">
        <v>25</v>
      </c>
      <c r="D14" t="s">
        <v>74</v>
      </c>
      <c r="E14" t="str">
        <f>VLOOKUP(Таблица2[Шифр],Таблица1[[Шифр]:[Окончание]],2,FALSE)</f>
        <v>Тема5</v>
      </c>
      <c r="F14" s="11" t="str">
        <f>VLOOKUP(Таблица2[Шифр],Таблица1[[Шифр]:[Окончание]],3,FALSE)</f>
        <v>2.1</v>
      </c>
      <c r="G14" s="1">
        <f>VLOOKUP(Таблица2[Шифр],Таблица1[[Шифр]:[Окончание]],4,FALSE)</f>
        <v>41974</v>
      </c>
      <c r="H14" s="1">
        <f>VLOOKUP(Таблица2[Шифр],Таблица1[[Шифр]:[Окончание]],5,FALSE)</f>
        <v>42333</v>
      </c>
      <c r="I14" s="19">
        <v>42004</v>
      </c>
      <c r="J14" s="21"/>
      <c r="K14" s="9"/>
      <c r="L14" s="9">
        <v>10863294.520000001</v>
      </c>
      <c r="M14" s="21" t="b">
        <f>AND((Таблица2[[#This Row],[Период]]-Таблица2[[#This Row],[Начало]])&gt;=DAY(Таблица2[[#This Row],[Начало]])*(-1),(Таблица2[[#This Row],[Период]]-Таблица2[[#This Row],[Окончание]])&lt;=0)</f>
        <v>1</v>
      </c>
      <c r="N14" s="9" t="str">
        <f>IF(Таблица2[[#This Row],[План/факт]]="План",VLOOKUP(Таблица2[[#This Row],[Шифр]],Таблица1[[Шифр]:[План ФОТ]],12,FALSE)-SUMIFS(Таблица2[ФОТ с учетом ДЗП],Таблица2[План/факт],"Факт",Таблица2[Шифр],Таблица2[[#This Row],[Шифр]],Таблица2[Период],CONCATENATE("&lt;=",TEXT((Таблица2[[#This Row],[Период]]-1),"ДД.ММ.ГГГГ")))-Таблица2[[#This Row],[ФОТ с учетом ДЗП]],"")</f>
        <v/>
      </c>
    </row>
    <row r="15" spans="1:14" x14ac:dyDescent="0.25">
      <c r="A15">
        <v>12</v>
      </c>
      <c r="B15" t="s">
        <v>25</v>
      </c>
      <c r="D15" t="s">
        <v>75</v>
      </c>
      <c r="E15" t="str">
        <f>VLOOKUP(Таблица2[Шифр],Таблица1[[Шифр]:[Окончание]],2,FALSE)</f>
        <v>Тема6</v>
      </c>
      <c r="F15" s="11" t="str">
        <f>VLOOKUP(Таблица2[Шифр],Таблица1[[Шифр]:[Окончание]],3,FALSE)</f>
        <v>2.2</v>
      </c>
      <c r="G15" s="1">
        <f>VLOOKUP(Таблица2[Шифр],Таблица1[[Шифр]:[Окончание]],4,FALSE)</f>
        <v>41821</v>
      </c>
      <c r="H15" s="1">
        <f>VLOOKUP(Таблица2[Шифр],Таблица1[[Шифр]:[Окончание]],5,FALSE)</f>
        <v>42460</v>
      </c>
      <c r="I15" s="19">
        <v>42004</v>
      </c>
      <c r="J15" s="21"/>
      <c r="K15" s="9"/>
      <c r="L15" s="9">
        <v>1704850.77</v>
      </c>
      <c r="M15" s="21" t="b">
        <f>AND((Таблица2[[#This Row],[Период]]-Таблица2[[#This Row],[Начало]])&gt;=DAY(Таблица2[[#This Row],[Начало]])*(-1),(Таблица2[[#This Row],[Период]]-Таблица2[[#This Row],[Окончание]])&lt;=0)</f>
        <v>1</v>
      </c>
      <c r="N15" s="9" t="str">
        <f>IF(Таблица2[[#This Row],[План/факт]]="План",VLOOKUP(Таблица2[[#This Row],[Шифр]],Таблица1[[Шифр]:[План ФОТ]],12,FALSE)-SUMIFS(Таблица2[ФОТ с учетом ДЗП],Таблица2[План/факт],"Факт",Таблица2[Шифр],Таблица2[[#This Row],[Шифр]],Таблица2[Период],CONCATENATE("&lt;=",TEXT((Таблица2[[#This Row],[Период]]-1),"ДД.ММ.ГГГГ")))-Таблица2[[#This Row],[ФОТ с учетом ДЗП]],"")</f>
        <v/>
      </c>
    </row>
    <row r="16" spans="1:14" x14ac:dyDescent="0.25">
      <c r="A16">
        <v>13</v>
      </c>
      <c r="B16" t="s">
        <v>24</v>
      </c>
      <c r="D16" t="s">
        <v>70</v>
      </c>
      <c r="E16" t="str">
        <f>VLOOKUP(Таблица2[Шифр],Таблица1[[Шифр]:[Окончание]],2,FALSE)</f>
        <v>Тема1</v>
      </c>
      <c r="F16" s="11">
        <f>VLOOKUP(Таблица2[Шифр],Таблица1[[Шифр]:[Окончание]],3,FALSE)</f>
        <v>3</v>
      </c>
      <c r="G16" s="1">
        <f>VLOOKUP(Таблица2[Шифр],Таблица1[[Шифр]:[Окончание]],4,FALSE)</f>
        <v>41770</v>
      </c>
      <c r="H16" s="1">
        <f>VLOOKUP(Таблица2[Шифр],Таблица1[[Шифр]:[Окончание]],5,FALSE)</f>
        <v>42134</v>
      </c>
      <c r="I16" s="19">
        <v>42125</v>
      </c>
      <c r="J16" s="21"/>
      <c r="K16" s="9"/>
      <c r="L16" s="9"/>
      <c r="M16" s="21" t="b">
        <f>AND((Таблица2[[#This Row],[Период]]-Таблица2[[#This Row],[Начало]])&gt;=DAY(Таблица2[[#This Row],[Начало]])*(-1),(Таблица2[[#This Row],[Период]]-Таблица2[[#This Row],[Окончание]])&lt;=0)</f>
        <v>1</v>
      </c>
      <c r="N16" s="9">
        <f>IF(Таблица2[[#This Row],[План/факт]]="План",VLOOKUP(Таблица2[[#This Row],[Шифр]],Таблица1[[Шифр]:[План ФОТ]],12,FALSE)-SUMIFS(Таблица2[ФОТ с учетом ДЗП],Таблица2[План/факт],"Факт",Таблица2[Шифр],Таблица2[[#This Row],[Шифр]],Таблица2[Период],CONCATENATE("&lt;=",TEXT((Таблица2[[#This Row],[Период]]-1),"ДД.ММ.ГГГГ")))-Таблица2[[#This Row],[ФОТ с учетом ДЗП]],"")</f>
        <v>9838945.5500000007</v>
      </c>
    </row>
    <row r="17" spans="1:14" x14ac:dyDescent="0.25">
      <c r="A17">
        <v>14</v>
      </c>
      <c r="B17" t="s">
        <v>25</v>
      </c>
      <c r="D17" t="s">
        <v>70</v>
      </c>
      <c r="E17" t="str">
        <f>VLOOKUP(Таблица2[Шифр],Таблица1[[Шифр]:[Окончание]],2,FALSE)</f>
        <v>Тема1</v>
      </c>
      <c r="F17" s="11">
        <f>VLOOKUP(Таблица2[Шифр],Таблица1[[Шифр]:[Окончание]],3,FALSE)</f>
        <v>3</v>
      </c>
      <c r="G17" s="1">
        <f>VLOOKUP(Таблица2[Шифр],Таблица1[[Шифр]:[Окончание]],4,FALSE)</f>
        <v>41770</v>
      </c>
      <c r="H17" s="1">
        <f>VLOOKUP(Таблица2[Шифр],Таблица1[[Шифр]:[Окончание]],5,FALSE)</f>
        <v>42134</v>
      </c>
      <c r="I17" s="19">
        <v>41974</v>
      </c>
      <c r="J17" s="21">
        <v>29.620074166666662</v>
      </c>
      <c r="K17" s="9"/>
      <c r="L17" s="9"/>
      <c r="M17" s="21" t="b">
        <f>AND((Таблица2[[#This Row],[Период]]-Таблица2[[#This Row],[Начало]])&gt;=DAY(Таблица2[[#This Row],[Начало]])*(-1),(Таблица2[[#This Row],[Период]]-Таблица2[[#This Row],[Окончание]])&lt;=0)</f>
        <v>1</v>
      </c>
      <c r="N17" s="9" t="str">
        <f>IF(Таблица2[[#This Row],[План/факт]]="План",VLOOKUP(Таблица2[[#This Row],[Шифр]],Таблица1[[Шифр]:[План ФОТ]],12,FALSE)-SUMIFS(Таблица2[ФОТ с учетом ДЗП],Таблица2[План/факт],"Факт",Таблица2[Шифр],Таблица2[[#This Row],[Шифр]],Таблица2[Период],CONCATENATE("&lt;=",TEXT((Таблица2[[#This Row],[Период]]-1),"ДД.ММ.ГГГГ")))-Таблица2[[#This Row],[ФОТ с учетом ДЗП]],"")</f>
        <v/>
      </c>
    </row>
    <row r="18" spans="1:14" x14ac:dyDescent="0.25">
      <c r="A18">
        <v>15</v>
      </c>
      <c r="B18" t="s">
        <v>25</v>
      </c>
      <c r="D18" t="s">
        <v>71</v>
      </c>
      <c r="E18" t="str">
        <f>VLOOKUP(Таблица2[Шифр],Таблица1[[Шифр]:[Окончание]],2,FALSE)</f>
        <v>Тема2</v>
      </c>
      <c r="F18" s="11">
        <f>VLOOKUP(Таблица2[Шифр],Таблица1[[Шифр]:[Окончание]],3,FALSE)</f>
        <v>2</v>
      </c>
      <c r="G18" s="1">
        <f>VLOOKUP(Таблица2[Шифр],Таблица1[[Шифр]:[Окончание]],4,FALSE)</f>
        <v>41883</v>
      </c>
      <c r="H18" s="1">
        <f>VLOOKUP(Таблица2[Шифр],Таблица1[[Шифр]:[Окончание]],5,FALSE)</f>
        <v>42246</v>
      </c>
      <c r="I18" s="19">
        <v>41974</v>
      </c>
      <c r="J18" s="21">
        <v>9.5955778888888883</v>
      </c>
      <c r="K18" s="9"/>
      <c r="L18" s="9"/>
      <c r="M18" s="21" t="b">
        <f>AND((Таблица2[[#This Row],[Период]]-Таблица2[[#This Row],[Начало]])&gt;=DAY(Таблица2[[#This Row],[Начало]])*(-1),(Таблица2[[#This Row],[Период]]-Таблица2[[#This Row],[Окончание]])&lt;=0)</f>
        <v>1</v>
      </c>
      <c r="N18" s="9" t="str">
        <f>IF(Таблица2[[#This Row],[План/факт]]="План",VLOOKUP(Таблица2[[#This Row],[Шифр]],Таблица1[[Шифр]:[План ФОТ]],12,FALSE)-SUMIFS(Таблица2[ФОТ с учетом ДЗП],Таблица2[План/факт],"Факт",Таблица2[Шифр],Таблица2[[#This Row],[Шифр]],Таблица2[Период],CONCATENATE("&lt;=",TEXT((Таблица2[[#This Row],[Период]]-1),"ДД.ММ.ГГГГ")))-Таблица2[[#This Row],[ФОТ с учетом ДЗП]],"")</f>
        <v/>
      </c>
    </row>
    <row r="19" spans="1:14" x14ac:dyDescent="0.25">
      <c r="A19">
        <v>16</v>
      </c>
      <c r="B19" t="s">
        <v>25</v>
      </c>
      <c r="D19" t="s">
        <v>72</v>
      </c>
      <c r="E19" t="str">
        <f>VLOOKUP(Таблица2[Шифр],Таблица1[[Шифр]:[Окончание]],2,FALSE)</f>
        <v>Тема3</v>
      </c>
      <c r="F19" s="11">
        <f>VLOOKUP(Таблица2[Шифр],Таблица1[[Шифр]:[Окончание]],3,FALSE)</f>
        <v>1</v>
      </c>
      <c r="G19" s="1">
        <f>VLOOKUP(Таблица2[Шифр],Таблица1[[Шифр]:[Окончание]],4,FALSE)</f>
        <v>41852</v>
      </c>
      <c r="H19" s="1">
        <f>VLOOKUP(Таблица2[Шифр],Таблица1[[Шифр]:[Окончание]],5,FALSE)</f>
        <v>42078</v>
      </c>
      <c r="I19" s="19">
        <v>41974</v>
      </c>
      <c r="J19" s="21">
        <v>16.058370589559729</v>
      </c>
      <c r="K19" s="9"/>
      <c r="L19" s="9"/>
      <c r="M19" s="21" t="b">
        <f>AND((Таблица2[[#This Row],[Период]]-Таблица2[[#This Row],[Начало]])&gt;=DAY(Таблица2[[#This Row],[Начало]])*(-1),(Таблица2[[#This Row],[Период]]-Таблица2[[#This Row],[Окончание]])&lt;=0)</f>
        <v>1</v>
      </c>
      <c r="N19" s="9" t="str">
        <f>IF(Таблица2[[#This Row],[План/факт]]="План",VLOOKUP(Таблица2[[#This Row],[Шифр]],Таблица1[[Шифр]:[План ФОТ]],12,FALSE)-SUMIFS(Таблица2[ФОТ с учетом ДЗП],Таблица2[План/факт],"Факт",Таблица2[Шифр],Таблица2[[#This Row],[Шифр]],Таблица2[Период],CONCATENATE("&lt;=",TEXT((Таблица2[[#This Row],[Период]]-1),"ДД.ММ.ГГГГ")))-Таблица2[[#This Row],[ФОТ с учетом ДЗП]],"")</f>
        <v/>
      </c>
    </row>
    <row r="20" spans="1:14" x14ac:dyDescent="0.25">
      <c r="A20">
        <v>17</v>
      </c>
      <c r="B20" t="s">
        <v>25</v>
      </c>
      <c r="D20" t="s">
        <v>73</v>
      </c>
      <c r="E20" s="11" t="str">
        <f>VLOOKUP(Таблица2[Шифр],Таблица1[[Шифр]:[Окончание]],2,FALSE)</f>
        <v>Тема4</v>
      </c>
      <c r="F20" s="11">
        <f>VLOOKUP(Таблица2[Шифр],Таблица1[[Шифр]:[Окончание]],3,FALSE)</f>
        <v>2</v>
      </c>
      <c r="G20" s="1">
        <f>VLOOKUP(Таблица2[Шифр],Таблица1[[Шифр]:[Окончание]],4,FALSE)</f>
        <v>41822</v>
      </c>
      <c r="H20" s="1">
        <f>VLOOKUP(Таблица2[Шифр],Таблица1[[Шифр]:[Окончание]],5,FALSE)</f>
        <v>42037</v>
      </c>
      <c r="I20" s="19">
        <v>41974</v>
      </c>
      <c r="J20" s="21">
        <v>72.968524444444441</v>
      </c>
      <c r="K20" s="9"/>
      <c r="L20" s="9"/>
      <c r="M20" s="21" t="b">
        <f>AND((Таблица2[[#This Row],[Период]]-Таблица2[[#This Row],[Начало]])&gt;=DAY(Таблица2[[#This Row],[Начало]])*(-1),(Таблица2[[#This Row],[Период]]-Таблица2[[#This Row],[Окончание]])&lt;=0)</f>
        <v>1</v>
      </c>
      <c r="N20" s="9" t="str">
        <f>IF(Таблица2[[#This Row],[План/факт]]="План",VLOOKUP(Таблица2[[#This Row],[Шифр]],Таблица1[[Шифр]:[План ФОТ]],12,FALSE)-SUMIFS(Таблица2[ФОТ с учетом ДЗП],Таблица2[План/факт],"Факт",Таблица2[Шифр],Таблица2[[#This Row],[Шифр]],Таблица2[Период],CONCATENATE("&lt;=",TEXT((Таблица2[[#This Row],[Период]]-1),"ДД.ММ.ГГГГ")))-Таблица2[[#This Row],[ФОТ с учетом ДЗП]],"")</f>
        <v/>
      </c>
    </row>
    <row r="21" spans="1:14" x14ac:dyDescent="0.25">
      <c r="A21">
        <v>18</v>
      </c>
      <c r="B21" t="s">
        <v>25</v>
      </c>
      <c r="D21" t="s">
        <v>74</v>
      </c>
      <c r="E21" s="22" t="str">
        <f>VLOOKUP(Таблица2[Шифр],Таблица1[[Шифр]:[Окончание]],2,FALSE)</f>
        <v>Тема5</v>
      </c>
      <c r="F21" s="22" t="str">
        <f>VLOOKUP(Таблица2[Шифр],Таблица1[[Шифр]:[Окончание]],3,FALSE)</f>
        <v>2.1</v>
      </c>
      <c r="G21" s="1">
        <f>VLOOKUP(Таблица2[Шифр],Таблица1[[Шифр]:[Окончание]],4,FALSE)</f>
        <v>41974</v>
      </c>
      <c r="H21" s="1">
        <f>VLOOKUP(Таблица2[Шифр],Таблица1[[Шифр]:[Окончание]],5,FALSE)</f>
        <v>42333</v>
      </c>
      <c r="I21" s="19">
        <v>41974</v>
      </c>
      <c r="J21" s="21">
        <v>120.70256096456846</v>
      </c>
      <c r="K21" s="9"/>
      <c r="L21" s="9"/>
      <c r="M21" s="21" t="b">
        <f>AND((Таблица2[[#This Row],[Период]]-Таблица2[[#This Row],[Начало]])&gt;=DAY(Таблица2[[#This Row],[Начало]])*(-1),(Таблица2[[#This Row],[Период]]-Таблица2[[#This Row],[Окончание]])&lt;=0)</f>
        <v>1</v>
      </c>
      <c r="N21" s="9" t="str">
        <f>IF(Таблица2[[#This Row],[План/факт]]="План",VLOOKUP(Таблица2[[#This Row],[Шифр]],Таблица1[[Шифр]:[План ФОТ]],12,FALSE)-SUMIFS(Таблица2[ФОТ с учетом ДЗП],Таблица2[План/факт],"Факт",Таблица2[Шифр],Таблица2[[#This Row],[Шифр]],Таблица2[Период],CONCATENATE("&lt;=",TEXT((Таблица2[[#This Row],[Период]]-1),"ДД.ММ.ГГГГ")))-Таблица2[[#This Row],[ФОТ с учетом ДЗП]],"")</f>
        <v/>
      </c>
    </row>
    <row r="22" spans="1:14" x14ac:dyDescent="0.25">
      <c r="A22">
        <v>19</v>
      </c>
      <c r="B22" t="s">
        <v>25</v>
      </c>
      <c r="D22" t="s">
        <v>75</v>
      </c>
      <c r="E22" t="str">
        <f>VLOOKUP(Таблица2[Шифр],Таблица1[[Шифр]:[Окончание]],2,FALSE)</f>
        <v>Тема6</v>
      </c>
      <c r="F22" s="11" t="str">
        <f>VLOOKUP(Таблица2[Шифр],Таблица1[[Шифр]:[Окончание]],3,FALSE)</f>
        <v>2.2</v>
      </c>
      <c r="G22" s="1">
        <f>VLOOKUP(Таблица2[Шифр],Таблица1[[Шифр]:[Окончание]],4,FALSE)</f>
        <v>41821</v>
      </c>
      <c r="H22" s="1">
        <f>VLOOKUP(Таблица2[Шифр],Таблица1[[Шифр]:[Окончание]],5,FALSE)</f>
        <v>42460</v>
      </c>
      <c r="I22" s="19">
        <v>41974</v>
      </c>
      <c r="J22" s="21">
        <v>18.94317064269099</v>
      </c>
      <c r="K22" s="9"/>
      <c r="L22" s="9"/>
      <c r="M22" s="21" t="b">
        <f>AND((Таблица2[[#This Row],[Период]]-Таблица2[[#This Row],[Начало]])&gt;=DAY(Таблица2[[#This Row],[Начало]])*(-1),(Таблица2[[#This Row],[Период]]-Таблица2[[#This Row],[Окончание]])&lt;=0)</f>
        <v>1</v>
      </c>
      <c r="N22" s="9" t="str">
        <f>IF(Таблица2[[#This Row],[План/факт]]="План",VLOOKUP(Таблица2[[#This Row],[Шифр]],Таблица1[[Шифр]:[План ФОТ]],12,FALSE)-SUMIFS(Таблица2[ФОТ с учетом ДЗП],Таблица2[План/факт],"Факт",Таблица2[Шифр],Таблица2[[#This Row],[Шифр]],Таблица2[Период],CONCATENATE("&lt;=",TEXT((Таблица2[[#This Row],[Период]]-1),"ДД.ММ.ГГГГ")))-Таблица2[[#This Row],[ФОТ с учетом ДЗП]],"")</f>
        <v/>
      </c>
    </row>
  </sheetData>
  <conditionalFormatting sqref="A4:N22">
    <cfRule type="expression" dxfId="10" priority="1">
      <formula>INDIRECT(ADDRESS(ROW(),14))&lt;0</formula>
    </cfRule>
    <cfRule type="expression" dxfId="9" priority="3">
      <formula>INDIRECT(ADDRESS(ROW(),13))=FALSE</formula>
    </cfRule>
  </conditionalFormatting>
  <dataValidations count="2">
    <dataValidation type="list" allowBlank="1" showInputMessage="1" showErrorMessage="1" sqref="D4:D22">
      <formula1>Шифр</formula1>
    </dataValidation>
    <dataValidation type="list" allowBlank="1" showInputMessage="1" showErrorMessage="1" sqref="B4:B22">
      <formula1>план_факт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" sqref="C2"/>
    </sheetView>
  </sheetViews>
  <sheetFormatPr defaultRowHeight="15" x14ac:dyDescent="0.25"/>
  <sheetData>
    <row r="1" spans="1:1" x14ac:dyDescent="0.25">
      <c r="A1" s="41" t="s">
        <v>24</v>
      </c>
    </row>
    <row r="2" spans="1:1" x14ac:dyDescent="0.25">
      <c r="A2" s="41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Основная</vt:lpstr>
      <vt:lpstr>План-факт</vt:lpstr>
      <vt:lpstr>Лист3</vt:lpstr>
      <vt:lpstr>план_факт</vt:lpstr>
      <vt:lpstr>Шифр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Саков Дмитрий Игоревич</dc:creator>
  <cp:lastModifiedBy>Саков Дмитрий Игоревич</cp:lastModifiedBy>
  <dcterms:created xsi:type="dcterms:W3CDTF">2015-02-05T05:42:41Z</dcterms:created>
  <dcterms:modified xsi:type="dcterms:W3CDTF">2015-03-06T13:12:59Z</dcterms:modified>
</cp:coreProperties>
</file>