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Останов" sheetId="1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Z_1957AC80_412C_4030_B807_A599A7F9C8EF_.wvu.FilterData" localSheetId="1" hidden="1">Список!$D$2:$D$25</definedName>
    <definedName name="Z_1957AC80_412C_4030_B807_A599A7F9C8EF_.wvu.PrintArea" localSheetId="0" hidden="1">Останов!$A$1:$AJ$48</definedName>
    <definedName name="Ед.изм">Список!$F$26:$F$34</definedName>
    <definedName name="Знаки">Список!$E$2:$E$37</definedName>
    <definedName name="Мастера">Список!$G$2:$G$13</definedName>
    <definedName name="Месяц">Список!$F$2:$F$13</definedName>
    <definedName name="Наряды">Список!$H$2:$H$34</definedName>
    <definedName name="_xlnm.Print_Area" localSheetId="0">Останов!$A$1:$AJ$48</definedName>
    <definedName name="Профессия">Список!$D$2:$D$150</definedName>
    <definedName name="Прочее">Список!$F$15:$F$24</definedName>
    <definedName name="Таб.№">Список!$C$2:$C$150</definedName>
    <definedName name="ФИО">Список!$B$2:$B$150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AJ7" i="1"/>
  <c r="AJ5"/>
  <c r="AJ6"/>
  <c r="C7" i="12"/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C14" i="12"/>
  <c r="C73"/>
  <c r="C79"/>
  <c r="C53"/>
  <c r="C61"/>
  <c r="C93"/>
  <c r="C8"/>
  <c r="C52"/>
  <c r="C74"/>
  <c r="C86"/>
  <c r="C12"/>
  <c r="C32"/>
  <c r="C68"/>
  <c r="C70"/>
  <c r="C50"/>
  <c r="C42"/>
  <c r="C46"/>
  <c r="C58"/>
  <c r="C16"/>
  <c r="C23"/>
  <c r="C37"/>
  <c r="C101"/>
  <c r="C88"/>
  <c r="C75"/>
  <c r="C65"/>
  <c r="C35"/>
  <c r="C104"/>
  <c r="C95"/>
  <c r="C13"/>
  <c r="C82"/>
  <c r="C57"/>
  <c r="C39"/>
  <c r="C89"/>
  <c r="C15"/>
  <c r="C17"/>
  <c r="C44"/>
  <c r="C24"/>
  <c r="C97"/>
  <c r="C96"/>
  <c r="C67"/>
  <c r="C10"/>
  <c r="C91"/>
  <c r="C20"/>
  <c r="C33"/>
  <c r="C81"/>
  <c r="C19"/>
  <c r="C4"/>
  <c r="C92"/>
  <c r="C62"/>
  <c r="C11"/>
  <c r="C80"/>
  <c r="C99"/>
  <c r="C59"/>
  <c r="C55"/>
  <c r="C28"/>
  <c r="C98"/>
  <c r="C85"/>
  <c r="C29"/>
  <c r="C48"/>
  <c r="C51"/>
  <c r="C84"/>
  <c r="C47"/>
  <c r="C71"/>
  <c r="C36"/>
  <c r="C5"/>
  <c r="C54"/>
  <c r="C3"/>
  <c r="C40"/>
  <c r="C18"/>
  <c r="C31"/>
  <c r="C22"/>
  <c r="C38"/>
  <c r="C105"/>
  <c r="C83"/>
  <c r="C63"/>
  <c r="C25"/>
  <c r="C78"/>
  <c r="C27"/>
  <c r="C64"/>
  <c r="C34"/>
  <c r="C21"/>
  <c r="C94"/>
  <c r="C77"/>
  <c r="C87"/>
  <c r="C69"/>
  <c r="C56"/>
  <c r="C100"/>
  <c r="C106"/>
  <c r="C103"/>
  <c r="C26"/>
  <c r="C76"/>
  <c r="C72"/>
  <c r="C102"/>
  <c r="C49"/>
  <c r="C45"/>
  <c r="C60"/>
  <c r="C30"/>
  <c r="C43"/>
  <c r="C41"/>
  <c r="C9"/>
  <c r="C66"/>
  <c r="C6"/>
  <c r="C90"/>
  <c r="C2"/>
  <c r="B5" i="1" l="1"/>
</calcChain>
</file>

<file path=xl/sharedStrings.xml><?xml version="1.0" encoding="utf-8"?>
<sst xmlns="http://schemas.openxmlformats.org/spreadsheetml/2006/main" count="239" uniqueCount="225">
  <si>
    <t>Для бригадного расчёта</t>
  </si>
  <si>
    <t>Отработано часов по числам месяца</t>
  </si>
  <si>
    <t>Таб№</t>
  </si>
  <si>
    <t>бумажный цех</t>
  </si>
  <si>
    <t>Часы</t>
  </si>
  <si>
    <t>Фамилия, Имя, Отчество</t>
  </si>
  <si>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</si>
  <si>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</si>
  <si>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</si>
  <si>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</si>
  <si>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</si>
  <si>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</si>
  <si>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</si>
  <si>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</si>
  <si>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</si>
  <si>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</si>
  <si>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</si>
  <si>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</si>
  <si>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</si>
  <si>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</si>
  <si>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</si>
  <si>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</si>
  <si>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</si>
  <si>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</si>
  <si>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</si>
  <si>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</si>
  <si>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</si>
  <si>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</si>
  <si>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</si>
  <si>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</si>
  <si>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</si>
  <si>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</si>
  <si>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</si>
  <si>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</si>
  <si>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</si>
  <si>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</si>
  <si>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</si>
  <si>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</si>
  <si>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</si>
  <si>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</si>
  <si>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</si>
  <si>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</si>
  <si>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</si>
  <si>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</si>
  <si>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</si>
  <si>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</si>
  <si>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</si>
  <si>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</si>
  <si>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</si>
  <si>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</si>
  <si>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</si>
  <si>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</si>
  <si>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</si>
  <si>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</si>
  <si>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</si>
  <si>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</si>
  <si>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</si>
  <si>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</si>
  <si>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</si>
  <si>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</si>
  <si>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</si>
  <si>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</si>
  <si>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</si>
  <si>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</si>
  <si>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</si>
  <si>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</si>
  <si>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</si>
  <si>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</si>
  <si>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</si>
  <si>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</si>
  <si>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</si>
  <si>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</si>
  <si>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</si>
  <si>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</si>
  <si>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</si>
  <si>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</si>
  <si>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</si>
  <si>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</si>
  <si>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</si>
  <si>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</si>
  <si>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</si>
  <si>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</si>
  <si>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</si>
  <si>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</si>
  <si>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</si>
  <si>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</si>
  <si>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</si>
  <si>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Воронцевич З.А.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</si>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</sst>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800]dddd\,\ mmmm\ dd\,\ yyyy"/>
    <numFmt numFmtId="166" formatCode="[$-409]dd/mm/yy\ h:mm\ AM/PM;@"/>
    <numFmt numFmtId="167" formatCode="_-* #,##0.0_р_._-;\-* #,##0.0_р_._-;_-* &quot;-&quot;?_р_._-;_-@_-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4" fillId="3" borderId="1" xfId="0" applyNumberFormat="1" applyFont="1" applyFill="1" applyBorder="1" applyAlignment="1" applyProtection="1">
      <alignment horizontal="center" vertical="center"/>
      <protection locked="0" hidden="1"/>
    </xf>
    <xf numFmtId="1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4" fillId="3" borderId="6" xfId="0" applyNumberFormat="1" applyFont="1" applyFill="1" applyBorder="1" applyAlignment="1" applyProtection="1">
      <alignment horizontal="center" vertical="center"/>
      <protection locked="0" hidden="1"/>
    </xf>
    <xf numFmtId="1" fontId="4" fillId="3" borderId="0" xfId="0" applyNumberFormat="1" applyFont="1" applyFill="1" applyBorder="1" applyAlignment="1" applyProtection="1">
      <alignment horizontal="center" vertical="center"/>
      <protection locked="0" hidden="1"/>
    </xf>
    <xf numFmtId="1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" fontId="4" fillId="3" borderId="1" xfId="0" applyNumberFormat="1" applyFont="1" applyFill="1" applyBorder="1" applyAlignment="1" applyProtection="1">
      <alignment horizontal="center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167" fontId="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 hidden="1"/>
    </xf>
    <xf numFmtId="0" fontId="4" fillId="3" borderId="8" xfId="0" applyFont="1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4" fillId="3" borderId="3" xfId="0" applyFont="1" applyFill="1" applyBorder="1" applyAlignment="1" applyProtection="1">
      <alignment horizontal="left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5" fillId="3" borderId="2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locked="0" hidden="1"/>
    </xf>
    <xf numFmtId="0" fontId="4" fillId="3" borderId="12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8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protection locked="0"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4" fillId="3" borderId="0" xfId="0" applyNumberFormat="1" applyFont="1" applyFill="1" applyAlignment="1" applyProtection="1">
      <alignment horizontal="center"/>
      <protection hidden="1"/>
    </xf>
    <xf numFmtId="166" fontId="8" fillId="3" borderId="0" xfId="0" applyNumberFormat="1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locked="0" hidden="1"/>
    </xf>
    <xf numFmtId="0" fontId="9" fillId="3" borderId="0" xfId="0" applyFont="1" applyFill="1" applyBorder="1" applyAlignment="1" applyProtection="1">
      <protection locked="0" hidden="1"/>
    </xf>
    <xf numFmtId="0" fontId="2" fillId="3" borderId="0" xfId="0" applyFont="1" applyFill="1" applyAlignment="1" applyProtection="1"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от_чисел"/>
      <definedName name="печать_а3_2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autoPageBreaks="0"/>
  </sheetPr>
  <dimension ref="B1:AJ46"/>
  <sheetViews>
    <sheetView showGridLines="0" showZeros="0" tabSelected="1" zoomScale="90" zoomScaleNormal="90" zoomScalePageLayoutView="50" workbookViewId="0">
      <pane ySplit="4" topLeftCell="A5" activePane="bottomLeft" state="frozen"/>
      <selection pane="bottomLeft" activeCell="AJ5" sqref="AJ5"/>
    </sheetView>
  </sheetViews>
  <sheetFormatPr defaultRowHeight="15"/>
  <cols>
    <col min="1" max="1" width="5.28515625" style="10" customWidth="1"/>
    <col min="2" max="2" width="6" style="10" customWidth="1"/>
    <col min="3" max="3" width="19.28515625" style="10" customWidth="1"/>
    <col min="4" max="4" width="21.28515625" style="10" customWidth="1"/>
    <col min="5" max="35" width="4.28515625" style="10" customWidth="1"/>
    <col min="36" max="36" width="11.5703125" style="10" customWidth="1"/>
    <col min="37" max="16384" width="9.140625" style="10"/>
  </cols>
  <sheetData>
    <row r="1" spans="2:36" ht="22.5">
      <c r="B1" s="68" t="s">
        <v>130</v>
      </c>
      <c r="C1" s="68"/>
      <c r="D1" s="70" t="s">
        <v>129</v>
      </c>
      <c r="E1" s="70"/>
      <c r="F1" s="70"/>
      <c r="G1" s="70"/>
      <c r="H1" s="70"/>
      <c r="I1" s="70" t="s">
        <v>142</v>
      </c>
      <c r="J1" s="70"/>
      <c r="K1" s="70"/>
      <c r="L1" s="70"/>
      <c r="M1" s="70"/>
      <c r="N1" s="70"/>
      <c r="O1" s="57" t="s">
        <v>0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11"/>
      <c r="AG1" s="12" t="s">
        <v>3</v>
      </c>
      <c r="AH1" s="12"/>
      <c r="AI1" s="12"/>
      <c r="AJ1" s="12"/>
    </row>
    <row r="2" spans="2:36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2:36" ht="15.75">
      <c r="B3" s="58" t="s">
        <v>2</v>
      </c>
      <c r="C3" s="64" t="s">
        <v>5</v>
      </c>
      <c r="D3" s="65"/>
      <c r="E3" s="60" t="s">
        <v>1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1"/>
      <c r="AJ3" s="55" t="s">
        <v>4</v>
      </c>
    </row>
    <row r="4" spans="2:36" ht="15.75">
      <c r="B4" s="59"/>
      <c r="C4" s="66"/>
      <c r="D4" s="67"/>
      <c r="E4" s="13">
        <v>1</v>
      </c>
      <c r="F4" s="14">
        <v>2</v>
      </c>
      <c r="G4" s="13">
        <v>3</v>
      </c>
      <c r="H4" s="14">
        <v>4</v>
      </c>
      <c r="I4" s="13">
        <v>5</v>
      </c>
      <c r="J4" s="14">
        <v>6</v>
      </c>
      <c r="K4" s="13">
        <v>7</v>
      </c>
      <c r="L4" s="14">
        <v>8</v>
      </c>
      <c r="M4" s="13">
        <v>9</v>
      </c>
      <c r="N4" s="14">
        <v>10</v>
      </c>
      <c r="O4" s="13">
        <v>11</v>
      </c>
      <c r="P4" s="14">
        <v>12</v>
      </c>
      <c r="Q4" s="13">
        <v>13</v>
      </c>
      <c r="R4" s="14">
        <v>14</v>
      </c>
      <c r="S4" s="13">
        <v>15</v>
      </c>
      <c r="T4" s="14">
        <v>16</v>
      </c>
      <c r="U4" s="13">
        <v>17</v>
      </c>
      <c r="V4" s="14">
        <v>18</v>
      </c>
      <c r="W4" s="13">
        <v>19</v>
      </c>
      <c r="X4" s="14">
        <v>20</v>
      </c>
      <c r="Y4" s="13">
        <v>21</v>
      </c>
      <c r="Z4" s="14">
        <v>22</v>
      </c>
      <c r="AA4" s="13">
        <v>23</v>
      </c>
      <c r="AB4" s="14">
        <v>24</v>
      </c>
      <c r="AC4" s="13">
        <v>25</v>
      </c>
      <c r="AD4" s="14">
        <v>26</v>
      </c>
      <c r="AE4" s="13">
        <v>27</v>
      </c>
      <c r="AF4" s="14">
        <v>28</v>
      </c>
      <c r="AG4" s="13">
        <v>29</v>
      </c>
      <c r="AH4" s="14">
        <v>30</v>
      </c>
      <c r="AI4" s="15">
        <v>31</v>
      </c>
      <c r="AJ4" s="56"/>
    </row>
    <row r="5" spans="2:36" ht="15.75">
      <c r="B5" s="29">
        <f>IFERROR(VLOOKUP(C5,Список!$B$2:$C$150,2,0),"")</f>
        <v>1339</v>
      </c>
      <c r="C5" s="16" t="s">
        <v>214</v>
      </c>
      <c r="D5" s="17" t="s">
        <v>32</v>
      </c>
      <c r="E5" s="1">
        <v>12</v>
      </c>
      <c r="F5" s="1">
        <v>12</v>
      </c>
      <c r="G5" s="2"/>
      <c r="H5" s="1"/>
      <c r="I5" s="2"/>
      <c r="J5" s="1"/>
      <c r="K5" s="2"/>
      <c r="L5" s="1"/>
      <c r="M5" s="2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2"/>
      <c r="Z5" s="1"/>
      <c r="AA5" s="2"/>
      <c r="AB5" s="1"/>
      <c r="AC5" s="2"/>
      <c r="AD5" s="1"/>
      <c r="AE5" s="2"/>
      <c r="AF5" s="1"/>
      <c r="AG5" s="2"/>
      <c r="AH5" s="1"/>
      <c r="AI5" s="3"/>
      <c r="AJ5" s="8">
        <f>SUM(E5:AI5)</f>
        <v>24</v>
      </c>
    </row>
    <row r="6" spans="2:36" ht="15.75">
      <c r="B6" s="29">
        <f>IFERROR(VLOOKUP(C6,Список!$B$2:$C$150,2,0),"")</f>
        <v>1339</v>
      </c>
      <c r="C6" s="16" t="s">
        <v>214</v>
      </c>
      <c r="D6" s="19" t="s">
        <v>50</v>
      </c>
      <c r="E6" s="4">
        <v>50</v>
      </c>
      <c r="F6" s="1">
        <v>50</v>
      </c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6"/>
      <c r="AJ6" s="8">
        <f t="shared" ref="AJ6" si="0">IF(E6&lt;=12,SUM(E6:AI6),IF(E6&gt;12,(E5/100*E6),""))</f>
        <v>6</v>
      </c>
    </row>
    <row r="7" spans="2:36" ht="15.75">
      <c r="B7" s="29">
        <f>IFERROR(VLOOKUP(C7,Список!$B$2:$C$150,2,0),"")</f>
        <v>1339</v>
      </c>
      <c r="C7" s="16" t="s">
        <v>214</v>
      </c>
      <c r="D7" s="19" t="s">
        <v>47</v>
      </c>
      <c r="E7" s="1">
        <v>50</v>
      </c>
      <c r="F7" s="1">
        <v>50</v>
      </c>
      <c r="G7" s="2"/>
      <c r="H7" s="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3"/>
      <c r="AJ7" s="8">
        <f>IF(E7&lt;=12,SUM(E7:AI7),IF(E7&gt;12,E6/100*E7,E5/100*E7))</f>
        <v>25</v>
      </c>
    </row>
    <row r="8" spans="2:36" ht="15.75">
      <c r="B8" s="29">
        <f>IFERROR(VLOOKUP(C8,Список!$B$2:$C$150,2,0),"")</f>
        <v>1179</v>
      </c>
      <c r="C8" s="16" t="s">
        <v>21</v>
      </c>
      <c r="D8" s="19" t="s">
        <v>33</v>
      </c>
      <c r="E8" s="7">
        <v>12</v>
      </c>
      <c r="F8" s="1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2:36" ht="15.75">
      <c r="B9" s="29">
        <f>IFERROR(VLOOKUP(C9,Список!$B$2:$C$150,2,0),"")</f>
        <v>1179</v>
      </c>
      <c r="C9" s="16" t="s">
        <v>21</v>
      </c>
      <c r="D9" s="19" t="s">
        <v>52</v>
      </c>
      <c r="E9" s="1">
        <v>100</v>
      </c>
      <c r="F9" s="1">
        <v>100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2:36" ht="15.75">
      <c r="B10" s="29" t="str">
        <f>IFERROR(VLOOKUP(C10,Список!$B$2:$C$150,2,0),"")</f>
        <v/>
      </c>
      <c r="C10" s="16"/>
      <c r="D10" s="19"/>
      <c r="E10" s="1"/>
      <c r="F10" s="1"/>
      <c r="G10" s="2"/>
      <c r="H10" s="1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3"/>
      <c r="AJ10" s="8"/>
    </row>
    <row r="11" spans="2:36" ht="15.75">
      <c r="B11" s="29" t="str">
        <f>IFERROR(VLOOKUP(C11,Список!$B$2:$C$150,2,0),"")</f>
        <v/>
      </c>
      <c r="C11" s="16"/>
      <c r="D11" s="19"/>
      <c r="E11" s="4"/>
      <c r="F11" s="1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/>
      <c r="AG11" s="5"/>
      <c r="AH11" s="4"/>
      <c r="AI11" s="6"/>
      <c r="AJ11" s="8"/>
    </row>
    <row r="12" spans="2:36" ht="15.75">
      <c r="B12" s="29" t="str">
        <f>IFERROR(VLOOKUP(C12,Список!$B$2:$C$150,2,0),"")</f>
        <v/>
      </c>
      <c r="C12" s="16"/>
      <c r="D12" s="19"/>
      <c r="E12" s="1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1"/>
      <c r="AH12" s="1"/>
      <c r="AI12" s="3"/>
      <c r="AJ12" s="8"/>
    </row>
    <row r="13" spans="2:36" ht="15.75">
      <c r="B13" s="29" t="str">
        <f>IFERROR(VLOOKUP(C13,Список!$B$2:$C$150,2,0),"")</f>
        <v/>
      </c>
      <c r="C13" s="20"/>
      <c r="D13" s="19"/>
      <c r="E13" s="4"/>
      <c r="F13" s="1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6"/>
      <c r="AJ13" s="8"/>
    </row>
    <row r="14" spans="2:36" ht="15.75">
      <c r="B14" s="29" t="str">
        <f>IFERROR(VLOOKUP(C14,Список!$B$2:$C$150,2,0),"")</f>
        <v/>
      </c>
      <c r="C14" s="16"/>
      <c r="D14" s="19"/>
      <c r="E14" s="1"/>
      <c r="F14" s="1"/>
      <c r="G14" s="2"/>
      <c r="H14" s="9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3"/>
      <c r="AJ14" s="8"/>
    </row>
    <row r="15" spans="2:36" ht="15.75">
      <c r="B15" s="29" t="str">
        <f>IFERROR(VLOOKUP(C15,Список!$B$2:$C$150,2,0),"")</f>
        <v/>
      </c>
      <c r="C15" s="16"/>
      <c r="D15" s="19"/>
      <c r="E15" s="1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3"/>
      <c r="AJ15" s="8"/>
    </row>
    <row r="16" spans="2:36" ht="15.75">
      <c r="B16" s="29" t="str">
        <f>IFERROR(VLOOKUP(C16,Список!$B$2:$C$150,2,0),"")</f>
        <v/>
      </c>
      <c r="C16" s="20"/>
      <c r="D16" s="17"/>
      <c r="E16" s="1"/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  <c r="AB16" s="1"/>
      <c r="AC16" s="2"/>
      <c r="AD16" s="1"/>
      <c r="AE16" s="2"/>
      <c r="AF16" s="1"/>
      <c r="AG16" s="2"/>
      <c r="AH16" s="1"/>
      <c r="AI16" s="3"/>
      <c r="AJ16" s="8"/>
    </row>
    <row r="17" spans="2:36" ht="15.75">
      <c r="B17" s="29" t="str">
        <f>IFERROR(VLOOKUP(C17,Список!$B$2:$C$150,2,0),"")</f>
        <v/>
      </c>
      <c r="C17" s="16"/>
      <c r="D17" s="19"/>
      <c r="E17" s="4"/>
      <c r="F17" s="1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/>
      <c r="AD17" s="4"/>
      <c r="AE17" s="5"/>
      <c r="AF17" s="4"/>
      <c r="AG17" s="5"/>
      <c r="AH17" s="4"/>
      <c r="AI17" s="6"/>
      <c r="AJ17" s="8"/>
    </row>
    <row r="18" spans="2:36" ht="15.75">
      <c r="B18" s="29" t="str">
        <f>IFERROR(VLOOKUP(C18,Список!$B$2:$C$150,2,0),"")</f>
        <v/>
      </c>
      <c r="C18" s="16"/>
      <c r="D18" s="19"/>
      <c r="E18" s="1"/>
      <c r="F18" s="1"/>
      <c r="G18" s="2"/>
      <c r="H18" s="1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3"/>
      <c r="AJ18" s="8"/>
    </row>
    <row r="19" spans="2:36" ht="15.75">
      <c r="B19" s="29" t="str">
        <f>IFERROR(VLOOKUP(C19,Список!$B$2:$C$150,2,0),"")</f>
        <v/>
      </c>
      <c r="C19" s="16"/>
      <c r="D19" s="19"/>
      <c r="E19" s="4"/>
      <c r="F19" s="1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6"/>
      <c r="AJ19" s="8"/>
    </row>
    <row r="20" spans="2:36" ht="15.75">
      <c r="B20" s="29" t="str">
        <f>IFERROR(VLOOKUP(C20,Список!$B$2:$C$150,2,0),"")</f>
        <v/>
      </c>
      <c r="C20" s="16"/>
      <c r="D20" s="19"/>
      <c r="E20" s="1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3"/>
      <c r="AJ20" s="8"/>
    </row>
    <row r="21" spans="2:36" ht="15.75">
      <c r="B21" s="29" t="str">
        <f>IFERROR(VLOOKUP(C21,Список!$B$2:$C$150,2,0),"")</f>
        <v/>
      </c>
      <c r="C21" s="16"/>
      <c r="D21" s="19"/>
      <c r="E21" s="4"/>
      <c r="F21" s="1"/>
      <c r="G21" s="5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5"/>
      <c r="AF21" s="4"/>
      <c r="AG21" s="5"/>
      <c r="AH21" s="4"/>
      <c r="AI21" s="6"/>
      <c r="AJ21" s="8"/>
    </row>
    <row r="22" spans="2:36" ht="15.75">
      <c r="B22" s="29" t="str">
        <f>IFERROR(VLOOKUP(C22,Список!$B$2:$C$150,2,0),"")</f>
        <v/>
      </c>
      <c r="C22" s="16"/>
      <c r="D22" s="19"/>
      <c r="E22" s="1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3"/>
      <c r="AJ22" s="8"/>
    </row>
    <row r="23" spans="2:36" ht="15.75">
      <c r="B23" s="29" t="str">
        <f>IFERROR(VLOOKUP(C23,Список!$B$2:$C$150,2,0),"")</f>
        <v/>
      </c>
      <c r="C23" s="16"/>
      <c r="D23" s="19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6"/>
      <c r="AJ23" s="8"/>
    </row>
    <row r="24" spans="2:36" ht="15.75">
      <c r="B24" s="29" t="str">
        <f>IFERROR(VLOOKUP(C24,Список!$B$2:$C$150,2,0),"")</f>
        <v/>
      </c>
      <c r="C24" s="16"/>
      <c r="D24" s="19"/>
      <c r="E24" s="1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3"/>
      <c r="AJ24" s="8"/>
    </row>
    <row r="25" spans="2:36" ht="15.75">
      <c r="B25" s="29" t="str">
        <f>IFERROR(VLOOKUP(C25,Список!$B$2:$C$150,2,0),"")</f>
        <v/>
      </c>
      <c r="C25" s="20"/>
      <c r="D25" s="19"/>
      <c r="E25" s="4"/>
      <c r="F25" s="4"/>
      <c r="G25" s="5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"/>
      <c r="AF25" s="4"/>
      <c r="AG25" s="5"/>
      <c r="AH25" s="4"/>
      <c r="AI25" s="6"/>
      <c r="AJ25" s="8"/>
    </row>
    <row r="26" spans="2:36" ht="15.75">
      <c r="B26" s="29" t="str">
        <f>IFERROR(VLOOKUP(C26,Список!$B$2:$C$150,2,0),"")</f>
        <v/>
      </c>
      <c r="C26" s="16"/>
      <c r="D26" s="17"/>
      <c r="E26" s="1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3"/>
      <c r="AJ26" s="8"/>
    </row>
    <row r="27" spans="2:36" ht="15.75">
      <c r="B27" s="29" t="str">
        <f>IFERROR(VLOOKUP(C27,Список!$B$2:$C$150,2,0),"")</f>
        <v/>
      </c>
      <c r="C27" s="16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2:36" ht="15.75">
      <c r="B28" s="29" t="str">
        <f>IFERROR(VLOOKUP(C28,Список!$B$2:$C$150,2,0),"")</f>
        <v/>
      </c>
      <c r="C28" s="21"/>
      <c r="D28" s="22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2"/>
      <c r="AH28" s="1"/>
      <c r="AI28" s="3"/>
      <c r="AJ28" s="8"/>
    </row>
    <row r="29" spans="2:36" ht="15.75">
      <c r="B29" s="29" t="str">
        <f>IFERROR(VLOOKUP(C29,Список!$B$2:$C$150,2,0),"")</f>
        <v/>
      </c>
      <c r="C29" s="21"/>
      <c r="D29" s="22"/>
      <c r="E29" s="4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6"/>
      <c r="AJ29" s="8"/>
    </row>
    <row r="30" spans="2:36" ht="15.75">
      <c r="B30" s="29" t="str">
        <f>IFERROR(VLOOKUP(C30,Список!$B$2:$C$150,2,0),"")</f>
        <v/>
      </c>
      <c r="C30" s="16"/>
      <c r="D30" s="19"/>
      <c r="E30" s="1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2"/>
      <c r="AF30" s="1"/>
      <c r="AG30" s="2"/>
      <c r="AH30" s="1"/>
      <c r="AI30" s="3"/>
      <c r="AJ30" s="8"/>
    </row>
    <row r="31" spans="2:36" ht="15.75">
      <c r="B31" s="29" t="str">
        <f>IFERROR(VLOOKUP(C31,Список!$B$2:$C$150,2,0),"")</f>
        <v/>
      </c>
      <c r="C31" s="16"/>
      <c r="D31" s="19"/>
      <c r="E31" s="1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1"/>
      <c r="AG31" s="2"/>
      <c r="AH31" s="1"/>
      <c r="AI31" s="3"/>
      <c r="AJ31" s="8"/>
    </row>
    <row r="32" spans="2:36" ht="15.75">
      <c r="B32" s="29" t="str">
        <f>IFERROR(VLOOKUP(C32,Список!$B$2:$C$150,2,0),"")</f>
        <v/>
      </c>
      <c r="C32" s="21"/>
      <c r="D32" s="22"/>
      <c r="E32" s="1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3"/>
      <c r="AJ32" s="8"/>
    </row>
    <row r="33" spans="2:36" ht="15.75">
      <c r="B33" s="29" t="str">
        <f>IFERROR(VLOOKUP(C33,Список!$B$2:$C$150,2,0),"")</f>
        <v/>
      </c>
      <c r="C33" s="21"/>
      <c r="D33" s="22"/>
      <c r="E33" s="4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6"/>
      <c r="AJ33" s="8"/>
    </row>
    <row r="34" spans="2:36" ht="15.75">
      <c r="B34" s="29" t="str">
        <f>IFERROR(VLOOKUP(C34,Список!$B$2:$C$150,2,0),"")</f>
        <v/>
      </c>
      <c r="C34" s="16"/>
      <c r="D34" s="19"/>
      <c r="E34" s="1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1"/>
      <c r="AG34" s="2"/>
      <c r="AH34" s="1"/>
      <c r="AI34" s="3"/>
      <c r="AJ34" s="8"/>
    </row>
    <row r="35" spans="2:36" ht="15.75">
      <c r="B35" s="29" t="str">
        <f>IFERROR(VLOOKUP(C35,Список!$B$2:$C$150,2,0),"")</f>
        <v/>
      </c>
      <c r="C35" s="16"/>
      <c r="D35" s="19"/>
      <c r="E35" s="4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6"/>
      <c r="AJ35" s="8"/>
    </row>
    <row r="36" spans="2:36" ht="15.75">
      <c r="B36" s="29" t="str">
        <f>IFERROR(VLOOKUP(C36,Список!$B$2:$C$150,2,0),"")</f>
        <v/>
      </c>
      <c r="C36" s="16"/>
      <c r="D36" s="19"/>
      <c r="E36" s="1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3"/>
      <c r="AJ36" s="8"/>
    </row>
    <row r="37" spans="2:36" ht="15.75">
      <c r="B37" s="29" t="str">
        <f>IFERROR(VLOOKUP(C37,Список!$B$2:$C$150,2,0),"")</f>
        <v/>
      </c>
      <c r="C37" s="16"/>
      <c r="D37" s="19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1"/>
      <c r="AG37" s="2"/>
      <c r="AH37" s="1"/>
      <c r="AI37" s="3"/>
      <c r="AJ37" s="8"/>
    </row>
    <row r="38" spans="2:36" ht="15.75">
      <c r="B38" s="29" t="str">
        <f>IFERROR(VLOOKUP(C38,Список!$B$2:$C$150,2,0),"")</f>
        <v/>
      </c>
      <c r="C38" s="16"/>
      <c r="D38" s="19"/>
      <c r="E38" s="1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3"/>
      <c r="AJ38" s="8"/>
    </row>
    <row r="39" spans="2:36" ht="15.75">
      <c r="B39" s="29" t="str">
        <f>IFERROR(VLOOKUP(C39,Список!$B$2:$C$150,2,0),"")</f>
        <v/>
      </c>
      <c r="C39" s="16"/>
      <c r="D39" s="19"/>
      <c r="E39" s="4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8"/>
    </row>
    <row r="40" spans="2:36" ht="15.75">
      <c r="B40" s="29" t="str">
        <f>IFERROR(VLOOKUP(C40,Список!$B$2:$C$150,2,0),"")</f>
        <v/>
      </c>
      <c r="C40" s="16"/>
      <c r="D40" s="19"/>
      <c r="E40" s="1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  <c r="AB40" s="1"/>
      <c r="AC40" s="2"/>
      <c r="AD40" s="1"/>
      <c r="AE40" s="2"/>
      <c r="AF40" s="1"/>
      <c r="AG40" s="2"/>
      <c r="AH40" s="1"/>
      <c r="AI40" s="3"/>
      <c r="AJ40" s="8"/>
    </row>
    <row r="41" spans="2:36" ht="15.75">
      <c r="B41" s="29" t="str">
        <f>IFERROR(VLOOKUP(C41,Список!$B$2:$C$150,2,0),"")</f>
        <v/>
      </c>
      <c r="C41" s="16"/>
      <c r="D41" s="19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1"/>
      <c r="AG41" s="2"/>
      <c r="AH41" s="1"/>
      <c r="AI41" s="3"/>
      <c r="AJ41" s="8"/>
    </row>
    <row r="42" spans="2:36" ht="15.75">
      <c r="B42" s="29" t="str">
        <f>IFERROR(VLOOKUP(C42,Список!$B$2:$C$150,2,0),"")</f>
        <v/>
      </c>
      <c r="C42" s="16"/>
      <c r="D42" s="19"/>
      <c r="E42" s="4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/>
      <c r="AC42" s="5"/>
      <c r="AD42" s="4"/>
      <c r="AE42" s="5"/>
      <c r="AF42" s="4"/>
      <c r="AG42" s="5"/>
      <c r="AH42" s="4"/>
      <c r="AI42" s="5"/>
      <c r="AJ42" s="8"/>
    </row>
    <row r="43" spans="2:36" ht="15.75">
      <c r="B43" s="29" t="str">
        <f>IFERROR(VLOOKUP(C43,Список!$B$2:$C$150,2,0),"")</f>
        <v/>
      </c>
      <c r="C43" s="16"/>
      <c r="D43" s="19"/>
      <c r="E43" s="1"/>
      <c r="F43" s="1"/>
      <c r="G43" s="2"/>
      <c r="H43" s="1"/>
      <c r="I43" s="2"/>
      <c r="J43" s="1"/>
      <c r="K43" s="2"/>
      <c r="L43" s="1"/>
      <c r="M43" s="2"/>
      <c r="N43" s="1"/>
      <c r="O43" s="3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8"/>
    </row>
    <row r="44" spans="2:36" ht="15.75">
      <c r="B44" s="23"/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2:36" ht="15.75">
      <c r="B45" s="27"/>
      <c r="C45" s="27"/>
      <c r="D45" s="27"/>
      <c r="E45" s="28"/>
      <c r="F45" s="28"/>
      <c r="G45" s="28"/>
      <c r="H45" s="28"/>
      <c r="I45" s="69"/>
      <c r="J45" s="69"/>
      <c r="K45" s="69"/>
      <c r="L45" s="69"/>
      <c r="M45" s="69"/>
      <c r="N45" s="69"/>
      <c r="O45" s="53"/>
      <c r="P45" s="27"/>
      <c r="Q45" s="27"/>
      <c r="R45" s="27"/>
      <c r="S45" s="62"/>
      <c r="T45" s="62"/>
      <c r="U45" s="62"/>
      <c r="V45" s="62"/>
      <c r="W45" s="63"/>
      <c r="X45" s="63"/>
      <c r="Y45" s="63"/>
      <c r="Z45" s="63"/>
      <c r="AA45" s="63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2:36" ht="15.7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</sheetData>
  <sheetProtection formatCells="0"/>
  <customSheetViews>
    <customSheetView guid="{1957AC80-412C-4030-B807-A599A7F9C8EF}" scale="90" showGridLines="0" zeroValues="0" printArea="1">
      <pane ySplit="4" topLeftCell="A5" activePane="bottomLeft" state="frozen"/>
      <selection pane="bottomLeft" activeCell="L24" sqref="L24"/>
      <colBreaks count="1" manualBreakCount="1">
        <brk id="36" max="1048575" man="1"/>
      </colBreaks>
      <pageMargins left="0.70866141732283472" right="0.70866141732283472" top="0.74803149606299213" bottom="0.74803149606299213" header="0.31496062992125984" footer="0.31496062992125984"/>
      <pageSetup paperSize="8" scale="98" fitToHeight="0" orientation="landscape" horizontalDpi="180" verticalDpi="180" r:id="rId1"/>
    </customSheetView>
  </customSheetViews>
  <mergeCells count="11">
    <mergeCell ref="AJ3:AJ4"/>
    <mergeCell ref="O1:AE1"/>
    <mergeCell ref="B3:B4"/>
    <mergeCell ref="E3:AI3"/>
    <mergeCell ref="S45:V45"/>
    <mergeCell ref="W45:AA45"/>
    <mergeCell ref="C3:D4"/>
    <mergeCell ref="B1:C1"/>
    <mergeCell ref="I45:N45"/>
    <mergeCell ref="D1:H1"/>
    <mergeCell ref="I1:N1"/>
  </mergeCells>
  <dataValidations count="6">
    <dataValidation type="list" allowBlank="1" showErrorMessage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6:C43">
      <formula1>ФИО</formula1>
    </dataValidation>
    <dataValidation type="list" allowBlank="1" showInputMessage="1" showErrorMessage="1" sqref="D5:D43">
      <formula1>Профессия</formula1>
    </dataValidation>
    <dataValidation type="list" allowBlank="1" showInputMessage="1" showErrorMessage="1" sqref="B1:C1">
      <formula1>Месяц</formula1>
    </dataValidation>
    <dataValidation type="list" allowBlank="1" showInputMessage="1" showErrorMessage="1" sqref="D1 I45:K45">
      <formula1>Мастера</formula1>
    </dataValidation>
    <dataValidation type="list" allowBlank="1" showInputMessage="1" showErrorMessage="1" sqref="I1">
      <formula1>Прочее</formula1>
    </dataValidation>
    <dataValidation type="list" allowBlank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5">
      <formula1>ФИО</formula1>
    </dataValidation>
  </dataValidations>
  <pageMargins left="0.70866141732283472" right="0.70866141732283472" top="0.74803149606299213" bottom="0.74803149606299213" header="0.31496062992125984" footer="0.31496062992125984"/>
  <pageSetup paperSize="8" scale="98" fitToHeight="0" orientation="landscape" r:id="rId2"/>
  <colBreaks count="1" manualBreakCount="1">
    <brk id="36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zoomScale="91" zoomScaleNormal="91" workbookViewId="0">
      <selection activeCell="E10" sqref="E10"/>
    </sheetView>
  </sheetViews>
  <sheetFormatPr defaultRowHeight="20.25"/>
  <cols>
    <col min="1" max="1" width="5.7109375" style="52" customWidth="1"/>
    <col min="2" max="2" width="27.28515625" style="42" customWidth="1"/>
    <col min="3" max="3" width="11.28515625" style="39" customWidth="1"/>
    <col min="4" max="4" width="28" style="34" customWidth="1"/>
    <col min="5" max="5" width="10.42578125" style="52" customWidth="1"/>
    <col min="6" max="6" width="25.28515625" style="34" customWidth="1"/>
    <col min="7" max="7" width="29" style="34" customWidth="1"/>
    <col min="8" max="8" width="87.5703125" style="34" customWidth="1"/>
    <col min="9" max="16384" width="9.140625" style="34"/>
  </cols>
  <sheetData>
    <row r="1" spans="1:16">
      <c r="A1" s="30" t="s">
        <v>6</v>
      </c>
      <c r="B1" s="31" t="s">
        <v>19</v>
      </c>
      <c r="C1" s="31" t="s">
        <v>7</v>
      </c>
      <c r="D1" s="32" t="s">
        <v>18</v>
      </c>
      <c r="E1" s="31" t="s">
        <v>56</v>
      </c>
      <c r="F1" s="31" t="s">
        <v>124</v>
      </c>
      <c r="G1" s="30" t="s">
        <v>125</v>
      </c>
      <c r="H1" s="33" t="s">
        <v>163</v>
      </c>
      <c r="I1" s="18"/>
      <c r="J1" s="18"/>
      <c r="K1" s="18"/>
      <c r="L1" s="18"/>
      <c r="M1" s="18"/>
      <c r="N1" s="18"/>
      <c r="O1" s="18"/>
    </row>
    <row r="2" spans="1:16">
      <c r="A2" s="35">
        <v>1</v>
      </c>
      <c r="B2" s="36" t="s">
        <v>27</v>
      </c>
      <c r="C2" s="37">
        <f>IF(B2="Амосова Т.Ф.",342)</f>
        <v>342</v>
      </c>
      <c r="D2" s="38" t="s">
        <v>32</v>
      </c>
      <c r="E2" s="39">
        <v>1</v>
      </c>
      <c r="F2" s="40" t="s">
        <v>152</v>
      </c>
      <c r="G2" s="41" t="s">
        <v>126</v>
      </c>
      <c r="H2" s="42" t="s">
        <v>164</v>
      </c>
      <c r="I2" s="18"/>
      <c r="J2" s="18"/>
      <c r="K2" s="18"/>
      <c r="L2" s="18"/>
      <c r="M2" s="18"/>
      <c r="N2" s="18"/>
      <c r="O2" s="18"/>
    </row>
    <row r="3" spans="1:16">
      <c r="A3" s="35">
        <v>2</v>
      </c>
      <c r="B3" s="43" t="s">
        <v>214</v>
      </c>
      <c r="C3" s="39">
        <f>IF(B3="Аниськович А.П.",1339)</f>
        <v>1339</v>
      </c>
      <c r="D3" s="38" t="s">
        <v>37</v>
      </c>
      <c r="E3" s="39">
        <v>2</v>
      </c>
      <c r="F3" s="44" t="s">
        <v>153</v>
      </c>
      <c r="G3" s="41" t="s">
        <v>143</v>
      </c>
      <c r="H3" s="42" t="s">
        <v>179</v>
      </c>
      <c r="I3" s="18"/>
      <c r="J3" s="18"/>
      <c r="K3" s="18"/>
      <c r="L3" s="18"/>
      <c r="M3" s="18"/>
      <c r="N3" s="18"/>
      <c r="O3" s="18"/>
    </row>
    <row r="4" spans="1:16">
      <c r="A4" s="35">
        <v>3</v>
      </c>
      <c r="B4" s="43" t="s">
        <v>213</v>
      </c>
      <c r="C4" s="37">
        <f>IF(B4="Апет И.В.",2234)</f>
        <v>2234</v>
      </c>
      <c r="D4" s="38" t="s">
        <v>50</v>
      </c>
      <c r="E4" s="39">
        <v>3</v>
      </c>
      <c r="F4" s="44" t="s">
        <v>154</v>
      </c>
      <c r="G4" s="41" t="s">
        <v>127</v>
      </c>
      <c r="H4" s="42" t="s">
        <v>180</v>
      </c>
      <c r="I4" s="18"/>
      <c r="J4" s="18"/>
      <c r="K4" s="18"/>
      <c r="L4" s="18"/>
      <c r="M4" s="18"/>
      <c r="N4" s="18"/>
      <c r="O4" s="18"/>
    </row>
    <row r="5" spans="1:16">
      <c r="A5" s="35">
        <v>4</v>
      </c>
      <c r="B5" s="43" t="s">
        <v>122</v>
      </c>
      <c r="C5" s="37">
        <f>IF(B5="Богодяж Т.А.",1609)</f>
        <v>1609</v>
      </c>
      <c r="D5" s="45" t="s">
        <v>40</v>
      </c>
      <c r="E5" s="39">
        <v>4</v>
      </c>
      <c r="F5" s="44" t="s">
        <v>130</v>
      </c>
      <c r="G5" s="41" t="s">
        <v>128</v>
      </c>
      <c r="H5" s="42" t="s">
        <v>181</v>
      </c>
      <c r="I5" s="18"/>
      <c r="J5" s="18"/>
      <c r="K5" s="18"/>
      <c r="L5" s="18"/>
      <c r="M5" s="18"/>
      <c r="N5" s="18"/>
      <c r="O5" s="18"/>
      <c r="P5" s="46"/>
    </row>
    <row r="6" spans="1:16">
      <c r="A6" s="35">
        <v>5</v>
      </c>
      <c r="B6" s="36" t="s">
        <v>21</v>
      </c>
      <c r="C6" s="37">
        <f>IF(B6="Брикун М.А.",1179)</f>
        <v>1179</v>
      </c>
      <c r="D6" s="38" t="s">
        <v>53</v>
      </c>
      <c r="E6" s="39">
        <v>5</v>
      </c>
      <c r="F6" s="44" t="s">
        <v>131</v>
      </c>
      <c r="G6" s="41" t="s">
        <v>129</v>
      </c>
      <c r="H6" s="42" t="s">
        <v>182</v>
      </c>
      <c r="I6" s="18"/>
      <c r="J6" s="18"/>
      <c r="K6" s="18"/>
      <c r="L6" s="18"/>
      <c r="M6" s="18"/>
      <c r="N6" s="18"/>
      <c r="O6" s="18"/>
      <c r="P6" s="46"/>
    </row>
    <row r="7" spans="1:16">
      <c r="A7" s="35">
        <v>6</v>
      </c>
      <c r="B7" s="36" t="s">
        <v>147</v>
      </c>
      <c r="C7" s="37">
        <f>IF(B7="Буйко В.Г.",1241)</f>
        <v>1241</v>
      </c>
      <c r="D7" s="38" t="s">
        <v>34</v>
      </c>
      <c r="E7" s="39">
        <v>6</v>
      </c>
      <c r="F7" s="44" t="s">
        <v>132</v>
      </c>
      <c r="G7" s="41"/>
      <c r="H7" s="42" t="s">
        <v>183</v>
      </c>
      <c r="I7" s="18"/>
      <c r="J7" s="18"/>
      <c r="K7" s="18"/>
      <c r="L7" s="18"/>
      <c r="M7" s="18"/>
      <c r="N7" s="18"/>
      <c r="O7" s="18"/>
      <c r="P7" s="46"/>
    </row>
    <row r="8" spans="1:16">
      <c r="A8" s="35">
        <v>7</v>
      </c>
      <c r="B8" s="42" t="s">
        <v>148</v>
      </c>
      <c r="C8" s="39">
        <f>IF(B8="Булавский А.В.",1515)</f>
        <v>1515</v>
      </c>
      <c r="D8" s="38" t="s">
        <v>47</v>
      </c>
      <c r="E8" s="39">
        <v>7</v>
      </c>
      <c r="F8" s="36" t="s">
        <v>133</v>
      </c>
      <c r="G8" s="41"/>
      <c r="H8" s="42" t="s">
        <v>184</v>
      </c>
      <c r="I8" s="18"/>
      <c r="J8" s="18"/>
      <c r="K8" s="18"/>
      <c r="L8" s="18"/>
      <c r="M8" s="18"/>
      <c r="N8" s="18"/>
      <c r="O8" s="18"/>
      <c r="P8" s="46"/>
    </row>
    <row r="9" spans="1:16">
      <c r="A9" s="35">
        <v>8</v>
      </c>
      <c r="B9" s="36" t="s">
        <v>12</v>
      </c>
      <c r="C9" s="39">
        <f>IF(B9="Буракова Т.А.",643)</f>
        <v>643</v>
      </c>
      <c r="D9" s="47" t="s">
        <v>54</v>
      </c>
      <c r="E9" s="39">
        <v>8</v>
      </c>
      <c r="F9" s="36" t="s">
        <v>134</v>
      </c>
      <c r="G9" s="41"/>
      <c r="H9" s="42" t="s">
        <v>185</v>
      </c>
      <c r="I9" s="18"/>
      <c r="J9" s="18"/>
      <c r="K9" s="18"/>
      <c r="L9" s="18"/>
      <c r="M9" s="18"/>
      <c r="N9" s="18"/>
      <c r="O9" s="18"/>
      <c r="P9" s="46"/>
    </row>
    <row r="10" spans="1:16">
      <c r="A10" s="35">
        <v>9</v>
      </c>
      <c r="B10" s="43" t="s">
        <v>100</v>
      </c>
      <c r="C10" s="39">
        <f>IF(B10="Бурдыко Е.А.",2269)</f>
        <v>2269</v>
      </c>
      <c r="D10" s="38" t="s">
        <v>55</v>
      </c>
      <c r="E10" s="39">
        <v>9</v>
      </c>
      <c r="F10" s="36" t="s">
        <v>135</v>
      </c>
      <c r="G10" s="41"/>
      <c r="H10" s="42" t="s">
        <v>186</v>
      </c>
      <c r="I10" s="18"/>
      <c r="J10" s="18"/>
      <c r="K10" s="18"/>
      <c r="L10" s="18"/>
      <c r="M10" s="18"/>
      <c r="N10" s="18"/>
      <c r="O10" s="18"/>
      <c r="P10" s="46"/>
    </row>
    <row r="11" spans="1:16">
      <c r="A11" s="35">
        <v>10</v>
      </c>
      <c r="B11" s="43" t="s">
        <v>215</v>
      </c>
      <c r="C11" s="39">
        <f>IF(B11="Бурыхин С.А.",1501)</f>
        <v>1501</v>
      </c>
      <c r="D11" s="38" t="s">
        <v>36</v>
      </c>
      <c r="E11" s="39">
        <v>10</v>
      </c>
      <c r="F11" s="36" t="s">
        <v>136</v>
      </c>
      <c r="G11" s="41"/>
      <c r="H11" s="42" t="s">
        <v>187</v>
      </c>
      <c r="I11" s="18"/>
      <c r="J11" s="18"/>
      <c r="K11" s="18"/>
      <c r="L11" s="18"/>
      <c r="M11" s="18"/>
      <c r="N11" s="18"/>
      <c r="O11" s="18"/>
      <c r="P11" s="46"/>
    </row>
    <row r="12" spans="1:16">
      <c r="A12" s="35">
        <v>11</v>
      </c>
      <c r="B12" s="43" t="s">
        <v>222</v>
      </c>
      <c r="C12" s="37">
        <f>IF(B12="Буслов А.А.",2150)</f>
        <v>2150</v>
      </c>
      <c r="D12" s="38" t="s">
        <v>49</v>
      </c>
      <c r="E12" s="39">
        <v>11</v>
      </c>
      <c r="F12" s="36" t="s">
        <v>137</v>
      </c>
      <c r="G12" s="41"/>
      <c r="H12" s="42" t="s">
        <v>188</v>
      </c>
      <c r="I12" s="18"/>
      <c r="J12" s="18"/>
      <c r="K12" s="18"/>
      <c r="L12" s="18"/>
      <c r="M12" s="18"/>
      <c r="N12" s="18"/>
      <c r="O12" s="18"/>
      <c r="P12" s="46"/>
    </row>
    <row r="13" spans="1:16">
      <c r="A13" s="35">
        <v>12</v>
      </c>
      <c r="B13" s="36" t="s">
        <v>44</v>
      </c>
      <c r="C13" s="37">
        <f>IF(B13="Бушкин В.Д.",1430)</f>
        <v>1430</v>
      </c>
      <c r="D13" s="38" t="s">
        <v>35</v>
      </c>
      <c r="E13" s="39">
        <v>12</v>
      </c>
      <c r="F13" s="38" t="s">
        <v>138</v>
      </c>
      <c r="G13" s="41"/>
      <c r="H13" s="42" t="s">
        <v>189</v>
      </c>
      <c r="I13" s="18"/>
      <c r="J13" s="18"/>
      <c r="K13" s="18"/>
      <c r="L13" s="18"/>
      <c r="M13" s="18"/>
      <c r="N13" s="18"/>
      <c r="O13" s="18"/>
      <c r="P13" s="46"/>
    </row>
    <row r="14" spans="1:16">
      <c r="A14" s="35">
        <v>13</v>
      </c>
      <c r="B14" s="42" t="s">
        <v>145</v>
      </c>
      <c r="C14" s="37">
        <f>IF(B14="Бушкина Т.П.",531)</f>
        <v>531</v>
      </c>
      <c r="D14" s="38" t="s">
        <v>48</v>
      </c>
      <c r="E14" s="39" t="s">
        <v>72</v>
      </c>
      <c r="F14" s="31" t="s">
        <v>141</v>
      </c>
      <c r="G14" s="46"/>
      <c r="H14" s="42" t="s">
        <v>190</v>
      </c>
      <c r="I14" s="18"/>
      <c r="J14" s="18"/>
      <c r="K14" s="18"/>
      <c r="L14" s="18"/>
      <c r="M14" s="18"/>
      <c r="N14" s="18"/>
      <c r="O14" s="18"/>
      <c r="P14" s="46"/>
    </row>
    <row r="15" spans="1:16">
      <c r="A15" s="35">
        <v>14</v>
      </c>
      <c r="B15" s="43" t="s">
        <v>145</v>
      </c>
      <c r="C15" s="39">
        <f>IF(B15="Бушкина Т.П.",531)</f>
        <v>531</v>
      </c>
      <c r="D15" s="38" t="s">
        <v>41</v>
      </c>
      <c r="E15" s="39" t="s">
        <v>57</v>
      </c>
      <c r="F15" s="42" t="s">
        <v>142</v>
      </c>
      <c r="G15" s="46"/>
      <c r="H15" s="42" t="s">
        <v>191</v>
      </c>
      <c r="I15" s="18"/>
      <c r="J15" s="18"/>
      <c r="K15" s="18"/>
      <c r="L15" s="18"/>
      <c r="M15" s="18"/>
      <c r="N15" s="18"/>
      <c r="O15" s="18"/>
      <c r="P15" s="46"/>
    </row>
    <row r="16" spans="1:16">
      <c r="A16" s="35">
        <v>15</v>
      </c>
      <c r="B16" s="43" t="s">
        <v>108</v>
      </c>
      <c r="C16" s="39">
        <f>IF(B16="Буяновская В.П.",489)</f>
        <v>489</v>
      </c>
      <c r="D16" s="38" t="s">
        <v>66</v>
      </c>
      <c r="E16" s="39" t="s">
        <v>73</v>
      </c>
      <c r="F16" s="36" t="s">
        <v>139</v>
      </c>
      <c r="G16" s="46"/>
      <c r="H16" s="42" t="s">
        <v>192</v>
      </c>
      <c r="I16" s="18"/>
      <c r="J16" s="18"/>
      <c r="K16" s="18"/>
      <c r="L16" s="18"/>
      <c r="M16" s="18"/>
      <c r="N16" s="18"/>
      <c r="O16" s="18"/>
      <c r="P16" s="46"/>
    </row>
    <row r="17" spans="1:16">
      <c r="A17" s="35">
        <v>16</v>
      </c>
      <c r="B17" s="43" t="s">
        <v>201</v>
      </c>
      <c r="C17" s="39">
        <f>IF(B17="Ваньков С.П.",115)</f>
        <v>115</v>
      </c>
      <c r="D17" s="38" t="s">
        <v>62</v>
      </c>
      <c r="E17" s="39" t="s">
        <v>75</v>
      </c>
      <c r="F17" s="36" t="s">
        <v>140</v>
      </c>
      <c r="G17" s="46"/>
      <c r="H17" s="42" t="s">
        <v>165</v>
      </c>
      <c r="I17" s="18"/>
      <c r="J17" s="18"/>
      <c r="K17" s="18"/>
      <c r="L17" s="18"/>
      <c r="M17" s="18"/>
      <c r="N17" s="18"/>
      <c r="O17" s="18"/>
      <c r="P17" s="46"/>
    </row>
    <row r="18" spans="1:16">
      <c r="A18" s="35">
        <v>17</v>
      </c>
      <c r="B18" s="43" t="s">
        <v>89</v>
      </c>
      <c r="C18" s="37">
        <f>IF(B18="Ванькова Л.Е.",365)</f>
        <v>365</v>
      </c>
      <c r="D18" s="38" t="s">
        <v>63</v>
      </c>
      <c r="E18" s="39" t="s">
        <v>76</v>
      </c>
      <c r="F18" s="36" t="s">
        <v>158</v>
      </c>
      <c r="G18" s="46"/>
      <c r="H18" s="42" t="s">
        <v>166</v>
      </c>
      <c r="I18" s="18"/>
      <c r="J18" s="18"/>
      <c r="K18" s="18"/>
      <c r="L18" s="18"/>
      <c r="M18" s="18"/>
      <c r="N18" s="18"/>
      <c r="O18" s="18"/>
      <c r="P18" s="46"/>
    </row>
    <row r="19" spans="1:16">
      <c r="A19" s="35">
        <v>18</v>
      </c>
      <c r="B19" s="43" t="s">
        <v>212</v>
      </c>
      <c r="C19" s="37">
        <f>IF(B19="Васильева О.А.",1560)</f>
        <v>1560</v>
      </c>
      <c r="D19" s="38" t="s">
        <v>64</v>
      </c>
      <c r="E19" s="39" t="s">
        <v>77</v>
      </c>
      <c r="F19" s="36"/>
      <c r="G19" s="46"/>
      <c r="H19" s="42" t="s">
        <v>167</v>
      </c>
      <c r="I19" s="18"/>
      <c r="J19" s="18"/>
      <c r="K19" s="18"/>
      <c r="L19" s="18"/>
      <c r="M19" s="18"/>
      <c r="N19" s="18"/>
      <c r="O19" s="18"/>
      <c r="P19" s="46"/>
    </row>
    <row r="20" spans="1:16">
      <c r="A20" s="35">
        <v>19</v>
      </c>
      <c r="B20" s="43" t="s">
        <v>99</v>
      </c>
      <c r="C20" s="37">
        <f>IF(B20="Волегов А.Г.",208)</f>
        <v>208</v>
      </c>
      <c r="D20" s="38" t="s">
        <v>65</v>
      </c>
      <c r="E20" s="39" t="s">
        <v>78</v>
      </c>
      <c r="F20" s="36"/>
      <c r="G20" s="46"/>
      <c r="H20" s="42" t="s">
        <v>168</v>
      </c>
      <c r="I20" s="18"/>
      <c r="J20" s="18"/>
      <c r="K20" s="18"/>
      <c r="L20" s="18"/>
      <c r="M20" s="18"/>
      <c r="N20" s="18"/>
      <c r="O20" s="18"/>
      <c r="P20" s="46"/>
    </row>
    <row r="21" spans="1:16">
      <c r="A21" s="35">
        <v>20</v>
      </c>
      <c r="B21" s="43" t="s">
        <v>196</v>
      </c>
      <c r="C21" s="39">
        <f>IF(B21="Волегова Г.И.",707)</f>
        <v>707</v>
      </c>
      <c r="D21" s="38" t="s">
        <v>39</v>
      </c>
      <c r="E21" s="39" t="s">
        <v>79</v>
      </c>
      <c r="F21" s="36"/>
      <c r="G21" s="46"/>
      <c r="H21" s="42" t="s">
        <v>172</v>
      </c>
      <c r="I21" s="18"/>
      <c r="J21" s="18"/>
      <c r="K21" s="18"/>
      <c r="L21" s="18"/>
      <c r="M21" s="18"/>
      <c r="N21" s="18"/>
      <c r="O21" s="18"/>
      <c r="P21" s="46"/>
    </row>
    <row r="22" spans="1:16">
      <c r="A22" s="35">
        <v>21</v>
      </c>
      <c r="B22" s="43" t="s">
        <v>87</v>
      </c>
      <c r="C22" s="39">
        <f>IF(B22="Воронцевич З.А.",454)</f>
        <v>454</v>
      </c>
      <c r="D22" s="38" t="s">
        <v>52</v>
      </c>
      <c r="E22" s="39" t="s">
        <v>80</v>
      </c>
      <c r="F22" s="36"/>
      <c r="G22" s="46"/>
      <c r="H22" s="42" t="s">
        <v>169</v>
      </c>
      <c r="I22" s="18"/>
      <c r="J22" s="18"/>
      <c r="K22" s="18"/>
      <c r="L22" s="18"/>
      <c r="M22" s="18"/>
      <c r="N22" s="18"/>
      <c r="O22" s="18"/>
      <c r="P22" s="46"/>
    </row>
    <row r="23" spans="1:16">
      <c r="A23" s="35">
        <v>22</v>
      </c>
      <c r="B23" s="43" t="s">
        <v>107</v>
      </c>
      <c r="C23" s="37">
        <f>IF(B23="Воронцевич М.П.",298)</f>
        <v>298</v>
      </c>
      <c r="D23" s="38" t="s">
        <v>38</v>
      </c>
      <c r="E23" s="39" t="s">
        <v>14</v>
      </c>
      <c r="F23" s="36"/>
      <c r="G23" s="46"/>
      <c r="H23" s="42" t="s">
        <v>170</v>
      </c>
      <c r="I23" s="18"/>
      <c r="J23" s="18"/>
      <c r="K23" s="18"/>
      <c r="L23" s="18"/>
      <c r="M23" s="18"/>
      <c r="N23" s="18"/>
      <c r="O23" s="18"/>
      <c r="P23" s="46"/>
    </row>
    <row r="24" spans="1:16">
      <c r="A24" s="35">
        <v>23</v>
      </c>
      <c r="B24" s="43" t="s">
        <v>200</v>
      </c>
      <c r="C24" s="39">
        <f>IF(B24="Гарбузов Г.Л.",381)</f>
        <v>381</v>
      </c>
      <c r="D24" s="38" t="s">
        <v>51</v>
      </c>
      <c r="E24" s="48" t="s">
        <v>16</v>
      </c>
      <c r="F24" s="36"/>
      <c r="G24" s="46"/>
      <c r="H24" s="42" t="s">
        <v>171</v>
      </c>
      <c r="I24" s="18"/>
      <c r="J24" s="18"/>
      <c r="K24" s="18"/>
      <c r="L24" s="18"/>
      <c r="M24" s="18"/>
      <c r="N24" s="18"/>
      <c r="O24" s="18"/>
      <c r="P24" s="46"/>
    </row>
    <row r="25" spans="1:16">
      <c r="A25" s="35">
        <v>24</v>
      </c>
      <c r="B25" s="43" t="s">
        <v>85</v>
      </c>
      <c r="C25" s="37">
        <f>IF(B25="Гвоздь М.П.",561)</f>
        <v>561</v>
      </c>
      <c r="D25" s="38" t="s">
        <v>33</v>
      </c>
      <c r="E25" s="39" t="s">
        <v>58</v>
      </c>
      <c r="F25" s="31" t="s">
        <v>159</v>
      </c>
      <c r="G25" s="46"/>
      <c r="H25" s="42" t="s">
        <v>173</v>
      </c>
      <c r="I25" s="46"/>
      <c r="J25" s="46"/>
      <c r="K25" s="46"/>
      <c r="L25" s="49"/>
      <c r="M25" s="46"/>
      <c r="N25" s="46"/>
      <c r="O25" s="46"/>
      <c r="P25" s="46"/>
    </row>
    <row r="26" spans="1:16">
      <c r="A26" s="35">
        <v>25</v>
      </c>
      <c r="B26" s="36" t="s">
        <v>29</v>
      </c>
      <c r="C26" s="39">
        <f>IF(B26="Гендик Н.В.",552)</f>
        <v>552</v>
      </c>
      <c r="D26" s="38" t="s">
        <v>46</v>
      </c>
      <c r="E26" s="39" t="s">
        <v>70</v>
      </c>
      <c r="F26" s="42" t="s">
        <v>161</v>
      </c>
      <c r="G26" s="46"/>
      <c r="H26" s="42" t="s">
        <v>175</v>
      </c>
      <c r="I26" s="46"/>
      <c r="J26" s="46"/>
      <c r="K26" s="46"/>
      <c r="L26" s="49"/>
      <c r="M26" s="46"/>
      <c r="N26" s="46"/>
      <c r="O26" s="46"/>
      <c r="P26" s="46"/>
    </row>
    <row r="27" spans="1:16">
      <c r="A27" s="35">
        <v>26</v>
      </c>
      <c r="B27" s="43" t="s">
        <v>84</v>
      </c>
      <c r="C27" s="37">
        <f>IF(B27="Гончарук А.В.",652)</f>
        <v>652</v>
      </c>
      <c r="D27" s="38" t="s">
        <v>68</v>
      </c>
      <c r="E27" s="39" t="s">
        <v>15</v>
      </c>
      <c r="F27" s="42" t="s">
        <v>162</v>
      </c>
      <c r="G27" s="46"/>
      <c r="H27" s="42" t="s">
        <v>177</v>
      </c>
      <c r="I27" s="49"/>
      <c r="J27" s="46"/>
      <c r="K27" s="46"/>
      <c r="L27" s="49"/>
      <c r="M27" s="46"/>
      <c r="N27" s="46"/>
      <c r="O27" s="46"/>
      <c r="P27" s="46"/>
    </row>
    <row r="28" spans="1:16">
      <c r="A28" s="35">
        <v>27</v>
      </c>
      <c r="B28" s="43" t="s">
        <v>95</v>
      </c>
      <c r="C28" s="37">
        <f>IF(B28="Гончарук Т.И.",479)</f>
        <v>479</v>
      </c>
      <c r="D28" s="38" t="s">
        <v>69</v>
      </c>
      <c r="E28" s="39" t="s">
        <v>59</v>
      </c>
      <c r="F28" s="42" t="s">
        <v>160</v>
      </c>
      <c r="G28" s="46"/>
      <c r="H28" s="42" t="s">
        <v>174</v>
      </c>
      <c r="I28" s="49"/>
      <c r="J28" s="46"/>
      <c r="K28" s="46"/>
      <c r="L28" s="49"/>
      <c r="M28" s="46"/>
      <c r="N28" s="46"/>
      <c r="O28" s="46"/>
      <c r="P28" s="46"/>
    </row>
    <row r="29" spans="1:16">
      <c r="A29" s="35">
        <v>28</v>
      </c>
      <c r="B29" s="43" t="s">
        <v>211</v>
      </c>
      <c r="C29" s="37">
        <f>IF(B29="Гридюшко П.А.",1499)</f>
        <v>1499</v>
      </c>
      <c r="D29" s="38" t="s">
        <v>151</v>
      </c>
      <c r="E29" s="39" t="s">
        <v>71</v>
      </c>
      <c r="F29" s="42"/>
      <c r="G29" s="46"/>
      <c r="H29" s="42" t="s">
        <v>176</v>
      </c>
      <c r="I29" s="46"/>
      <c r="J29" s="46"/>
      <c r="K29" s="46"/>
      <c r="L29" s="46"/>
      <c r="M29" s="46"/>
      <c r="N29" s="46"/>
      <c r="O29" s="46"/>
      <c r="P29" s="46"/>
    </row>
    <row r="30" spans="1:16">
      <c r="A30" s="35">
        <v>29</v>
      </c>
      <c r="B30" s="36" t="s">
        <v>23</v>
      </c>
      <c r="C30" s="37">
        <f>IF(B30="Грузд Н.Н.",1311)</f>
        <v>1311</v>
      </c>
      <c r="E30" s="39" t="s">
        <v>60</v>
      </c>
      <c r="F30" s="42"/>
      <c r="G30" s="46"/>
      <c r="H30" s="42" t="s">
        <v>178</v>
      </c>
      <c r="I30" s="46"/>
      <c r="J30" s="46"/>
      <c r="K30" s="46"/>
      <c r="L30" s="46"/>
      <c r="M30" s="46"/>
      <c r="N30" s="46"/>
      <c r="O30" s="46"/>
      <c r="P30" s="46"/>
    </row>
    <row r="31" spans="1:16">
      <c r="A31" s="35">
        <v>30</v>
      </c>
      <c r="B31" s="43" t="s">
        <v>88</v>
      </c>
      <c r="C31" s="37">
        <f>IF(B31="Дворянкина Е.Л.",508)</f>
        <v>508</v>
      </c>
      <c r="D31" s="38"/>
      <c r="E31" s="39" t="s">
        <v>61</v>
      </c>
      <c r="F31" s="42"/>
      <c r="G31" s="46"/>
      <c r="H31" s="42" t="s">
        <v>193</v>
      </c>
      <c r="I31" s="49"/>
      <c r="J31" s="46"/>
      <c r="K31" s="46"/>
      <c r="L31" s="49"/>
      <c r="M31" s="46"/>
      <c r="N31" s="46"/>
      <c r="O31" s="46"/>
      <c r="P31" s="46"/>
    </row>
    <row r="32" spans="1:16">
      <c r="A32" s="35">
        <v>31</v>
      </c>
      <c r="B32" s="43" t="s">
        <v>112</v>
      </c>
      <c r="C32" s="37">
        <f>IF(B32="Дик А.С.",1089)</f>
        <v>1089</v>
      </c>
      <c r="D32" s="38"/>
      <c r="E32" s="39" t="s">
        <v>155</v>
      </c>
      <c r="F32" s="42"/>
      <c r="G32" s="46"/>
      <c r="H32" s="42" t="s">
        <v>194</v>
      </c>
      <c r="I32" s="49"/>
      <c r="J32" s="46"/>
      <c r="K32" s="46"/>
      <c r="L32" s="49"/>
      <c r="M32" s="46"/>
      <c r="N32" s="46"/>
      <c r="O32" s="46"/>
      <c r="P32" s="46"/>
    </row>
    <row r="33" spans="1:16">
      <c r="A33" s="35">
        <v>32</v>
      </c>
      <c r="B33" s="43" t="s">
        <v>116</v>
      </c>
      <c r="C33" s="39">
        <f>IF(B33="Дорц Д.В.",1147)</f>
        <v>1147</v>
      </c>
      <c r="D33" s="38"/>
      <c r="E33" s="39" t="s">
        <v>74</v>
      </c>
      <c r="F33" s="42"/>
      <c r="G33" s="46"/>
      <c r="H33" s="42" t="s">
        <v>195</v>
      </c>
      <c r="I33" s="49"/>
      <c r="J33" s="46"/>
      <c r="K33" s="46"/>
      <c r="L33" s="46"/>
      <c r="M33" s="46"/>
      <c r="N33" s="46"/>
      <c r="O33" s="46"/>
      <c r="P33" s="46"/>
    </row>
    <row r="34" spans="1:16">
      <c r="A34" s="35">
        <v>33</v>
      </c>
      <c r="B34" s="43" t="s">
        <v>82</v>
      </c>
      <c r="C34" s="37">
        <f>IF(B34="Драгун В.В.",481)</f>
        <v>481</v>
      </c>
      <c r="D34" s="38"/>
      <c r="E34" s="39" t="s">
        <v>156</v>
      </c>
      <c r="F34" s="42"/>
      <c r="G34" s="46"/>
      <c r="H34" s="48"/>
      <c r="I34" s="49"/>
      <c r="J34" s="46"/>
      <c r="K34" s="46"/>
      <c r="L34" s="46"/>
      <c r="M34" s="46"/>
      <c r="N34" s="46"/>
      <c r="O34" s="46"/>
      <c r="P34" s="46"/>
    </row>
    <row r="35" spans="1:16">
      <c r="A35" s="35">
        <v>34</v>
      </c>
      <c r="B35" s="43" t="s">
        <v>210</v>
      </c>
      <c r="C35" s="37">
        <f>IF(B35="Драпезо Ю.Н.",548)</f>
        <v>548</v>
      </c>
      <c r="D35" s="38"/>
      <c r="E35" s="54"/>
      <c r="G35" s="46"/>
      <c r="H35" s="50"/>
      <c r="I35" s="49"/>
      <c r="J35" s="46"/>
      <c r="K35" s="46"/>
      <c r="L35" s="49"/>
      <c r="M35" s="46"/>
      <c r="N35" s="46"/>
      <c r="O35" s="46"/>
      <c r="P35" s="46"/>
    </row>
    <row r="36" spans="1:16">
      <c r="A36" s="35">
        <v>35</v>
      </c>
      <c r="B36" s="43" t="s">
        <v>121</v>
      </c>
      <c r="C36" s="37">
        <f>IF(B36="Драч М.В.",1659)</f>
        <v>1659</v>
      </c>
      <c r="D36" s="38"/>
      <c r="E36" s="39"/>
      <c r="G36" s="46"/>
      <c r="H36" s="50"/>
      <c r="I36" s="49"/>
      <c r="J36" s="46"/>
      <c r="K36" s="46"/>
      <c r="L36" s="49"/>
      <c r="M36" s="46"/>
      <c r="N36" s="46"/>
      <c r="O36" s="46"/>
      <c r="P36" s="46"/>
    </row>
    <row r="37" spans="1:16">
      <c r="A37" s="35">
        <v>36</v>
      </c>
      <c r="B37" s="43" t="s">
        <v>106</v>
      </c>
      <c r="C37" s="37">
        <f>IF(B37="Дроздецкий В.С.",1335)</f>
        <v>1335</v>
      </c>
      <c r="D37" s="38"/>
      <c r="E37" s="48"/>
      <c r="G37" s="46"/>
      <c r="H37" s="50"/>
      <c r="I37" s="49"/>
      <c r="J37" s="46"/>
      <c r="K37" s="46"/>
      <c r="L37" s="49"/>
      <c r="M37" s="46"/>
      <c r="N37" s="46"/>
      <c r="O37" s="46"/>
      <c r="P37" s="46"/>
    </row>
    <row r="38" spans="1:16">
      <c r="A38" s="35">
        <v>37</v>
      </c>
      <c r="B38" s="43" t="s">
        <v>216</v>
      </c>
      <c r="C38" s="37">
        <f>IF(B38="Дунаев С.Е.",2035)</f>
        <v>2035</v>
      </c>
      <c r="D38" s="38"/>
      <c r="E38" s="48"/>
      <c r="G38" s="46"/>
      <c r="H38" s="50"/>
      <c r="I38" s="49"/>
      <c r="J38" s="46"/>
      <c r="K38" s="46"/>
      <c r="L38" s="49"/>
      <c r="M38" s="46"/>
      <c r="N38" s="46"/>
      <c r="O38" s="46"/>
      <c r="P38" s="46"/>
    </row>
    <row r="39" spans="1:16">
      <c r="A39" s="35">
        <v>38</v>
      </c>
      <c r="B39" s="42" t="s">
        <v>203</v>
      </c>
      <c r="C39" s="39">
        <f>IF(B39="Жавранок И.Г.",712)</f>
        <v>712</v>
      </c>
      <c r="D39" s="51"/>
      <c r="E39" s="48"/>
      <c r="G39" s="46"/>
      <c r="H39" s="46"/>
      <c r="I39" s="46"/>
      <c r="J39" s="46"/>
      <c r="K39" s="46"/>
      <c r="L39" s="49"/>
      <c r="M39" s="46"/>
      <c r="N39" s="46"/>
      <c r="O39" s="46"/>
      <c r="P39" s="46"/>
    </row>
    <row r="40" spans="1:16">
      <c r="A40" s="35">
        <v>39</v>
      </c>
      <c r="B40" s="43" t="s">
        <v>90</v>
      </c>
      <c r="C40" s="37">
        <f>IF(B40="Жердочкина А.М.",1141)</f>
        <v>1141</v>
      </c>
      <c r="D40" s="51"/>
      <c r="E40" s="48"/>
      <c r="G40" s="46"/>
      <c r="H40" s="46"/>
      <c r="I40" s="46"/>
      <c r="J40" s="46"/>
      <c r="K40" s="46"/>
      <c r="L40" s="49"/>
      <c r="M40" s="46"/>
      <c r="N40" s="46"/>
      <c r="O40" s="46"/>
      <c r="P40" s="46"/>
    </row>
    <row r="41" spans="1:16">
      <c r="A41" s="35">
        <v>40</v>
      </c>
      <c r="B41" s="36" t="s">
        <v>144</v>
      </c>
      <c r="C41" s="37">
        <f>IF(B41="Жизневская Т.Ф.",491)</f>
        <v>491</v>
      </c>
      <c r="D41" s="51"/>
      <c r="E41" s="48"/>
      <c r="G41" s="46"/>
      <c r="H41" s="46"/>
      <c r="I41" s="46"/>
      <c r="J41" s="46"/>
      <c r="K41" s="46"/>
      <c r="L41" s="49"/>
      <c r="M41" s="46"/>
      <c r="N41" s="46"/>
      <c r="O41" s="46"/>
      <c r="P41" s="46"/>
    </row>
    <row r="42" spans="1:16">
      <c r="A42" s="35">
        <v>41</v>
      </c>
      <c r="B42" s="43" t="s">
        <v>110</v>
      </c>
      <c r="C42" s="39">
        <f>IF(B42="Жудрак Л.В.",1500)</f>
        <v>1500</v>
      </c>
      <c r="D42" s="51"/>
      <c r="E42" s="48"/>
      <c r="G42" s="46"/>
      <c r="H42" s="46"/>
      <c r="I42" s="46"/>
      <c r="J42" s="46"/>
      <c r="K42" s="46"/>
      <c r="L42" s="49"/>
      <c r="M42" s="46"/>
      <c r="N42" s="46"/>
      <c r="O42" s="46"/>
      <c r="P42" s="46"/>
    </row>
    <row r="43" spans="1:16">
      <c r="A43" s="35">
        <v>42</v>
      </c>
      <c r="B43" s="36" t="s">
        <v>9</v>
      </c>
      <c r="C43" s="37">
        <f>IF(B43="Залан А.В.",856)</f>
        <v>856</v>
      </c>
      <c r="D43" s="51"/>
      <c r="E43" s="48"/>
      <c r="G43" s="46"/>
      <c r="H43" s="46"/>
      <c r="I43" s="46"/>
      <c r="J43" s="46"/>
      <c r="K43" s="46"/>
      <c r="L43" s="49"/>
      <c r="M43" s="46"/>
      <c r="N43" s="46"/>
      <c r="O43" s="46"/>
      <c r="P43" s="46"/>
    </row>
    <row r="44" spans="1:16">
      <c r="A44" s="35">
        <v>43</v>
      </c>
      <c r="B44" s="43" t="s">
        <v>81</v>
      </c>
      <c r="C44" s="39">
        <f>IF(B44="Захаров С.А.",853)</f>
        <v>853</v>
      </c>
      <c r="D44" s="51"/>
      <c r="E44" s="48"/>
      <c r="G44" s="46"/>
      <c r="H44" s="46"/>
      <c r="I44" s="46"/>
      <c r="J44" s="46"/>
      <c r="K44" s="46"/>
      <c r="L44" s="46"/>
      <c r="M44" s="46"/>
    </row>
    <row r="45" spans="1:16">
      <c r="A45" s="35">
        <v>44</v>
      </c>
      <c r="B45" s="36" t="s">
        <v>25</v>
      </c>
      <c r="C45" s="37">
        <f>IF(B45="Заяц Т.Л.",509)</f>
        <v>509</v>
      </c>
      <c r="D45" s="51"/>
      <c r="E45" s="48"/>
    </row>
    <row r="46" spans="1:16">
      <c r="A46" s="35">
        <v>45</v>
      </c>
      <c r="B46" s="43" t="s">
        <v>221</v>
      </c>
      <c r="C46" s="39">
        <f>IF(B46="Зеленкевич  Нат.В.",501)</f>
        <v>501</v>
      </c>
      <c r="D46" s="51"/>
      <c r="E46" s="48"/>
    </row>
    <row r="47" spans="1:16">
      <c r="A47" s="35">
        <v>46</v>
      </c>
      <c r="B47" s="43" t="s">
        <v>123</v>
      </c>
      <c r="C47" s="37">
        <f>IF(B47="Зеленкевич  Ник.В.",1083)</f>
        <v>1083</v>
      </c>
      <c r="D47" s="51"/>
      <c r="E47" s="48"/>
    </row>
    <row r="48" spans="1:16">
      <c r="A48" s="35">
        <v>47</v>
      </c>
      <c r="B48" s="43" t="s">
        <v>119</v>
      </c>
      <c r="C48" s="37">
        <f>IF(B48="Зеленко В.Л.",1360)</f>
        <v>1360</v>
      </c>
      <c r="D48" s="51"/>
      <c r="E48" s="48"/>
    </row>
    <row r="49" spans="1:5">
      <c r="A49" s="35">
        <v>48</v>
      </c>
      <c r="B49" s="36" t="s">
        <v>26</v>
      </c>
      <c r="C49" s="37">
        <f>IF(B49="Кадевич О.В.",1379)</f>
        <v>1379</v>
      </c>
      <c r="D49" s="51"/>
      <c r="E49" s="48"/>
    </row>
    <row r="50" spans="1:5">
      <c r="A50" s="35">
        <v>49</v>
      </c>
      <c r="B50" s="43" t="s">
        <v>114</v>
      </c>
      <c r="C50" s="39">
        <f>IF(B50="Каляпина К.А.",1537)</f>
        <v>1537</v>
      </c>
      <c r="D50" s="51"/>
      <c r="E50" s="48"/>
    </row>
    <row r="51" spans="1:5">
      <c r="A51" s="35">
        <v>50</v>
      </c>
      <c r="B51" s="43" t="s">
        <v>92</v>
      </c>
      <c r="C51" s="39">
        <f>IF(B51="Карась А.Н.",2100)</f>
        <v>2100</v>
      </c>
      <c r="D51" s="51"/>
      <c r="E51" s="48"/>
    </row>
    <row r="52" spans="1:5">
      <c r="A52" s="35">
        <v>51</v>
      </c>
      <c r="B52" s="42" t="s">
        <v>224</v>
      </c>
      <c r="C52" s="39">
        <f>IF(B52="Кирилуша С.В.",497)</f>
        <v>497</v>
      </c>
      <c r="D52" s="51"/>
      <c r="E52" s="48"/>
    </row>
    <row r="53" spans="1:5">
      <c r="A53" s="35">
        <v>52</v>
      </c>
      <c r="B53" s="43" t="s">
        <v>17</v>
      </c>
      <c r="C53" s="37">
        <f>IF(B53="Ковалёв Д.А.",1538)</f>
        <v>1538</v>
      </c>
      <c r="D53" s="51"/>
      <c r="E53" s="48"/>
    </row>
    <row r="54" spans="1:5">
      <c r="A54" s="35">
        <v>53</v>
      </c>
      <c r="B54" s="43" t="s">
        <v>217</v>
      </c>
      <c r="C54" s="39">
        <f>IF(B54="Коваль О.Г.",1497)</f>
        <v>1497</v>
      </c>
      <c r="D54" s="51"/>
      <c r="E54" s="48"/>
    </row>
    <row r="55" spans="1:5">
      <c r="A55" s="35">
        <v>54</v>
      </c>
      <c r="B55" s="43" t="s">
        <v>218</v>
      </c>
      <c r="C55" s="37">
        <f>IF(B55="Козаков С.Л.",1404)</f>
        <v>1404</v>
      </c>
      <c r="D55" s="51"/>
      <c r="E55" s="48"/>
    </row>
    <row r="56" spans="1:5">
      <c r="A56" s="35">
        <v>55</v>
      </c>
      <c r="B56" s="36" t="s">
        <v>31</v>
      </c>
      <c r="C56" s="37">
        <f>IF(B56="Комадей Д.В.",1454)</f>
        <v>1454</v>
      </c>
      <c r="D56" s="51"/>
      <c r="E56" s="48"/>
    </row>
    <row r="57" spans="1:5">
      <c r="A57" s="35">
        <v>56</v>
      </c>
      <c r="B57" s="42" t="s">
        <v>204</v>
      </c>
      <c r="C57" s="39">
        <f>IF(B57="Конон Н.В.",2338)</f>
        <v>2338</v>
      </c>
      <c r="D57" s="51"/>
      <c r="E57" s="48"/>
    </row>
    <row r="58" spans="1:5">
      <c r="A58" s="35">
        <v>57</v>
      </c>
      <c r="B58" s="43" t="s">
        <v>109</v>
      </c>
      <c r="C58" s="37">
        <f>IF(B58="Короленко А.В.",532)</f>
        <v>532</v>
      </c>
      <c r="D58" s="51"/>
      <c r="E58" s="48"/>
    </row>
    <row r="59" spans="1:5">
      <c r="A59" s="35">
        <v>58</v>
      </c>
      <c r="B59" s="43" t="s">
        <v>219</v>
      </c>
      <c r="C59" s="37">
        <f>IF(B59="Костин А.М.",1653)</f>
        <v>1653</v>
      </c>
      <c r="D59" s="51"/>
      <c r="E59" s="48"/>
    </row>
    <row r="60" spans="1:5">
      <c r="A60" s="35">
        <v>59</v>
      </c>
      <c r="B60" s="36" t="s">
        <v>24</v>
      </c>
      <c r="C60" s="39">
        <f>IF(B60="Кудревич О.М.",170)</f>
        <v>170</v>
      </c>
      <c r="D60" s="51"/>
      <c r="E60" s="48"/>
    </row>
    <row r="61" spans="1:5">
      <c r="A61" s="35">
        <v>60</v>
      </c>
      <c r="B61" s="42" t="s">
        <v>149</v>
      </c>
      <c r="C61" s="39">
        <f>IF(B61="Кузьбар И.Н.",1637)</f>
        <v>1637</v>
      </c>
      <c r="D61" s="51"/>
      <c r="E61" s="48"/>
    </row>
    <row r="62" spans="1:5">
      <c r="A62" s="35">
        <v>61</v>
      </c>
      <c r="B62" s="43" t="s">
        <v>97</v>
      </c>
      <c r="C62" s="37">
        <f>IF(B62="Курносова О.Ф.",478)</f>
        <v>478</v>
      </c>
      <c r="D62" s="51"/>
      <c r="E62" s="48"/>
    </row>
    <row r="63" spans="1:5">
      <c r="A63" s="35">
        <v>62</v>
      </c>
      <c r="B63" s="43" t="s">
        <v>86</v>
      </c>
      <c r="C63" s="37">
        <f>IF(B63="Кучинская Е.М.",708)</f>
        <v>708</v>
      </c>
      <c r="D63" s="51"/>
      <c r="E63" s="48"/>
    </row>
    <row r="64" spans="1:5">
      <c r="A64" s="35">
        <v>63</v>
      </c>
      <c r="B64" s="43" t="s">
        <v>83</v>
      </c>
      <c r="C64" s="39">
        <f>IF(B64="Лебедев О.Л.",514)</f>
        <v>514</v>
      </c>
      <c r="D64" s="51"/>
      <c r="E64" s="48"/>
    </row>
    <row r="65" spans="1:5">
      <c r="A65" s="35">
        <v>64</v>
      </c>
      <c r="B65" s="43" t="s">
        <v>101</v>
      </c>
      <c r="C65" s="39">
        <f>IF(B65="Ливанович С.В.",536)</f>
        <v>536</v>
      </c>
      <c r="D65" s="51"/>
      <c r="E65" s="48"/>
    </row>
    <row r="66" spans="1:5">
      <c r="A66" s="35">
        <v>65</v>
      </c>
      <c r="B66" s="36" t="s">
        <v>22</v>
      </c>
      <c r="C66" s="37">
        <f>IF(B66="Лысковец А.Н.",1291)</f>
        <v>1291</v>
      </c>
      <c r="D66" s="51"/>
      <c r="E66" s="48"/>
    </row>
    <row r="67" spans="1:5">
      <c r="A67" s="35">
        <v>66</v>
      </c>
      <c r="B67" s="43" t="s">
        <v>197</v>
      </c>
      <c r="C67" s="37">
        <f>IF(B67="Лысковец О.И.",1517)</f>
        <v>1517</v>
      </c>
      <c r="D67" s="51"/>
      <c r="E67" s="48"/>
    </row>
    <row r="68" spans="1:5">
      <c r="A68" s="35">
        <v>67</v>
      </c>
      <c r="B68" s="43" t="s">
        <v>111</v>
      </c>
      <c r="C68" s="37">
        <f>IF(B68="Макатерчик А.Н.",1307)</f>
        <v>1307</v>
      </c>
      <c r="D68" s="51"/>
      <c r="E68" s="48"/>
    </row>
    <row r="69" spans="1:5">
      <c r="A69" s="35">
        <v>68</v>
      </c>
      <c r="B69" s="36" t="s">
        <v>43</v>
      </c>
      <c r="C69" s="37">
        <f>IF(B69="Макрицкий Ю.В.",2108)</f>
        <v>2108</v>
      </c>
      <c r="D69" s="51"/>
      <c r="E69" s="48"/>
    </row>
    <row r="70" spans="1:5">
      <c r="A70" s="35">
        <v>69</v>
      </c>
      <c r="B70" s="43" t="s">
        <v>113</v>
      </c>
      <c r="C70" s="37">
        <f>IF(B70="Маркелов Д.Н.",1675)</f>
        <v>1675</v>
      </c>
      <c r="D70" s="51"/>
      <c r="E70" s="48"/>
    </row>
    <row r="71" spans="1:5">
      <c r="A71" s="35">
        <v>70</v>
      </c>
      <c r="B71" s="43" t="s">
        <v>91</v>
      </c>
      <c r="C71" s="39">
        <f>IF(B71="Мисник Ю.А.",603)</f>
        <v>603</v>
      </c>
      <c r="D71" s="51"/>
      <c r="E71" s="48"/>
    </row>
    <row r="72" spans="1:5">
      <c r="A72" s="35">
        <v>71</v>
      </c>
      <c r="B72" s="36" t="s">
        <v>10</v>
      </c>
      <c r="C72" s="37">
        <f>IF(B72="Михайловская Г.П.",1506)</f>
        <v>1506</v>
      </c>
      <c r="D72" s="51"/>
      <c r="E72" s="48"/>
    </row>
    <row r="73" spans="1:5">
      <c r="A73" s="35">
        <v>72</v>
      </c>
      <c r="B73" s="36" t="s">
        <v>13</v>
      </c>
      <c r="C73" s="37">
        <f>IF(B73="Мишук А.В.",1677)</f>
        <v>1677</v>
      </c>
      <c r="D73" s="51"/>
      <c r="E73" s="48"/>
    </row>
    <row r="74" spans="1:5">
      <c r="A74" s="35">
        <v>73</v>
      </c>
      <c r="B74" s="42" t="s">
        <v>223</v>
      </c>
      <c r="C74" s="39">
        <f>IF(B74="Мишук В.В.",2037)</f>
        <v>2037</v>
      </c>
      <c r="D74" s="51"/>
      <c r="E74" s="48"/>
    </row>
    <row r="75" spans="1:5">
      <c r="A75" s="35">
        <v>74</v>
      </c>
      <c r="B75" s="43" t="s">
        <v>102</v>
      </c>
      <c r="C75" s="37">
        <f>IF(B75="Мишук О.В.",2127)</f>
        <v>2127</v>
      </c>
      <c r="D75" s="51"/>
      <c r="E75" s="48"/>
    </row>
    <row r="76" spans="1:5">
      <c r="A76" s="35">
        <v>75</v>
      </c>
      <c r="B76" s="36" t="s">
        <v>42</v>
      </c>
      <c r="C76" s="37">
        <f>IF(B76="Мишук Р.В.",300)</f>
        <v>300</v>
      </c>
      <c r="D76" s="51"/>
      <c r="E76" s="48"/>
    </row>
    <row r="77" spans="1:5">
      <c r="A77" s="35">
        <v>76</v>
      </c>
      <c r="B77" s="36" t="s">
        <v>67</v>
      </c>
      <c r="C77" s="37">
        <f>IF(B77="Мороз А.П.",1503)</f>
        <v>1503</v>
      </c>
      <c r="D77" s="51"/>
      <c r="E77" s="48"/>
    </row>
    <row r="78" spans="1:5">
      <c r="A78" s="35">
        <v>77</v>
      </c>
      <c r="B78" s="43" t="s">
        <v>207</v>
      </c>
      <c r="C78" s="37">
        <f>IF(B78="Новоселов А.В.",1508)</f>
        <v>1508</v>
      </c>
      <c r="D78" s="51"/>
      <c r="E78" s="48"/>
    </row>
    <row r="79" spans="1:5">
      <c r="A79" s="35">
        <v>78</v>
      </c>
      <c r="B79" s="36" t="s">
        <v>11</v>
      </c>
      <c r="C79" s="37">
        <f>IF(B79="Орловский А.М.",1674)</f>
        <v>1674</v>
      </c>
      <c r="D79" s="51"/>
      <c r="E79" s="48"/>
    </row>
    <row r="80" spans="1:5">
      <c r="A80" s="35">
        <v>79</v>
      </c>
      <c r="B80" s="43" t="s">
        <v>96</v>
      </c>
      <c r="C80" s="37">
        <f>IF(B80="Пантелей А.В.",833)</f>
        <v>833</v>
      </c>
      <c r="D80" s="51"/>
      <c r="E80" s="48"/>
    </row>
    <row r="81" spans="1:5">
      <c r="A81" s="35">
        <v>80</v>
      </c>
      <c r="B81" s="43" t="s">
        <v>117</v>
      </c>
      <c r="C81" s="37">
        <f>IF(B81="Петров В.А.",1393)</f>
        <v>1393</v>
      </c>
      <c r="D81" s="51"/>
      <c r="E81" s="48"/>
    </row>
    <row r="82" spans="1:5">
      <c r="A82" s="35">
        <v>81</v>
      </c>
      <c r="B82" s="43" t="s">
        <v>205</v>
      </c>
      <c r="C82" s="37">
        <f>IF(B82="Петровых В.В.",2255)</f>
        <v>2255</v>
      </c>
      <c r="D82" s="51"/>
      <c r="E82" s="48"/>
    </row>
    <row r="83" spans="1:5">
      <c r="A83" s="35">
        <v>82</v>
      </c>
      <c r="B83" s="43" t="s">
        <v>206</v>
      </c>
      <c r="C83" s="37">
        <f>IF(B83="Поплавский В.И.",255)</f>
        <v>255</v>
      </c>
      <c r="D83" s="51"/>
      <c r="E83" s="48"/>
    </row>
    <row r="84" spans="1:5">
      <c r="A84" s="35">
        <v>83</v>
      </c>
      <c r="B84" s="43" t="s">
        <v>120</v>
      </c>
      <c r="C84" s="39">
        <f>IF(B84="Пресняков Г.В.",1676)</f>
        <v>1676</v>
      </c>
      <c r="D84" s="51"/>
      <c r="E84" s="48"/>
    </row>
    <row r="85" spans="1:5">
      <c r="A85" s="35">
        <v>84</v>
      </c>
      <c r="B85" s="43" t="s">
        <v>93</v>
      </c>
      <c r="C85" s="37">
        <f>IF(B85="Раловец Л.П.",572)</f>
        <v>572</v>
      </c>
      <c r="D85" s="51"/>
      <c r="E85" s="48"/>
    </row>
    <row r="86" spans="1:5">
      <c r="A86" s="35">
        <v>85</v>
      </c>
      <c r="B86" s="43" t="s">
        <v>157</v>
      </c>
      <c r="C86" s="37">
        <f>IF(B86="Романов В.В.",2095)</f>
        <v>2095</v>
      </c>
      <c r="D86" s="51"/>
      <c r="E86" s="48"/>
    </row>
    <row r="87" spans="1:5">
      <c r="A87" s="35">
        <v>86</v>
      </c>
      <c r="B87" s="36" t="s">
        <v>45</v>
      </c>
      <c r="C87" s="37">
        <f>IF(B87="Романчук В.В.",338)</f>
        <v>338</v>
      </c>
      <c r="D87" s="51"/>
      <c r="E87" s="48"/>
    </row>
    <row r="88" spans="1:5">
      <c r="A88" s="35">
        <v>87</v>
      </c>
      <c r="B88" s="43" t="s">
        <v>103</v>
      </c>
      <c r="C88" s="39">
        <f>IF(B88="Ротченкова С.С.",231)</f>
        <v>231</v>
      </c>
      <c r="D88" s="51"/>
      <c r="E88" s="48"/>
    </row>
    <row r="89" spans="1:5">
      <c r="A89" s="35">
        <v>88</v>
      </c>
      <c r="B89" s="43" t="s">
        <v>202</v>
      </c>
      <c r="C89" s="39">
        <f>IF(B89="Рощупкина Л.И.",1608)</f>
        <v>1608</v>
      </c>
      <c r="D89" s="51"/>
      <c r="E89" s="48"/>
    </row>
    <row r="90" spans="1:5">
      <c r="A90" s="35">
        <v>89</v>
      </c>
      <c r="B90" s="43" t="s">
        <v>8</v>
      </c>
      <c r="C90" s="37">
        <f>IF(B90="Рудницкий С.Н.",465)</f>
        <v>465</v>
      </c>
      <c r="D90" s="51"/>
      <c r="E90" s="48"/>
    </row>
    <row r="91" spans="1:5">
      <c r="A91" s="35">
        <v>90</v>
      </c>
      <c r="B91" s="43" t="s">
        <v>220</v>
      </c>
      <c r="C91" s="37">
        <f>IF(B91="Рябов О.С.",462)</f>
        <v>462</v>
      </c>
      <c r="D91" s="51"/>
      <c r="E91" s="48"/>
    </row>
    <row r="92" spans="1:5">
      <c r="A92" s="35">
        <v>91</v>
      </c>
      <c r="B92" s="43" t="s">
        <v>98</v>
      </c>
      <c r="C92" s="39">
        <f>IF(B92="Савельева Н.И.",534)</f>
        <v>534</v>
      </c>
      <c r="D92" s="51"/>
      <c r="E92" s="48"/>
    </row>
    <row r="93" spans="1:5">
      <c r="A93" s="35">
        <v>92</v>
      </c>
      <c r="B93" s="42" t="s">
        <v>150</v>
      </c>
      <c r="C93" s="39">
        <f>IF(B93="Сандульская Л.А.",420)</f>
        <v>420</v>
      </c>
      <c r="D93" s="51"/>
      <c r="E93" s="48"/>
    </row>
    <row r="94" spans="1:5">
      <c r="A94" s="35">
        <v>93</v>
      </c>
      <c r="B94" s="36" t="s">
        <v>20</v>
      </c>
      <c r="C94" s="37">
        <f>IF(B94="Сацук А.Л.",761)</f>
        <v>761</v>
      </c>
      <c r="D94" s="51"/>
      <c r="E94" s="48"/>
    </row>
    <row r="95" spans="1:5">
      <c r="A95" s="35">
        <v>94</v>
      </c>
      <c r="B95" s="43" t="s">
        <v>208</v>
      </c>
      <c r="C95" s="37">
        <f>IF(B95="Сацукевич С.П.",265)</f>
        <v>265</v>
      </c>
      <c r="D95" s="51"/>
      <c r="E95" s="48"/>
    </row>
    <row r="96" spans="1:5">
      <c r="A96" s="35">
        <v>95</v>
      </c>
      <c r="B96" s="43" t="s">
        <v>198</v>
      </c>
      <c r="C96" s="39">
        <f>IF(B96="Свидрицкая В.С.",1256)</f>
        <v>1256</v>
      </c>
      <c r="D96" s="51"/>
      <c r="E96" s="48"/>
    </row>
    <row r="97" spans="1:5">
      <c r="A97" s="35">
        <v>96</v>
      </c>
      <c r="B97" s="43" t="s">
        <v>199</v>
      </c>
      <c r="C97" s="39">
        <f>IF(B97="Серий В.А.",515)</f>
        <v>515</v>
      </c>
      <c r="D97" s="51"/>
      <c r="E97" s="48"/>
    </row>
    <row r="98" spans="1:5">
      <c r="A98" s="35">
        <v>97</v>
      </c>
      <c r="B98" s="43" t="s">
        <v>94</v>
      </c>
      <c r="C98" s="37">
        <f>IF(B98="Симонова Т.В.",519)</f>
        <v>519</v>
      </c>
      <c r="D98" s="51"/>
      <c r="E98" s="48"/>
    </row>
    <row r="99" spans="1:5">
      <c r="A99" s="35">
        <v>98</v>
      </c>
      <c r="B99" s="43" t="s">
        <v>118</v>
      </c>
      <c r="C99" s="37">
        <f>IF(B99="Скачек А.В.",1649)</f>
        <v>1649</v>
      </c>
      <c r="D99" s="51"/>
      <c r="E99" s="48"/>
    </row>
    <row r="100" spans="1:5">
      <c r="A100" s="35">
        <v>99</v>
      </c>
      <c r="B100" s="42" t="s">
        <v>146</v>
      </c>
      <c r="C100" s="37">
        <f>IF(B100="Хомич Н.Н.",589)</f>
        <v>589</v>
      </c>
      <c r="D100" s="51"/>
      <c r="E100" s="48"/>
    </row>
    <row r="101" spans="1:5">
      <c r="A101" s="35">
        <v>100</v>
      </c>
      <c r="B101" s="43" t="s">
        <v>104</v>
      </c>
      <c r="C101" s="37">
        <f>IF(B101="Хомодеев В.В.",2325)</f>
        <v>2325</v>
      </c>
      <c r="D101" s="51"/>
      <c r="E101" s="48"/>
    </row>
    <row r="102" spans="1:5">
      <c r="A102" s="35">
        <v>101</v>
      </c>
      <c r="B102" s="36" t="s">
        <v>28</v>
      </c>
      <c r="C102" s="37">
        <f>IF(B102="Цедрик Т.Н.",1140)</f>
        <v>1140</v>
      </c>
      <c r="D102" s="51"/>
      <c r="E102" s="48"/>
    </row>
    <row r="103" spans="1:5">
      <c r="A103" s="35">
        <v>102</v>
      </c>
      <c r="B103" s="36" t="s">
        <v>30</v>
      </c>
      <c r="C103" s="37">
        <f>IF(B103="Чемеза О.П.",1369)</f>
        <v>1369</v>
      </c>
      <c r="D103" s="51"/>
      <c r="E103" s="48"/>
    </row>
    <row r="104" spans="1:5">
      <c r="A104" s="35">
        <v>103</v>
      </c>
      <c r="B104" s="43" t="s">
        <v>115</v>
      </c>
      <c r="C104" s="37">
        <f>IF(B104="Шаповалов В.А.",1316)</f>
        <v>1316</v>
      </c>
      <c r="D104" s="51"/>
      <c r="E104" s="48"/>
    </row>
    <row r="105" spans="1:5">
      <c r="A105" s="35">
        <v>104</v>
      </c>
      <c r="B105" s="43" t="s">
        <v>209</v>
      </c>
      <c r="C105" s="37">
        <f>IF(B105="Шерий Д.В.",563)</f>
        <v>563</v>
      </c>
      <c r="D105" s="51"/>
      <c r="E105" s="48"/>
    </row>
    <row r="106" spans="1:5">
      <c r="A106" s="35">
        <v>105</v>
      </c>
      <c r="B106" s="43" t="s">
        <v>105</v>
      </c>
      <c r="C106" s="37">
        <f>IF(B106="Ясинский В.С.",70)</f>
        <v>70</v>
      </c>
      <c r="D106" s="51"/>
      <c r="E106" s="48"/>
    </row>
    <row r="107" spans="1:5">
      <c r="A107" s="35">
        <v>106</v>
      </c>
      <c r="D107" s="51"/>
      <c r="E107" s="48"/>
    </row>
    <row r="108" spans="1:5">
      <c r="A108" s="35">
        <v>107</v>
      </c>
      <c r="B108" s="36"/>
      <c r="C108" s="37"/>
      <c r="D108" s="51"/>
      <c r="E108" s="48"/>
    </row>
    <row r="109" spans="1:5">
      <c r="A109" s="35">
        <v>108</v>
      </c>
      <c r="D109" s="51"/>
      <c r="E109" s="48"/>
    </row>
    <row r="110" spans="1:5">
      <c r="A110" s="35">
        <v>109</v>
      </c>
      <c r="D110" s="51"/>
      <c r="E110" s="48"/>
    </row>
    <row r="111" spans="1:5">
      <c r="A111" s="35">
        <v>110</v>
      </c>
      <c r="D111" s="51"/>
      <c r="E111" s="48"/>
    </row>
    <row r="112" spans="1:5">
      <c r="A112" s="35">
        <v>111</v>
      </c>
      <c r="D112" s="51"/>
      <c r="E112" s="48"/>
    </row>
    <row r="113" spans="1:5">
      <c r="A113" s="35">
        <v>112</v>
      </c>
      <c r="D113" s="51"/>
      <c r="E113" s="48"/>
    </row>
    <row r="114" spans="1:5">
      <c r="A114" s="35">
        <v>113</v>
      </c>
      <c r="D114" s="51"/>
      <c r="E114" s="48"/>
    </row>
    <row r="115" spans="1:5">
      <c r="A115" s="35">
        <v>114</v>
      </c>
      <c r="D115" s="51"/>
      <c r="E115" s="48"/>
    </row>
    <row r="116" spans="1:5">
      <c r="A116" s="35">
        <v>115</v>
      </c>
      <c r="D116" s="51"/>
      <c r="E116" s="48"/>
    </row>
    <row r="117" spans="1:5">
      <c r="A117" s="35">
        <v>116</v>
      </c>
      <c r="D117" s="51"/>
      <c r="E117" s="48"/>
    </row>
    <row r="118" spans="1:5">
      <c r="A118" s="35">
        <v>117</v>
      </c>
      <c r="D118" s="51"/>
      <c r="E118" s="48"/>
    </row>
    <row r="119" spans="1:5">
      <c r="A119" s="35">
        <v>118</v>
      </c>
      <c r="D119" s="51"/>
      <c r="E119" s="48"/>
    </row>
    <row r="120" spans="1:5">
      <c r="A120" s="35">
        <v>119</v>
      </c>
      <c r="D120" s="51"/>
      <c r="E120" s="48"/>
    </row>
    <row r="121" spans="1:5">
      <c r="A121" s="35">
        <v>120</v>
      </c>
      <c r="D121" s="51"/>
      <c r="E121" s="48"/>
    </row>
    <row r="122" spans="1:5">
      <c r="A122" s="35">
        <v>121</v>
      </c>
      <c r="D122" s="51"/>
      <c r="E122" s="48"/>
    </row>
    <row r="123" spans="1:5">
      <c r="A123" s="35">
        <v>122</v>
      </c>
      <c r="D123" s="51"/>
      <c r="E123" s="48"/>
    </row>
    <row r="124" spans="1:5">
      <c r="A124" s="35">
        <v>123</v>
      </c>
      <c r="D124" s="51"/>
      <c r="E124" s="48"/>
    </row>
    <row r="125" spans="1:5">
      <c r="A125" s="35">
        <v>124</v>
      </c>
      <c r="D125" s="51"/>
      <c r="E125" s="48"/>
    </row>
    <row r="126" spans="1:5">
      <c r="A126" s="35">
        <v>125</v>
      </c>
      <c r="D126" s="51"/>
      <c r="E126" s="48"/>
    </row>
    <row r="127" spans="1:5">
      <c r="A127" s="35">
        <v>126</v>
      </c>
      <c r="D127" s="51"/>
      <c r="E127" s="48"/>
    </row>
    <row r="128" spans="1:5">
      <c r="A128" s="35">
        <v>127</v>
      </c>
      <c r="D128" s="51"/>
      <c r="E128" s="48"/>
    </row>
    <row r="129" spans="1:5">
      <c r="A129" s="35">
        <v>128</v>
      </c>
      <c r="D129" s="51"/>
      <c r="E129" s="48"/>
    </row>
    <row r="130" spans="1:5">
      <c r="A130" s="35">
        <v>129</v>
      </c>
      <c r="D130" s="51"/>
      <c r="E130" s="48"/>
    </row>
    <row r="131" spans="1:5">
      <c r="A131" s="35">
        <v>130</v>
      </c>
      <c r="D131" s="51"/>
      <c r="E131" s="48"/>
    </row>
    <row r="132" spans="1:5">
      <c r="A132" s="35">
        <v>131</v>
      </c>
      <c r="D132" s="51"/>
      <c r="E132" s="48"/>
    </row>
    <row r="133" spans="1:5">
      <c r="A133" s="35">
        <v>132</v>
      </c>
      <c r="D133" s="51"/>
      <c r="E133" s="48"/>
    </row>
    <row r="134" spans="1:5">
      <c r="A134" s="35">
        <v>133</v>
      </c>
      <c r="D134" s="51"/>
      <c r="E134" s="48"/>
    </row>
    <row r="135" spans="1:5">
      <c r="A135" s="35">
        <v>134</v>
      </c>
      <c r="D135" s="51"/>
      <c r="E135" s="48"/>
    </row>
    <row r="136" spans="1:5">
      <c r="A136" s="35">
        <v>135</v>
      </c>
      <c r="D136" s="51"/>
      <c r="E136" s="48"/>
    </row>
    <row r="137" spans="1:5">
      <c r="A137" s="35">
        <v>136</v>
      </c>
      <c r="D137" s="51"/>
      <c r="E137" s="48"/>
    </row>
    <row r="138" spans="1:5">
      <c r="A138" s="35">
        <v>137</v>
      </c>
      <c r="D138" s="51"/>
      <c r="E138" s="48"/>
    </row>
    <row r="139" spans="1:5">
      <c r="A139" s="35">
        <v>138</v>
      </c>
      <c r="D139" s="51"/>
      <c r="E139" s="48"/>
    </row>
    <row r="140" spans="1:5">
      <c r="A140" s="35">
        <v>139</v>
      </c>
      <c r="D140" s="51"/>
      <c r="E140" s="48"/>
    </row>
    <row r="141" spans="1:5">
      <c r="A141" s="35">
        <v>140</v>
      </c>
      <c r="D141" s="51"/>
      <c r="E141" s="48"/>
    </row>
    <row r="142" spans="1:5">
      <c r="A142" s="35">
        <v>141</v>
      </c>
      <c r="D142" s="51"/>
      <c r="E142" s="48"/>
    </row>
    <row r="143" spans="1:5">
      <c r="A143" s="35">
        <v>142</v>
      </c>
      <c r="D143" s="51"/>
      <c r="E143" s="48"/>
    </row>
    <row r="144" spans="1:5">
      <c r="A144" s="35">
        <v>143</v>
      </c>
      <c r="D144" s="51"/>
      <c r="E144" s="48"/>
    </row>
    <row r="145" spans="1:5">
      <c r="A145" s="35">
        <v>144</v>
      </c>
      <c r="D145" s="51"/>
      <c r="E145" s="48"/>
    </row>
    <row r="146" spans="1:5">
      <c r="A146" s="35">
        <v>145</v>
      </c>
      <c r="D146" s="51"/>
      <c r="E146" s="48"/>
    </row>
    <row r="147" spans="1:5">
      <c r="A147" s="35">
        <v>146</v>
      </c>
      <c r="D147" s="51"/>
      <c r="E147" s="48"/>
    </row>
    <row r="148" spans="1:5">
      <c r="A148" s="35">
        <v>147</v>
      </c>
      <c r="D148" s="51"/>
      <c r="E148" s="48"/>
    </row>
    <row r="149" spans="1:5">
      <c r="A149" s="35">
        <v>148</v>
      </c>
      <c r="D149" s="51"/>
      <c r="E149" s="48"/>
    </row>
    <row r="150" spans="1:5">
      <c r="A150" s="35">
        <v>149</v>
      </c>
      <c r="D150" s="51"/>
      <c r="E150" s="48"/>
    </row>
    <row r="151" spans="1:5">
      <c r="A151" s="35">
        <v>150</v>
      </c>
      <c r="D151" s="51"/>
      <c r="E151" s="48"/>
    </row>
  </sheetData>
  <sheetProtection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Останов</vt:lpstr>
      <vt:lpstr>Список</vt:lpstr>
      <vt:lpstr>№</vt:lpstr>
      <vt:lpstr>Ед.изм</vt:lpstr>
      <vt:lpstr>Знаки</vt:lpstr>
      <vt:lpstr>Мастера</vt:lpstr>
      <vt:lpstr>Месяц</vt:lpstr>
      <vt:lpstr>Наряды</vt:lpstr>
      <vt:lpstr>Останов!Область_печати</vt:lpstr>
      <vt:lpstr>Профессия</vt:lpstr>
      <vt:lpstr>Прочее</vt:lpstr>
      <vt:lpstr>Таб.№</vt:lpstr>
      <vt:lpstr>ФИО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subject/>
  <dc:creator/>
  <dc:description>Для общего пользования. Версия 1.3</dc:description>
  <cp:lastModifiedBy/>
  <dcterms:created xsi:type="dcterms:W3CDTF">2006-09-28T05:33:49Z</dcterms:created>
  <dcterms:modified xsi:type="dcterms:W3CDTF">2015-03-23T12:18:43Z</dcterms:modified>
</cp:coreProperties>
</file>