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5480" windowHeight="8196" tabRatio="410"/>
  </bookViews>
  <sheets>
    <sheet name="Админ Офсет" sheetId="4" r:id="rId1"/>
  </sheets>
  <calcPr calcId="114210"/>
</workbook>
</file>

<file path=xl/calcChain.xml><?xml version="1.0" encoding="utf-8"?>
<calcChain xmlns="http://schemas.openxmlformats.org/spreadsheetml/2006/main">
  <c r="F43" i="4"/>
  <c r="F42"/>
  <c r="F40"/>
  <c r="F39"/>
  <c r="D47"/>
  <c r="D45"/>
  <c r="D39"/>
  <c r="D40"/>
  <c r="D41"/>
  <c r="D37"/>
  <c r="H9"/>
  <c r="B54"/>
  <c r="C57"/>
  <c r="C58"/>
  <c r="C59"/>
  <c r="C61"/>
  <c r="C65"/>
  <c r="C63"/>
  <c r="D54"/>
  <c r="E57"/>
  <c r="E58"/>
  <c r="E59"/>
  <c r="E61"/>
  <c r="E65"/>
  <c r="E63"/>
  <c r="F54"/>
  <c r="G57"/>
  <c r="G58"/>
  <c r="G59"/>
  <c r="G61"/>
  <c r="G65"/>
  <c r="G63"/>
  <c r="H54"/>
  <c r="I57"/>
  <c r="I58"/>
  <c r="I59"/>
  <c r="I61"/>
  <c r="I65"/>
  <c r="I63"/>
  <c r="I67"/>
  <c r="D38"/>
  <c r="I62"/>
  <c r="G62"/>
  <c r="E62"/>
  <c r="H15"/>
  <c r="H33"/>
  <c r="H27"/>
  <c r="H21"/>
  <c r="B15"/>
  <c r="C15"/>
  <c r="D15"/>
  <c r="E16"/>
  <c r="B16"/>
  <c r="C16"/>
  <c r="D16"/>
  <c r="B17"/>
  <c r="C17"/>
  <c r="D17"/>
  <c r="B18"/>
  <c r="C18"/>
  <c r="D18"/>
  <c r="B19"/>
  <c r="C19"/>
  <c r="D19"/>
  <c r="E10"/>
  <c r="B10"/>
  <c r="C10"/>
  <c r="D10"/>
  <c r="B9"/>
  <c r="C9"/>
  <c r="D9"/>
  <c r="B11"/>
  <c r="C11"/>
  <c r="D11"/>
  <c r="B12"/>
  <c r="C12"/>
  <c r="D12"/>
  <c r="B13"/>
  <c r="C13"/>
  <c r="D13"/>
  <c r="D35"/>
  <c r="C62"/>
  <c r="C34"/>
  <c r="D34"/>
  <c r="B36"/>
  <c r="C36"/>
  <c r="D36"/>
  <c r="B33"/>
  <c r="D33"/>
  <c r="B21"/>
  <c r="C21"/>
  <c r="D21"/>
  <c r="E22"/>
  <c r="B22"/>
  <c r="C22"/>
  <c r="D22"/>
  <c r="B23"/>
  <c r="C23"/>
  <c r="D23"/>
  <c r="B24"/>
  <c r="C24"/>
  <c r="D24"/>
  <c r="B25"/>
  <c r="C25"/>
  <c r="D25"/>
  <c r="B31"/>
  <c r="C31"/>
  <c r="C29"/>
  <c r="C27"/>
  <c r="D31"/>
  <c r="B27"/>
  <c r="D27"/>
  <c r="E28"/>
  <c r="B28"/>
  <c r="C28"/>
  <c r="D28"/>
  <c r="B29"/>
  <c r="D29"/>
  <c r="B30"/>
  <c r="C30"/>
  <c r="D30"/>
  <c r="D46"/>
  <c r="G9"/>
  <c r="J38"/>
  <c r="J39"/>
  <c r="J40"/>
  <c r="J41"/>
  <c r="J42"/>
  <c r="J43"/>
  <c r="J44"/>
  <c r="J45"/>
  <c r="I46"/>
  <c r="J46"/>
  <c r="J47"/>
  <c r="J48"/>
  <c r="J49"/>
  <c r="D42"/>
  <c r="I35"/>
  <c r="I29"/>
  <c r="I23"/>
  <c r="I17"/>
  <c r="D43"/>
  <c r="E43"/>
  <c r="E44"/>
  <c r="D44"/>
  <c r="C38"/>
  <c r="C37"/>
  <c r="B37"/>
</calcChain>
</file>

<file path=xl/comments1.xml><?xml version="1.0" encoding="utf-8"?>
<comments xmlns="http://schemas.openxmlformats.org/spreadsheetml/2006/main">
  <authors>
    <author>Quinteza</author>
  </authors>
  <commentList>
    <comment ref="E12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 после расчетов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 после расчетов</t>
        </r>
      </text>
    </comment>
    <comment ref="E24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</t>
        </r>
      </text>
    </comment>
    <comment ref="E25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 после расчетов</t>
        </r>
      </text>
    </comment>
    <comment ref="E30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</t>
        </r>
      </text>
    </comment>
    <comment ref="E31" authorId="0">
      <text>
        <r>
          <rPr>
            <b/>
            <sz val="8"/>
            <color indexed="81"/>
            <rFont val="Tahoma"/>
            <family val="2"/>
            <charset val="204"/>
          </rPr>
          <t>Откоректировать потом после расчетов</t>
        </r>
      </text>
    </comment>
  </commentList>
</comments>
</file>

<file path=xl/sharedStrings.xml><?xml version="1.0" encoding="utf-8"?>
<sst xmlns="http://schemas.openxmlformats.org/spreadsheetml/2006/main" count="187" uniqueCount="120">
  <si>
    <t>Доставка 10000 руб</t>
  </si>
  <si>
    <t>Новый файл для расчетов</t>
  </si>
  <si>
    <t>количество</t>
  </si>
  <si>
    <t>Цена</t>
  </si>
  <si>
    <t>Сумма</t>
  </si>
  <si>
    <t>Норма</t>
  </si>
  <si>
    <t>Примеч.</t>
  </si>
  <si>
    <t>без бумаги</t>
  </si>
  <si>
    <t>Бумага</t>
  </si>
  <si>
    <t>Бумага.см</t>
  </si>
  <si>
    <t>Брак</t>
  </si>
  <si>
    <t>листов</t>
  </si>
  <si>
    <t>тираж</t>
  </si>
  <si>
    <t xml:space="preserve">На листе </t>
  </si>
  <si>
    <t>Краска цвет</t>
  </si>
  <si>
    <t>Тираж</t>
  </si>
  <si>
    <t>Лакировка</t>
  </si>
  <si>
    <t>Электричество</t>
  </si>
  <si>
    <t>Лицо цвет</t>
  </si>
  <si>
    <t>Аренда+тепло</t>
  </si>
  <si>
    <t>Оборот</t>
  </si>
  <si>
    <t>Транспорт</t>
  </si>
  <si>
    <t>Курс $ ЦБ+3%</t>
  </si>
  <si>
    <t>Кредиты</t>
  </si>
  <si>
    <t>Курс Е ЦБ+3%</t>
  </si>
  <si>
    <t>Амортизация</t>
  </si>
  <si>
    <t>кол-во</t>
  </si>
  <si>
    <t>Зар. Плата</t>
  </si>
  <si>
    <t>Резка, кол-во на листе</t>
  </si>
  <si>
    <t>Рентабельность</t>
  </si>
  <si>
    <t>Фальцовка 1фальц</t>
  </si>
  <si>
    <t>Накладные расходы</t>
  </si>
  <si>
    <t>Биговка, кол-во</t>
  </si>
  <si>
    <t>ИТОГО:</t>
  </si>
  <si>
    <t>Сшивка 1 скоба</t>
  </si>
  <si>
    <t xml:space="preserve"> </t>
  </si>
  <si>
    <t>Листоподбор</t>
  </si>
  <si>
    <t>За шт.</t>
  </si>
  <si>
    <t>КБС с обрезкой 3х ст.</t>
  </si>
  <si>
    <t>зарплата печатника с помощником /без</t>
  </si>
  <si>
    <t>Подбор листов на КБС</t>
  </si>
  <si>
    <t>Высечка да/нет</t>
  </si>
  <si>
    <t>Пружина (колец.)</t>
  </si>
  <si>
    <t>Штамп</t>
  </si>
  <si>
    <t>Ламинирование А2</t>
  </si>
  <si>
    <t>цветная</t>
  </si>
  <si>
    <t>УФ лак</t>
  </si>
  <si>
    <t>Скорость печати</t>
  </si>
  <si>
    <t>Время на подготовку</t>
  </si>
  <si>
    <t xml:space="preserve">Время на печать </t>
  </si>
  <si>
    <t>Количество печатников</t>
  </si>
  <si>
    <t>Количество укладчиков</t>
  </si>
  <si>
    <t>Время на подборку</t>
  </si>
  <si>
    <t>Количество подборщиков</t>
  </si>
  <si>
    <t>Итого время исполнения заказа</t>
  </si>
  <si>
    <t>Итого З.П</t>
  </si>
  <si>
    <t>З.П  ИТР в час</t>
  </si>
  <si>
    <t>Всего З.П ИТР</t>
  </si>
  <si>
    <t>гр/м2</t>
  </si>
  <si>
    <t>Ширина</t>
  </si>
  <si>
    <t>Формы метал пластины</t>
  </si>
  <si>
    <t>Длина</t>
  </si>
  <si>
    <t>А3</t>
  </si>
  <si>
    <t>Листы</t>
  </si>
  <si>
    <t>Х на Х</t>
  </si>
  <si>
    <t>На листе</t>
  </si>
  <si>
    <t>Формат</t>
  </si>
  <si>
    <t>8x4</t>
  </si>
  <si>
    <t>А8</t>
  </si>
  <si>
    <t>52x74</t>
  </si>
  <si>
    <t>4x4</t>
  </si>
  <si>
    <t>А7</t>
  </si>
  <si>
    <t>74x105</t>
  </si>
  <si>
    <t>2x4</t>
  </si>
  <si>
    <t>А6</t>
  </si>
  <si>
    <t>105x148</t>
  </si>
  <si>
    <t>2x2</t>
  </si>
  <si>
    <t>А5</t>
  </si>
  <si>
    <t>148x210</t>
  </si>
  <si>
    <t>З.П печатников 25т.р.</t>
  </si>
  <si>
    <t>2x1</t>
  </si>
  <si>
    <t>А4</t>
  </si>
  <si>
    <t>210x297</t>
  </si>
  <si>
    <t>З.П укладчиков 10т.р.</t>
  </si>
  <si>
    <t>297x420</t>
  </si>
  <si>
    <t>7x3</t>
  </si>
  <si>
    <t>визитки</t>
  </si>
  <si>
    <t>50x90</t>
  </si>
  <si>
    <t>3x2</t>
  </si>
  <si>
    <t>флаер</t>
  </si>
  <si>
    <t>100x210</t>
  </si>
  <si>
    <t>З.П подборщиков 10т.р.</t>
  </si>
  <si>
    <t>6x2</t>
  </si>
  <si>
    <t>70x150</t>
  </si>
  <si>
    <t>6x3</t>
  </si>
  <si>
    <t>календарь</t>
  </si>
  <si>
    <t>70x100</t>
  </si>
  <si>
    <t>0,297*0,420*65гр*500листов:1000=4-05 кг</t>
  </si>
  <si>
    <t>Прайс цен 04.04.14</t>
  </si>
  <si>
    <t>Азиатка</t>
  </si>
  <si>
    <t>Карпов</t>
  </si>
  <si>
    <t>Европейка</t>
  </si>
  <si>
    <t>Мелованая 90 гр/м2</t>
  </si>
  <si>
    <t>Мелованая 115 - 150 гр/м2</t>
  </si>
  <si>
    <t>Мелованая 200-300 гр/м2</t>
  </si>
  <si>
    <t>Т/евро</t>
  </si>
  <si>
    <t>Писчья 190 гр/м2</t>
  </si>
  <si>
    <t>кол-во резов</t>
  </si>
  <si>
    <t>Прибыль</t>
  </si>
  <si>
    <t>Блок 1</t>
  </si>
  <si>
    <t>Блок 2</t>
  </si>
  <si>
    <t xml:space="preserve"> Работа расчет</t>
  </si>
  <si>
    <t>Блок 3</t>
  </si>
  <si>
    <t>Блок 4</t>
  </si>
  <si>
    <t>СО если да=2</t>
  </si>
  <si>
    <t>Прочее</t>
  </si>
  <si>
    <t>Итого ЗП</t>
  </si>
  <si>
    <t xml:space="preserve"> На А3+</t>
  </si>
  <si>
    <t>Всего бумаги</t>
  </si>
  <si>
    <t>Нужно что бы тут формула преобразовывала из верхнего слова ложь - число 1 и истина число -2 когда ставишь флаг</t>
  </si>
</sst>
</file>

<file path=xl/styles.xml><?xml version="1.0" encoding="utf-8"?>
<styleSheet xmlns="http://schemas.openxmlformats.org/spreadsheetml/2006/main">
  <numFmts count="17">
    <numFmt numFmtId="7" formatCode="#,##0.00&quot;р.&quot;;\-#,##0.00&quot;р.&quot;"/>
    <numFmt numFmtId="164" formatCode="_-* #,##0.00&quot;р.&quot;_-;\-* #,##0.00&quot;р.&quot;_-;_-* \-??&quot;р.&quot;_-;_-@_-"/>
    <numFmt numFmtId="165" formatCode="_-* #,##0&quot;р.&quot;_-;\-* #,##0&quot;р.&quot;_-;_-* &quot;-р.&quot;_-;_-@_-"/>
    <numFmt numFmtId="166" formatCode="_-* #,##0.00&quot;р.&quot;_-;\-* #,##0.00&quot;р.&quot;_-;_-* &quot;-р.&quot;_-;_-@_-"/>
    <numFmt numFmtId="167" formatCode="#,##0.00&quot;р.&quot;"/>
    <numFmt numFmtId="168" formatCode="[$$-409]#,##0.0"/>
    <numFmt numFmtId="169" formatCode="[$$-409]#,##0"/>
    <numFmt numFmtId="170" formatCode="#,##0.0&quot;р.&quot;;\-#,##0.0&quot;р.&quot;"/>
    <numFmt numFmtId="171" formatCode="#,##0.000&quot;р.&quot;"/>
    <numFmt numFmtId="172" formatCode="_-* #,##0&quot;р.&quot;_-;\-* #,##0&quot;р.&quot;_-;_-* \-??&quot;р.&quot;_-;_-@_-"/>
    <numFmt numFmtId="173" formatCode="[$$-409]#,##0.000"/>
    <numFmt numFmtId="174" formatCode="_-* #,##0.00_р_._-;\-* #,##0.00_р_._-;_-* \-??_р_._-;_-@_-"/>
    <numFmt numFmtId="175" formatCode="_-* #,##0[$р.-419]_-;\-* #,##0[$р.-419]_-;_-* \-??[$р.-419]_-;_-@_-"/>
    <numFmt numFmtId="176" formatCode="#,##0&quot;р.&quot;"/>
    <numFmt numFmtId="177" formatCode="#,##0.0&quot;р.&quot;"/>
    <numFmt numFmtId="178" formatCode="#,##0.00\ [$€-1]"/>
    <numFmt numFmtId="179" formatCode="#,##0.0\ [$€-1]"/>
  </numFmts>
  <fonts count="22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0"/>
      <color indexed="10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9"/>
      <name val="Arial"/>
      <family val="2"/>
      <charset val="204"/>
    </font>
    <font>
      <sz val="10"/>
      <color indexed="57"/>
      <name val="Arial"/>
      <family val="2"/>
      <charset val="204"/>
    </font>
    <font>
      <sz val="10"/>
      <name val="Bitstream Charter"/>
      <family val="1"/>
      <charset val="1"/>
    </font>
    <font>
      <sz val="10"/>
      <color indexed="48"/>
      <name val="Arial"/>
      <family val="2"/>
      <charset val="204"/>
    </font>
    <font>
      <b/>
      <sz val="10"/>
      <name val="Arial"/>
      <family val="2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48"/>
      </left>
      <right style="thin">
        <color indexed="64"/>
      </right>
      <top style="thick">
        <color indexed="48"/>
      </top>
      <bottom style="thick">
        <color indexed="48"/>
      </bottom>
      <diagonal/>
    </border>
    <border>
      <left style="thin">
        <color indexed="64"/>
      </left>
      <right style="thin">
        <color indexed="64"/>
      </right>
      <top style="thick">
        <color indexed="4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ill="0" applyBorder="0" applyAlignment="0" applyProtection="0"/>
    <xf numFmtId="9" fontId="4" fillId="0" borderId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7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3" borderId="2" xfId="0" applyFont="1" applyFill="1" applyBorder="1"/>
    <xf numFmtId="166" fontId="4" fillId="3" borderId="2" xfId="1" applyNumberFormat="1" applyFont="1" applyFill="1" applyBorder="1" applyAlignment="1" applyProtection="1">
      <alignment horizontal="right"/>
    </xf>
    <xf numFmtId="0" fontId="3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3" fillId="4" borderId="2" xfId="0" applyFont="1" applyFill="1" applyBorder="1"/>
    <xf numFmtId="0" fontId="4" fillId="0" borderId="7" xfId="0" applyFont="1" applyBorder="1"/>
    <xf numFmtId="1" fontId="3" fillId="4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0" borderId="2" xfId="0" applyFont="1" applyFill="1" applyBorder="1" applyAlignment="1">
      <alignment horizontal="center"/>
    </xf>
    <xf numFmtId="166" fontId="6" fillId="4" borderId="2" xfId="0" applyNumberFormat="1" applyFont="1" applyFill="1" applyBorder="1"/>
    <xf numFmtId="0" fontId="4" fillId="0" borderId="2" xfId="0" applyFont="1" applyFill="1" applyBorder="1"/>
    <xf numFmtId="0" fontId="4" fillId="0" borderId="0" xfId="0" applyFont="1" applyFill="1" applyBorder="1"/>
    <xf numFmtId="170" fontId="4" fillId="3" borderId="2" xfId="0" applyNumberFormat="1" applyFont="1" applyFill="1" applyBorder="1" applyAlignment="1">
      <alignment horizontal="center"/>
    </xf>
    <xf numFmtId="167" fontId="4" fillId="3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Border="1"/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5" borderId="2" xfId="0" applyFont="1" applyFill="1" applyBorder="1"/>
    <xf numFmtId="2" fontId="4" fillId="5" borderId="2" xfId="0" applyNumberFormat="1" applyFont="1" applyFill="1" applyBorder="1" applyAlignment="1">
      <alignment horizontal="center"/>
    </xf>
    <xf numFmtId="166" fontId="4" fillId="5" borderId="2" xfId="1" applyNumberFormat="1" applyFont="1" applyFill="1" applyBorder="1" applyAlignment="1" applyProtection="1">
      <alignment horizontal="right"/>
    </xf>
    <xf numFmtId="0" fontId="6" fillId="6" borderId="2" xfId="0" applyFont="1" applyFill="1" applyBorder="1" applyAlignment="1">
      <alignment horizontal="center"/>
    </xf>
    <xf numFmtId="0" fontId="6" fillId="0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0" fontId="9" fillId="0" borderId="8" xfId="0" applyFont="1" applyBorder="1"/>
    <xf numFmtId="2" fontId="10" fillId="0" borderId="14" xfId="0" applyNumberFormat="1" applyFont="1" applyBorder="1" applyAlignment="1">
      <alignment horizontal="center" wrapText="1"/>
    </xf>
    <xf numFmtId="0" fontId="9" fillId="0" borderId="15" xfId="0" applyFont="1" applyBorder="1"/>
    <xf numFmtId="0" fontId="3" fillId="2" borderId="2" xfId="0" applyFont="1" applyFill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9" fillId="0" borderId="10" xfId="0" applyFont="1" applyBorder="1"/>
    <xf numFmtId="0" fontId="0" fillId="2" borderId="0" xfId="0" applyFill="1"/>
    <xf numFmtId="0" fontId="4" fillId="2" borderId="10" xfId="0" applyFont="1" applyFill="1" applyBorder="1" applyAlignment="1"/>
    <xf numFmtId="0" fontId="4" fillId="5" borderId="2" xfId="0" applyFont="1" applyFill="1" applyBorder="1" applyAlignment="1">
      <alignment horizontal="center"/>
    </xf>
    <xf numFmtId="1" fontId="11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5" borderId="0" xfId="0" applyFill="1"/>
    <xf numFmtId="0" fontId="3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8" fontId="3" fillId="7" borderId="2" xfId="0" applyNumberFormat="1" applyFont="1" applyFill="1" applyBorder="1" applyAlignment="1">
      <alignment horizontal="center"/>
    </xf>
    <xf numFmtId="169" fontId="3" fillId="7" borderId="2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7" fontId="4" fillId="7" borderId="2" xfId="0" applyNumberFormat="1" applyFont="1" applyFill="1" applyBorder="1" applyAlignment="1">
      <alignment horizontal="center"/>
    </xf>
    <xf numFmtId="167" fontId="4" fillId="7" borderId="2" xfId="0" applyNumberFormat="1" applyFont="1" applyFill="1" applyBorder="1" applyAlignment="1">
      <alignment horizontal="center"/>
    </xf>
    <xf numFmtId="172" fontId="4" fillId="7" borderId="2" xfId="0" applyNumberFormat="1" applyFont="1" applyFill="1" applyBorder="1" applyAlignment="1">
      <alignment horizontal="center"/>
    </xf>
    <xf numFmtId="174" fontId="4" fillId="7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0" fillId="2" borderId="2" xfId="0" applyFill="1" applyBorder="1"/>
    <xf numFmtId="166" fontId="4" fillId="5" borderId="2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177" fontId="4" fillId="5" borderId="2" xfId="1" applyNumberFormat="1" applyFont="1" applyFill="1" applyBorder="1" applyAlignment="1" applyProtection="1">
      <alignment horizontal="right"/>
    </xf>
    <xf numFmtId="178" fontId="3" fillId="7" borderId="2" xfId="0" applyNumberFormat="1" applyFont="1" applyFill="1" applyBorder="1" applyAlignment="1">
      <alignment horizontal="center"/>
    </xf>
    <xf numFmtId="179" fontId="3" fillId="7" borderId="2" xfId="0" applyNumberFormat="1" applyFont="1" applyFill="1" applyBorder="1" applyAlignment="1">
      <alignment horizontal="center"/>
    </xf>
    <xf numFmtId="0" fontId="4" fillId="8" borderId="2" xfId="0" applyFont="1" applyFill="1" applyBorder="1"/>
    <xf numFmtId="2" fontId="4" fillId="8" borderId="2" xfId="0" applyNumberFormat="1" applyFont="1" applyFill="1" applyBorder="1" applyAlignment="1">
      <alignment horizontal="center"/>
    </xf>
    <xf numFmtId="166" fontId="4" fillId="8" borderId="2" xfId="1" applyNumberFormat="1" applyFont="1" applyFill="1" applyBorder="1" applyAlignment="1" applyProtection="1">
      <alignment horizontal="right"/>
    </xf>
    <xf numFmtId="166" fontId="4" fillId="8" borderId="2" xfId="1" applyNumberFormat="1" applyFont="1" applyFill="1" applyBorder="1" applyAlignment="1" applyProtection="1"/>
    <xf numFmtId="2" fontId="4" fillId="8" borderId="2" xfId="0" applyNumberFormat="1" applyFont="1" applyFill="1" applyBorder="1"/>
    <xf numFmtId="2" fontId="3" fillId="8" borderId="2" xfId="0" applyNumberFormat="1" applyFont="1" applyFill="1" applyBorder="1" applyAlignment="1">
      <alignment horizontal="center"/>
    </xf>
    <xf numFmtId="9" fontId="4" fillId="8" borderId="2" xfId="2" applyFont="1" applyFill="1" applyBorder="1" applyAlignment="1" applyProtection="1">
      <alignment horizontal="center"/>
    </xf>
    <xf numFmtId="0" fontId="4" fillId="8" borderId="2" xfId="0" applyFont="1" applyFill="1" applyBorder="1" applyAlignment="1">
      <alignment horizontal="center"/>
    </xf>
    <xf numFmtId="0" fontId="6" fillId="8" borderId="2" xfId="0" applyFont="1" applyFill="1" applyBorder="1"/>
    <xf numFmtId="166" fontId="4" fillId="8" borderId="3" xfId="0" applyNumberFormat="1" applyFont="1" applyFill="1" applyBorder="1"/>
    <xf numFmtId="166" fontId="4" fillId="8" borderId="2" xfId="0" applyNumberFormat="1" applyFont="1" applyFill="1" applyBorder="1"/>
    <xf numFmtId="0" fontId="4" fillId="8" borderId="16" xfId="0" applyFont="1" applyFill="1" applyBorder="1"/>
    <xf numFmtId="0" fontId="4" fillId="8" borderId="17" xfId="0" applyNumberFormat="1" applyFont="1" applyFill="1" applyBorder="1" applyAlignment="1">
      <alignment horizontal="center"/>
    </xf>
    <xf numFmtId="0" fontId="4" fillId="8" borderId="18" xfId="0" applyFont="1" applyFill="1" applyBorder="1"/>
    <xf numFmtId="171" fontId="4" fillId="8" borderId="2" xfId="0" applyNumberFormat="1" applyFont="1" applyFill="1" applyBorder="1"/>
    <xf numFmtId="173" fontId="4" fillId="8" borderId="2" xfId="0" applyNumberFormat="1" applyFont="1" applyFill="1" applyBorder="1" applyAlignment="1">
      <alignment horizontal="center"/>
    </xf>
    <xf numFmtId="175" fontId="6" fillId="8" borderId="2" xfId="0" applyNumberFormat="1" applyFont="1" applyFill="1" applyBorder="1"/>
    <xf numFmtId="175" fontId="14" fillId="8" borderId="2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2" fontId="4" fillId="3" borderId="2" xfId="0" applyNumberFormat="1" applyFont="1" applyFill="1" applyBorder="1" applyAlignment="1">
      <alignment horizontal="right"/>
    </xf>
    <xf numFmtId="0" fontId="0" fillId="0" borderId="5" xfId="0" applyBorder="1"/>
    <xf numFmtId="0" fontId="4" fillId="3" borderId="19" xfId="0" applyFont="1" applyFill="1" applyBorder="1"/>
    <xf numFmtId="2" fontId="0" fillId="4" borderId="10" xfId="0" applyNumberFormat="1" applyFill="1" applyBorder="1"/>
    <xf numFmtId="0" fontId="0" fillId="0" borderId="2" xfId="0" applyFill="1" applyBorder="1"/>
    <xf numFmtId="2" fontId="4" fillId="0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165" fontId="4" fillId="3" borderId="2" xfId="1" applyFont="1" applyFill="1" applyBorder="1" applyAlignment="1" applyProtection="1">
      <alignment horizontal="right"/>
    </xf>
    <xf numFmtId="0" fontId="2" fillId="0" borderId="0" xfId="0" applyFont="1" applyBorder="1" applyAlignment="1"/>
    <xf numFmtId="0" fontId="4" fillId="0" borderId="0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2" xfId="0" applyFont="1" applyFill="1" applyBorder="1" applyAlignment="1"/>
    <xf numFmtId="0" fontId="2" fillId="0" borderId="2" xfId="0" applyFont="1" applyBorder="1" applyAlignment="1"/>
    <xf numFmtId="167" fontId="4" fillId="0" borderId="0" xfId="0" applyNumberFormat="1" applyFont="1" applyBorder="1" applyAlignment="1">
      <alignment horizontal="center"/>
    </xf>
    <xf numFmtId="0" fontId="8" fillId="2" borderId="16" xfId="0" applyFont="1" applyFill="1" applyBorder="1" applyAlignment="1">
      <alignment wrapText="1"/>
    </xf>
    <xf numFmtId="0" fontId="20" fillId="0" borderId="0" xfId="0" applyFont="1" applyFill="1" applyBorder="1"/>
    <xf numFmtId="0" fontId="0" fillId="0" borderId="0" xfId="0" applyFill="1" applyBorder="1" applyAlignment="1"/>
    <xf numFmtId="167" fontId="3" fillId="8" borderId="2" xfId="0" applyNumberFormat="1" applyFont="1" applyFill="1" applyBorder="1"/>
    <xf numFmtId="167" fontId="3" fillId="8" borderId="2" xfId="0" applyNumberFormat="1" applyFont="1" applyFill="1" applyBorder="1" applyAlignment="1">
      <alignment horizontal="right"/>
    </xf>
    <xf numFmtId="164" fontId="3" fillId="8" borderId="2" xfId="0" applyNumberFormat="1" applyFont="1" applyFill="1" applyBorder="1" applyAlignment="1">
      <alignment horizontal="left"/>
    </xf>
    <xf numFmtId="167" fontId="13" fillId="3" borderId="16" xfId="0" applyNumberFormat="1" applyFont="1" applyFill="1" applyBorder="1" applyAlignment="1">
      <alignment horizontal="center"/>
    </xf>
    <xf numFmtId="171" fontId="13" fillId="3" borderId="16" xfId="0" applyNumberFormat="1" applyFont="1" applyFill="1" applyBorder="1" applyAlignment="1">
      <alignment horizontal="center"/>
    </xf>
    <xf numFmtId="176" fontId="13" fillId="3" borderId="16" xfId="0" applyNumberFormat="1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4" fillId="0" borderId="21" xfId="0" applyFont="1" applyBorder="1"/>
    <xf numFmtId="178" fontId="6" fillId="0" borderId="10" xfId="0" applyNumberFormat="1" applyFont="1" applyBorder="1" applyAlignment="1">
      <alignment horizontal="center"/>
    </xf>
    <xf numFmtId="178" fontId="6" fillId="0" borderId="10" xfId="0" applyNumberFormat="1" applyFont="1" applyBorder="1"/>
    <xf numFmtId="0" fontId="0" fillId="0" borderId="22" xfId="0" applyBorder="1"/>
    <xf numFmtId="0" fontId="4" fillId="3" borderId="16" xfId="0" applyFont="1" applyFill="1" applyBorder="1"/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9" borderId="8" xfId="0" applyNumberFormat="1" applyFill="1" applyBorder="1" applyAlignment="1">
      <alignment horizontal="center"/>
    </xf>
    <xf numFmtId="1" fontId="0" fillId="9" borderId="11" xfId="0" applyNumberForma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11" xfId="0" applyFill="1" applyBorder="1" applyAlignment="1">
      <alignment horizontal="center"/>
    </xf>
  </cellXfs>
  <cellStyles count="3">
    <cellStyle name="Денежный [0]" xfId="1" builtinId="7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9A54E"/>
      <rgbColor rgb="00800080"/>
      <rgbColor rgb="00008080"/>
      <rgbColor rgb="00B9CD96"/>
      <rgbColor rgb="00808080"/>
      <rgbColor rgb="0093A9CF"/>
      <rgbColor rgb="00AA4643"/>
      <rgbColor rgb="00FFFFCC"/>
      <rgbColor rgb="00CCFFFF"/>
      <rgbColor rgb="00660066"/>
      <rgbColor rgb="00D19392"/>
      <rgbColor rgb="004572A7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4198AF"/>
      <rgbColor rgb="0099CC00"/>
      <rgbColor rgb="00FFCC00"/>
      <rgbColor rgb="00DB843D"/>
      <rgbColor rgb="00FF6600"/>
      <rgbColor rgb="0071588F"/>
      <rgbColor rgb="00A99BBD"/>
      <rgbColor rgb="00003366"/>
      <rgbColor rgb="00339966"/>
      <rgbColor rgb="00003300"/>
      <rgbColor rgb="001A1A1A"/>
      <rgbColor rgb="00993300"/>
      <rgbColor rgb="00993366"/>
      <rgbColor rgb="00333399"/>
      <rgbColor rgb="003A3935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7:CZ96"/>
  <sheetViews>
    <sheetView tabSelected="1" topLeftCell="E1" workbookViewId="0">
      <selection activeCell="L24" sqref="L24"/>
    </sheetView>
  </sheetViews>
  <sheetFormatPr defaultRowHeight="13.2"/>
  <cols>
    <col min="1" max="1" width="32.109375" customWidth="1"/>
    <col min="3" max="3" width="12.6640625" customWidth="1"/>
    <col min="4" max="4" width="14.109375" customWidth="1"/>
    <col min="5" max="5" width="15.33203125" customWidth="1"/>
    <col min="6" max="6" width="22.5546875" customWidth="1"/>
    <col min="7" max="7" width="23.6640625" customWidth="1"/>
    <col min="8" max="8" width="9.88671875" customWidth="1"/>
    <col min="9" max="9" width="11.109375" customWidth="1"/>
    <col min="10" max="10" width="15.88671875" customWidth="1"/>
    <col min="11" max="11" width="16.33203125" customWidth="1"/>
    <col min="12" max="12" width="26.33203125" customWidth="1"/>
    <col min="13" max="13" width="11.33203125" customWidth="1"/>
    <col min="14" max="14" width="11.5546875" customWidth="1"/>
    <col min="15" max="15" width="10.44140625" customWidth="1"/>
    <col min="16" max="16" width="10.33203125" customWidth="1"/>
  </cols>
  <sheetData>
    <row r="7" spans="1:16" ht="13.8" thickBot="1">
      <c r="A7" s="2" t="s">
        <v>0</v>
      </c>
      <c r="B7" s="3"/>
      <c r="C7" s="3"/>
      <c r="D7" s="4" t="s">
        <v>1</v>
      </c>
      <c r="E7" s="3"/>
      <c r="F7" s="3"/>
      <c r="L7" s="3"/>
      <c r="M7" s="6"/>
    </row>
    <row r="8" spans="1:16" ht="13.8" thickBot="1">
      <c r="A8" s="7" t="s">
        <v>109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126"/>
      <c r="H8" s="141" t="s">
        <v>118</v>
      </c>
      <c r="I8" s="142"/>
    </row>
    <row r="9" spans="1:16" ht="13.8" thickBot="1">
      <c r="A9" s="56" t="s">
        <v>8</v>
      </c>
      <c r="B9" s="57">
        <f>J18*J17*J16*H15/10000000</f>
        <v>3.78</v>
      </c>
      <c r="C9" s="58">
        <f>F9*K11/1000</f>
        <v>55.518000000000001</v>
      </c>
      <c r="D9" s="85">
        <f>B9*C9</f>
        <v>209.85803999999999</v>
      </c>
      <c r="E9" s="70">
        <v>1500</v>
      </c>
      <c r="F9" s="88">
        <v>1140</v>
      </c>
      <c r="G9" s="125">
        <f>(D9+D10)-(B9+B10)*E9*H11/1000</f>
        <v>19.61143002</v>
      </c>
      <c r="H9" s="143">
        <f>I17+I23+I29+I35</f>
        <v>1963</v>
      </c>
      <c r="I9" s="144"/>
    </row>
    <row r="10" spans="1:16">
      <c r="A10" s="56" t="s">
        <v>10</v>
      </c>
      <c r="B10" s="57">
        <f>J18*J17*J16*E10/10000000</f>
        <v>3.6401400000000002</v>
      </c>
      <c r="C10" s="58">
        <f>F9*K11/1000</f>
        <v>55.518000000000001</v>
      </c>
      <c r="D10" s="85">
        <f>B10*C10</f>
        <v>202.09329252000001</v>
      </c>
      <c r="E10" s="71">
        <f>IF(H39*H15*3%,H39*H15*3%+H17*30+H18*30,H17*30+H18*30)+150*H15/50000</f>
        <v>240.75</v>
      </c>
      <c r="F10" s="75"/>
    </row>
    <row r="11" spans="1:16">
      <c r="A11" s="56" t="s">
        <v>60</v>
      </c>
      <c r="B11" s="57">
        <f>IF(H15&gt;50000,(H16+H17+H18)/K14+H17*H15/50000+H18*H15/50000,(H16+H17+H18)/K14)</f>
        <v>4</v>
      </c>
      <c r="C11" s="58">
        <f>F11*H11</f>
        <v>151.57499999999999</v>
      </c>
      <c r="D11" s="85">
        <f>B11*C11</f>
        <v>606.29999999999995</v>
      </c>
      <c r="E11" s="72"/>
      <c r="F11" s="76">
        <v>4.3</v>
      </c>
      <c r="G11" s="23" t="s">
        <v>22</v>
      </c>
      <c r="H11" s="59">
        <v>35.25</v>
      </c>
      <c r="J11" s="25" t="s">
        <v>24</v>
      </c>
      <c r="K11" s="59">
        <v>48.7</v>
      </c>
    </row>
    <row r="12" spans="1:16">
      <c r="A12" s="56" t="s">
        <v>14</v>
      </c>
      <c r="B12" s="57">
        <f>E12*H15*H17*J17*J18/20000000+E12*H15*J17*J18*H18/20000000</f>
        <v>4.3200000000000002E-2</v>
      </c>
      <c r="C12" s="58">
        <f>F12*H11</f>
        <v>384.22500000000002</v>
      </c>
      <c r="D12" s="85">
        <f>B12*C12</f>
        <v>16.598520000000001</v>
      </c>
      <c r="E12" s="70">
        <v>0.3</v>
      </c>
      <c r="F12" s="77">
        <v>10.9</v>
      </c>
      <c r="G12" s="14"/>
      <c r="H12" s="15"/>
      <c r="I12" s="16"/>
      <c r="J12" s="17"/>
      <c r="K12" s="17"/>
    </row>
    <row r="13" spans="1:16">
      <c r="A13" s="56" t="s">
        <v>16</v>
      </c>
      <c r="B13" s="57">
        <f>E13*H15*H16*J18*J17/10000000</f>
        <v>0</v>
      </c>
      <c r="C13" s="58">
        <f>F13*H11</f>
        <v>546.375</v>
      </c>
      <c r="D13" s="85">
        <f>(B13*C13+H16*C11+50*C9*J17*J18*J16/10000000*H16)*2</f>
        <v>0</v>
      </c>
      <c r="E13" s="70">
        <v>0.9</v>
      </c>
      <c r="F13" s="77">
        <v>15.5</v>
      </c>
      <c r="G13" s="147" t="s">
        <v>109</v>
      </c>
      <c r="H13" s="18" t="s">
        <v>63</v>
      </c>
      <c r="I13" s="8" t="s">
        <v>12</v>
      </c>
      <c r="J13" s="8" t="s">
        <v>13</v>
      </c>
      <c r="K13" s="8" t="s">
        <v>114</v>
      </c>
      <c r="L13" s="32"/>
    </row>
    <row r="14" spans="1:16">
      <c r="A14" s="68" t="s">
        <v>110</v>
      </c>
      <c r="B14" s="68"/>
      <c r="C14" s="68"/>
      <c r="D14" s="86"/>
      <c r="E14" s="68"/>
      <c r="F14" s="68"/>
      <c r="G14" s="150"/>
      <c r="H14" s="20"/>
      <c r="I14" s="12">
        <v>1000</v>
      </c>
      <c r="J14" s="12">
        <v>4</v>
      </c>
      <c r="K14" s="12">
        <v>2</v>
      </c>
      <c r="L14" s="60" t="b">
        <v>0</v>
      </c>
      <c r="M14" s="61"/>
      <c r="N14" s="60"/>
      <c r="O14" s="60"/>
      <c r="P14" s="60"/>
    </row>
    <row r="15" spans="1:16">
      <c r="A15" s="56" t="s">
        <v>8</v>
      </c>
      <c r="B15" s="57">
        <f>J24*J23*J22*H21/10000000</f>
        <v>3.78</v>
      </c>
      <c r="C15" s="58">
        <f>F15*K11/1000</f>
        <v>55.518000000000001</v>
      </c>
      <c r="D15" s="85">
        <f>B15*C15</f>
        <v>209.85803999999999</v>
      </c>
      <c r="E15" s="73"/>
      <c r="F15" s="89">
        <v>1140</v>
      </c>
      <c r="G15" s="5" t="s">
        <v>15</v>
      </c>
      <c r="H15" s="21">
        <f>I14/J14</f>
        <v>250</v>
      </c>
      <c r="I15" s="9"/>
      <c r="J15" s="8" t="s">
        <v>15</v>
      </c>
      <c r="K15" s="9"/>
      <c r="L15" s="60" t="s">
        <v>119</v>
      </c>
      <c r="M15" s="61"/>
      <c r="N15" s="60"/>
      <c r="O15" s="60"/>
      <c r="P15" s="60"/>
    </row>
    <row r="16" spans="1:16">
      <c r="A16" s="56" t="s">
        <v>10</v>
      </c>
      <c r="B16" s="57">
        <f>J24*J23*J22*E16/10000000</f>
        <v>3.6401400000000002</v>
      </c>
      <c r="C16" s="58">
        <f>F15*K11/1000</f>
        <v>55.518000000000001</v>
      </c>
      <c r="D16" s="85">
        <f>B16*C16</f>
        <v>202.09329252000001</v>
      </c>
      <c r="E16" s="71">
        <f>IF(H39*H21*3%,H39*H21*3%+H23*30+H24*30,H23*30+H24*30)+150*H21/50000</f>
        <v>240.75</v>
      </c>
      <c r="F16" s="74"/>
      <c r="G16" s="23" t="s">
        <v>16</v>
      </c>
      <c r="H16" s="24">
        <v>0</v>
      </c>
      <c r="I16" s="25" t="s">
        <v>9</v>
      </c>
      <c r="J16" s="12">
        <v>105</v>
      </c>
      <c r="K16" s="13" t="s">
        <v>58</v>
      </c>
      <c r="L16" s="60"/>
      <c r="M16" s="61"/>
      <c r="N16" s="60"/>
      <c r="O16" s="60"/>
      <c r="P16" s="60"/>
    </row>
    <row r="17" spans="1:16">
      <c r="A17" s="56" t="s">
        <v>60</v>
      </c>
      <c r="B17" s="57">
        <f>IF(H21&gt;50000,(H22+H23+H24)/K20+H23*H21/50000+H24*H21/50000,(H22+H23+H24)/K20)</f>
        <v>4</v>
      </c>
      <c r="C17" s="58">
        <f>F17*H11</f>
        <v>151.57499999999999</v>
      </c>
      <c r="D17" s="85">
        <f>B17*C17</f>
        <v>606.29999999999995</v>
      </c>
      <c r="E17" s="70"/>
      <c r="F17" s="76">
        <v>4.3</v>
      </c>
      <c r="G17" s="23" t="s">
        <v>18</v>
      </c>
      <c r="H17" s="12">
        <v>4</v>
      </c>
      <c r="I17" s="83">
        <f>H15+E10</f>
        <v>490.75</v>
      </c>
      <c r="J17" s="26">
        <v>32</v>
      </c>
      <c r="K17" s="13" t="s">
        <v>59</v>
      </c>
      <c r="L17" s="60"/>
      <c r="M17" s="61"/>
      <c r="N17" s="60"/>
      <c r="O17" s="60"/>
      <c r="P17" s="60"/>
    </row>
    <row r="18" spans="1:16">
      <c r="A18" s="56" t="s">
        <v>14</v>
      </c>
      <c r="B18" s="57">
        <f>E18*H21*H23*J23*J24/20000000+E18*H21*J23*J24*H24/20000000</f>
        <v>4.3200000000000002E-2</v>
      </c>
      <c r="C18" s="58">
        <f>F18*H11</f>
        <v>384.22500000000002</v>
      </c>
      <c r="D18" s="85">
        <f>B18*C18</f>
        <v>16.598520000000001</v>
      </c>
      <c r="E18" s="70">
        <v>0.3</v>
      </c>
      <c r="F18" s="77">
        <v>10.9</v>
      </c>
      <c r="G18" s="23" t="s">
        <v>20</v>
      </c>
      <c r="H18" s="12">
        <v>4</v>
      </c>
      <c r="I18" s="26" t="s">
        <v>11</v>
      </c>
      <c r="J18" s="26">
        <v>45</v>
      </c>
      <c r="K18" s="13" t="s">
        <v>61</v>
      </c>
      <c r="L18" s="60"/>
      <c r="M18" s="61"/>
      <c r="N18" s="60"/>
      <c r="O18" s="60"/>
      <c r="P18" s="60"/>
    </row>
    <row r="19" spans="1:16">
      <c r="A19" s="56" t="s">
        <v>16</v>
      </c>
      <c r="B19" s="57">
        <f>E19*H21*H22*J24*J23/10000000</f>
        <v>0</v>
      </c>
      <c r="C19" s="58">
        <f>F19*H11</f>
        <v>546.375</v>
      </c>
      <c r="D19" s="85">
        <f>(B19*C19+H22*C17+50*C15*J23*J24*J22/10000000*H22)*2</f>
        <v>0</v>
      </c>
      <c r="E19" s="70">
        <v>0.9</v>
      </c>
      <c r="F19" s="77">
        <v>15.5</v>
      </c>
      <c r="G19" s="147" t="s">
        <v>110</v>
      </c>
      <c r="H19" s="18" t="s">
        <v>63</v>
      </c>
      <c r="I19" s="8" t="s">
        <v>12</v>
      </c>
      <c r="J19" s="8" t="s">
        <v>13</v>
      </c>
      <c r="K19" s="8" t="s">
        <v>114</v>
      </c>
      <c r="L19" s="60"/>
      <c r="M19" s="61"/>
      <c r="N19" s="60"/>
      <c r="O19" s="60"/>
      <c r="P19" s="60"/>
    </row>
    <row r="20" spans="1:16">
      <c r="A20" s="68" t="s">
        <v>112</v>
      </c>
      <c r="B20" s="68"/>
      <c r="C20" s="68"/>
      <c r="D20" s="86"/>
      <c r="E20" s="68"/>
      <c r="F20" s="68"/>
      <c r="G20" s="148"/>
      <c r="H20" s="20"/>
      <c r="I20" s="12">
        <v>1000</v>
      </c>
      <c r="J20" s="12">
        <v>4</v>
      </c>
      <c r="K20" s="22">
        <v>2</v>
      </c>
      <c r="L20" s="60"/>
      <c r="M20" s="61"/>
      <c r="N20" s="60"/>
      <c r="O20" s="60"/>
      <c r="P20" s="60"/>
    </row>
    <row r="21" spans="1:16">
      <c r="A21" s="56" t="s">
        <v>8</v>
      </c>
      <c r="B21" s="57">
        <f>J30*J29*J28*H27/10000000</f>
        <v>3.78</v>
      </c>
      <c r="C21" s="87">
        <f>F21*K11/1000</f>
        <v>55.518000000000001</v>
      </c>
      <c r="D21" s="85">
        <f>B21*C21</f>
        <v>209.85803999999999</v>
      </c>
      <c r="E21" s="73"/>
      <c r="F21" s="89">
        <v>1140</v>
      </c>
      <c r="G21" s="5" t="s">
        <v>15</v>
      </c>
      <c r="H21" s="66">
        <f>I20/J20</f>
        <v>250</v>
      </c>
      <c r="I21" s="9"/>
      <c r="J21" s="8" t="s">
        <v>15</v>
      </c>
      <c r="K21" s="9"/>
      <c r="L21" s="60"/>
      <c r="M21" s="61"/>
      <c r="N21" s="60"/>
      <c r="O21" s="60"/>
      <c r="P21" s="60"/>
    </row>
    <row r="22" spans="1:16">
      <c r="A22" s="56" t="s">
        <v>10</v>
      </c>
      <c r="B22" s="57">
        <f>J30*J29*J28*E22/10000000</f>
        <v>3.6401400000000002</v>
      </c>
      <c r="C22" s="58">
        <f>F21*K11/1000</f>
        <v>55.518000000000001</v>
      </c>
      <c r="D22" s="85">
        <f>B22*C22</f>
        <v>202.09329252000001</v>
      </c>
      <c r="E22" s="71">
        <f>IF(H39*H27*3%,H39*H27*3%+H29*30+H30*30,H29*30+H30*30)+150*H27/50000</f>
        <v>240.75</v>
      </c>
      <c r="F22" s="74"/>
      <c r="G22" s="23" t="s">
        <v>16</v>
      </c>
      <c r="H22" s="24">
        <v>0</v>
      </c>
      <c r="I22" s="25" t="s">
        <v>9</v>
      </c>
      <c r="J22" s="12">
        <v>105</v>
      </c>
      <c r="K22" s="13" t="s">
        <v>58</v>
      </c>
      <c r="L22" s="60"/>
      <c r="M22" s="61"/>
      <c r="N22" s="60"/>
      <c r="O22" s="60"/>
      <c r="P22" s="60"/>
    </row>
    <row r="23" spans="1:16">
      <c r="A23" s="56" t="s">
        <v>60</v>
      </c>
      <c r="B23" s="57">
        <f>IF(H27&gt;50000,(H28+H29+H30)/K26+H29*H27/50000+H30*H27/50000,(H28+H29+H30)/K26)</f>
        <v>4</v>
      </c>
      <c r="C23" s="58">
        <f>F23*H11</f>
        <v>151.57499999999999</v>
      </c>
      <c r="D23" s="85">
        <f>B23*C23</f>
        <v>606.29999999999995</v>
      </c>
      <c r="E23" s="70"/>
      <c r="F23" s="76">
        <v>4.3</v>
      </c>
      <c r="G23" s="23" t="s">
        <v>18</v>
      </c>
      <c r="H23" s="12">
        <v>4</v>
      </c>
      <c r="I23" s="83">
        <f>H21+E16</f>
        <v>490.75</v>
      </c>
      <c r="J23" s="26">
        <v>32</v>
      </c>
      <c r="K23" s="13" t="s">
        <v>59</v>
      </c>
      <c r="L23" s="60"/>
      <c r="P23" s="60"/>
    </row>
    <row r="24" spans="1:16">
      <c r="A24" s="56" t="s">
        <v>14</v>
      </c>
      <c r="B24" s="57">
        <f>E24*H27*H29*J29*J30/20000000+E24*H27*J29*J30*H30/20000000</f>
        <v>4.3200000000000002E-2</v>
      </c>
      <c r="C24" s="58">
        <f>F24*H11</f>
        <v>384.22500000000002</v>
      </c>
      <c r="D24" s="85">
        <f>B24*C24</f>
        <v>16.598520000000001</v>
      </c>
      <c r="E24" s="70">
        <v>0.3</v>
      </c>
      <c r="F24" s="77">
        <v>10.9</v>
      </c>
      <c r="G24" s="23" t="s">
        <v>20</v>
      </c>
      <c r="H24" s="12">
        <v>4</v>
      </c>
      <c r="I24" s="26" t="s">
        <v>11</v>
      </c>
      <c r="J24" s="26">
        <v>45</v>
      </c>
      <c r="K24" s="13" t="s">
        <v>61</v>
      </c>
      <c r="L24" s="60"/>
      <c r="P24" s="60"/>
    </row>
    <row r="25" spans="1:16">
      <c r="A25" s="56" t="s">
        <v>16</v>
      </c>
      <c r="B25" s="57">
        <f>E25*H27*H28*J30*J29/10000000</f>
        <v>0</v>
      </c>
      <c r="C25" s="58">
        <f>F25*H11</f>
        <v>546.375</v>
      </c>
      <c r="D25" s="85">
        <f>(B25*C25+H28*C23+50*C21*J29*J30*J28/10000000*H28)*2</f>
        <v>0</v>
      </c>
      <c r="E25" s="70">
        <v>0.9</v>
      </c>
      <c r="F25" s="77">
        <v>15.5</v>
      </c>
      <c r="G25" s="147" t="s">
        <v>112</v>
      </c>
      <c r="H25" s="18" t="s">
        <v>63</v>
      </c>
      <c r="I25" s="65"/>
      <c r="J25" s="65"/>
      <c r="K25" s="8" t="s">
        <v>114</v>
      </c>
      <c r="L25" s="60"/>
      <c r="P25" s="60"/>
    </row>
    <row r="26" spans="1:16">
      <c r="A26" s="68" t="s">
        <v>113</v>
      </c>
      <c r="B26" s="68"/>
      <c r="C26" s="68"/>
      <c r="D26" s="86"/>
      <c r="E26" s="68"/>
      <c r="F26" s="68"/>
      <c r="G26" s="148"/>
      <c r="H26" s="20"/>
      <c r="I26" s="12">
        <v>1000</v>
      </c>
      <c r="J26" s="12">
        <v>4</v>
      </c>
      <c r="K26" s="22">
        <v>2</v>
      </c>
      <c r="L26" s="60"/>
      <c r="P26" s="60"/>
    </row>
    <row r="27" spans="1:16">
      <c r="A27" s="56" t="s">
        <v>8</v>
      </c>
      <c r="B27" s="57">
        <f>J36*J35*J34*H33/10000000</f>
        <v>3.78</v>
      </c>
      <c r="C27" s="58">
        <f>F27*K11/1000</f>
        <v>55.518000000000001</v>
      </c>
      <c r="D27" s="85">
        <f>B27*C27</f>
        <v>209.85803999999999</v>
      </c>
      <c r="E27" s="73"/>
      <c r="F27" s="89">
        <v>1140</v>
      </c>
      <c r="G27" s="5" t="s">
        <v>15</v>
      </c>
      <c r="H27" s="21">
        <f>I26/J26</f>
        <v>250</v>
      </c>
      <c r="I27" s="9"/>
      <c r="J27" s="8" t="s">
        <v>15</v>
      </c>
      <c r="K27" s="9"/>
      <c r="L27" s="60"/>
      <c r="P27" s="60"/>
    </row>
    <row r="28" spans="1:16">
      <c r="A28" s="56" t="s">
        <v>10</v>
      </c>
      <c r="B28" s="57">
        <f>J36*J35*J34*E28/10000000</f>
        <v>3.6401400000000002</v>
      </c>
      <c r="C28" s="58">
        <f>F27*K11/1000</f>
        <v>55.518000000000001</v>
      </c>
      <c r="D28" s="85">
        <f>B28*C28</f>
        <v>202.09329252000001</v>
      </c>
      <c r="E28" s="71">
        <f>IF(H39*H33*3%,H39*H33*3%+H35*30+H36*30,H35*30+H36*30)+150*H33/50000</f>
        <v>240.75</v>
      </c>
      <c r="F28" s="74"/>
      <c r="G28" s="23" t="s">
        <v>16</v>
      </c>
      <c r="H28" s="24">
        <v>0</v>
      </c>
      <c r="I28" s="25" t="s">
        <v>9</v>
      </c>
      <c r="J28" s="12">
        <v>105</v>
      </c>
      <c r="K28" s="13" t="s">
        <v>58</v>
      </c>
      <c r="L28" s="60"/>
      <c r="P28" s="60"/>
    </row>
    <row r="29" spans="1:16">
      <c r="A29" s="56" t="s">
        <v>60</v>
      </c>
      <c r="B29" s="57">
        <f>IF(H33&gt;50000,(H34+H35+H36)/K32+H35*H33/50000+H36*H33/50000,(H34+H35+H36)/K32)</f>
        <v>4</v>
      </c>
      <c r="C29" s="58">
        <f>F23*H23</f>
        <v>17.2</v>
      </c>
      <c r="D29" s="85">
        <f>B29*C29</f>
        <v>68.8</v>
      </c>
      <c r="E29" s="70"/>
      <c r="F29" s="76">
        <v>4.3</v>
      </c>
      <c r="G29" s="23" t="s">
        <v>18</v>
      </c>
      <c r="H29" s="12">
        <v>4</v>
      </c>
      <c r="I29" s="83">
        <f>H27+E22</f>
        <v>490.75</v>
      </c>
      <c r="J29" s="26">
        <v>32</v>
      </c>
      <c r="K29" s="13" t="s">
        <v>59</v>
      </c>
      <c r="L29" s="60"/>
      <c r="P29" s="60"/>
    </row>
    <row r="30" spans="1:16">
      <c r="A30" s="56" t="s">
        <v>14</v>
      </c>
      <c r="B30" s="57">
        <f>E30*H33*H35*J35*J36/20000000+E30*H33*J35*J36*H36/20000000</f>
        <v>4.3200000000000002E-2</v>
      </c>
      <c r="C30" s="58">
        <f>F30*H23</f>
        <v>43.6</v>
      </c>
      <c r="D30" s="85">
        <f>B30*C30</f>
        <v>1.8835200000000001</v>
      </c>
      <c r="E30" s="70">
        <v>0.3</v>
      </c>
      <c r="F30" s="77">
        <v>10.9</v>
      </c>
      <c r="G30" s="23" t="s">
        <v>20</v>
      </c>
      <c r="H30" s="12">
        <v>4</v>
      </c>
      <c r="I30" s="26" t="s">
        <v>11</v>
      </c>
      <c r="J30" s="26">
        <v>45</v>
      </c>
      <c r="K30" s="13" t="s">
        <v>61</v>
      </c>
      <c r="L30" s="60"/>
      <c r="P30" s="60"/>
    </row>
    <row r="31" spans="1:16">
      <c r="A31" s="56" t="s">
        <v>16</v>
      </c>
      <c r="B31" s="57">
        <f>E31*H33*H34*J29*J28/10000000</f>
        <v>0</v>
      </c>
      <c r="C31" s="58">
        <f>F31*H11</f>
        <v>546.375</v>
      </c>
      <c r="D31" s="85">
        <f>(B31*C31+H34*C29+50*C27*J35*J36*J34/10000000*H34)*2</f>
        <v>0</v>
      </c>
      <c r="E31" s="70">
        <v>0.9</v>
      </c>
      <c r="F31" s="77">
        <v>15.5</v>
      </c>
      <c r="G31" s="147" t="s">
        <v>113</v>
      </c>
      <c r="H31" s="18" t="s">
        <v>63</v>
      </c>
      <c r="I31" s="65"/>
      <c r="J31" s="65"/>
      <c r="K31" s="8" t="s">
        <v>114</v>
      </c>
      <c r="L31" s="127"/>
    </row>
    <row r="32" spans="1:16">
      <c r="A32" s="68" t="s">
        <v>115</v>
      </c>
      <c r="B32" s="68"/>
      <c r="C32" s="68"/>
      <c r="D32" s="68"/>
      <c r="E32" s="68"/>
      <c r="F32" s="68"/>
      <c r="G32" s="148"/>
      <c r="H32" s="20"/>
      <c r="I32" s="12">
        <v>1000</v>
      </c>
      <c r="J32" s="12">
        <v>4</v>
      </c>
      <c r="K32" s="22">
        <v>2</v>
      </c>
      <c r="L32" s="127"/>
    </row>
    <row r="33" spans="1:13">
      <c r="A33" s="90" t="s">
        <v>17</v>
      </c>
      <c r="B33" s="91">
        <f>B54*F33</f>
        <v>10.602</v>
      </c>
      <c r="C33" s="92">
        <v>5</v>
      </c>
      <c r="D33" s="93">
        <f>B33*C33</f>
        <v>53.010000000000005</v>
      </c>
      <c r="E33" s="90"/>
      <c r="F33" s="75">
        <v>3.42</v>
      </c>
      <c r="G33" s="5" t="s">
        <v>15</v>
      </c>
      <c r="H33" s="21">
        <f>I32/J32</f>
        <v>250</v>
      </c>
      <c r="I33" s="9"/>
      <c r="J33" s="8" t="s">
        <v>15</v>
      </c>
      <c r="K33" s="9"/>
      <c r="L33" s="32"/>
    </row>
    <row r="34" spans="1:13">
      <c r="A34" s="90" t="s">
        <v>19</v>
      </c>
      <c r="B34" s="94"/>
      <c r="C34" s="92">
        <f>F34/30/24</f>
        <v>66.666666666666671</v>
      </c>
      <c r="D34" s="93">
        <f>C62*C34</f>
        <v>234.44444444444446</v>
      </c>
      <c r="E34" s="90"/>
      <c r="F34" s="75">
        <v>48000</v>
      </c>
      <c r="G34" s="23" t="s">
        <v>16</v>
      </c>
      <c r="H34" s="24">
        <v>0</v>
      </c>
      <c r="I34" s="25" t="s">
        <v>9</v>
      </c>
      <c r="J34" s="12">
        <v>105</v>
      </c>
      <c r="K34" s="13" t="s">
        <v>58</v>
      </c>
      <c r="L34" s="32"/>
    </row>
    <row r="35" spans="1:13">
      <c r="A35" s="90" t="s">
        <v>21</v>
      </c>
      <c r="B35" s="95">
        <v>0.3</v>
      </c>
      <c r="C35" s="92">
        <v>500</v>
      </c>
      <c r="D35" s="93">
        <f>B35*C35</f>
        <v>150</v>
      </c>
      <c r="E35" s="90"/>
      <c r="F35" s="75"/>
      <c r="G35" s="23" t="s">
        <v>18</v>
      </c>
      <c r="H35" s="12">
        <v>4</v>
      </c>
      <c r="I35" s="83">
        <f>H33+E28</f>
        <v>490.75</v>
      </c>
      <c r="J35" s="26">
        <v>32</v>
      </c>
      <c r="K35" s="13" t="s">
        <v>59</v>
      </c>
      <c r="L35" s="32"/>
    </row>
    <row r="36" spans="1:13">
      <c r="A36" s="90" t="s">
        <v>23</v>
      </c>
      <c r="B36" s="91">
        <f>C62</f>
        <v>3.5166666666666666</v>
      </c>
      <c r="C36" s="92">
        <f>F36*E36*H11/360/24</f>
        <v>0</v>
      </c>
      <c r="D36" s="93">
        <f>C36*B36</f>
        <v>0</v>
      </c>
      <c r="E36" s="96">
        <v>0.14000000000000001</v>
      </c>
      <c r="F36" s="75">
        <v>0</v>
      </c>
      <c r="G36" s="23" t="s">
        <v>20</v>
      </c>
      <c r="H36" s="12">
        <v>4</v>
      </c>
      <c r="I36" s="26" t="s">
        <v>11</v>
      </c>
      <c r="J36" s="26">
        <v>45</v>
      </c>
      <c r="K36" s="13" t="s">
        <v>61</v>
      </c>
      <c r="L36" s="32"/>
    </row>
    <row r="37" spans="1:13">
      <c r="A37" s="90" t="s">
        <v>25</v>
      </c>
      <c r="B37" s="91">
        <f>C62</f>
        <v>3.5166666666666666</v>
      </c>
      <c r="C37" s="92">
        <f>F37*H11*E37/360/24/100</f>
        <v>346.78819444444446</v>
      </c>
      <c r="D37" s="93">
        <f>F37*H11*C62*E37/360/24/100</f>
        <v>1219.5384837962963</v>
      </c>
      <c r="E37" s="97">
        <v>20</v>
      </c>
      <c r="F37" s="78">
        <v>425000</v>
      </c>
      <c r="G37" s="9"/>
      <c r="H37" s="8" t="s">
        <v>26</v>
      </c>
      <c r="I37" s="84"/>
      <c r="J37" s="84"/>
      <c r="K37" s="32"/>
      <c r="L37" s="32"/>
    </row>
    <row r="38" spans="1:13">
      <c r="A38" s="90" t="s">
        <v>27</v>
      </c>
      <c r="B38" s="94"/>
      <c r="C38" s="92">
        <f>C63</f>
        <v>1253.3333333333335</v>
      </c>
      <c r="D38" s="93">
        <f>I67</f>
        <v>5013.3333333333339</v>
      </c>
      <c r="E38" s="90"/>
      <c r="F38" s="74"/>
      <c r="G38" s="10" t="s">
        <v>28</v>
      </c>
      <c r="H38" s="12">
        <v>0</v>
      </c>
      <c r="I38" s="132">
        <v>0.01</v>
      </c>
      <c r="J38" s="30">
        <f>H38*I38*$H$15</f>
        <v>0</v>
      </c>
      <c r="K38" s="17"/>
      <c r="L38" s="32"/>
    </row>
    <row r="39" spans="1:13">
      <c r="A39" s="90" t="s">
        <v>29</v>
      </c>
      <c r="B39" s="94"/>
      <c r="C39" s="93"/>
      <c r="D39" s="93">
        <f>E39*(D9+D10+D11+D12+D13+D15+D16+D17+D18+D19+D21+D22+D23+D24+D25+D27+D28+D29+D30+D31+D33+D34+D35+D36+D37+D38+D40)/100</f>
        <v>1055.7510671654077</v>
      </c>
      <c r="E39" s="97">
        <v>10</v>
      </c>
      <c r="F39" s="79">
        <f>D42*7%</f>
        <v>812.92832171736393</v>
      </c>
      <c r="G39" s="10" t="s">
        <v>30</v>
      </c>
      <c r="H39" s="12">
        <v>0</v>
      </c>
      <c r="I39" s="133">
        <v>0.05</v>
      </c>
      <c r="J39" s="31">
        <f t="shared" ref="J39:J44" si="0">H39*I39*$I$14</f>
        <v>0</v>
      </c>
      <c r="K39" s="17"/>
      <c r="L39" s="32"/>
    </row>
    <row r="40" spans="1:13">
      <c r="A40" s="90" t="s">
        <v>31</v>
      </c>
      <c r="B40" s="94"/>
      <c r="C40" s="93"/>
      <c r="D40" s="93">
        <f>IF(F40&lt;300,300,F40)</f>
        <v>300</v>
      </c>
      <c r="E40" s="97">
        <v>3</v>
      </c>
      <c r="F40" s="80">
        <f>E40*(D9+D10+D11+D12+D13+D15+D16+D17+D18+D19+D21+D22+D23+D24+D25+D27+D28+D29+D30+D31+D35+D38)/100</f>
        <v>262.5155323024</v>
      </c>
      <c r="G40" s="10" t="s">
        <v>32</v>
      </c>
      <c r="H40" s="12">
        <v>0</v>
      </c>
      <c r="I40" s="132">
        <v>0.05</v>
      </c>
      <c r="J40" s="31">
        <f t="shared" si="0"/>
        <v>0</v>
      </c>
      <c r="K40" s="17"/>
      <c r="L40" s="29"/>
    </row>
    <row r="41" spans="1:13" ht="13.8" thickBot="1">
      <c r="A41" s="98" t="s">
        <v>33</v>
      </c>
      <c r="B41" s="90"/>
      <c r="C41" s="99"/>
      <c r="D41" s="100">
        <f>C42*((D9+D10+D11)+(D15+D16+D17)+(D21+D22+D23)+(D27+D28+D29))+D12+D13+D18+D19+D24+D25+D30+D31+D33+D34+D35+D36+D37+D38+D39+D40</f>
        <v>11613.261738819483</v>
      </c>
      <c r="E41" s="90"/>
      <c r="F41" s="75"/>
      <c r="G41" s="10" t="s">
        <v>34</v>
      </c>
      <c r="H41" s="12">
        <v>0</v>
      </c>
      <c r="I41" s="132">
        <v>0.03</v>
      </c>
      <c r="J41" s="31">
        <f t="shared" si="0"/>
        <v>0</v>
      </c>
      <c r="K41" s="17"/>
      <c r="L41" s="32"/>
    </row>
    <row r="42" spans="1:13" ht="14.4" thickTop="1" thickBot="1">
      <c r="A42" s="98" t="s">
        <v>35</v>
      </c>
      <c r="B42" s="101"/>
      <c r="C42" s="102">
        <v>1</v>
      </c>
      <c r="D42" s="27">
        <f>D41+J38+J39+J40+J41+J42+J43+J44+J45+J46+J47+J48+J49</f>
        <v>11613.261738819483</v>
      </c>
      <c r="E42" s="90"/>
      <c r="F42" s="81">
        <f>D42-D9-D10</f>
        <v>11201.310406299484</v>
      </c>
      <c r="G42" s="10" t="s">
        <v>36</v>
      </c>
      <c r="H42" s="12">
        <v>0</v>
      </c>
      <c r="I42" s="132">
        <v>0.30000000000000004</v>
      </c>
      <c r="J42" s="31">
        <f t="shared" si="0"/>
        <v>0</v>
      </c>
      <c r="K42" s="17"/>
      <c r="L42" s="32"/>
    </row>
    <row r="43" spans="1:13" ht="13.8" thickTop="1">
      <c r="A43" s="90" t="s">
        <v>37</v>
      </c>
      <c r="B43" s="90"/>
      <c r="C43" s="103"/>
      <c r="D43" s="104">
        <f>D42/I14</f>
        <v>11.613261738819483</v>
      </c>
      <c r="E43" s="105">
        <f>D43/H11</f>
        <v>0.32945423372537541</v>
      </c>
      <c r="F43" s="82">
        <f>(D42-D9-D10)/I14</f>
        <v>11.201310406299484</v>
      </c>
      <c r="G43" s="10" t="s">
        <v>38</v>
      </c>
      <c r="H43" s="12">
        <v>0</v>
      </c>
      <c r="I43" s="132">
        <v>6</v>
      </c>
      <c r="J43" s="31">
        <f t="shared" si="0"/>
        <v>0</v>
      </c>
      <c r="K43" s="17"/>
      <c r="L43" s="32"/>
    </row>
    <row r="44" spans="1:13">
      <c r="A44" s="90" t="s">
        <v>39</v>
      </c>
      <c r="B44" s="90"/>
      <c r="C44" s="90"/>
      <c r="D44" s="106">
        <f>C57+C58/2</f>
        <v>765</v>
      </c>
      <c r="E44" s="107">
        <f>C57</f>
        <v>765</v>
      </c>
      <c r="F44" s="75"/>
      <c r="G44" s="10" t="s">
        <v>40</v>
      </c>
      <c r="H44" s="12">
        <v>0</v>
      </c>
      <c r="I44" s="133">
        <v>0.05</v>
      </c>
      <c r="J44" s="31">
        <f t="shared" si="0"/>
        <v>0</v>
      </c>
      <c r="K44" s="17"/>
      <c r="L44" s="32"/>
    </row>
    <row r="45" spans="1:13">
      <c r="A45" s="90"/>
      <c r="B45" s="90"/>
      <c r="C45" s="108" t="s">
        <v>7</v>
      </c>
      <c r="D45" s="131">
        <f>D42-D9-D10-D15-D16-D21-D22-D27-D28</f>
        <v>9965.4564087394883</v>
      </c>
      <c r="E45" s="90"/>
      <c r="F45" s="75"/>
      <c r="G45" s="10" t="s">
        <v>41</v>
      </c>
      <c r="H45" s="12">
        <v>0</v>
      </c>
      <c r="I45" s="133">
        <v>2</v>
      </c>
      <c r="J45" s="31">
        <f>H45*I45*H15</f>
        <v>0</v>
      </c>
      <c r="K45" s="17"/>
      <c r="L45" s="32"/>
      <c r="M45" s="3"/>
    </row>
    <row r="46" spans="1:13">
      <c r="A46" s="29"/>
      <c r="B46" s="29"/>
      <c r="C46" s="98" t="s">
        <v>108</v>
      </c>
      <c r="D46" s="130">
        <f>D39+D40+D37</f>
        <v>2575.2895509617038</v>
      </c>
      <c r="E46" s="90"/>
      <c r="F46" s="17"/>
      <c r="G46" s="10" t="s">
        <v>42</v>
      </c>
      <c r="H46" s="12">
        <v>0</v>
      </c>
      <c r="I46" s="132">
        <f>150*H11*3/87000</f>
        <v>0.18232758620689654</v>
      </c>
      <c r="J46" s="31">
        <f>H46*I46*$I$14</f>
        <v>0</v>
      </c>
      <c r="K46" s="17"/>
      <c r="L46" s="32"/>
    </row>
    <row r="47" spans="1:13">
      <c r="A47" s="29"/>
      <c r="B47" s="17"/>
      <c r="C47" s="90" t="s">
        <v>8</v>
      </c>
      <c r="D47" s="129">
        <f>D9+D10+D15+D16+D21+D22+D27+D28</f>
        <v>1647.80533008</v>
      </c>
      <c r="E47" s="3"/>
      <c r="F47" s="3"/>
      <c r="G47" s="10" t="s">
        <v>43</v>
      </c>
      <c r="H47" s="12">
        <v>0</v>
      </c>
      <c r="I47" s="134">
        <v>5000</v>
      </c>
      <c r="J47" s="31">
        <f>I47*H47</f>
        <v>0</v>
      </c>
      <c r="K47" s="17"/>
      <c r="L47" s="32"/>
    </row>
    <row r="48" spans="1:13">
      <c r="A48" s="33" t="s">
        <v>97</v>
      </c>
      <c r="F48" s="3"/>
      <c r="G48" s="10" t="s">
        <v>44</v>
      </c>
      <c r="H48" s="12">
        <v>0</v>
      </c>
      <c r="I48" s="132">
        <v>5</v>
      </c>
      <c r="J48" s="31">
        <f>H48*I48*H15</f>
        <v>0</v>
      </c>
      <c r="K48" s="17"/>
      <c r="L48" s="32"/>
    </row>
    <row r="49" spans="1:12" ht="13.8" thickBot="1">
      <c r="F49" s="3"/>
      <c r="G49" s="10" t="s">
        <v>46</v>
      </c>
      <c r="H49" s="12">
        <v>0</v>
      </c>
      <c r="I49" s="135">
        <v>0.04</v>
      </c>
      <c r="J49" s="31">
        <f>H49*I49*H11*H15*2+50*H11*H49</f>
        <v>0</v>
      </c>
      <c r="K49" s="17"/>
      <c r="L49" s="128"/>
    </row>
    <row r="50" spans="1:12" ht="13.8" thickBot="1">
      <c r="A50" s="55" t="s">
        <v>111</v>
      </c>
      <c r="B50" s="151" t="s">
        <v>45</v>
      </c>
      <c r="C50" s="152"/>
      <c r="D50" s="152"/>
      <c r="E50" s="152"/>
      <c r="F50" s="152"/>
      <c r="G50" s="152"/>
      <c r="H50" s="152"/>
      <c r="I50" s="153"/>
      <c r="J50" s="1"/>
      <c r="L50" s="32"/>
    </row>
    <row r="51" spans="1:12">
      <c r="A51" s="136"/>
      <c r="B51" s="20" t="s">
        <v>109</v>
      </c>
      <c r="C51" s="110"/>
      <c r="D51" s="20" t="s">
        <v>110</v>
      </c>
      <c r="E51" s="110"/>
      <c r="F51" s="20" t="s">
        <v>112</v>
      </c>
      <c r="G51" s="110"/>
      <c r="H51" s="20" t="s">
        <v>113</v>
      </c>
      <c r="I51" s="110"/>
    </row>
    <row r="52" spans="1:12">
      <c r="A52" s="111" t="s">
        <v>47</v>
      </c>
      <c r="B52" s="28">
        <v>5000</v>
      </c>
      <c r="C52" s="113"/>
      <c r="D52" s="28">
        <v>5000</v>
      </c>
      <c r="E52" s="113"/>
      <c r="F52" s="28">
        <v>5000</v>
      </c>
      <c r="G52" s="113"/>
      <c r="H52" s="28">
        <v>5000</v>
      </c>
      <c r="I52" s="113"/>
    </row>
    <row r="53" spans="1:12">
      <c r="A53" s="111" t="s">
        <v>48</v>
      </c>
      <c r="B53" s="28">
        <v>1.5</v>
      </c>
      <c r="C53" s="113">
        <v>0.5</v>
      </c>
      <c r="D53" s="28">
        <v>1.5</v>
      </c>
      <c r="E53" s="113">
        <v>0.5</v>
      </c>
      <c r="F53" s="28">
        <v>1.5</v>
      </c>
      <c r="G53" s="113">
        <v>0.5</v>
      </c>
      <c r="H53" s="28">
        <v>1.5</v>
      </c>
      <c r="I53" s="113">
        <v>0.5</v>
      </c>
    </row>
    <row r="54" spans="1:12">
      <c r="A54" s="111" t="s">
        <v>49</v>
      </c>
      <c r="B54" s="114">
        <f>H15/B52*H17/4+H15/B52*H18/4+B53*(H17/4+H18/4)</f>
        <v>3.1</v>
      </c>
      <c r="C54" s="113"/>
      <c r="D54" s="114">
        <f>H21/D52*H23/4+H21/D52*H24/4+D53*(H23/4+H24/4)</f>
        <v>3.1</v>
      </c>
      <c r="E54" s="113"/>
      <c r="F54" s="114">
        <f>H27/F52*H29/4+H27/F52*H30/4+F53*(H29/4+H30/4)</f>
        <v>3.1</v>
      </c>
      <c r="G54" s="113"/>
      <c r="H54" s="114">
        <f>H33/H52*H35/4+H33/H52*H36/4+H53*(H35/4+H36/4)</f>
        <v>3.1</v>
      </c>
      <c r="I54" s="113"/>
    </row>
    <row r="55" spans="1:12">
      <c r="A55" s="111" t="s">
        <v>50</v>
      </c>
      <c r="B55" s="28">
        <v>1</v>
      </c>
      <c r="C55" s="113"/>
      <c r="D55" s="28">
        <v>1</v>
      </c>
      <c r="E55" s="113"/>
      <c r="F55" s="28">
        <v>1</v>
      </c>
      <c r="G55" s="113"/>
      <c r="H55" s="28">
        <v>1</v>
      </c>
      <c r="I55" s="113"/>
    </row>
    <row r="56" spans="1:12">
      <c r="A56" s="111" t="s">
        <v>51</v>
      </c>
      <c r="B56" s="28">
        <v>0</v>
      </c>
      <c r="C56" s="113"/>
      <c r="D56" s="28">
        <v>0</v>
      </c>
      <c r="E56" s="113"/>
      <c r="F56" s="28">
        <v>0</v>
      </c>
      <c r="G56" s="113"/>
      <c r="H56" s="28">
        <v>0</v>
      </c>
      <c r="I56" s="113"/>
    </row>
    <row r="57" spans="1:12">
      <c r="A57" s="111" t="s">
        <v>79</v>
      </c>
      <c r="B57" s="10">
        <v>150</v>
      </c>
      <c r="C57" s="109">
        <f>B54*B57*B55+(B53+C53)*B57</f>
        <v>765</v>
      </c>
      <c r="D57" s="10">
        <v>150</v>
      </c>
      <c r="E57" s="109">
        <f>D54*D57*D55+(D53+E53)*D57</f>
        <v>765</v>
      </c>
      <c r="F57" s="10">
        <v>150</v>
      </c>
      <c r="G57" s="109">
        <f>F54*F57*F55+(F53+G53)*F57</f>
        <v>765</v>
      </c>
      <c r="H57" s="10">
        <v>150</v>
      </c>
      <c r="I57" s="109">
        <f>H54*H57*H55+(H53+I53)*H57</f>
        <v>765</v>
      </c>
    </row>
    <row r="58" spans="1:12">
      <c r="A58" s="111" t="s">
        <v>83</v>
      </c>
      <c r="B58" s="10">
        <v>70</v>
      </c>
      <c r="C58" s="109">
        <f>B58*B54*B56*1.5</f>
        <v>0</v>
      </c>
      <c r="D58" s="10">
        <v>70</v>
      </c>
      <c r="E58" s="109">
        <f>D58*D54*D56*1.5</f>
        <v>0</v>
      </c>
      <c r="F58" s="10">
        <v>70</v>
      </c>
      <c r="G58" s="109">
        <f>F58*F54*F56*1.5</f>
        <v>0</v>
      </c>
      <c r="H58" s="10">
        <v>70</v>
      </c>
      <c r="I58" s="109">
        <f>H58*H54*H56*1.5</f>
        <v>0</v>
      </c>
    </row>
    <row r="59" spans="1:12">
      <c r="A59" s="111" t="s">
        <v>52</v>
      </c>
      <c r="B59" s="10">
        <v>0.05</v>
      </c>
      <c r="C59" s="109">
        <f>B59*H15*(H17+H18)/4/B60/60</f>
        <v>0.41666666666666669</v>
      </c>
      <c r="D59" s="10">
        <v>0.05</v>
      </c>
      <c r="E59" s="109">
        <f>D59*H21*(H23+H24)/4/D60/60</f>
        <v>0.41666666666666669</v>
      </c>
      <c r="F59" s="10">
        <v>0.05</v>
      </c>
      <c r="G59" s="109">
        <f>F59*H27*(H29+H30)/4/F60/60</f>
        <v>0.41666666666666669</v>
      </c>
      <c r="H59" s="10">
        <v>0.05</v>
      </c>
      <c r="I59" s="109">
        <f>H59*H33*(H35+H36)/4/H60/60</f>
        <v>0.41666666666666669</v>
      </c>
    </row>
    <row r="60" spans="1:12">
      <c r="A60" s="111" t="s">
        <v>53</v>
      </c>
      <c r="B60" s="10">
        <v>1</v>
      </c>
      <c r="C60" s="115"/>
      <c r="D60" s="10">
        <v>1</v>
      </c>
      <c r="E60" s="115"/>
      <c r="F60" s="10">
        <v>1</v>
      </c>
      <c r="G60" s="115"/>
      <c r="H60" s="10">
        <v>1</v>
      </c>
      <c r="I60" s="115"/>
    </row>
    <row r="61" spans="1:12">
      <c r="A61" s="111" t="s">
        <v>91</v>
      </c>
      <c r="B61" s="10">
        <v>56</v>
      </c>
      <c r="C61" s="109">
        <f>B61*C59*B60</f>
        <v>23.333333333333336</v>
      </c>
      <c r="D61" s="10">
        <v>56</v>
      </c>
      <c r="E61" s="109">
        <f>D61*E59*D60</f>
        <v>23.333333333333336</v>
      </c>
      <c r="F61" s="10">
        <v>56</v>
      </c>
      <c r="G61" s="109">
        <f>F61*G59*F60</f>
        <v>23.333333333333336</v>
      </c>
      <c r="H61" s="10">
        <v>56</v>
      </c>
      <c r="I61" s="109">
        <f>H61*I59*H60</f>
        <v>23.333333333333336</v>
      </c>
    </row>
    <row r="62" spans="1:12">
      <c r="A62" s="111" t="s">
        <v>54</v>
      </c>
      <c r="B62" s="10"/>
      <c r="C62" s="109">
        <f>B54+C59</f>
        <v>3.5166666666666666</v>
      </c>
      <c r="D62" s="10"/>
      <c r="E62" s="109">
        <f>D54+E59</f>
        <v>3.5166666666666666</v>
      </c>
      <c r="F62" s="10"/>
      <c r="G62" s="109">
        <f>F54+G59</f>
        <v>3.5166666666666666</v>
      </c>
      <c r="H62" s="10"/>
      <c r="I62" s="109">
        <f>H54+I59</f>
        <v>3.5166666666666666</v>
      </c>
    </row>
    <row r="63" spans="1:12">
      <c r="A63" s="111" t="s">
        <v>55</v>
      </c>
      <c r="B63" s="10"/>
      <c r="C63" s="116">
        <f>C57+C58+C61+C65</f>
        <v>1253.3333333333335</v>
      </c>
      <c r="D63" s="28"/>
      <c r="E63" s="116">
        <f>E57+E58+E61+E65</f>
        <v>1253.3333333333335</v>
      </c>
      <c r="F63" s="28"/>
      <c r="G63" s="116">
        <f>G57+G58+G61+G65</f>
        <v>1253.3333333333335</v>
      </c>
      <c r="H63" s="28"/>
      <c r="I63" s="116">
        <f>I57+I58+I61+I65</f>
        <v>1253.3333333333335</v>
      </c>
    </row>
    <row r="64" spans="1:12">
      <c r="A64" s="111" t="s">
        <v>56</v>
      </c>
      <c r="B64" s="10"/>
      <c r="C64" s="117">
        <v>150</v>
      </c>
      <c r="D64" s="10"/>
      <c r="E64" s="117">
        <v>150</v>
      </c>
      <c r="F64" s="10"/>
      <c r="G64" s="117">
        <v>150</v>
      </c>
      <c r="H64" s="10"/>
      <c r="I64" s="117">
        <v>150</v>
      </c>
    </row>
    <row r="65" spans="1:11">
      <c r="A65" s="140" t="s">
        <v>57</v>
      </c>
      <c r="B65" s="10"/>
      <c r="C65" s="11">
        <f>B54*C64</f>
        <v>465</v>
      </c>
      <c r="D65" s="10"/>
      <c r="E65" s="11">
        <f>D54*E64</f>
        <v>465</v>
      </c>
      <c r="F65" s="10"/>
      <c r="G65" s="11">
        <f>F54*G64</f>
        <v>465</v>
      </c>
      <c r="H65" s="10"/>
      <c r="I65" s="11">
        <f>H54*I64</f>
        <v>465</v>
      </c>
    </row>
    <row r="66" spans="1:11" ht="13.8" thickBot="1">
      <c r="A66" s="1"/>
      <c r="B66" s="1"/>
      <c r="C66" s="1"/>
      <c r="D66" s="1"/>
      <c r="E66" s="1"/>
      <c r="F66" s="1"/>
      <c r="G66" s="1"/>
      <c r="H66" s="1"/>
      <c r="I66" s="139" t="s">
        <v>116</v>
      </c>
    </row>
    <row r="67" spans="1:11" ht="13.8" thickBot="1">
      <c r="I67" s="112">
        <f>C63+E63+G63+I63</f>
        <v>5013.3333333333339</v>
      </c>
    </row>
    <row r="68" spans="1:11" ht="15.6" thickBot="1">
      <c r="A68" s="19" t="s">
        <v>64</v>
      </c>
      <c r="B68" s="18" t="s">
        <v>117</v>
      </c>
      <c r="C68" s="18" t="s">
        <v>65</v>
      </c>
      <c r="D68" s="120" t="s">
        <v>66</v>
      </c>
      <c r="E68" s="123" t="s">
        <v>107</v>
      </c>
      <c r="F68" s="119"/>
    </row>
    <row r="69" spans="1:11" ht="16.2" thickBot="1">
      <c r="A69" s="38" t="s">
        <v>67</v>
      </c>
      <c r="B69" s="41" t="s">
        <v>68</v>
      </c>
      <c r="C69" s="38">
        <v>32</v>
      </c>
      <c r="D69" s="121" t="s">
        <v>69</v>
      </c>
      <c r="E69" s="124">
        <v>15</v>
      </c>
      <c r="F69" s="118"/>
      <c r="G69" s="69" t="s">
        <v>98</v>
      </c>
      <c r="H69" s="145" t="s">
        <v>99</v>
      </c>
      <c r="I69" s="146"/>
      <c r="J69" s="145" t="s">
        <v>101</v>
      </c>
      <c r="K69" s="149"/>
    </row>
    <row r="70" spans="1:11" ht="16.2" thickBot="1">
      <c r="A70" s="38" t="s">
        <v>70</v>
      </c>
      <c r="B70" s="41" t="s">
        <v>71</v>
      </c>
      <c r="C70" s="43">
        <v>16</v>
      </c>
      <c r="D70" s="121" t="s">
        <v>72</v>
      </c>
      <c r="E70" s="124">
        <v>11</v>
      </c>
      <c r="F70" s="118"/>
      <c r="G70" s="67"/>
      <c r="H70" s="34" t="s">
        <v>100</v>
      </c>
      <c r="I70" s="38" t="s">
        <v>105</v>
      </c>
      <c r="J70" s="38" t="s">
        <v>100</v>
      </c>
      <c r="K70" s="38" t="s">
        <v>105</v>
      </c>
    </row>
    <row r="71" spans="1:11" ht="16.2" thickBot="1">
      <c r="A71" s="38" t="s">
        <v>73</v>
      </c>
      <c r="B71" s="41" t="s">
        <v>74</v>
      </c>
      <c r="C71" s="43">
        <v>8</v>
      </c>
      <c r="D71" s="121" t="s">
        <v>75</v>
      </c>
      <c r="E71" s="124">
        <v>8</v>
      </c>
      <c r="F71" s="118"/>
      <c r="G71" s="62" t="s">
        <v>102</v>
      </c>
      <c r="H71" s="63">
        <v>55.5</v>
      </c>
      <c r="I71" s="137">
        <v>1140</v>
      </c>
      <c r="J71" s="37"/>
      <c r="K71" s="39"/>
    </row>
    <row r="72" spans="1:11" ht="16.2" thickBot="1">
      <c r="A72" s="38" t="s">
        <v>76</v>
      </c>
      <c r="B72" s="44" t="s">
        <v>77</v>
      </c>
      <c r="C72" s="43">
        <v>4</v>
      </c>
      <c r="D72" s="121" t="s">
        <v>78</v>
      </c>
      <c r="E72" s="124">
        <v>6</v>
      </c>
      <c r="F72" s="118"/>
      <c r="G72" s="64" t="s">
        <v>103</v>
      </c>
      <c r="H72" s="36">
        <v>53.5</v>
      </c>
      <c r="I72" s="137">
        <v>1100</v>
      </c>
      <c r="J72" s="37"/>
      <c r="K72" s="39"/>
    </row>
    <row r="73" spans="1:11" ht="16.2" thickBot="1">
      <c r="A73" s="45" t="s">
        <v>80</v>
      </c>
      <c r="B73" s="41" t="s">
        <v>81</v>
      </c>
      <c r="C73" s="43">
        <v>2</v>
      </c>
      <c r="D73" s="121" t="s">
        <v>82</v>
      </c>
      <c r="E73" s="124">
        <v>5</v>
      </c>
      <c r="F73" s="118"/>
      <c r="G73" s="64" t="s">
        <v>104</v>
      </c>
      <c r="H73" s="35"/>
      <c r="I73" s="138"/>
      <c r="J73" s="38">
        <v>65</v>
      </c>
      <c r="K73" s="40">
        <v>1335</v>
      </c>
    </row>
    <row r="74" spans="1:11" ht="16.2" thickBot="1">
      <c r="A74" s="38">
        <v>1</v>
      </c>
      <c r="B74" s="46" t="s">
        <v>62</v>
      </c>
      <c r="C74" s="47">
        <v>1</v>
      </c>
      <c r="D74" s="122" t="s">
        <v>84</v>
      </c>
      <c r="E74" s="124">
        <v>4</v>
      </c>
      <c r="F74" s="118"/>
      <c r="G74" s="67" t="s">
        <v>106</v>
      </c>
      <c r="H74" s="34">
        <v>53</v>
      </c>
      <c r="I74" s="137">
        <v>1088</v>
      </c>
      <c r="J74" s="37"/>
      <c r="K74" s="39"/>
    </row>
    <row r="75" spans="1:11" ht="16.2" thickBot="1">
      <c r="A75" s="38" t="s">
        <v>85</v>
      </c>
      <c r="B75" s="41" t="s">
        <v>86</v>
      </c>
      <c r="C75" s="38">
        <v>21</v>
      </c>
      <c r="D75" s="42" t="s">
        <v>87</v>
      </c>
    </row>
    <row r="76" spans="1:11" ht="16.2" thickBot="1">
      <c r="A76" s="38" t="s">
        <v>88</v>
      </c>
      <c r="B76" s="49" t="s">
        <v>89</v>
      </c>
      <c r="C76" s="50">
        <v>6</v>
      </c>
      <c r="D76" s="48" t="s">
        <v>90</v>
      </c>
    </row>
    <row r="77" spans="1:11" ht="16.2" thickBot="1">
      <c r="A77" s="38" t="s">
        <v>92</v>
      </c>
      <c r="B77" s="41" t="s">
        <v>89</v>
      </c>
      <c r="C77" s="38">
        <v>12</v>
      </c>
      <c r="D77" s="54" t="s">
        <v>93</v>
      </c>
    </row>
    <row r="78" spans="1:11" ht="16.2" thickBot="1">
      <c r="A78" s="38" t="s">
        <v>94</v>
      </c>
      <c r="B78" s="51" t="s">
        <v>95</v>
      </c>
      <c r="C78" s="52">
        <v>18</v>
      </c>
      <c r="D78" s="53" t="s">
        <v>96</v>
      </c>
    </row>
    <row r="96" spans="104:104">
      <c r="CZ96" t="b">
        <v>0</v>
      </c>
    </row>
  </sheetData>
  <mergeCells count="9">
    <mergeCell ref="H8:I8"/>
    <mergeCell ref="H9:I9"/>
    <mergeCell ref="H69:I69"/>
    <mergeCell ref="G25:G26"/>
    <mergeCell ref="G31:G32"/>
    <mergeCell ref="J69:K69"/>
    <mergeCell ref="G13:G14"/>
    <mergeCell ref="G19:G20"/>
    <mergeCell ref="B50:I50"/>
  </mergeCells>
  <phoneticPr fontId="5" type="noConversion"/>
  <pageMargins left="0.75" right="0.75" top="1" bottom="1" header="0.5" footer="0.5"/>
  <pageSetup paperSize="9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 Офсет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Quinteza</cp:lastModifiedBy>
  <dcterms:created xsi:type="dcterms:W3CDTF">2013-04-09T12:01:56Z</dcterms:created>
  <dcterms:modified xsi:type="dcterms:W3CDTF">2015-03-31T07:24:31Z</dcterms:modified>
</cp:coreProperties>
</file>