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ЭтаКнига" defaultThemeVersion="124226"/>
  <bookViews>
    <workbookView xWindow="120" yWindow="105" windowWidth="15120" windowHeight="8010" tabRatio="748"/>
  </bookViews>
  <sheets>
    <sheet name="Общий табель" sheetId="6" r:id="rId1"/>
    <sheet name="Молоко" sheetId="18" r:id="rId2"/>
    <sheet name="Список" sheetId="12" r:id="rId3"/>
  </sheets>
  <externalReferences>
    <externalReference r:id="rId4"/>
  </externalReferences>
  <definedNames>
    <definedName name="_xlnm._FilterDatabase" localSheetId="2" hidden="1">Список!$D$2:$D$25</definedName>
    <definedName name="№">Список!$A$2:$A$151</definedName>
    <definedName name="Z_1957AC80_412C_4030_B807_A599A7F9C8EF_.wvu.FilterData" localSheetId="2" hidden="1">Список!$D$2:$D$25</definedName>
    <definedName name="Ед.изм">Список!$G$26:$G$34</definedName>
    <definedName name="Знаки">Список!$F$2:$F$37</definedName>
    <definedName name="Конструкт._элемент">#REF!</definedName>
    <definedName name="мастер">#REF!</definedName>
    <definedName name="Мастера">Список!$H$2:$H$13</definedName>
    <definedName name="Месяц">Список!$G$2:$G$13</definedName>
    <definedName name="наряд">#REF!</definedName>
    <definedName name="Наряд_выдал__нач.цеха">#REF!</definedName>
    <definedName name="Наряд_к_исполнению_принял__бригадир">#REF!</definedName>
    <definedName name="Наряды">Список!$I$2:$I$37</definedName>
    <definedName name="_xlnm.Print_Area" localSheetId="1">Молоко!$A$1:$AJ$58</definedName>
    <definedName name="Профессия">Список!$D$2:$D$150</definedName>
    <definedName name="Прочее">Список!$G$15:$G$24</definedName>
    <definedName name="рабочий">#REF!</definedName>
    <definedName name="Сумма_прописью">#REF!</definedName>
    <definedName name="Таб.№">Список!$C$2:$C$150</definedName>
    <definedName name="УП_Бумажная_фабрика_Гознака">#REF!</definedName>
    <definedName name="Участок">#REF!</definedName>
    <definedName name="ФИО">Список!$B$2:$B$150</definedName>
    <definedName name="Шифр_бухгалтерии">#REF!</definedName>
    <definedName name="Шифры_и_норм_и_расценок">#REF!</definedName>
    <definedName name="Шт">[1]Список!$F$26:$F$34</definedName>
  </definedNames>
  <calcPr calcId="125725"/>
  <customWorkbookViews>
    <customWorkbookView name="1" guid="{1957AC80-412C-4030-B807-A599A7F9C8EF}" maximized="1" xWindow="1" yWindow="1" windowWidth="1276" windowHeight="808" tabRatio="698" activeSheetId="6" showFormulaBar="0"/>
  </customWorkbookViews>
</workbook>
</file>

<file path=xl/calcChain.xml><?xml version="1.0" encoding="utf-8"?>
<calcChain xmlns="http://schemas.openxmlformats.org/spreadsheetml/2006/main">
  <c r="M17" i="18"/>
  <c r="N17"/>
  <c r="O17"/>
  <c r="P17"/>
  <c r="Q17"/>
  <c r="R17"/>
  <c r="S17"/>
  <c r="T17"/>
  <c r="E6" i="12" l="1"/>
  <c r="E5"/>
  <c r="E4"/>
  <c r="E3"/>
  <c r="E22"/>
  <c r="E21"/>
  <c r="E24"/>
  <c r="E23"/>
  <c r="E15"/>
  <c r="E14"/>
  <c r="E13"/>
  <c r="E20"/>
  <c r="E19"/>
  <c r="E18"/>
  <c r="E17"/>
  <c r="E16"/>
  <c r="E12"/>
  <c r="E11"/>
  <c r="E10"/>
  <c r="E9"/>
  <c r="E8"/>
  <c r="E7"/>
  <c r="E26"/>
  <c r="E25"/>
  <c r="E2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AH55" i="18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F26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T9"/>
  <c r="T10"/>
  <c r="T11"/>
  <c r="T12"/>
  <c r="T13"/>
  <c r="T14"/>
  <c r="T15"/>
  <c r="T16"/>
  <c r="T18"/>
  <c r="T19"/>
  <c r="T20"/>
  <c r="T21"/>
  <c r="T22"/>
  <c r="T23"/>
  <c r="T24"/>
  <c r="T25"/>
  <c r="T26"/>
  <c r="S9"/>
  <c r="S10"/>
  <c r="S11"/>
  <c r="S12"/>
  <c r="S13"/>
  <c r="S14"/>
  <c r="S15"/>
  <c r="S16"/>
  <c r="S18"/>
  <c r="S19"/>
  <c r="S20"/>
  <c r="S21"/>
  <c r="S22"/>
  <c r="S23"/>
  <c r="S24"/>
  <c r="S25"/>
  <c r="S26"/>
  <c r="R9"/>
  <c r="R10"/>
  <c r="R11"/>
  <c r="R12"/>
  <c r="R13"/>
  <c r="R14"/>
  <c r="R15"/>
  <c r="R16"/>
  <c r="R18"/>
  <c r="R19"/>
  <c r="R20"/>
  <c r="R21"/>
  <c r="R22"/>
  <c r="R23"/>
  <c r="R24"/>
  <c r="R25"/>
  <c r="R26"/>
  <c r="Q9"/>
  <c r="Q10"/>
  <c r="Q11"/>
  <c r="Q12"/>
  <c r="Q13"/>
  <c r="Q14"/>
  <c r="Q15"/>
  <c r="Q16"/>
  <c r="Q18"/>
  <c r="Q19"/>
  <c r="Q20"/>
  <c r="Q21"/>
  <c r="Q22"/>
  <c r="Q23"/>
  <c r="Q24"/>
  <c r="Q25"/>
  <c r="Q26"/>
  <c r="P9"/>
  <c r="P10"/>
  <c r="P11"/>
  <c r="P12"/>
  <c r="P13"/>
  <c r="P14"/>
  <c r="P15"/>
  <c r="P16"/>
  <c r="P18"/>
  <c r="P19"/>
  <c r="P20"/>
  <c r="P21"/>
  <c r="P22"/>
  <c r="P23"/>
  <c r="P24"/>
  <c r="P25"/>
  <c r="P26"/>
  <c r="O9"/>
  <c r="O10"/>
  <c r="O11"/>
  <c r="O12"/>
  <c r="O13"/>
  <c r="O14"/>
  <c r="O15"/>
  <c r="O16"/>
  <c r="O18"/>
  <c r="O19"/>
  <c r="O20"/>
  <c r="O21"/>
  <c r="O22"/>
  <c r="O23"/>
  <c r="O24"/>
  <c r="O25"/>
  <c r="O26"/>
  <c r="N9"/>
  <c r="N10"/>
  <c r="N11"/>
  <c r="N12"/>
  <c r="N13"/>
  <c r="N14"/>
  <c r="N15"/>
  <c r="N16"/>
  <c r="N18"/>
  <c r="N19"/>
  <c r="N20"/>
  <c r="N21"/>
  <c r="N22"/>
  <c r="N23"/>
  <c r="N24"/>
  <c r="N25"/>
  <c r="N26"/>
  <c r="M9"/>
  <c r="M10"/>
  <c r="M11"/>
  <c r="M12"/>
  <c r="M13"/>
  <c r="M14"/>
  <c r="M15"/>
  <c r="M16"/>
  <c r="M18"/>
  <c r="M19"/>
  <c r="M20"/>
  <c r="M21"/>
  <c r="M22"/>
  <c r="M23"/>
  <c r="M24"/>
  <c r="M25"/>
  <c r="M26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E8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W4" l="1"/>
  <c r="W33"/>
  <c r="C29"/>
  <c r="C58"/>
  <c r="AI19" l="1"/>
  <c r="AI18"/>
  <c r="AI17"/>
  <c r="AI16"/>
  <c r="AR4" i="6"/>
  <c r="AR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Q4"/>
  <c r="AQ5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P22"/>
  <c r="AP23"/>
  <c r="AP24"/>
  <c r="AP25"/>
  <c r="AP26"/>
  <c r="AP32"/>
  <c r="AO4"/>
  <c r="AO5"/>
  <c r="AO6"/>
  <c r="AO7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N22"/>
  <c r="AN23"/>
  <c r="AN24"/>
  <c r="AN25"/>
  <c r="AN26"/>
  <c r="AN32"/>
  <c r="AM4"/>
  <c r="AM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L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K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O3"/>
  <c r="AQ3"/>
  <c r="AR3"/>
  <c r="AI38" i="1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37"/>
  <c r="C7" i="12" l="1"/>
  <c r="B27" i="6"/>
  <c r="B28"/>
  <c r="B29"/>
  <c r="B30"/>
  <c r="B31"/>
  <c r="C14" i="12"/>
  <c r="C72"/>
  <c r="C78"/>
  <c r="B20" i="6" s="1"/>
  <c r="C52" i="12"/>
  <c r="B21" i="6" s="1"/>
  <c r="C60" i="12"/>
  <c r="C92"/>
  <c r="C8"/>
  <c r="C51"/>
  <c r="C73"/>
  <c r="C85"/>
  <c r="C12"/>
  <c r="C31"/>
  <c r="C67"/>
  <c r="C69"/>
  <c r="C49"/>
  <c r="C41"/>
  <c r="C45"/>
  <c r="C57"/>
  <c r="C16"/>
  <c r="C22"/>
  <c r="C36"/>
  <c r="C100"/>
  <c r="C87"/>
  <c r="C74"/>
  <c r="C64"/>
  <c r="C34"/>
  <c r="C103"/>
  <c r="C94"/>
  <c r="C13"/>
  <c r="B36" i="6" s="1"/>
  <c r="AP36" s="1"/>
  <c r="C81" i="12"/>
  <c r="C56"/>
  <c r="C38"/>
  <c r="C88"/>
  <c r="C15"/>
  <c r="C17"/>
  <c r="C43"/>
  <c r="C23"/>
  <c r="C96"/>
  <c r="C95"/>
  <c r="C66"/>
  <c r="C10"/>
  <c r="C90"/>
  <c r="C20"/>
  <c r="C32"/>
  <c r="C80"/>
  <c r="C19"/>
  <c r="C4"/>
  <c r="C91"/>
  <c r="C61"/>
  <c r="C11"/>
  <c r="C79"/>
  <c r="C98"/>
  <c r="C58"/>
  <c r="C54"/>
  <c r="C27"/>
  <c r="C97"/>
  <c r="C84"/>
  <c r="C28"/>
  <c r="C47"/>
  <c r="C50"/>
  <c r="C83"/>
  <c r="C46"/>
  <c r="C70"/>
  <c r="C35"/>
  <c r="C5"/>
  <c r="C53"/>
  <c r="C3"/>
  <c r="C39"/>
  <c r="C18"/>
  <c r="C30"/>
  <c r="C37"/>
  <c r="C104"/>
  <c r="C82"/>
  <c r="C62"/>
  <c r="C24"/>
  <c r="C77"/>
  <c r="C26"/>
  <c r="C63"/>
  <c r="C33"/>
  <c r="A3" i="6"/>
  <c r="AM3"/>
  <c r="C21" i="12"/>
  <c r="C93"/>
  <c r="C76"/>
  <c r="C86"/>
  <c r="C68"/>
  <c r="C55"/>
  <c r="C99"/>
  <c r="C105"/>
  <c r="C102"/>
  <c r="C25"/>
  <c r="C75"/>
  <c r="C71"/>
  <c r="C101"/>
  <c r="C48"/>
  <c r="C44"/>
  <c r="C59"/>
  <c r="C29"/>
  <c r="C42"/>
  <c r="C40"/>
  <c r="C9"/>
  <c r="C65"/>
  <c r="C6"/>
  <c r="C89"/>
  <c r="C2"/>
  <c r="AN36" i="6" l="1"/>
  <c r="AP21"/>
  <c r="AN21"/>
  <c r="AP31"/>
  <c r="AN31"/>
  <c r="AP29"/>
  <c r="AN29"/>
  <c r="AP27"/>
  <c r="AN27"/>
  <c r="AP20"/>
  <c r="AN20"/>
  <c r="AP30"/>
  <c r="AN30"/>
  <c r="AP28"/>
  <c r="AN28"/>
  <c r="B37"/>
  <c r="B3"/>
  <c r="B35"/>
  <c r="B34"/>
  <c r="B33"/>
  <c r="B19"/>
  <c r="B18"/>
  <c r="B17"/>
  <c r="B16"/>
  <c r="B15"/>
  <c r="B14"/>
  <c r="B13"/>
  <c r="B12"/>
  <c r="B11"/>
  <c r="B10"/>
  <c r="B9"/>
  <c r="B8"/>
  <c r="B7"/>
  <c r="B6"/>
  <c r="B5"/>
  <c r="B4"/>
  <c r="AP4" l="1"/>
  <c r="AN4"/>
  <c r="AP6"/>
  <c r="AN6"/>
  <c r="AP8"/>
  <c r="AN8"/>
  <c r="AP10"/>
  <c r="AN10"/>
  <c r="AP12"/>
  <c r="AN12"/>
  <c r="AP14"/>
  <c r="AN14"/>
  <c r="AP16"/>
  <c r="AN16"/>
  <c r="AP18"/>
  <c r="AN18"/>
  <c r="AP33"/>
  <c r="AN33"/>
  <c r="AP35"/>
  <c r="AN35"/>
  <c r="AP37"/>
  <c r="AN37"/>
  <c r="AP5"/>
  <c r="AN5"/>
  <c r="AP7"/>
  <c r="AN7"/>
  <c r="AP9"/>
  <c r="AN9"/>
  <c r="AP11"/>
  <c r="AN11"/>
  <c r="AP13"/>
  <c r="AN13"/>
  <c r="AP15"/>
  <c r="AN15"/>
  <c r="AP17"/>
  <c r="AN17"/>
  <c r="AP19"/>
  <c r="AN19"/>
  <c r="AP34"/>
  <c r="AN34"/>
  <c r="AN3"/>
  <c r="AP3"/>
  <c r="AI26" i="18" l="1"/>
  <c r="AI25"/>
  <c r="AI24"/>
  <c r="AI23"/>
  <c r="AI22"/>
  <c r="AI21"/>
  <c r="AI20"/>
  <c r="AI15"/>
  <c r="AI14"/>
  <c r="AI13"/>
  <c r="AI12"/>
  <c r="AI11"/>
  <c r="AI10"/>
  <c r="AI9"/>
  <c r="AI8"/>
  <c r="AL3" i="6"/>
  <c r="AJ3"/>
  <c r="AK3"/>
  <c r="AI56" i="18" l="1"/>
  <c r="L56" s="1"/>
</calcChain>
</file>

<file path=xl/sharedStrings.xml><?xml version="1.0" encoding="utf-8"?>
<sst xmlns="http://schemas.openxmlformats.org/spreadsheetml/2006/main" count="374" uniqueCount="276">
  <si>
    <t>Часы</t>
  </si>
  <si>
    <t>№</t>
  </si>
  <si>
    <t>Ф.  И.  O.</t>
  </si>
  <si>
    <t>Должность</t>
  </si>
  <si>
    <t>Таб.№</t>
  </si>
  <si>
    <t>числа    месяца</t>
  </si>
  <si>
    <t>вых.дни</t>
  </si>
  <si>
    <t>Рудницкий С.Н.</t>
  </si>
  <si>
    <t>Залан А.В.</t>
  </si>
  <si>
    <t>Михайловская Г.П.</t>
  </si>
  <si>
    <t>Орловский А.М.</t>
  </si>
  <si>
    <t>Буракова Т.А.</t>
  </si>
  <si>
    <t>Прессовщик</t>
  </si>
  <si>
    <t>Машинист</t>
  </si>
  <si>
    <t>Накатчик</t>
  </si>
  <si>
    <t>Разм. РПО</t>
  </si>
  <si>
    <t>Ап.пр.хим.р-в</t>
  </si>
  <si>
    <t>Резчик ПРС</t>
  </si>
  <si>
    <t>Маш.уп. маш.</t>
  </si>
  <si>
    <t>Разм. ГРВ</t>
  </si>
  <si>
    <t>Разм. ПО</t>
  </si>
  <si>
    <t>Мишук А.В.</t>
  </si>
  <si>
    <t>А</t>
  </si>
  <si>
    <t>К</t>
  </si>
  <si>
    <t>Б</t>
  </si>
  <si>
    <t>Ковалёв Д.А.</t>
  </si>
  <si>
    <t>Разм. брака</t>
  </si>
  <si>
    <t>Профессия</t>
  </si>
  <si>
    <t>ФИО</t>
  </si>
  <si>
    <t>Сацук А.Л.</t>
  </si>
  <si>
    <t>Брикун М.А.</t>
  </si>
  <si>
    <t>Лысковец А.Н.</t>
  </si>
  <si>
    <t>Грузд Н.Н.</t>
  </si>
  <si>
    <t>Кудревич О.М.</t>
  </si>
  <si>
    <t>Заяц Т.Л.</t>
  </si>
  <si>
    <t>Кадевич О.В.</t>
  </si>
  <si>
    <t>Амосова Т.Ф.</t>
  </si>
  <si>
    <t>Цедрик Т.Н.</t>
  </si>
  <si>
    <t>Гендик Н.В.</t>
  </si>
  <si>
    <t>Чемеза О.П.</t>
  </si>
  <si>
    <t>Комадей Д.В.</t>
  </si>
  <si>
    <t>Машинист 6 р.</t>
  </si>
  <si>
    <t>Сушильщик 4 р.</t>
  </si>
  <si>
    <t>Накатчик 3 р.</t>
  </si>
  <si>
    <t>Разм. РПО 4 р.</t>
  </si>
  <si>
    <t>Разм. РПО 3 р.</t>
  </si>
  <si>
    <t>Ап.пр.хим.р-в 3 р.</t>
  </si>
  <si>
    <t>Резчик ПРС 4 р.</t>
  </si>
  <si>
    <t>Резчик ПРС 3 р.</t>
  </si>
  <si>
    <t>Маш.уп. маш. 2 р.</t>
  </si>
  <si>
    <t>Разм. РПО 5 р.</t>
  </si>
  <si>
    <t>Мишук Р.В.</t>
  </si>
  <si>
    <t>Макрицкий Ю.В.</t>
  </si>
  <si>
    <t>Бушкин В.Д.</t>
  </si>
  <si>
    <t>Романчук В.В.</t>
  </si>
  <si>
    <t>Сушильщик 4 р. %</t>
  </si>
  <si>
    <t>Накатчик 3 р. %</t>
  </si>
  <si>
    <t>Разм. РПО 4 р. %</t>
  </si>
  <si>
    <t>Разм. РПО 3 р. %</t>
  </si>
  <si>
    <t>Ап.пр.хим.р-в 3 р. %</t>
  </si>
  <si>
    <t>Резчик ПРС 4 р. %</t>
  </si>
  <si>
    <t>Резчик ПРС 3 р. %</t>
  </si>
  <si>
    <t>Маш.уп. маш. 2 р. %</t>
  </si>
  <si>
    <t>Перссовщик 3 р.</t>
  </si>
  <si>
    <t>Перссовщик 3 р. %</t>
  </si>
  <si>
    <t>Знаки</t>
  </si>
  <si>
    <t>12'</t>
  </si>
  <si>
    <t>В</t>
  </si>
  <si>
    <t>О</t>
  </si>
  <si>
    <t>Оу</t>
  </si>
  <si>
    <t>Пр</t>
  </si>
  <si>
    <t>Разм. брака 2 р. %</t>
  </si>
  <si>
    <t>Разм. ГРВ 3 р.</t>
  </si>
  <si>
    <t>Разм. ПО 3 р.</t>
  </si>
  <si>
    <t>Разм. ПО 3 р. %</t>
  </si>
  <si>
    <t>Разм. брака 2 р.</t>
  </si>
  <si>
    <t>Мороз А.П.</t>
  </si>
  <si>
    <t>Уб.быт.пом-й</t>
  </si>
  <si>
    <t>Тран.мат-ов</t>
  </si>
  <si>
    <t>Г</t>
  </si>
  <si>
    <t>Ос</t>
  </si>
  <si>
    <t>1'</t>
  </si>
  <si>
    <t>2'</t>
  </si>
  <si>
    <t>10'</t>
  </si>
  <si>
    <t>3'</t>
  </si>
  <si>
    <t>4'</t>
  </si>
  <si>
    <t>5'</t>
  </si>
  <si>
    <t>6'</t>
  </si>
  <si>
    <t>7'</t>
  </si>
  <si>
    <t>8'</t>
  </si>
  <si>
    <t>Захаров С.А.</t>
  </si>
  <si>
    <t>Драгун В.В.</t>
  </si>
  <si>
    <t>Лебедев О.Л.</t>
  </si>
  <si>
    <t>Гончарук А.В.</t>
  </si>
  <si>
    <t>Гвоздь М.П.</t>
  </si>
  <si>
    <t>Кучинская Е.М.</t>
  </si>
  <si>
    <t>Дворянкина Е.Л.</t>
  </si>
  <si>
    <t>Ванькова Л.Е.</t>
  </si>
  <si>
    <t>Жердочкина А.М.</t>
  </si>
  <si>
    <t>Мисник Ю.А.</t>
  </si>
  <si>
    <t>Карась А.Н.</t>
  </si>
  <si>
    <t>Раловец Л.П.</t>
  </si>
  <si>
    <t>Симонова Т.В.</t>
  </si>
  <si>
    <t>Гончарук Т.И.</t>
  </si>
  <si>
    <t>Пантелей А.В.</t>
  </si>
  <si>
    <t>Курносова О.Ф.</t>
  </si>
  <si>
    <t>Савельева Н.И.</t>
  </si>
  <si>
    <t>Волегов А.Г.</t>
  </si>
  <si>
    <t>Бурдыко Е.А.</t>
  </si>
  <si>
    <t>Ливанович С.В.</t>
  </si>
  <si>
    <t>Мишук О.В.</t>
  </si>
  <si>
    <t>Ротченкова С.С.</t>
  </si>
  <si>
    <t>Хомодеев В.В.</t>
  </si>
  <si>
    <t>Ясинский В.С.</t>
  </si>
  <si>
    <t>Дроздецкий В.С.</t>
  </si>
  <si>
    <t>Воронцевич М.П.</t>
  </si>
  <si>
    <t>Буяновская В.П.</t>
  </si>
  <si>
    <t>Короленко А.В.</t>
  </si>
  <si>
    <t>Жудрак Л.В.</t>
  </si>
  <si>
    <t>Макатерчик А.Н.</t>
  </si>
  <si>
    <t>Дик А.С.</t>
  </si>
  <si>
    <t>Маркелов Д.Н.</t>
  </si>
  <si>
    <t>Каляпина К.А.</t>
  </si>
  <si>
    <t>Шаповалов В.А.</t>
  </si>
  <si>
    <t>Дорц Д.В.</t>
  </si>
  <si>
    <t>Петров В.А.</t>
  </si>
  <si>
    <t>Скачек А.В.</t>
  </si>
  <si>
    <t>Зеленко В.Л.</t>
  </si>
  <si>
    <t>Пресняков Г.В.</t>
  </si>
  <si>
    <t>Драч М.В.</t>
  </si>
  <si>
    <t>Богодяж Т.А.</t>
  </si>
  <si>
    <t>Зеленкевич  Ник.В.</t>
  </si>
  <si>
    <t>Месяц</t>
  </si>
  <si>
    <t>Мастера смен</t>
  </si>
  <si>
    <t>см. Буйко В.Г.</t>
  </si>
  <si>
    <t>см. Кузьбар И.Н.</t>
  </si>
  <si>
    <t>см. Сандульская Л.А.</t>
  </si>
  <si>
    <t>см. Хомич Н.Н.</t>
  </si>
  <si>
    <t>Апрель, 2015 г.</t>
  </si>
  <si>
    <t>Май, 2015 г.</t>
  </si>
  <si>
    <t>Июнь, 2015 г.</t>
  </si>
  <si>
    <t>Июль, 2015 г.</t>
  </si>
  <si>
    <t>Август, 2015 г.</t>
  </si>
  <si>
    <t>Сентябрь, 2015 г.</t>
  </si>
  <si>
    <t>Октябрь, 2015 г.</t>
  </si>
  <si>
    <t>Ноябрь, 2015 г.</t>
  </si>
  <si>
    <t>Декабрь, 2015 г.</t>
  </si>
  <si>
    <t>БДМ № 1</t>
  </si>
  <si>
    <t>БДМ № 2</t>
  </si>
  <si>
    <t>Прочее</t>
  </si>
  <si>
    <t>Останов БДМ</t>
  </si>
  <si>
    <t>см. Булавский А.В.</t>
  </si>
  <si>
    <t>Разм.ГРВ</t>
  </si>
  <si>
    <t>Разм.брака</t>
  </si>
  <si>
    <t>Маш.уп.маш.</t>
  </si>
  <si>
    <t>Жизневская Т.Ф.</t>
  </si>
  <si>
    <t>норма выдачи</t>
  </si>
  <si>
    <t xml:space="preserve">Роспись   </t>
  </si>
  <si>
    <t>числа месяца</t>
  </si>
  <si>
    <t>Фамилия, имя, отчество</t>
  </si>
  <si>
    <t>№ п\п</t>
  </si>
  <si>
    <t>В Е Д О М О С Т Ь</t>
  </si>
  <si>
    <t xml:space="preserve">УП «Бумажная фабрика» Гознака </t>
  </si>
  <si>
    <t>Мастер</t>
  </si>
  <si>
    <t>БОТ______________________</t>
  </si>
  <si>
    <t>Всего выдано:</t>
  </si>
  <si>
    <t>Бушкина Т.П.</t>
  </si>
  <si>
    <t>Хомич Н.Н.</t>
  </si>
  <si>
    <t>Буйко В.Г.</t>
  </si>
  <si>
    <t>Булавский А.В.</t>
  </si>
  <si>
    <t>Кузьбар И.Н.</t>
  </si>
  <si>
    <t>Сандульская Л.А.</t>
  </si>
  <si>
    <t>Мастер смены</t>
  </si>
  <si>
    <t>Январь, 2016 г.</t>
  </si>
  <si>
    <t>Февраль, 2016 г.</t>
  </si>
  <si>
    <t>Март, 2016 г.</t>
  </si>
  <si>
    <t>9'</t>
  </si>
  <si>
    <t>11'</t>
  </si>
  <si>
    <t>Романов В.В.</t>
  </si>
  <si>
    <t>Бумажный цех</t>
  </si>
  <si>
    <t>Ед.изм</t>
  </si>
  <si>
    <t>Т</t>
  </si>
  <si>
    <t>Шт</t>
  </si>
  <si>
    <t>Кг</t>
  </si>
  <si>
    <t>Наряды</t>
  </si>
  <si>
    <t>Упаковка ролевой бумаги</t>
  </si>
  <si>
    <t>Переупаковка ролевой бумаги</t>
  </si>
  <si>
    <t>Упаковка ролевой документной бумаги</t>
  </si>
  <si>
    <t>Смена сетки БДМ</t>
  </si>
  <si>
    <t>Смена канатика</t>
  </si>
  <si>
    <t>Снятие сетки БДМ вручную</t>
  </si>
  <si>
    <t>Установка иглопробивного сукна</t>
  </si>
  <si>
    <t>Промывка и чистка сгустителя</t>
  </si>
  <si>
    <t>Промывка и чистка флотоловушки</t>
  </si>
  <si>
    <t>Смена прессовых сукон БДМ№2</t>
  </si>
  <si>
    <t>Смена сушильных сеток БДМ№2</t>
  </si>
  <si>
    <t>Смена сетки БДМ№2</t>
  </si>
  <si>
    <t>Волегова Г.И.</t>
  </si>
  <si>
    <t>Прогулы</t>
  </si>
  <si>
    <t>Лысковец О.И.</t>
  </si>
  <si>
    <t>Свидрицкая В.С.</t>
  </si>
  <si>
    <t>Серий В.А.</t>
  </si>
  <si>
    <t>Гарбузов Г.Л.</t>
  </si>
  <si>
    <t>Ваньков С.П.</t>
  </si>
  <si>
    <t>Рощупкина Л.И.</t>
  </si>
  <si>
    <t>Жавранок И.Г.</t>
  </si>
  <si>
    <t>Конон Н.В.</t>
  </si>
  <si>
    <t>Петровых В.В.</t>
  </si>
  <si>
    <t>Поплавский В.И.</t>
  </si>
  <si>
    <t>Новоселов А.В.</t>
  </si>
  <si>
    <t>Сацукевич С.П.</t>
  </si>
  <si>
    <t>Шерий Д.В.</t>
  </si>
  <si>
    <t>Драпезо Ю.Н.</t>
  </si>
  <si>
    <t>Гридюшко П.А.</t>
  </si>
  <si>
    <t>Васильева О.А.</t>
  </si>
  <si>
    <t>Апет И.В.</t>
  </si>
  <si>
    <t>Аниськович А.П.</t>
  </si>
  <si>
    <t>Бурыхин С.А.</t>
  </si>
  <si>
    <t>Дунаев С.Е.</t>
  </si>
  <si>
    <t>Коваль О.Г.</t>
  </si>
  <si>
    <t>Козаков С.Л.</t>
  </si>
  <si>
    <t>Костин А.М.</t>
  </si>
  <si>
    <t>Рябов О.С.</t>
  </si>
  <si>
    <t>Зеленкевич  Нат.В.</t>
  </si>
  <si>
    <t>Буслов А.А.</t>
  </si>
  <si>
    <t>Мишук В.В.</t>
  </si>
  <si>
    <t>Кирилуша С.В.</t>
  </si>
  <si>
    <t>Оклад</t>
  </si>
  <si>
    <t xml:space="preserve"> </t>
  </si>
  <si>
    <t>на выдачу  спецпитания (молока) по бумажному цеху за</t>
  </si>
  <si>
    <t xml:space="preserve">                             </t>
  </si>
  <si>
    <t>Сушильщик</t>
  </si>
  <si>
    <t xml:space="preserve">                                                   Главный инженер __________Алексеенок В.В.</t>
  </si>
  <si>
    <t>Выдано</t>
  </si>
  <si>
    <t xml:space="preserve">Разм. ПО </t>
  </si>
  <si>
    <t xml:space="preserve">Машинист </t>
  </si>
  <si>
    <t xml:space="preserve">Разм. РПО </t>
  </si>
  <si>
    <t xml:space="preserve">Сушильщик </t>
  </si>
  <si>
    <t xml:space="preserve">Перссовщик </t>
  </si>
  <si>
    <t xml:space="preserve">Резчик ПРС </t>
  </si>
  <si>
    <t>Уб.быт.пом</t>
  </si>
  <si>
    <t xml:space="preserve">Мастер </t>
  </si>
  <si>
    <t>Дни</t>
  </si>
  <si>
    <t>Ноч. часы</t>
  </si>
  <si>
    <t>Болезнь</t>
  </si>
  <si>
    <t>Отпуск</t>
  </si>
  <si>
    <t>Неявки разр. Законом</t>
  </si>
  <si>
    <t>Неявки разр. администр.</t>
  </si>
  <si>
    <t xml:space="preserve">Роспись  </t>
  </si>
  <si>
    <t>Чистка ГРВ и ГРГ</t>
  </si>
  <si>
    <t>Смена верхних сушильных сеток 1-5-й сушильных групп</t>
  </si>
  <si>
    <t>Смена нижних сушильных сеток 1-5-й сушильных групп</t>
  </si>
  <si>
    <t>Чистка скребками и промывка бассейнов:избыт. и регистр.воды</t>
  </si>
  <si>
    <t>Расценка за ед.</t>
  </si>
  <si>
    <t>в том числе связывание канатика</t>
  </si>
  <si>
    <t>композиционного, оборотного брака, сгущеной целлюлозы</t>
  </si>
  <si>
    <t>Резка и упаковка ленты бумажной для плоттеров 70 г/м2, ф. 1000 мм</t>
  </si>
  <si>
    <t>Резка и упаковка ленты бумажной для плоттеров 70 г/м2, ф. 1500 мм</t>
  </si>
  <si>
    <t>Резка и упаковка ленты бумажной для плоттеров 70 г/м2, ф. 1510 мм</t>
  </si>
  <si>
    <t>Резка и упаковка ленты бумажной для плоттеров 70 г/м2, ф. 1680 мм</t>
  </si>
  <si>
    <t>Резка и упаковка ленты бумажной для плоттеров 70 г/м2, ф. 1800 мм</t>
  </si>
  <si>
    <t>Резка и упаковка ленты бумажной для плоттеров 70 г/м2, ф. 1900 мм</t>
  </si>
  <si>
    <t>Резка и упаковка ленты бумажной для плоттеров 70 г/м2, ф. 2000 мм</t>
  </si>
  <si>
    <t>Резка и упаковка ленты бумажной для плоттеров 80 г/м2, ф. 1000 мм</t>
  </si>
  <si>
    <t>Резка и упаковка ленты бумажной для плоттеров 80 г/м2, ф. 1500 мм</t>
  </si>
  <si>
    <t>Резка и упаковка ленты бумажной для плоттеров 80 г/м2, ф. 1510 мм</t>
  </si>
  <si>
    <t>Резка и упаковка ленты бумажной для плоттеров 80 г/м2, ф. 1680 мм</t>
  </si>
  <si>
    <t>Резка и упаковка ленты бумажной для плоттеров 80 г/м2, ф. 1800 мм</t>
  </si>
  <si>
    <t>Резка и упаковка ленты бумажной для плоттеров 80 г/м2, ф. 1900 мм</t>
  </si>
  <si>
    <t>Резка и упаковка ленты бумажной для плоттеров 80 г/м2, ф. 2000 мм</t>
  </si>
  <si>
    <t>Смена прессовых сукон марки Гешмай со снятием сукна вруч-ю</t>
  </si>
  <si>
    <t>Снятие сукна марки Гешмай</t>
  </si>
  <si>
    <t>Чистка скребками и промывка бассейнов: машинного,массного</t>
  </si>
  <si>
    <t>Чистка скребками и промывка бассейнов: приёмный, размольный</t>
  </si>
  <si>
    <t>Час.т.ставка</t>
  </si>
  <si>
    <r>
      <t xml:space="preserve">                                                                              </t>
    </r>
    <r>
      <rPr>
        <b/>
        <sz val="12"/>
        <rFont val="Times New Roman"/>
        <family val="1"/>
        <charset val="204"/>
      </rPr>
      <t>УТВЕРЖДАЮ</t>
    </r>
  </si>
</sst>
</file>

<file path=xl/styles.xml><?xml version="1.0" encoding="utf-8"?>
<styleSheet xmlns="http://schemas.openxmlformats.org/spreadsheetml/2006/main">
  <numFmts count="1">
    <numFmt numFmtId="164" formatCode="#,##0_р_.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2" borderId="0">
      <alignment horizontal="left"/>
    </xf>
    <xf numFmtId="0" fontId="3" fillId="2" borderId="0" applyFont="0" applyBorder="0" applyAlignment="0" applyProtection="0">
      <alignment horizontal="left"/>
    </xf>
  </cellStyleXfs>
  <cellXfs count="103">
    <xf numFmtId="0" fontId="0" fillId="0" borderId="0" xfId="0"/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Protection="1"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1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locked="0" hidden="1"/>
    </xf>
    <xf numFmtId="0" fontId="4" fillId="2" borderId="1" xfId="0" applyFont="1" applyFill="1" applyBorder="1" applyAlignment="1" applyProtection="1">
      <alignment horizontal="left" vertical="center" wrapText="1"/>
      <protection locked="0" hidden="1"/>
    </xf>
    <xf numFmtId="0" fontId="4" fillId="2" borderId="1" xfId="1" applyFont="1" applyFill="1" applyBorder="1" applyAlignment="1" applyProtection="1">
      <alignment horizontal="center" vertical="center"/>
      <protection locked="0" hidden="1"/>
    </xf>
    <xf numFmtId="0" fontId="4" fillId="2" borderId="1" xfId="1" quotePrefix="1" applyFont="1" applyFill="1" applyBorder="1" applyAlignment="1" applyProtection="1">
      <alignment horizontal="center" vertical="center"/>
      <protection locked="0" hidden="1"/>
    </xf>
    <xf numFmtId="1" fontId="6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locked="0"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2" fontId="4" fillId="2" borderId="0" xfId="0" applyNumberFormat="1" applyFont="1" applyFill="1" applyProtection="1"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4" fillId="2" borderId="0" xfId="0" applyFont="1" applyFill="1" applyBorder="1" applyAlignment="1" applyProtection="1">
      <alignment horizontal="left" vertical="center" indent="28"/>
      <protection hidden="1"/>
    </xf>
    <xf numFmtId="0" fontId="4" fillId="2" borderId="0" xfId="0" applyFont="1" applyFill="1" applyBorder="1" applyAlignment="1" applyProtection="1">
      <alignment horizontal="left" vertical="center" indent="11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left" vertical="center" wrapText="1"/>
      <protection locked="0" hidden="1"/>
    </xf>
    <xf numFmtId="0" fontId="4" fillId="2" borderId="2" xfId="0" applyFont="1" applyFill="1" applyBorder="1" applyAlignment="1" applyProtection="1">
      <alignment horizontal="center" vertical="top" wrapText="1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left" vertical="center"/>
      <protection locked="0" hidden="1"/>
    </xf>
    <xf numFmtId="0" fontId="4" fillId="2" borderId="2" xfId="0" applyFont="1" applyFill="1" applyBorder="1" applyAlignment="1" applyProtection="1">
      <alignment vertical="top" wrapText="1"/>
      <protection hidden="1"/>
    </xf>
    <xf numFmtId="0" fontId="6" fillId="2" borderId="2" xfId="0" applyFont="1" applyFill="1" applyBorder="1" applyAlignment="1" applyProtection="1">
      <protection hidden="1"/>
    </xf>
    <xf numFmtId="0" fontId="6" fillId="2" borderId="3" xfId="0" applyFont="1" applyFill="1" applyBorder="1" applyAlignment="1" applyProtection="1">
      <protection hidden="1"/>
    </xf>
    <xf numFmtId="0" fontId="11" fillId="2" borderId="3" xfId="0" applyFont="1" applyFill="1" applyBorder="1" applyAlignment="1" applyProtection="1">
      <alignment horizontal="left"/>
      <protection hidden="1"/>
    </xf>
    <xf numFmtId="0" fontId="6" fillId="2" borderId="0" xfId="0" applyFont="1" applyFill="1" applyBorder="1" applyAlignment="1" applyProtection="1">
      <protection hidden="1"/>
    </xf>
    <xf numFmtId="0" fontId="11" fillId="2" borderId="0" xfId="0" applyFont="1" applyFill="1" applyBorder="1" applyAlignment="1" applyProtection="1">
      <alignment horizontal="right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 vertical="top" wrapText="1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164" fontId="12" fillId="2" borderId="8" xfId="0" applyNumberFormat="1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/>
      <protection hidden="1"/>
    </xf>
    <xf numFmtId="164" fontId="12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2" fillId="2" borderId="2" xfId="0" applyFont="1" applyFill="1" applyBorder="1" applyAlignment="1" applyProtection="1">
      <alignment horizontal="center"/>
      <protection hidden="1"/>
    </xf>
    <xf numFmtId="0" fontId="12" fillId="2" borderId="1" xfId="0" applyFont="1" applyFill="1" applyBorder="1" applyAlignment="1" applyProtection="1">
      <alignment horizontal="left" vertical="center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 applyProtection="1">
      <alignment horizontal="left" vertical="center"/>
      <protection hidden="1"/>
    </xf>
    <xf numFmtId="164" fontId="12" fillId="2" borderId="4" xfId="0" applyNumberFormat="1" applyFont="1" applyFill="1" applyBorder="1" applyAlignment="1" applyProtection="1">
      <alignment horizontal="center" vertical="center"/>
      <protection hidden="1"/>
    </xf>
    <xf numFmtId="17" fontId="12" fillId="2" borderId="1" xfId="0" applyNumberFormat="1" applyFont="1" applyFill="1" applyBorder="1" applyAlignment="1" applyProtection="1">
      <alignment horizontal="left" vertical="center"/>
      <protection hidden="1"/>
    </xf>
    <xf numFmtId="0" fontId="12" fillId="2" borderId="2" xfId="0" applyFont="1" applyFill="1" applyBorder="1" applyAlignment="1" applyProtection="1">
      <alignment horizontal="left" vertical="center"/>
      <protection hidden="1"/>
    </xf>
    <xf numFmtId="0" fontId="12" fillId="2" borderId="1" xfId="0" applyFont="1" applyFill="1" applyBorder="1" applyAlignment="1" applyProtection="1">
      <alignment horizontal="left"/>
      <protection hidden="1"/>
    </xf>
    <xf numFmtId="0" fontId="12" fillId="2" borderId="1" xfId="0" applyFont="1" applyFill="1" applyBorder="1" applyAlignment="1" applyProtection="1">
      <alignment wrapText="1"/>
      <protection hidden="1"/>
    </xf>
    <xf numFmtId="0" fontId="12" fillId="2" borderId="1" xfId="0" applyNumberFormat="1" applyFont="1" applyFill="1" applyBorder="1" applyAlignment="1" applyProtection="1">
      <alignment horizontal="left" vertical="center"/>
      <protection hidden="1"/>
    </xf>
    <xf numFmtId="0" fontId="12" fillId="2" borderId="1" xfId="0" applyFont="1" applyFill="1" applyBorder="1" applyProtection="1">
      <protection hidden="1"/>
    </xf>
    <xf numFmtId="0" fontId="12" fillId="2" borderId="5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left"/>
      <protection hidden="1"/>
    </xf>
    <xf numFmtId="164" fontId="12" fillId="2" borderId="0" xfId="0" applyNumberFormat="1" applyFont="1" applyFill="1" applyAlignment="1" applyProtection="1">
      <alignment horizontal="center"/>
      <protection hidden="1"/>
    </xf>
    <xf numFmtId="12" fontId="12" fillId="2" borderId="1" xfId="0" applyNumberFormat="1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12" fillId="2" borderId="4" xfId="0" applyFont="1" applyFill="1" applyBorder="1" applyProtection="1">
      <protection hidden="1"/>
    </xf>
    <xf numFmtId="164" fontId="12" fillId="2" borderId="4" xfId="0" applyNumberFormat="1" applyFont="1" applyFill="1" applyBorder="1" applyAlignment="1" applyProtection="1">
      <alignment horizontal="center"/>
      <protection hidden="1"/>
    </xf>
    <xf numFmtId="164" fontId="12" fillId="2" borderId="1" xfId="0" applyNumberFormat="1" applyFont="1" applyFill="1" applyBorder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 textRotation="90" wrapText="1"/>
      <protection hidden="1"/>
    </xf>
    <xf numFmtId="0" fontId="4" fillId="2" borderId="6" xfId="0" applyFont="1" applyFill="1" applyBorder="1" applyAlignment="1" applyProtection="1">
      <alignment horizontal="center" vertical="center" textRotation="90" wrapText="1"/>
      <protection hidden="1"/>
    </xf>
    <xf numFmtId="0" fontId="4" fillId="2" borderId="9" xfId="0" applyFont="1" applyFill="1" applyBorder="1" applyAlignment="1" applyProtection="1">
      <alignment horizontal="center" vertical="center" textRotation="90"/>
      <protection hidden="1"/>
    </xf>
    <xf numFmtId="0" fontId="4" fillId="2" borderId="6" xfId="0" applyFont="1" applyFill="1" applyBorder="1" applyAlignment="1" applyProtection="1">
      <alignment horizontal="center" vertical="center" textRotation="90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textRotation="90" wrapText="1"/>
      <protection hidden="1"/>
    </xf>
    <xf numFmtId="0" fontId="6" fillId="2" borderId="13" xfId="0" applyFont="1" applyFill="1" applyBorder="1" applyAlignment="1" applyProtection="1">
      <alignment horizontal="center" textRotation="90" wrapText="1"/>
      <protection hidden="1"/>
    </xf>
    <xf numFmtId="0" fontId="6" fillId="2" borderId="11" xfId="0" applyFont="1" applyFill="1" applyBorder="1" applyAlignment="1" applyProtection="1">
      <alignment horizontal="center" textRotation="90" wrapText="1"/>
      <protection hidden="1"/>
    </xf>
    <xf numFmtId="0" fontId="11" fillId="2" borderId="3" xfId="0" applyFont="1" applyFill="1" applyBorder="1" applyAlignment="1" applyProtection="1">
      <alignment horizontal="right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3" xfId="0" applyFont="1" applyFill="1" applyBorder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right" vertical="center"/>
      <protection hidden="1"/>
    </xf>
    <xf numFmtId="49" fontId="11" fillId="2" borderId="0" xfId="0" applyNumberFormat="1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49" fontId="7" fillId="2" borderId="7" xfId="0" applyNumberFormat="1" applyFont="1" applyFill="1" applyBorder="1" applyAlignment="1" applyProtection="1">
      <protection hidden="1"/>
    </xf>
    <xf numFmtId="0" fontId="7" fillId="2" borderId="7" xfId="0" applyFont="1" applyFill="1" applyBorder="1" applyAlignment="1" applyProtection="1">
      <protection hidden="1"/>
    </xf>
    <xf numFmtId="0" fontId="6" fillId="2" borderId="2" xfId="0" applyFont="1" applyFill="1" applyBorder="1" applyAlignment="1" applyProtection="1">
      <alignment horizontal="left"/>
      <protection hidden="1"/>
    </xf>
    <xf numFmtId="0" fontId="6" fillId="2" borderId="3" xfId="0" applyFont="1" applyFill="1" applyBorder="1" applyAlignment="1" applyProtection="1">
      <alignment horizontal="left"/>
      <protection hidden="1"/>
    </xf>
  </cellXfs>
  <cellStyles count="4">
    <cellStyle name="Обычный" xfId="0" builtinId="0"/>
    <cellStyle name="Обычный_График работы ПРЦ 2010" xfId="1"/>
    <cellStyle name="Стиль 1" xfId="2"/>
    <cellStyle name="Стиль 2" xfId="3"/>
  </cellStyles>
  <dxfs count="0"/>
  <tableStyles count="1" defaultTableStyle="TableStyleMedium9" defaultPivotStyle="PivotStyleLight16">
    <tableStyle name="Стиль таблицы 1" pivot="0" count="0"/>
  </tableStyles>
  <colors>
    <mruColors>
      <color rgb="FFABE3FF"/>
      <color rgb="FFFFFFCC"/>
      <color rgb="FFFFFFB9"/>
      <color rgb="FFCBCBCB"/>
      <color rgb="FF5F912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3;&#1080;&#1082;&#1086;&#1083;&#1072;&#1081;/Application%20Data/Microsoft/Excel/&#1085;&#1072;&#1088;&#1103;&#1076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ряд стр. 1"/>
      <sheetName val="Список"/>
    </sheetNames>
    <sheetDataSet>
      <sheetData sheetId="0"/>
      <sheetData sheetId="1">
        <row r="26">
          <cell r="F26" t="str">
            <v>Шт</v>
          </cell>
        </row>
        <row r="27">
          <cell r="F27" t="str">
            <v>Кг</v>
          </cell>
        </row>
        <row r="28">
          <cell r="F28" t="str">
            <v>Т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tabColor rgb="FF00B0F0"/>
  </sheetPr>
  <dimension ref="A1:AT70"/>
  <sheetViews>
    <sheetView showGridLines="0" showZeros="0" tabSelected="1" zoomScale="85" zoomScaleNormal="85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G15" sqref="G15"/>
    </sheetView>
  </sheetViews>
  <sheetFormatPr defaultRowHeight="21" customHeight="1"/>
  <cols>
    <col min="1" max="1" width="4" style="4" customWidth="1"/>
    <col min="2" max="2" width="7.42578125" style="14" customWidth="1"/>
    <col min="3" max="3" width="21.140625" style="14" customWidth="1"/>
    <col min="4" max="4" width="17.5703125" style="4" customWidth="1"/>
    <col min="5" max="29" width="4" style="4" customWidth="1"/>
    <col min="30" max="30" width="3.7109375" style="4" customWidth="1"/>
    <col min="31" max="35" width="4" style="4" customWidth="1"/>
    <col min="36" max="36" width="6.5703125" style="4" customWidth="1"/>
    <col min="37" max="37" width="9" style="4" customWidth="1"/>
    <col min="38" max="38" width="7.42578125" style="4" customWidth="1"/>
    <col min="39" max="41" width="5.7109375" style="4" customWidth="1"/>
    <col min="42" max="42" width="5.5703125" style="4" customWidth="1"/>
    <col min="43" max="43" width="5.85546875" style="4" customWidth="1"/>
    <col min="44" max="44" width="5.7109375" style="14" customWidth="1"/>
    <col min="45" max="45" width="5.7109375" style="4" customWidth="1"/>
    <col min="46" max="258" width="9.140625" style="4"/>
    <col min="259" max="259" width="3.5703125" style="4" customWidth="1"/>
    <col min="260" max="260" width="19.140625" style="4" customWidth="1"/>
    <col min="261" max="261" width="18.85546875" style="4" customWidth="1"/>
    <col min="262" max="262" width="6" style="4" customWidth="1"/>
    <col min="263" max="287" width="4" style="4" customWidth="1"/>
    <col min="288" max="288" width="3.7109375" style="4" customWidth="1"/>
    <col min="289" max="293" width="4" style="4" customWidth="1"/>
    <col min="294" max="294" width="10.5703125" style="4" customWidth="1"/>
    <col min="295" max="295" width="7.85546875" style="4" customWidth="1"/>
    <col min="296" max="296" width="5.5703125" style="4" customWidth="1"/>
    <col min="297" max="297" width="4.5703125" style="4" customWidth="1"/>
    <col min="298" max="298" width="10.140625" style="4" customWidth="1"/>
    <col min="299" max="299" width="7.85546875" style="4" customWidth="1"/>
    <col min="300" max="300" width="3.5703125" style="4" customWidth="1"/>
    <col min="301" max="514" width="9.140625" style="4"/>
    <col min="515" max="515" width="3.5703125" style="4" customWidth="1"/>
    <col min="516" max="516" width="19.140625" style="4" customWidth="1"/>
    <col min="517" max="517" width="18.85546875" style="4" customWidth="1"/>
    <col min="518" max="518" width="6" style="4" customWidth="1"/>
    <col min="519" max="543" width="4" style="4" customWidth="1"/>
    <col min="544" max="544" width="3.7109375" style="4" customWidth="1"/>
    <col min="545" max="549" width="4" style="4" customWidth="1"/>
    <col min="550" max="550" width="10.5703125" style="4" customWidth="1"/>
    <col min="551" max="551" width="7.85546875" style="4" customWidth="1"/>
    <col min="552" max="552" width="5.5703125" style="4" customWidth="1"/>
    <col min="553" max="553" width="4.5703125" style="4" customWidth="1"/>
    <col min="554" max="554" width="10.140625" style="4" customWidth="1"/>
    <col min="555" max="555" width="7.85546875" style="4" customWidth="1"/>
    <col min="556" max="556" width="3.5703125" style="4" customWidth="1"/>
    <col min="557" max="770" width="9.140625" style="4"/>
    <col min="771" max="771" width="3.5703125" style="4" customWidth="1"/>
    <col min="772" max="772" width="19.140625" style="4" customWidth="1"/>
    <col min="773" max="773" width="18.85546875" style="4" customWidth="1"/>
    <col min="774" max="774" width="6" style="4" customWidth="1"/>
    <col min="775" max="799" width="4" style="4" customWidth="1"/>
    <col min="800" max="800" width="3.7109375" style="4" customWidth="1"/>
    <col min="801" max="805" width="4" style="4" customWidth="1"/>
    <col min="806" max="806" width="10.5703125" style="4" customWidth="1"/>
    <col min="807" max="807" width="7.85546875" style="4" customWidth="1"/>
    <col min="808" max="808" width="5.5703125" style="4" customWidth="1"/>
    <col min="809" max="809" width="4.5703125" style="4" customWidth="1"/>
    <col min="810" max="810" width="10.140625" style="4" customWidth="1"/>
    <col min="811" max="811" width="7.85546875" style="4" customWidth="1"/>
    <col min="812" max="812" width="3.5703125" style="4" customWidth="1"/>
    <col min="813" max="1026" width="9.140625" style="4"/>
    <col min="1027" max="1027" width="3.5703125" style="4" customWidth="1"/>
    <col min="1028" max="1028" width="19.140625" style="4" customWidth="1"/>
    <col min="1029" max="1029" width="18.85546875" style="4" customWidth="1"/>
    <col min="1030" max="1030" width="6" style="4" customWidth="1"/>
    <col min="1031" max="1055" width="4" style="4" customWidth="1"/>
    <col min="1056" max="1056" width="3.7109375" style="4" customWidth="1"/>
    <col min="1057" max="1061" width="4" style="4" customWidth="1"/>
    <col min="1062" max="1062" width="10.5703125" style="4" customWidth="1"/>
    <col min="1063" max="1063" width="7.85546875" style="4" customWidth="1"/>
    <col min="1064" max="1064" width="5.5703125" style="4" customWidth="1"/>
    <col min="1065" max="1065" width="4.5703125" style="4" customWidth="1"/>
    <col min="1066" max="1066" width="10.140625" style="4" customWidth="1"/>
    <col min="1067" max="1067" width="7.85546875" style="4" customWidth="1"/>
    <col min="1068" max="1068" width="3.5703125" style="4" customWidth="1"/>
    <col min="1069" max="1282" width="9.140625" style="4"/>
    <col min="1283" max="1283" width="3.5703125" style="4" customWidth="1"/>
    <col min="1284" max="1284" width="19.140625" style="4" customWidth="1"/>
    <col min="1285" max="1285" width="18.85546875" style="4" customWidth="1"/>
    <col min="1286" max="1286" width="6" style="4" customWidth="1"/>
    <col min="1287" max="1311" width="4" style="4" customWidth="1"/>
    <col min="1312" max="1312" width="3.7109375" style="4" customWidth="1"/>
    <col min="1313" max="1317" width="4" style="4" customWidth="1"/>
    <col min="1318" max="1318" width="10.5703125" style="4" customWidth="1"/>
    <col min="1319" max="1319" width="7.85546875" style="4" customWidth="1"/>
    <col min="1320" max="1320" width="5.5703125" style="4" customWidth="1"/>
    <col min="1321" max="1321" width="4.5703125" style="4" customWidth="1"/>
    <col min="1322" max="1322" width="10.140625" style="4" customWidth="1"/>
    <col min="1323" max="1323" width="7.85546875" style="4" customWidth="1"/>
    <col min="1324" max="1324" width="3.5703125" style="4" customWidth="1"/>
    <col min="1325" max="1538" width="9.140625" style="4"/>
    <col min="1539" max="1539" width="3.5703125" style="4" customWidth="1"/>
    <col min="1540" max="1540" width="19.140625" style="4" customWidth="1"/>
    <col min="1541" max="1541" width="18.85546875" style="4" customWidth="1"/>
    <col min="1542" max="1542" width="6" style="4" customWidth="1"/>
    <col min="1543" max="1567" width="4" style="4" customWidth="1"/>
    <col min="1568" max="1568" width="3.7109375" style="4" customWidth="1"/>
    <col min="1569" max="1573" width="4" style="4" customWidth="1"/>
    <col min="1574" max="1574" width="10.5703125" style="4" customWidth="1"/>
    <col min="1575" max="1575" width="7.85546875" style="4" customWidth="1"/>
    <col min="1576" max="1576" width="5.5703125" style="4" customWidth="1"/>
    <col min="1577" max="1577" width="4.5703125" style="4" customWidth="1"/>
    <col min="1578" max="1578" width="10.140625" style="4" customWidth="1"/>
    <col min="1579" max="1579" width="7.85546875" style="4" customWidth="1"/>
    <col min="1580" max="1580" width="3.5703125" style="4" customWidth="1"/>
    <col min="1581" max="1794" width="9.140625" style="4"/>
    <col min="1795" max="1795" width="3.5703125" style="4" customWidth="1"/>
    <col min="1796" max="1796" width="19.140625" style="4" customWidth="1"/>
    <col min="1797" max="1797" width="18.85546875" style="4" customWidth="1"/>
    <col min="1798" max="1798" width="6" style="4" customWidth="1"/>
    <col min="1799" max="1823" width="4" style="4" customWidth="1"/>
    <col min="1824" max="1824" width="3.7109375" style="4" customWidth="1"/>
    <col min="1825" max="1829" width="4" style="4" customWidth="1"/>
    <col min="1830" max="1830" width="10.5703125" style="4" customWidth="1"/>
    <col min="1831" max="1831" width="7.85546875" style="4" customWidth="1"/>
    <col min="1832" max="1832" width="5.5703125" style="4" customWidth="1"/>
    <col min="1833" max="1833" width="4.5703125" style="4" customWidth="1"/>
    <col min="1834" max="1834" width="10.140625" style="4" customWidth="1"/>
    <col min="1835" max="1835" width="7.85546875" style="4" customWidth="1"/>
    <col min="1836" max="1836" width="3.5703125" style="4" customWidth="1"/>
    <col min="1837" max="2050" width="9.140625" style="4"/>
    <col min="2051" max="2051" width="3.5703125" style="4" customWidth="1"/>
    <col min="2052" max="2052" width="19.140625" style="4" customWidth="1"/>
    <col min="2053" max="2053" width="18.85546875" style="4" customWidth="1"/>
    <col min="2054" max="2054" width="6" style="4" customWidth="1"/>
    <col min="2055" max="2079" width="4" style="4" customWidth="1"/>
    <col min="2080" max="2080" width="3.7109375" style="4" customWidth="1"/>
    <col min="2081" max="2085" width="4" style="4" customWidth="1"/>
    <col min="2086" max="2086" width="10.5703125" style="4" customWidth="1"/>
    <col min="2087" max="2087" width="7.85546875" style="4" customWidth="1"/>
    <col min="2088" max="2088" width="5.5703125" style="4" customWidth="1"/>
    <col min="2089" max="2089" width="4.5703125" style="4" customWidth="1"/>
    <col min="2090" max="2090" width="10.140625" style="4" customWidth="1"/>
    <col min="2091" max="2091" width="7.85546875" style="4" customWidth="1"/>
    <col min="2092" max="2092" width="3.5703125" style="4" customWidth="1"/>
    <col min="2093" max="2306" width="9.140625" style="4"/>
    <col min="2307" max="2307" width="3.5703125" style="4" customWidth="1"/>
    <col min="2308" max="2308" width="19.140625" style="4" customWidth="1"/>
    <col min="2309" max="2309" width="18.85546875" style="4" customWidth="1"/>
    <col min="2310" max="2310" width="6" style="4" customWidth="1"/>
    <col min="2311" max="2335" width="4" style="4" customWidth="1"/>
    <col min="2336" max="2336" width="3.7109375" style="4" customWidth="1"/>
    <col min="2337" max="2341" width="4" style="4" customWidth="1"/>
    <col min="2342" max="2342" width="10.5703125" style="4" customWidth="1"/>
    <col min="2343" max="2343" width="7.85546875" style="4" customWidth="1"/>
    <col min="2344" max="2344" width="5.5703125" style="4" customWidth="1"/>
    <col min="2345" max="2345" width="4.5703125" style="4" customWidth="1"/>
    <col min="2346" max="2346" width="10.140625" style="4" customWidth="1"/>
    <col min="2347" max="2347" width="7.85546875" style="4" customWidth="1"/>
    <col min="2348" max="2348" width="3.5703125" style="4" customWidth="1"/>
    <col min="2349" max="2562" width="9.140625" style="4"/>
    <col min="2563" max="2563" width="3.5703125" style="4" customWidth="1"/>
    <col min="2564" max="2564" width="19.140625" style="4" customWidth="1"/>
    <col min="2565" max="2565" width="18.85546875" style="4" customWidth="1"/>
    <col min="2566" max="2566" width="6" style="4" customWidth="1"/>
    <col min="2567" max="2591" width="4" style="4" customWidth="1"/>
    <col min="2592" max="2592" width="3.7109375" style="4" customWidth="1"/>
    <col min="2593" max="2597" width="4" style="4" customWidth="1"/>
    <col min="2598" max="2598" width="10.5703125" style="4" customWidth="1"/>
    <col min="2599" max="2599" width="7.85546875" style="4" customWidth="1"/>
    <col min="2600" max="2600" width="5.5703125" style="4" customWidth="1"/>
    <col min="2601" max="2601" width="4.5703125" style="4" customWidth="1"/>
    <col min="2602" max="2602" width="10.140625" style="4" customWidth="1"/>
    <col min="2603" max="2603" width="7.85546875" style="4" customWidth="1"/>
    <col min="2604" max="2604" width="3.5703125" style="4" customWidth="1"/>
    <col min="2605" max="2818" width="9.140625" style="4"/>
    <col min="2819" max="2819" width="3.5703125" style="4" customWidth="1"/>
    <col min="2820" max="2820" width="19.140625" style="4" customWidth="1"/>
    <col min="2821" max="2821" width="18.85546875" style="4" customWidth="1"/>
    <col min="2822" max="2822" width="6" style="4" customWidth="1"/>
    <col min="2823" max="2847" width="4" style="4" customWidth="1"/>
    <col min="2848" max="2848" width="3.7109375" style="4" customWidth="1"/>
    <col min="2849" max="2853" width="4" style="4" customWidth="1"/>
    <col min="2854" max="2854" width="10.5703125" style="4" customWidth="1"/>
    <col min="2855" max="2855" width="7.85546875" style="4" customWidth="1"/>
    <col min="2856" max="2856" width="5.5703125" style="4" customWidth="1"/>
    <col min="2857" max="2857" width="4.5703125" style="4" customWidth="1"/>
    <col min="2858" max="2858" width="10.140625" style="4" customWidth="1"/>
    <col min="2859" max="2859" width="7.85546875" style="4" customWidth="1"/>
    <col min="2860" max="2860" width="3.5703125" style="4" customWidth="1"/>
    <col min="2861" max="3074" width="9.140625" style="4"/>
    <col min="3075" max="3075" width="3.5703125" style="4" customWidth="1"/>
    <col min="3076" max="3076" width="19.140625" style="4" customWidth="1"/>
    <col min="3077" max="3077" width="18.85546875" style="4" customWidth="1"/>
    <col min="3078" max="3078" width="6" style="4" customWidth="1"/>
    <col min="3079" max="3103" width="4" style="4" customWidth="1"/>
    <col min="3104" max="3104" width="3.7109375" style="4" customWidth="1"/>
    <col min="3105" max="3109" width="4" style="4" customWidth="1"/>
    <col min="3110" max="3110" width="10.5703125" style="4" customWidth="1"/>
    <col min="3111" max="3111" width="7.85546875" style="4" customWidth="1"/>
    <col min="3112" max="3112" width="5.5703125" style="4" customWidth="1"/>
    <col min="3113" max="3113" width="4.5703125" style="4" customWidth="1"/>
    <col min="3114" max="3114" width="10.140625" style="4" customWidth="1"/>
    <col min="3115" max="3115" width="7.85546875" style="4" customWidth="1"/>
    <col min="3116" max="3116" width="3.5703125" style="4" customWidth="1"/>
    <col min="3117" max="3330" width="9.140625" style="4"/>
    <col min="3331" max="3331" width="3.5703125" style="4" customWidth="1"/>
    <col min="3332" max="3332" width="19.140625" style="4" customWidth="1"/>
    <col min="3333" max="3333" width="18.85546875" style="4" customWidth="1"/>
    <col min="3334" max="3334" width="6" style="4" customWidth="1"/>
    <col min="3335" max="3359" width="4" style="4" customWidth="1"/>
    <col min="3360" max="3360" width="3.7109375" style="4" customWidth="1"/>
    <col min="3361" max="3365" width="4" style="4" customWidth="1"/>
    <col min="3366" max="3366" width="10.5703125" style="4" customWidth="1"/>
    <col min="3367" max="3367" width="7.85546875" style="4" customWidth="1"/>
    <col min="3368" max="3368" width="5.5703125" style="4" customWidth="1"/>
    <col min="3369" max="3369" width="4.5703125" style="4" customWidth="1"/>
    <col min="3370" max="3370" width="10.140625" style="4" customWidth="1"/>
    <col min="3371" max="3371" width="7.85546875" style="4" customWidth="1"/>
    <col min="3372" max="3372" width="3.5703125" style="4" customWidth="1"/>
    <col min="3373" max="3586" width="9.140625" style="4"/>
    <col min="3587" max="3587" width="3.5703125" style="4" customWidth="1"/>
    <col min="3588" max="3588" width="19.140625" style="4" customWidth="1"/>
    <col min="3589" max="3589" width="18.85546875" style="4" customWidth="1"/>
    <col min="3590" max="3590" width="6" style="4" customWidth="1"/>
    <col min="3591" max="3615" width="4" style="4" customWidth="1"/>
    <col min="3616" max="3616" width="3.7109375" style="4" customWidth="1"/>
    <col min="3617" max="3621" width="4" style="4" customWidth="1"/>
    <col min="3622" max="3622" width="10.5703125" style="4" customWidth="1"/>
    <col min="3623" max="3623" width="7.85546875" style="4" customWidth="1"/>
    <col min="3624" max="3624" width="5.5703125" style="4" customWidth="1"/>
    <col min="3625" max="3625" width="4.5703125" style="4" customWidth="1"/>
    <col min="3626" max="3626" width="10.140625" style="4" customWidth="1"/>
    <col min="3627" max="3627" width="7.85546875" style="4" customWidth="1"/>
    <col min="3628" max="3628" width="3.5703125" style="4" customWidth="1"/>
    <col min="3629" max="3842" width="9.140625" style="4"/>
    <col min="3843" max="3843" width="3.5703125" style="4" customWidth="1"/>
    <col min="3844" max="3844" width="19.140625" style="4" customWidth="1"/>
    <col min="3845" max="3845" width="18.85546875" style="4" customWidth="1"/>
    <col min="3846" max="3846" width="6" style="4" customWidth="1"/>
    <col min="3847" max="3871" width="4" style="4" customWidth="1"/>
    <col min="3872" max="3872" width="3.7109375" style="4" customWidth="1"/>
    <col min="3873" max="3877" width="4" style="4" customWidth="1"/>
    <col min="3878" max="3878" width="10.5703125" style="4" customWidth="1"/>
    <col min="3879" max="3879" width="7.85546875" style="4" customWidth="1"/>
    <col min="3880" max="3880" width="5.5703125" style="4" customWidth="1"/>
    <col min="3881" max="3881" width="4.5703125" style="4" customWidth="1"/>
    <col min="3882" max="3882" width="10.140625" style="4" customWidth="1"/>
    <col min="3883" max="3883" width="7.85546875" style="4" customWidth="1"/>
    <col min="3884" max="3884" width="3.5703125" style="4" customWidth="1"/>
    <col min="3885" max="4098" width="9.140625" style="4"/>
    <col min="4099" max="4099" width="3.5703125" style="4" customWidth="1"/>
    <col min="4100" max="4100" width="19.140625" style="4" customWidth="1"/>
    <col min="4101" max="4101" width="18.85546875" style="4" customWidth="1"/>
    <col min="4102" max="4102" width="6" style="4" customWidth="1"/>
    <col min="4103" max="4127" width="4" style="4" customWidth="1"/>
    <col min="4128" max="4128" width="3.7109375" style="4" customWidth="1"/>
    <col min="4129" max="4133" width="4" style="4" customWidth="1"/>
    <col min="4134" max="4134" width="10.5703125" style="4" customWidth="1"/>
    <col min="4135" max="4135" width="7.85546875" style="4" customWidth="1"/>
    <col min="4136" max="4136" width="5.5703125" style="4" customWidth="1"/>
    <col min="4137" max="4137" width="4.5703125" style="4" customWidth="1"/>
    <col min="4138" max="4138" width="10.140625" style="4" customWidth="1"/>
    <col min="4139" max="4139" width="7.85546875" style="4" customWidth="1"/>
    <col min="4140" max="4140" width="3.5703125" style="4" customWidth="1"/>
    <col min="4141" max="4354" width="9.140625" style="4"/>
    <col min="4355" max="4355" width="3.5703125" style="4" customWidth="1"/>
    <col min="4356" max="4356" width="19.140625" style="4" customWidth="1"/>
    <col min="4357" max="4357" width="18.85546875" style="4" customWidth="1"/>
    <col min="4358" max="4358" width="6" style="4" customWidth="1"/>
    <col min="4359" max="4383" width="4" style="4" customWidth="1"/>
    <col min="4384" max="4384" width="3.7109375" style="4" customWidth="1"/>
    <col min="4385" max="4389" width="4" style="4" customWidth="1"/>
    <col min="4390" max="4390" width="10.5703125" style="4" customWidth="1"/>
    <col min="4391" max="4391" width="7.85546875" style="4" customWidth="1"/>
    <col min="4392" max="4392" width="5.5703125" style="4" customWidth="1"/>
    <col min="4393" max="4393" width="4.5703125" style="4" customWidth="1"/>
    <col min="4394" max="4394" width="10.140625" style="4" customWidth="1"/>
    <col min="4395" max="4395" width="7.85546875" style="4" customWidth="1"/>
    <col min="4396" max="4396" width="3.5703125" style="4" customWidth="1"/>
    <col min="4397" max="4610" width="9.140625" style="4"/>
    <col min="4611" max="4611" width="3.5703125" style="4" customWidth="1"/>
    <col min="4612" max="4612" width="19.140625" style="4" customWidth="1"/>
    <col min="4613" max="4613" width="18.85546875" style="4" customWidth="1"/>
    <col min="4614" max="4614" width="6" style="4" customWidth="1"/>
    <col min="4615" max="4639" width="4" style="4" customWidth="1"/>
    <col min="4640" max="4640" width="3.7109375" style="4" customWidth="1"/>
    <col min="4641" max="4645" width="4" style="4" customWidth="1"/>
    <col min="4646" max="4646" width="10.5703125" style="4" customWidth="1"/>
    <col min="4647" max="4647" width="7.85546875" style="4" customWidth="1"/>
    <col min="4648" max="4648" width="5.5703125" style="4" customWidth="1"/>
    <col min="4649" max="4649" width="4.5703125" style="4" customWidth="1"/>
    <col min="4650" max="4650" width="10.140625" style="4" customWidth="1"/>
    <col min="4651" max="4651" width="7.85546875" style="4" customWidth="1"/>
    <col min="4652" max="4652" width="3.5703125" style="4" customWidth="1"/>
    <col min="4653" max="4866" width="9.140625" style="4"/>
    <col min="4867" max="4867" width="3.5703125" style="4" customWidth="1"/>
    <col min="4868" max="4868" width="19.140625" style="4" customWidth="1"/>
    <col min="4869" max="4869" width="18.85546875" style="4" customWidth="1"/>
    <col min="4870" max="4870" width="6" style="4" customWidth="1"/>
    <col min="4871" max="4895" width="4" style="4" customWidth="1"/>
    <col min="4896" max="4896" width="3.7109375" style="4" customWidth="1"/>
    <col min="4897" max="4901" width="4" style="4" customWidth="1"/>
    <col min="4902" max="4902" width="10.5703125" style="4" customWidth="1"/>
    <col min="4903" max="4903" width="7.85546875" style="4" customWidth="1"/>
    <col min="4904" max="4904" width="5.5703125" style="4" customWidth="1"/>
    <col min="4905" max="4905" width="4.5703125" style="4" customWidth="1"/>
    <col min="4906" max="4906" width="10.140625" style="4" customWidth="1"/>
    <col min="4907" max="4907" width="7.85546875" style="4" customWidth="1"/>
    <col min="4908" max="4908" width="3.5703125" style="4" customWidth="1"/>
    <col min="4909" max="5122" width="9.140625" style="4"/>
    <col min="5123" max="5123" width="3.5703125" style="4" customWidth="1"/>
    <col min="5124" max="5124" width="19.140625" style="4" customWidth="1"/>
    <col min="5125" max="5125" width="18.85546875" style="4" customWidth="1"/>
    <col min="5126" max="5126" width="6" style="4" customWidth="1"/>
    <col min="5127" max="5151" width="4" style="4" customWidth="1"/>
    <col min="5152" max="5152" width="3.7109375" style="4" customWidth="1"/>
    <col min="5153" max="5157" width="4" style="4" customWidth="1"/>
    <col min="5158" max="5158" width="10.5703125" style="4" customWidth="1"/>
    <col min="5159" max="5159" width="7.85546875" style="4" customWidth="1"/>
    <col min="5160" max="5160" width="5.5703125" style="4" customWidth="1"/>
    <col min="5161" max="5161" width="4.5703125" style="4" customWidth="1"/>
    <col min="5162" max="5162" width="10.140625" style="4" customWidth="1"/>
    <col min="5163" max="5163" width="7.85546875" style="4" customWidth="1"/>
    <col min="5164" max="5164" width="3.5703125" style="4" customWidth="1"/>
    <col min="5165" max="5378" width="9.140625" style="4"/>
    <col min="5379" max="5379" width="3.5703125" style="4" customWidth="1"/>
    <col min="5380" max="5380" width="19.140625" style="4" customWidth="1"/>
    <col min="5381" max="5381" width="18.85546875" style="4" customWidth="1"/>
    <col min="5382" max="5382" width="6" style="4" customWidth="1"/>
    <col min="5383" max="5407" width="4" style="4" customWidth="1"/>
    <col min="5408" max="5408" width="3.7109375" style="4" customWidth="1"/>
    <col min="5409" max="5413" width="4" style="4" customWidth="1"/>
    <col min="5414" max="5414" width="10.5703125" style="4" customWidth="1"/>
    <col min="5415" max="5415" width="7.85546875" style="4" customWidth="1"/>
    <col min="5416" max="5416" width="5.5703125" style="4" customWidth="1"/>
    <col min="5417" max="5417" width="4.5703125" style="4" customWidth="1"/>
    <col min="5418" max="5418" width="10.140625" style="4" customWidth="1"/>
    <col min="5419" max="5419" width="7.85546875" style="4" customWidth="1"/>
    <col min="5420" max="5420" width="3.5703125" style="4" customWidth="1"/>
    <col min="5421" max="5634" width="9.140625" style="4"/>
    <col min="5635" max="5635" width="3.5703125" style="4" customWidth="1"/>
    <col min="5636" max="5636" width="19.140625" style="4" customWidth="1"/>
    <col min="5637" max="5637" width="18.85546875" style="4" customWidth="1"/>
    <col min="5638" max="5638" width="6" style="4" customWidth="1"/>
    <col min="5639" max="5663" width="4" style="4" customWidth="1"/>
    <col min="5664" max="5664" width="3.7109375" style="4" customWidth="1"/>
    <col min="5665" max="5669" width="4" style="4" customWidth="1"/>
    <col min="5670" max="5670" width="10.5703125" style="4" customWidth="1"/>
    <col min="5671" max="5671" width="7.85546875" style="4" customWidth="1"/>
    <col min="5672" max="5672" width="5.5703125" style="4" customWidth="1"/>
    <col min="5673" max="5673" width="4.5703125" style="4" customWidth="1"/>
    <col min="5674" max="5674" width="10.140625" style="4" customWidth="1"/>
    <col min="5675" max="5675" width="7.85546875" style="4" customWidth="1"/>
    <col min="5676" max="5676" width="3.5703125" style="4" customWidth="1"/>
    <col min="5677" max="5890" width="9.140625" style="4"/>
    <col min="5891" max="5891" width="3.5703125" style="4" customWidth="1"/>
    <col min="5892" max="5892" width="19.140625" style="4" customWidth="1"/>
    <col min="5893" max="5893" width="18.85546875" style="4" customWidth="1"/>
    <col min="5894" max="5894" width="6" style="4" customWidth="1"/>
    <col min="5895" max="5919" width="4" style="4" customWidth="1"/>
    <col min="5920" max="5920" width="3.7109375" style="4" customWidth="1"/>
    <col min="5921" max="5925" width="4" style="4" customWidth="1"/>
    <col min="5926" max="5926" width="10.5703125" style="4" customWidth="1"/>
    <col min="5927" max="5927" width="7.85546875" style="4" customWidth="1"/>
    <col min="5928" max="5928" width="5.5703125" style="4" customWidth="1"/>
    <col min="5929" max="5929" width="4.5703125" style="4" customWidth="1"/>
    <col min="5930" max="5930" width="10.140625" style="4" customWidth="1"/>
    <col min="5931" max="5931" width="7.85546875" style="4" customWidth="1"/>
    <col min="5932" max="5932" width="3.5703125" style="4" customWidth="1"/>
    <col min="5933" max="6146" width="9.140625" style="4"/>
    <col min="6147" max="6147" width="3.5703125" style="4" customWidth="1"/>
    <col min="6148" max="6148" width="19.140625" style="4" customWidth="1"/>
    <col min="6149" max="6149" width="18.85546875" style="4" customWidth="1"/>
    <col min="6150" max="6150" width="6" style="4" customWidth="1"/>
    <col min="6151" max="6175" width="4" style="4" customWidth="1"/>
    <col min="6176" max="6176" width="3.7109375" style="4" customWidth="1"/>
    <col min="6177" max="6181" width="4" style="4" customWidth="1"/>
    <col min="6182" max="6182" width="10.5703125" style="4" customWidth="1"/>
    <col min="6183" max="6183" width="7.85546875" style="4" customWidth="1"/>
    <col min="6184" max="6184" width="5.5703125" style="4" customWidth="1"/>
    <col min="6185" max="6185" width="4.5703125" style="4" customWidth="1"/>
    <col min="6186" max="6186" width="10.140625" style="4" customWidth="1"/>
    <col min="6187" max="6187" width="7.85546875" style="4" customWidth="1"/>
    <col min="6188" max="6188" width="3.5703125" style="4" customWidth="1"/>
    <col min="6189" max="6402" width="9.140625" style="4"/>
    <col min="6403" max="6403" width="3.5703125" style="4" customWidth="1"/>
    <col min="6404" max="6404" width="19.140625" style="4" customWidth="1"/>
    <col min="6405" max="6405" width="18.85546875" style="4" customWidth="1"/>
    <col min="6406" max="6406" width="6" style="4" customWidth="1"/>
    <col min="6407" max="6431" width="4" style="4" customWidth="1"/>
    <col min="6432" max="6432" width="3.7109375" style="4" customWidth="1"/>
    <col min="6433" max="6437" width="4" style="4" customWidth="1"/>
    <col min="6438" max="6438" width="10.5703125" style="4" customWidth="1"/>
    <col min="6439" max="6439" width="7.85546875" style="4" customWidth="1"/>
    <col min="6440" max="6440" width="5.5703125" style="4" customWidth="1"/>
    <col min="6441" max="6441" width="4.5703125" style="4" customWidth="1"/>
    <col min="6442" max="6442" width="10.140625" style="4" customWidth="1"/>
    <col min="6443" max="6443" width="7.85546875" style="4" customWidth="1"/>
    <col min="6444" max="6444" width="3.5703125" style="4" customWidth="1"/>
    <col min="6445" max="6658" width="9.140625" style="4"/>
    <col min="6659" max="6659" width="3.5703125" style="4" customWidth="1"/>
    <col min="6660" max="6660" width="19.140625" style="4" customWidth="1"/>
    <col min="6661" max="6661" width="18.85546875" style="4" customWidth="1"/>
    <col min="6662" max="6662" width="6" style="4" customWidth="1"/>
    <col min="6663" max="6687" width="4" style="4" customWidth="1"/>
    <col min="6688" max="6688" width="3.7109375" style="4" customWidth="1"/>
    <col min="6689" max="6693" width="4" style="4" customWidth="1"/>
    <col min="6694" max="6694" width="10.5703125" style="4" customWidth="1"/>
    <col min="6695" max="6695" width="7.85546875" style="4" customWidth="1"/>
    <col min="6696" max="6696" width="5.5703125" style="4" customWidth="1"/>
    <col min="6697" max="6697" width="4.5703125" style="4" customWidth="1"/>
    <col min="6698" max="6698" width="10.140625" style="4" customWidth="1"/>
    <col min="6699" max="6699" width="7.85546875" style="4" customWidth="1"/>
    <col min="6700" max="6700" width="3.5703125" style="4" customWidth="1"/>
    <col min="6701" max="6914" width="9.140625" style="4"/>
    <col min="6915" max="6915" width="3.5703125" style="4" customWidth="1"/>
    <col min="6916" max="6916" width="19.140625" style="4" customWidth="1"/>
    <col min="6917" max="6917" width="18.85546875" style="4" customWidth="1"/>
    <col min="6918" max="6918" width="6" style="4" customWidth="1"/>
    <col min="6919" max="6943" width="4" style="4" customWidth="1"/>
    <col min="6944" max="6944" width="3.7109375" style="4" customWidth="1"/>
    <col min="6945" max="6949" width="4" style="4" customWidth="1"/>
    <col min="6950" max="6950" width="10.5703125" style="4" customWidth="1"/>
    <col min="6951" max="6951" width="7.85546875" style="4" customWidth="1"/>
    <col min="6952" max="6952" width="5.5703125" style="4" customWidth="1"/>
    <col min="6953" max="6953" width="4.5703125" style="4" customWidth="1"/>
    <col min="6954" max="6954" width="10.140625" style="4" customWidth="1"/>
    <col min="6955" max="6955" width="7.85546875" style="4" customWidth="1"/>
    <col min="6956" max="6956" width="3.5703125" style="4" customWidth="1"/>
    <col min="6957" max="7170" width="9.140625" style="4"/>
    <col min="7171" max="7171" width="3.5703125" style="4" customWidth="1"/>
    <col min="7172" max="7172" width="19.140625" style="4" customWidth="1"/>
    <col min="7173" max="7173" width="18.85546875" style="4" customWidth="1"/>
    <col min="7174" max="7174" width="6" style="4" customWidth="1"/>
    <col min="7175" max="7199" width="4" style="4" customWidth="1"/>
    <col min="7200" max="7200" width="3.7109375" style="4" customWidth="1"/>
    <col min="7201" max="7205" width="4" style="4" customWidth="1"/>
    <col min="7206" max="7206" width="10.5703125" style="4" customWidth="1"/>
    <col min="7207" max="7207" width="7.85546875" style="4" customWidth="1"/>
    <col min="7208" max="7208" width="5.5703125" style="4" customWidth="1"/>
    <col min="7209" max="7209" width="4.5703125" style="4" customWidth="1"/>
    <col min="7210" max="7210" width="10.140625" style="4" customWidth="1"/>
    <col min="7211" max="7211" width="7.85546875" style="4" customWidth="1"/>
    <col min="7212" max="7212" width="3.5703125" style="4" customWidth="1"/>
    <col min="7213" max="7426" width="9.140625" style="4"/>
    <col min="7427" max="7427" width="3.5703125" style="4" customWidth="1"/>
    <col min="7428" max="7428" width="19.140625" style="4" customWidth="1"/>
    <col min="7429" max="7429" width="18.85546875" style="4" customWidth="1"/>
    <col min="7430" max="7430" width="6" style="4" customWidth="1"/>
    <col min="7431" max="7455" width="4" style="4" customWidth="1"/>
    <col min="7456" max="7456" width="3.7109375" style="4" customWidth="1"/>
    <col min="7457" max="7461" width="4" style="4" customWidth="1"/>
    <col min="7462" max="7462" width="10.5703125" style="4" customWidth="1"/>
    <col min="7463" max="7463" width="7.85546875" style="4" customWidth="1"/>
    <col min="7464" max="7464" width="5.5703125" style="4" customWidth="1"/>
    <col min="7465" max="7465" width="4.5703125" style="4" customWidth="1"/>
    <col min="7466" max="7466" width="10.140625" style="4" customWidth="1"/>
    <col min="7467" max="7467" width="7.85546875" style="4" customWidth="1"/>
    <col min="7468" max="7468" width="3.5703125" style="4" customWidth="1"/>
    <col min="7469" max="7682" width="9.140625" style="4"/>
    <col min="7683" max="7683" width="3.5703125" style="4" customWidth="1"/>
    <col min="7684" max="7684" width="19.140625" style="4" customWidth="1"/>
    <col min="7685" max="7685" width="18.85546875" style="4" customWidth="1"/>
    <col min="7686" max="7686" width="6" style="4" customWidth="1"/>
    <col min="7687" max="7711" width="4" style="4" customWidth="1"/>
    <col min="7712" max="7712" width="3.7109375" style="4" customWidth="1"/>
    <col min="7713" max="7717" width="4" style="4" customWidth="1"/>
    <col min="7718" max="7718" width="10.5703125" style="4" customWidth="1"/>
    <col min="7719" max="7719" width="7.85546875" style="4" customWidth="1"/>
    <col min="7720" max="7720" width="5.5703125" style="4" customWidth="1"/>
    <col min="7721" max="7721" width="4.5703125" style="4" customWidth="1"/>
    <col min="7722" max="7722" width="10.140625" style="4" customWidth="1"/>
    <col min="7723" max="7723" width="7.85546875" style="4" customWidth="1"/>
    <col min="7724" max="7724" width="3.5703125" style="4" customWidth="1"/>
    <col min="7725" max="7938" width="9.140625" style="4"/>
    <col min="7939" max="7939" width="3.5703125" style="4" customWidth="1"/>
    <col min="7940" max="7940" width="19.140625" style="4" customWidth="1"/>
    <col min="7941" max="7941" width="18.85546875" style="4" customWidth="1"/>
    <col min="7942" max="7942" width="6" style="4" customWidth="1"/>
    <col min="7943" max="7967" width="4" style="4" customWidth="1"/>
    <col min="7968" max="7968" width="3.7109375" style="4" customWidth="1"/>
    <col min="7969" max="7973" width="4" style="4" customWidth="1"/>
    <col min="7974" max="7974" width="10.5703125" style="4" customWidth="1"/>
    <col min="7975" max="7975" width="7.85546875" style="4" customWidth="1"/>
    <col min="7976" max="7976" width="5.5703125" style="4" customWidth="1"/>
    <col min="7977" max="7977" width="4.5703125" style="4" customWidth="1"/>
    <col min="7978" max="7978" width="10.140625" style="4" customWidth="1"/>
    <col min="7979" max="7979" width="7.85546875" style="4" customWidth="1"/>
    <col min="7980" max="7980" width="3.5703125" style="4" customWidth="1"/>
    <col min="7981" max="8194" width="9.140625" style="4"/>
    <col min="8195" max="8195" width="3.5703125" style="4" customWidth="1"/>
    <col min="8196" max="8196" width="19.140625" style="4" customWidth="1"/>
    <col min="8197" max="8197" width="18.85546875" style="4" customWidth="1"/>
    <col min="8198" max="8198" width="6" style="4" customWidth="1"/>
    <col min="8199" max="8223" width="4" style="4" customWidth="1"/>
    <col min="8224" max="8224" width="3.7109375" style="4" customWidth="1"/>
    <col min="8225" max="8229" width="4" style="4" customWidth="1"/>
    <col min="8230" max="8230" width="10.5703125" style="4" customWidth="1"/>
    <col min="8231" max="8231" width="7.85546875" style="4" customWidth="1"/>
    <col min="8232" max="8232" width="5.5703125" style="4" customWidth="1"/>
    <col min="8233" max="8233" width="4.5703125" style="4" customWidth="1"/>
    <col min="8234" max="8234" width="10.140625" style="4" customWidth="1"/>
    <col min="8235" max="8235" width="7.85546875" style="4" customWidth="1"/>
    <col min="8236" max="8236" width="3.5703125" style="4" customWidth="1"/>
    <col min="8237" max="8450" width="9.140625" style="4"/>
    <col min="8451" max="8451" width="3.5703125" style="4" customWidth="1"/>
    <col min="8452" max="8452" width="19.140625" style="4" customWidth="1"/>
    <col min="8453" max="8453" width="18.85546875" style="4" customWidth="1"/>
    <col min="8454" max="8454" width="6" style="4" customWidth="1"/>
    <col min="8455" max="8479" width="4" style="4" customWidth="1"/>
    <col min="8480" max="8480" width="3.7109375" style="4" customWidth="1"/>
    <col min="8481" max="8485" width="4" style="4" customWidth="1"/>
    <col min="8486" max="8486" width="10.5703125" style="4" customWidth="1"/>
    <col min="8487" max="8487" width="7.85546875" style="4" customWidth="1"/>
    <col min="8488" max="8488" width="5.5703125" style="4" customWidth="1"/>
    <col min="8489" max="8489" width="4.5703125" style="4" customWidth="1"/>
    <col min="8490" max="8490" width="10.140625" style="4" customWidth="1"/>
    <col min="8491" max="8491" width="7.85546875" style="4" customWidth="1"/>
    <col min="8492" max="8492" width="3.5703125" style="4" customWidth="1"/>
    <col min="8493" max="8706" width="9.140625" style="4"/>
    <col min="8707" max="8707" width="3.5703125" style="4" customWidth="1"/>
    <col min="8708" max="8708" width="19.140625" style="4" customWidth="1"/>
    <col min="8709" max="8709" width="18.85546875" style="4" customWidth="1"/>
    <col min="8710" max="8710" width="6" style="4" customWidth="1"/>
    <col min="8711" max="8735" width="4" style="4" customWidth="1"/>
    <col min="8736" max="8736" width="3.7109375" style="4" customWidth="1"/>
    <col min="8737" max="8741" width="4" style="4" customWidth="1"/>
    <col min="8742" max="8742" width="10.5703125" style="4" customWidth="1"/>
    <col min="8743" max="8743" width="7.85546875" style="4" customWidth="1"/>
    <col min="8744" max="8744" width="5.5703125" style="4" customWidth="1"/>
    <col min="8745" max="8745" width="4.5703125" style="4" customWidth="1"/>
    <col min="8746" max="8746" width="10.140625" style="4" customWidth="1"/>
    <col min="8747" max="8747" width="7.85546875" style="4" customWidth="1"/>
    <col min="8748" max="8748" width="3.5703125" style="4" customWidth="1"/>
    <col min="8749" max="8962" width="9.140625" style="4"/>
    <col min="8963" max="8963" width="3.5703125" style="4" customWidth="1"/>
    <col min="8964" max="8964" width="19.140625" style="4" customWidth="1"/>
    <col min="8965" max="8965" width="18.85546875" style="4" customWidth="1"/>
    <col min="8966" max="8966" width="6" style="4" customWidth="1"/>
    <col min="8967" max="8991" width="4" style="4" customWidth="1"/>
    <col min="8992" max="8992" width="3.7109375" style="4" customWidth="1"/>
    <col min="8993" max="8997" width="4" style="4" customWidth="1"/>
    <col min="8998" max="8998" width="10.5703125" style="4" customWidth="1"/>
    <col min="8999" max="8999" width="7.85546875" style="4" customWidth="1"/>
    <col min="9000" max="9000" width="5.5703125" style="4" customWidth="1"/>
    <col min="9001" max="9001" width="4.5703125" style="4" customWidth="1"/>
    <col min="9002" max="9002" width="10.140625" style="4" customWidth="1"/>
    <col min="9003" max="9003" width="7.85546875" style="4" customWidth="1"/>
    <col min="9004" max="9004" width="3.5703125" style="4" customWidth="1"/>
    <col min="9005" max="9218" width="9.140625" style="4"/>
    <col min="9219" max="9219" width="3.5703125" style="4" customWidth="1"/>
    <col min="9220" max="9220" width="19.140625" style="4" customWidth="1"/>
    <col min="9221" max="9221" width="18.85546875" style="4" customWidth="1"/>
    <col min="9222" max="9222" width="6" style="4" customWidth="1"/>
    <col min="9223" max="9247" width="4" style="4" customWidth="1"/>
    <col min="9248" max="9248" width="3.7109375" style="4" customWidth="1"/>
    <col min="9249" max="9253" width="4" style="4" customWidth="1"/>
    <col min="9254" max="9254" width="10.5703125" style="4" customWidth="1"/>
    <col min="9255" max="9255" width="7.85546875" style="4" customWidth="1"/>
    <col min="9256" max="9256" width="5.5703125" style="4" customWidth="1"/>
    <col min="9257" max="9257" width="4.5703125" style="4" customWidth="1"/>
    <col min="9258" max="9258" width="10.140625" style="4" customWidth="1"/>
    <col min="9259" max="9259" width="7.85546875" style="4" customWidth="1"/>
    <col min="9260" max="9260" width="3.5703125" style="4" customWidth="1"/>
    <col min="9261" max="9474" width="9.140625" style="4"/>
    <col min="9475" max="9475" width="3.5703125" style="4" customWidth="1"/>
    <col min="9476" max="9476" width="19.140625" style="4" customWidth="1"/>
    <col min="9477" max="9477" width="18.85546875" style="4" customWidth="1"/>
    <col min="9478" max="9478" width="6" style="4" customWidth="1"/>
    <col min="9479" max="9503" width="4" style="4" customWidth="1"/>
    <col min="9504" max="9504" width="3.7109375" style="4" customWidth="1"/>
    <col min="9505" max="9509" width="4" style="4" customWidth="1"/>
    <col min="9510" max="9510" width="10.5703125" style="4" customWidth="1"/>
    <col min="9511" max="9511" width="7.85546875" style="4" customWidth="1"/>
    <col min="9512" max="9512" width="5.5703125" style="4" customWidth="1"/>
    <col min="9513" max="9513" width="4.5703125" style="4" customWidth="1"/>
    <col min="9514" max="9514" width="10.140625" style="4" customWidth="1"/>
    <col min="9515" max="9515" width="7.85546875" style="4" customWidth="1"/>
    <col min="9516" max="9516" width="3.5703125" style="4" customWidth="1"/>
    <col min="9517" max="9730" width="9.140625" style="4"/>
    <col min="9731" max="9731" width="3.5703125" style="4" customWidth="1"/>
    <col min="9732" max="9732" width="19.140625" style="4" customWidth="1"/>
    <col min="9733" max="9733" width="18.85546875" style="4" customWidth="1"/>
    <col min="9734" max="9734" width="6" style="4" customWidth="1"/>
    <col min="9735" max="9759" width="4" style="4" customWidth="1"/>
    <col min="9760" max="9760" width="3.7109375" style="4" customWidth="1"/>
    <col min="9761" max="9765" width="4" style="4" customWidth="1"/>
    <col min="9766" max="9766" width="10.5703125" style="4" customWidth="1"/>
    <col min="9767" max="9767" width="7.85546875" style="4" customWidth="1"/>
    <col min="9768" max="9768" width="5.5703125" style="4" customWidth="1"/>
    <col min="9769" max="9769" width="4.5703125" style="4" customWidth="1"/>
    <col min="9770" max="9770" width="10.140625" style="4" customWidth="1"/>
    <col min="9771" max="9771" width="7.85546875" style="4" customWidth="1"/>
    <col min="9772" max="9772" width="3.5703125" style="4" customWidth="1"/>
    <col min="9773" max="9986" width="9.140625" style="4"/>
    <col min="9987" max="9987" width="3.5703125" style="4" customWidth="1"/>
    <col min="9988" max="9988" width="19.140625" style="4" customWidth="1"/>
    <col min="9989" max="9989" width="18.85546875" style="4" customWidth="1"/>
    <col min="9990" max="9990" width="6" style="4" customWidth="1"/>
    <col min="9991" max="10015" width="4" style="4" customWidth="1"/>
    <col min="10016" max="10016" width="3.7109375" style="4" customWidth="1"/>
    <col min="10017" max="10021" width="4" style="4" customWidth="1"/>
    <col min="10022" max="10022" width="10.5703125" style="4" customWidth="1"/>
    <col min="10023" max="10023" width="7.85546875" style="4" customWidth="1"/>
    <col min="10024" max="10024" width="5.5703125" style="4" customWidth="1"/>
    <col min="10025" max="10025" width="4.5703125" style="4" customWidth="1"/>
    <col min="10026" max="10026" width="10.140625" style="4" customWidth="1"/>
    <col min="10027" max="10027" width="7.85546875" style="4" customWidth="1"/>
    <col min="10028" max="10028" width="3.5703125" style="4" customWidth="1"/>
    <col min="10029" max="10242" width="9.140625" style="4"/>
    <col min="10243" max="10243" width="3.5703125" style="4" customWidth="1"/>
    <col min="10244" max="10244" width="19.140625" style="4" customWidth="1"/>
    <col min="10245" max="10245" width="18.85546875" style="4" customWidth="1"/>
    <col min="10246" max="10246" width="6" style="4" customWidth="1"/>
    <col min="10247" max="10271" width="4" style="4" customWidth="1"/>
    <col min="10272" max="10272" width="3.7109375" style="4" customWidth="1"/>
    <col min="10273" max="10277" width="4" style="4" customWidth="1"/>
    <col min="10278" max="10278" width="10.5703125" style="4" customWidth="1"/>
    <col min="10279" max="10279" width="7.85546875" style="4" customWidth="1"/>
    <col min="10280" max="10280" width="5.5703125" style="4" customWidth="1"/>
    <col min="10281" max="10281" width="4.5703125" style="4" customWidth="1"/>
    <col min="10282" max="10282" width="10.140625" style="4" customWidth="1"/>
    <col min="10283" max="10283" width="7.85546875" style="4" customWidth="1"/>
    <col min="10284" max="10284" width="3.5703125" style="4" customWidth="1"/>
    <col min="10285" max="10498" width="9.140625" style="4"/>
    <col min="10499" max="10499" width="3.5703125" style="4" customWidth="1"/>
    <col min="10500" max="10500" width="19.140625" style="4" customWidth="1"/>
    <col min="10501" max="10501" width="18.85546875" style="4" customWidth="1"/>
    <col min="10502" max="10502" width="6" style="4" customWidth="1"/>
    <col min="10503" max="10527" width="4" style="4" customWidth="1"/>
    <col min="10528" max="10528" width="3.7109375" style="4" customWidth="1"/>
    <col min="10529" max="10533" width="4" style="4" customWidth="1"/>
    <col min="10534" max="10534" width="10.5703125" style="4" customWidth="1"/>
    <col min="10535" max="10535" width="7.85546875" style="4" customWidth="1"/>
    <col min="10536" max="10536" width="5.5703125" style="4" customWidth="1"/>
    <col min="10537" max="10537" width="4.5703125" style="4" customWidth="1"/>
    <col min="10538" max="10538" width="10.140625" style="4" customWidth="1"/>
    <col min="10539" max="10539" width="7.85546875" style="4" customWidth="1"/>
    <col min="10540" max="10540" width="3.5703125" style="4" customWidth="1"/>
    <col min="10541" max="10754" width="9.140625" style="4"/>
    <col min="10755" max="10755" width="3.5703125" style="4" customWidth="1"/>
    <col min="10756" max="10756" width="19.140625" style="4" customWidth="1"/>
    <col min="10757" max="10757" width="18.85546875" style="4" customWidth="1"/>
    <col min="10758" max="10758" width="6" style="4" customWidth="1"/>
    <col min="10759" max="10783" width="4" style="4" customWidth="1"/>
    <col min="10784" max="10784" width="3.7109375" style="4" customWidth="1"/>
    <col min="10785" max="10789" width="4" style="4" customWidth="1"/>
    <col min="10790" max="10790" width="10.5703125" style="4" customWidth="1"/>
    <col min="10791" max="10791" width="7.85546875" style="4" customWidth="1"/>
    <col min="10792" max="10792" width="5.5703125" style="4" customWidth="1"/>
    <col min="10793" max="10793" width="4.5703125" style="4" customWidth="1"/>
    <col min="10794" max="10794" width="10.140625" style="4" customWidth="1"/>
    <col min="10795" max="10795" width="7.85546875" style="4" customWidth="1"/>
    <col min="10796" max="10796" width="3.5703125" style="4" customWidth="1"/>
    <col min="10797" max="11010" width="9.140625" style="4"/>
    <col min="11011" max="11011" width="3.5703125" style="4" customWidth="1"/>
    <col min="11012" max="11012" width="19.140625" style="4" customWidth="1"/>
    <col min="11013" max="11013" width="18.85546875" style="4" customWidth="1"/>
    <col min="11014" max="11014" width="6" style="4" customWidth="1"/>
    <col min="11015" max="11039" width="4" style="4" customWidth="1"/>
    <col min="11040" max="11040" width="3.7109375" style="4" customWidth="1"/>
    <col min="11041" max="11045" width="4" style="4" customWidth="1"/>
    <col min="11046" max="11046" width="10.5703125" style="4" customWidth="1"/>
    <col min="11047" max="11047" width="7.85546875" style="4" customWidth="1"/>
    <col min="11048" max="11048" width="5.5703125" style="4" customWidth="1"/>
    <col min="11049" max="11049" width="4.5703125" style="4" customWidth="1"/>
    <col min="11050" max="11050" width="10.140625" style="4" customWidth="1"/>
    <col min="11051" max="11051" width="7.85546875" style="4" customWidth="1"/>
    <col min="11052" max="11052" width="3.5703125" style="4" customWidth="1"/>
    <col min="11053" max="11266" width="9.140625" style="4"/>
    <col min="11267" max="11267" width="3.5703125" style="4" customWidth="1"/>
    <col min="11268" max="11268" width="19.140625" style="4" customWidth="1"/>
    <col min="11269" max="11269" width="18.85546875" style="4" customWidth="1"/>
    <col min="11270" max="11270" width="6" style="4" customWidth="1"/>
    <col min="11271" max="11295" width="4" style="4" customWidth="1"/>
    <col min="11296" max="11296" width="3.7109375" style="4" customWidth="1"/>
    <col min="11297" max="11301" width="4" style="4" customWidth="1"/>
    <col min="11302" max="11302" width="10.5703125" style="4" customWidth="1"/>
    <col min="11303" max="11303" width="7.85546875" style="4" customWidth="1"/>
    <col min="11304" max="11304" width="5.5703125" style="4" customWidth="1"/>
    <col min="11305" max="11305" width="4.5703125" style="4" customWidth="1"/>
    <col min="11306" max="11306" width="10.140625" style="4" customWidth="1"/>
    <col min="11307" max="11307" width="7.85546875" style="4" customWidth="1"/>
    <col min="11308" max="11308" width="3.5703125" style="4" customWidth="1"/>
    <col min="11309" max="11522" width="9.140625" style="4"/>
    <col min="11523" max="11523" width="3.5703125" style="4" customWidth="1"/>
    <col min="11524" max="11524" width="19.140625" style="4" customWidth="1"/>
    <col min="11525" max="11525" width="18.85546875" style="4" customWidth="1"/>
    <col min="11526" max="11526" width="6" style="4" customWidth="1"/>
    <col min="11527" max="11551" width="4" style="4" customWidth="1"/>
    <col min="11552" max="11552" width="3.7109375" style="4" customWidth="1"/>
    <col min="11553" max="11557" width="4" style="4" customWidth="1"/>
    <col min="11558" max="11558" width="10.5703125" style="4" customWidth="1"/>
    <col min="11559" max="11559" width="7.85546875" style="4" customWidth="1"/>
    <col min="11560" max="11560" width="5.5703125" style="4" customWidth="1"/>
    <col min="11561" max="11561" width="4.5703125" style="4" customWidth="1"/>
    <col min="11562" max="11562" width="10.140625" style="4" customWidth="1"/>
    <col min="11563" max="11563" width="7.85546875" style="4" customWidth="1"/>
    <col min="11564" max="11564" width="3.5703125" style="4" customWidth="1"/>
    <col min="11565" max="11778" width="9.140625" style="4"/>
    <col min="11779" max="11779" width="3.5703125" style="4" customWidth="1"/>
    <col min="11780" max="11780" width="19.140625" style="4" customWidth="1"/>
    <col min="11781" max="11781" width="18.85546875" style="4" customWidth="1"/>
    <col min="11782" max="11782" width="6" style="4" customWidth="1"/>
    <col min="11783" max="11807" width="4" style="4" customWidth="1"/>
    <col min="11808" max="11808" width="3.7109375" style="4" customWidth="1"/>
    <col min="11809" max="11813" width="4" style="4" customWidth="1"/>
    <col min="11814" max="11814" width="10.5703125" style="4" customWidth="1"/>
    <col min="11815" max="11815" width="7.85546875" style="4" customWidth="1"/>
    <col min="11816" max="11816" width="5.5703125" style="4" customWidth="1"/>
    <col min="11817" max="11817" width="4.5703125" style="4" customWidth="1"/>
    <col min="11818" max="11818" width="10.140625" style="4" customWidth="1"/>
    <col min="11819" max="11819" width="7.85546875" style="4" customWidth="1"/>
    <col min="11820" max="11820" width="3.5703125" style="4" customWidth="1"/>
    <col min="11821" max="12034" width="9.140625" style="4"/>
    <col min="12035" max="12035" width="3.5703125" style="4" customWidth="1"/>
    <col min="12036" max="12036" width="19.140625" style="4" customWidth="1"/>
    <col min="12037" max="12037" width="18.85546875" style="4" customWidth="1"/>
    <col min="12038" max="12038" width="6" style="4" customWidth="1"/>
    <col min="12039" max="12063" width="4" style="4" customWidth="1"/>
    <col min="12064" max="12064" width="3.7109375" style="4" customWidth="1"/>
    <col min="12065" max="12069" width="4" style="4" customWidth="1"/>
    <col min="12070" max="12070" width="10.5703125" style="4" customWidth="1"/>
    <col min="12071" max="12071" width="7.85546875" style="4" customWidth="1"/>
    <col min="12072" max="12072" width="5.5703125" style="4" customWidth="1"/>
    <col min="12073" max="12073" width="4.5703125" style="4" customWidth="1"/>
    <col min="12074" max="12074" width="10.140625" style="4" customWidth="1"/>
    <col min="12075" max="12075" width="7.85546875" style="4" customWidth="1"/>
    <col min="12076" max="12076" width="3.5703125" style="4" customWidth="1"/>
    <col min="12077" max="12290" width="9.140625" style="4"/>
    <col min="12291" max="12291" width="3.5703125" style="4" customWidth="1"/>
    <col min="12292" max="12292" width="19.140625" style="4" customWidth="1"/>
    <col min="12293" max="12293" width="18.85546875" style="4" customWidth="1"/>
    <col min="12294" max="12294" width="6" style="4" customWidth="1"/>
    <col min="12295" max="12319" width="4" style="4" customWidth="1"/>
    <col min="12320" max="12320" width="3.7109375" style="4" customWidth="1"/>
    <col min="12321" max="12325" width="4" style="4" customWidth="1"/>
    <col min="12326" max="12326" width="10.5703125" style="4" customWidth="1"/>
    <col min="12327" max="12327" width="7.85546875" style="4" customWidth="1"/>
    <col min="12328" max="12328" width="5.5703125" style="4" customWidth="1"/>
    <col min="12329" max="12329" width="4.5703125" style="4" customWidth="1"/>
    <col min="12330" max="12330" width="10.140625" style="4" customWidth="1"/>
    <col min="12331" max="12331" width="7.85546875" style="4" customWidth="1"/>
    <col min="12332" max="12332" width="3.5703125" style="4" customWidth="1"/>
    <col min="12333" max="12546" width="9.140625" style="4"/>
    <col min="12547" max="12547" width="3.5703125" style="4" customWidth="1"/>
    <col min="12548" max="12548" width="19.140625" style="4" customWidth="1"/>
    <col min="12549" max="12549" width="18.85546875" style="4" customWidth="1"/>
    <col min="12550" max="12550" width="6" style="4" customWidth="1"/>
    <col min="12551" max="12575" width="4" style="4" customWidth="1"/>
    <col min="12576" max="12576" width="3.7109375" style="4" customWidth="1"/>
    <col min="12577" max="12581" width="4" style="4" customWidth="1"/>
    <col min="12582" max="12582" width="10.5703125" style="4" customWidth="1"/>
    <col min="12583" max="12583" width="7.85546875" style="4" customWidth="1"/>
    <col min="12584" max="12584" width="5.5703125" style="4" customWidth="1"/>
    <col min="12585" max="12585" width="4.5703125" style="4" customWidth="1"/>
    <col min="12586" max="12586" width="10.140625" style="4" customWidth="1"/>
    <col min="12587" max="12587" width="7.85546875" style="4" customWidth="1"/>
    <col min="12588" max="12588" width="3.5703125" style="4" customWidth="1"/>
    <col min="12589" max="12802" width="9.140625" style="4"/>
    <col min="12803" max="12803" width="3.5703125" style="4" customWidth="1"/>
    <col min="12804" max="12804" width="19.140625" style="4" customWidth="1"/>
    <col min="12805" max="12805" width="18.85546875" style="4" customWidth="1"/>
    <col min="12806" max="12806" width="6" style="4" customWidth="1"/>
    <col min="12807" max="12831" width="4" style="4" customWidth="1"/>
    <col min="12832" max="12832" width="3.7109375" style="4" customWidth="1"/>
    <col min="12833" max="12837" width="4" style="4" customWidth="1"/>
    <col min="12838" max="12838" width="10.5703125" style="4" customWidth="1"/>
    <col min="12839" max="12839" width="7.85546875" style="4" customWidth="1"/>
    <col min="12840" max="12840" width="5.5703125" style="4" customWidth="1"/>
    <col min="12841" max="12841" width="4.5703125" style="4" customWidth="1"/>
    <col min="12842" max="12842" width="10.140625" style="4" customWidth="1"/>
    <col min="12843" max="12843" width="7.85546875" style="4" customWidth="1"/>
    <col min="12844" max="12844" width="3.5703125" style="4" customWidth="1"/>
    <col min="12845" max="13058" width="9.140625" style="4"/>
    <col min="13059" max="13059" width="3.5703125" style="4" customWidth="1"/>
    <col min="13060" max="13060" width="19.140625" style="4" customWidth="1"/>
    <col min="13061" max="13061" width="18.85546875" style="4" customWidth="1"/>
    <col min="13062" max="13062" width="6" style="4" customWidth="1"/>
    <col min="13063" max="13087" width="4" style="4" customWidth="1"/>
    <col min="13088" max="13088" width="3.7109375" style="4" customWidth="1"/>
    <col min="13089" max="13093" width="4" style="4" customWidth="1"/>
    <col min="13094" max="13094" width="10.5703125" style="4" customWidth="1"/>
    <col min="13095" max="13095" width="7.85546875" style="4" customWidth="1"/>
    <col min="13096" max="13096" width="5.5703125" style="4" customWidth="1"/>
    <col min="13097" max="13097" width="4.5703125" style="4" customWidth="1"/>
    <col min="13098" max="13098" width="10.140625" style="4" customWidth="1"/>
    <col min="13099" max="13099" width="7.85546875" style="4" customWidth="1"/>
    <col min="13100" max="13100" width="3.5703125" style="4" customWidth="1"/>
    <col min="13101" max="13314" width="9.140625" style="4"/>
    <col min="13315" max="13315" width="3.5703125" style="4" customWidth="1"/>
    <col min="13316" max="13316" width="19.140625" style="4" customWidth="1"/>
    <col min="13317" max="13317" width="18.85546875" style="4" customWidth="1"/>
    <col min="13318" max="13318" width="6" style="4" customWidth="1"/>
    <col min="13319" max="13343" width="4" style="4" customWidth="1"/>
    <col min="13344" max="13344" width="3.7109375" style="4" customWidth="1"/>
    <col min="13345" max="13349" width="4" style="4" customWidth="1"/>
    <col min="13350" max="13350" width="10.5703125" style="4" customWidth="1"/>
    <col min="13351" max="13351" width="7.85546875" style="4" customWidth="1"/>
    <col min="13352" max="13352" width="5.5703125" style="4" customWidth="1"/>
    <col min="13353" max="13353" width="4.5703125" style="4" customWidth="1"/>
    <col min="13354" max="13354" width="10.140625" style="4" customWidth="1"/>
    <col min="13355" max="13355" width="7.85546875" style="4" customWidth="1"/>
    <col min="13356" max="13356" width="3.5703125" style="4" customWidth="1"/>
    <col min="13357" max="13570" width="9.140625" style="4"/>
    <col min="13571" max="13571" width="3.5703125" style="4" customWidth="1"/>
    <col min="13572" max="13572" width="19.140625" style="4" customWidth="1"/>
    <col min="13573" max="13573" width="18.85546875" style="4" customWidth="1"/>
    <col min="13574" max="13574" width="6" style="4" customWidth="1"/>
    <col min="13575" max="13599" width="4" style="4" customWidth="1"/>
    <col min="13600" max="13600" width="3.7109375" style="4" customWidth="1"/>
    <col min="13601" max="13605" width="4" style="4" customWidth="1"/>
    <col min="13606" max="13606" width="10.5703125" style="4" customWidth="1"/>
    <col min="13607" max="13607" width="7.85546875" style="4" customWidth="1"/>
    <col min="13608" max="13608" width="5.5703125" style="4" customWidth="1"/>
    <col min="13609" max="13609" width="4.5703125" style="4" customWidth="1"/>
    <col min="13610" max="13610" width="10.140625" style="4" customWidth="1"/>
    <col min="13611" max="13611" width="7.85546875" style="4" customWidth="1"/>
    <col min="13612" max="13612" width="3.5703125" style="4" customWidth="1"/>
    <col min="13613" max="13826" width="9.140625" style="4"/>
    <col min="13827" max="13827" width="3.5703125" style="4" customWidth="1"/>
    <col min="13828" max="13828" width="19.140625" style="4" customWidth="1"/>
    <col min="13829" max="13829" width="18.85546875" style="4" customWidth="1"/>
    <col min="13830" max="13830" width="6" style="4" customWidth="1"/>
    <col min="13831" max="13855" width="4" style="4" customWidth="1"/>
    <col min="13856" max="13856" width="3.7109375" style="4" customWidth="1"/>
    <col min="13857" max="13861" width="4" style="4" customWidth="1"/>
    <col min="13862" max="13862" width="10.5703125" style="4" customWidth="1"/>
    <col min="13863" max="13863" width="7.85546875" style="4" customWidth="1"/>
    <col min="13864" max="13864" width="5.5703125" style="4" customWidth="1"/>
    <col min="13865" max="13865" width="4.5703125" style="4" customWidth="1"/>
    <col min="13866" max="13866" width="10.140625" style="4" customWidth="1"/>
    <col min="13867" max="13867" width="7.85546875" style="4" customWidth="1"/>
    <col min="13868" max="13868" width="3.5703125" style="4" customWidth="1"/>
    <col min="13869" max="14082" width="9.140625" style="4"/>
    <col min="14083" max="14083" width="3.5703125" style="4" customWidth="1"/>
    <col min="14084" max="14084" width="19.140625" style="4" customWidth="1"/>
    <col min="14085" max="14085" width="18.85546875" style="4" customWidth="1"/>
    <col min="14086" max="14086" width="6" style="4" customWidth="1"/>
    <col min="14087" max="14111" width="4" style="4" customWidth="1"/>
    <col min="14112" max="14112" width="3.7109375" style="4" customWidth="1"/>
    <col min="14113" max="14117" width="4" style="4" customWidth="1"/>
    <col min="14118" max="14118" width="10.5703125" style="4" customWidth="1"/>
    <col min="14119" max="14119" width="7.85546875" style="4" customWidth="1"/>
    <col min="14120" max="14120" width="5.5703125" style="4" customWidth="1"/>
    <col min="14121" max="14121" width="4.5703125" style="4" customWidth="1"/>
    <col min="14122" max="14122" width="10.140625" style="4" customWidth="1"/>
    <col min="14123" max="14123" width="7.85546875" style="4" customWidth="1"/>
    <col min="14124" max="14124" width="3.5703125" style="4" customWidth="1"/>
    <col min="14125" max="14338" width="9.140625" style="4"/>
    <col min="14339" max="14339" width="3.5703125" style="4" customWidth="1"/>
    <col min="14340" max="14340" width="19.140625" style="4" customWidth="1"/>
    <col min="14341" max="14341" width="18.85546875" style="4" customWidth="1"/>
    <col min="14342" max="14342" width="6" style="4" customWidth="1"/>
    <col min="14343" max="14367" width="4" style="4" customWidth="1"/>
    <col min="14368" max="14368" width="3.7109375" style="4" customWidth="1"/>
    <col min="14369" max="14373" width="4" style="4" customWidth="1"/>
    <col min="14374" max="14374" width="10.5703125" style="4" customWidth="1"/>
    <col min="14375" max="14375" width="7.85546875" style="4" customWidth="1"/>
    <col min="14376" max="14376" width="5.5703125" style="4" customWidth="1"/>
    <col min="14377" max="14377" width="4.5703125" style="4" customWidth="1"/>
    <col min="14378" max="14378" width="10.140625" style="4" customWidth="1"/>
    <col min="14379" max="14379" width="7.85546875" style="4" customWidth="1"/>
    <col min="14380" max="14380" width="3.5703125" style="4" customWidth="1"/>
    <col min="14381" max="14594" width="9.140625" style="4"/>
    <col min="14595" max="14595" width="3.5703125" style="4" customWidth="1"/>
    <col min="14596" max="14596" width="19.140625" style="4" customWidth="1"/>
    <col min="14597" max="14597" width="18.85546875" style="4" customWidth="1"/>
    <col min="14598" max="14598" width="6" style="4" customWidth="1"/>
    <col min="14599" max="14623" width="4" style="4" customWidth="1"/>
    <col min="14624" max="14624" width="3.7109375" style="4" customWidth="1"/>
    <col min="14625" max="14629" width="4" style="4" customWidth="1"/>
    <col min="14630" max="14630" width="10.5703125" style="4" customWidth="1"/>
    <col min="14631" max="14631" width="7.85546875" style="4" customWidth="1"/>
    <col min="14632" max="14632" width="5.5703125" style="4" customWidth="1"/>
    <col min="14633" max="14633" width="4.5703125" style="4" customWidth="1"/>
    <col min="14634" max="14634" width="10.140625" style="4" customWidth="1"/>
    <col min="14635" max="14635" width="7.85546875" style="4" customWidth="1"/>
    <col min="14636" max="14636" width="3.5703125" style="4" customWidth="1"/>
    <col min="14637" max="14850" width="9.140625" style="4"/>
    <col min="14851" max="14851" width="3.5703125" style="4" customWidth="1"/>
    <col min="14852" max="14852" width="19.140625" style="4" customWidth="1"/>
    <col min="14853" max="14853" width="18.85546875" style="4" customWidth="1"/>
    <col min="14854" max="14854" width="6" style="4" customWidth="1"/>
    <col min="14855" max="14879" width="4" style="4" customWidth="1"/>
    <col min="14880" max="14880" width="3.7109375" style="4" customWidth="1"/>
    <col min="14881" max="14885" width="4" style="4" customWidth="1"/>
    <col min="14886" max="14886" width="10.5703125" style="4" customWidth="1"/>
    <col min="14887" max="14887" width="7.85546875" style="4" customWidth="1"/>
    <col min="14888" max="14888" width="5.5703125" style="4" customWidth="1"/>
    <col min="14889" max="14889" width="4.5703125" style="4" customWidth="1"/>
    <col min="14890" max="14890" width="10.140625" style="4" customWidth="1"/>
    <col min="14891" max="14891" width="7.85546875" style="4" customWidth="1"/>
    <col min="14892" max="14892" width="3.5703125" style="4" customWidth="1"/>
    <col min="14893" max="15106" width="9.140625" style="4"/>
    <col min="15107" max="15107" width="3.5703125" style="4" customWidth="1"/>
    <col min="15108" max="15108" width="19.140625" style="4" customWidth="1"/>
    <col min="15109" max="15109" width="18.85546875" style="4" customWidth="1"/>
    <col min="15110" max="15110" width="6" style="4" customWidth="1"/>
    <col min="15111" max="15135" width="4" style="4" customWidth="1"/>
    <col min="15136" max="15136" width="3.7109375" style="4" customWidth="1"/>
    <col min="15137" max="15141" width="4" style="4" customWidth="1"/>
    <col min="15142" max="15142" width="10.5703125" style="4" customWidth="1"/>
    <col min="15143" max="15143" width="7.85546875" style="4" customWidth="1"/>
    <col min="15144" max="15144" width="5.5703125" style="4" customWidth="1"/>
    <col min="15145" max="15145" width="4.5703125" style="4" customWidth="1"/>
    <col min="15146" max="15146" width="10.140625" style="4" customWidth="1"/>
    <col min="15147" max="15147" width="7.85546875" style="4" customWidth="1"/>
    <col min="15148" max="15148" width="3.5703125" style="4" customWidth="1"/>
    <col min="15149" max="15362" width="9.140625" style="4"/>
    <col min="15363" max="15363" width="3.5703125" style="4" customWidth="1"/>
    <col min="15364" max="15364" width="19.140625" style="4" customWidth="1"/>
    <col min="15365" max="15365" width="18.85546875" style="4" customWidth="1"/>
    <col min="15366" max="15366" width="6" style="4" customWidth="1"/>
    <col min="15367" max="15391" width="4" style="4" customWidth="1"/>
    <col min="15392" max="15392" width="3.7109375" style="4" customWidth="1"/>
    <col min="15393" max="15397" width="4" style="4" customWidth="1"/>
    <col min="15398" max="15398" width="10.5703125" style="4" customWidth="1"/>
    <col min="15399" max="15399" width="7.85546875" style="4" customWidth="1"/>
    <col min="15400" max="15400" width="5.5703125" style="4" customWidth="1"/>
    <col min="15401" max="15401" width="4.5703125" style="4" customWidth="1"/>
    <col min="15402" max="15402" width="10.140625" style="4" customWidth="1"/>
    <col min="15403" max="15403" width="7.85546875" style="4" customWidth="1"/>
    <col min="15404" max="15404" width="3.5703125" style="4" customWidth="1"/>
    <col min="15405" max="15618" width="9.140625" style="4"/>
    <col min="15619" max="15619" width="3.5703125" style="4" customWidth="1"/>
    <col min="15620" max="15620" width="19.140625" style="4" customWidth="1"/>
    <col min="15621" max="15621" width="18.85546875" style="4" customWidth="1"/>
    <col min="15622" max="15622" width="6" style="4" customWidth="1"/>
    <col min="15623" max="15647" width="4" style="4" customWidth="1"/>
    <col min="15648" max="15648" width="3.7109375" style="4" customWidth="1"/>
    <col min="15649" max="15653" width="4" style="4" customWidth="1"/>
    <col min="15654" max="15654" width="10.5703125" style="4" customWidth="1"/>
    <col min="15655" max="15655" width="7.85546875" style="4" customWidth="1"/>
    <col min="15656" max="15656" width="5.5703125" style="4" customWidth="1"/>
    <col min="15657" max="15657" width="4.5703125" style="4" customWidth="1"/>
    <col min="15658" max="15658" width="10.140625" style="4" customWidth="1"/>
    <col min="15659" max="15659" width="7.85546875" style="4" customWidth="1"/>
    <col min="15660" max="15660" width="3.5703125" style="4" customWidth="1"/>
    <col min="15661" max="15874" width="9.140625" style="4"/>
    <col min="15875" max="15875" width="3.5703125" style="4" customWidth="1"/>
    <col min="15876" max="15876" width="19.140625" style="4" customWidth="1"/>
    <col min="15877" max="15877" width="18.85546875" style="4" customWidth="1"/>
    <col min="15878" max="15878" width="6" style="4" customWidth="1"/>
    <col min="15879" max="15903" width="4" style="4" customWidth="1"/>
    <col min="15904" max="15904" width="3.7109375" style="4" customWidth="1"/>
    <col min="15905" max="15909" width="4" style="4" customWidth="1"/>
    <col min="15910" max="15910" width="10.5703125" style="4" customWidth="1"/>
    <col min="15911" max="15911" width="7.85546875" style="4" customWidth="1"/>
    <col min="15912" max="15912" width="5.5703125" style="4" customWidth="1"/>
    <col min="15913" max="15913" width="4.5703125" style="4" customWidth="1"/>
    <col min="15914" max="15914" width="10.140625" style="4" customWidth="1"/>
    <col min="15915" max="15915" width="7.85546875" style="4" customWidth="1"/>
    <col min="15916" max="15916" width="3.5703125" style="4" customWidth="1"/>
    <col min="15917" max="16130" width="9.140625" style="4"/>
    <col min="16131" max="16131" width="3.5703125" style="4" customWidth="1"/>
    <col min="16132" max="16132" width="19.140625" style="4" customWidth="1"/>
    <col min="16133" max="16133" width="18.85546875" style="4" customWidth="1"/>
    <col min="16134" max="16134" width="6" style="4" customWidth="1"/>
    <col min="16135" max="16159" width="4" style="4" customWidth="1"/>
    <col min="16160" max="16160" width="3.7109375" style="4" customWidth="1"/>
    <col min="16161" max="16165" width="4" style="4" customWidth="1"/>
    <col min="16166" max="16166" width="10.5703125" style="4" customWidth="1"/>
    <col min="16167" max="16167" width="7.85546875" style="4" customWidth="1"/>
    <col min="16168" max="16168" width="5.5703125" style="4" customWidth="1"/>
    <col min="16169" max="16169" width="4.5703125" style="4" customWidth="1"/>
    <col min="16170" max="16170" width="10.140625" style="4" customWidth="1"/>
    <col min="16171" max="16171" width="7.85546875" style="4" customWidth="1"/>
    <col min="16172" max="16172" width="3.5703125" style="4" customWidth="1"/>
    <col min="16173" max="16384" width="9.140625" style="4"/>
  </cols>
  <sheetData>
    <row r="1" spans="1:44" ht="21" customHeight="1">
      <c r="A1" s="78" t="s">
        <v>1</v>
      </c>
      <c r="B1" s="76" t="s">
        <v>4</v>
      </c>
      <c r="C1" s="78" t="s">
        <v>2</v>
      </c>
      <c r="D1" s="78" t="s">
        <v>3</v>
      </c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5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76" t="s">
        <v>242</v>
      </c>
      <c r="AK1" s="76" t="s">
        <v>0</v>
      </c>
      <c r="AL1" s="80" t="s">
        <v>243</v>
      </c>
      <c r="AM1" s="80" t="s">
        <v>244</v>
      </c>
      <c r="AN1" s="80" t="s">
        <v>246</v>
      </c>
      <c r="AO1" s="80" t="s">
        <v>247</v>
      </c>
      <c r="AP1" s="80" t="s">
        <v>245</v>
      </c>
      <c r="AQ1" s="80" t="s">
        <v>198</v>
      </c>
      <c r="AR1" s="82" t="s">
        <v>6</v>
      </c>
    </row>
    <row r="2" spans="1:44" ht="58.5" customHeight="1">
      <c r="A2" s="79"/>
      <c r="B2" s="77"/>
      <c r="C2" s="79"/>
      <c r="D2" s="79"/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  <c r="M2" s="5">
        <v>9</v>
      </c>
      <c r="N2" s="5">
        <v>10</v>
      </c>
      <c r="O2" s="5">
        <v>11</v>
      </c>
      <c r="P2" s="5">
        <v>12</v>
      </c>
      <c r="Q2" s="5">
        <v>13</v>
      </c>
      <c r="R2" s="5">
        <v>14</v>
      </c>
      <c r="S2" s="5">
        <v>15</v>
      </c>
      <c r="T2" s="5">
        <v>16</v>
      </c>
      <c r="U2" s="5">
        <v>17</v>
      </c>
      <c r="V2" s="5">
        <v>18</v>
      </c>
      <c r="W2" s="5">
        <v>19</v>
      </c>
      <c r="X2" s="5">
        <v>20</v>
      </c>
      <c r="Y2" s="5">
        <v>21</v>
      </c>
      <c r="Z2" s="5">
        <v>22</v>
      </c>
      <c r="AA2" s="5">
        <v>23</v>
      </c>
      <c r="AB2" s="5">
        <v>24</v>
      </c>
      <c r="AC2" s="5">
        <v>25</v>
      </c>
      <c r="AD2" s="5">
        <v>26</v>
      </c>
      <c r="AE2" s="5">
        <v>27</v>
      </c>
      <c r="AF2" s="5">
        <v>28</v>
      </c>
      <c r="AG2" s="5">
        <v>29</v>
      </c>
      <c r="AH2" s="5">
        <v>30</v>
      </c>
      <c r="AI2" s="5">
        <v>31</v>
      </c>
      <c r="AJ2" s="77"/>
      <c r="AK2" s="77"/>
      <c r="AL2" s="81"/>
      <c r="AM2" s="81"/>
      <c r="AN2" s="81"/>
      <c r="AO2" s="81"/>
      <c r="AP2" s="81"/>
      <c r="AQ2" s="81"/>
      <c r="AR2" s="83"/>
    </row>
    <row r="3" spans="1:44" ht="21" customHeight="1">
      <c r="A3" s="6">
        <f>ROW(A1)</f>
        <v>1</v>
      </c>
      <c r="B3" s="7">
        <f>IFERROR(VLOOKUP(C3,Список!$B$2:$C$150,2,0),"")</f>
        <v>465</v>
      </c>
      <c r="C3" s="8" t="s">
        <v>7</v>
      </c>
      <c r="D3" s="9" t="s">
        <v>41</v>
      </c>
      <c r="E3" s="10"/>
      <c r="F3" s="10"/>
      <c r="G3" s="10"/>
      <c r="H3" s="10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2">
        <f t="shared" ref="AJ3:AJ37" si="0">COUNTIF(E3:AI3,"1")+COUNTIF(E3:AI3,"2")+COUNTIF(E3:AI3,"3")+COUNTIF(E3:AI3,"4")+COUNTIF(E3:AI3,"5")+COUNTIF(E3:AI3,"6")+COUNTIF(E3:AI3,"7")+COUNTIF(E3:AI3,"8")+COUNTIF(E3:AI3,"9")+COUNTIF(E3:AI3,"10")+COUNTIF(E3:AI3,"11")+COUNTIF(E3:AI3,"12")+COUNTIF(E3:AI3,"1'")+COUNTIF(E3:AI3,"2'")+COUNTIF(E3:AI3,"3'")+COUNTIF(E3:AI3,"4'")+COUNTIF(E3:AI3,"5'")+COUNTIF(E3:AI3,"6'")+COUNTIF(E3:AI3,"7'")+COUNTIF(E3:AI3,"8'")+COUNTIF(E3:AI3,"9'")+COUNTIF(E3:AI3,"10'")+COUNTIF(E3:AI3,"11'")+COUNTIF(E3:AI3,"12'")</f>
        <v>0</v>
      </c>
      <c r="AK3" s="6">
        <f t="shared" ref="AK3:AK37" si="1">SUM(E3:AI3)+COUNTIF(E3:AI3,"12'")*12+COUNTIF(E3:AI3,"11'")*11+COUNTIF(E3:AI3,"10'")*10+COUNTIF(E3:AI3,"9'")*9+COUNTIF(E3:AI3,"8'")*8+COUNTIF(E3:AI3,"7'")*7+COUNTIF(E3:AI3,"6'")*6+COUNTIF(E3:AI3,"5'")*5+COUNTIF(E3:AI3,"4'")*4+COUNTIF(E3:AI3,"3'")*3+COUNTIF(E3:AI3,"2'")*2+COUNTIF(E3:AI3,"1'")*1</f>
        <v>0</v>
      </c>
      <c r="AL3" s="6">
        <f>(COUNTIF(E3:AI3,"12'"))*8+(COUNTIF(E3:AI3,"11'"))*8+(COUNTIF(E3:AI3,"10'"))*8+(COUNTIF(E3:AI3,"9'"))*8+(COUNTIF(E3:AI3,"8'"))*8+(COUNTIF(E3:AI3,"7'"))*7+(COUNTIF(E3:AI3,"6'"))*6+(COUNTIF(E3:AI3,"5'"))*5+(COUNTIF(E3:AI3,"4'"))*4+(COUNTIF(E3:AI3,"3'"))*3+(COUNTIF(E3:AI3,"2'"))*2+(COUNTIF(E3:AI3,"1'"))*1</f>
        <v>0</v>
      </c>
      <c r="AM3" s="6">
        <f>COUNTIF(E3:AI3,"б")</f>
        <v>0</v>
      </c>
      <c r="AN3" s="6">
        <f>COUNTIF(B3:AI3,"г")+COUNTIF(B3:AI3,"к")+COUNTIF(B3:AI3,"оу")+COUNTIF(B3:AI3,"ос")</f>
        <v>0</v>
      </c>
      <c r="AO3" s="6">
        <f>COUNTIF(E3:AI3,"а")</f>
        <v>0</v>
      </c>
      <c r="AP3" s="6">
        <f>COUNTIF(B3:AI3,"о")</f>
        <v>0</v>
      </c>
      <c r="AQ3" s="6">
        <f>COUNTIF(E3:AI3,"Пр")</f>
        <v>0</v>
      </c>
      <c r="AR3" s="6">
        <f>COUNTIF(E3:AI3,"в")</f>
        <v>0</v>
      </c>
    </row>
    <row r="4" spans="1:44" ht="21" customHeight="1">
      <c r="A4" s="6">
        <v>2</v>
      </c>
      <c r="B4" s="7">
        <f>IFERROR(VLOOKUP(C4,Список!$B$2:$C$150,2,0),"")</f>
        <v>761</v>
      </c>
      <c r="C4" s="8" t="s">
        <v>29</v>
      </c>
      <c r="D4" s="9" t="s">
        <v>41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2">
        <f t="shared" si="0"/>
        <v>0</v>
      </c>
      <c r="AK4" s="6">
        <f t="shared" si="1"/>
        <v>0</v>
      </c>
      <c r="AL4" s="6">
        <f t="shared" ref="AL4:AL37" si="2">(COUNTIF(E4:AI4,"12'"))*8+(COUNTIF(E4:AI4,"11'"))*8+(COUNTIF(E4:AI4,"10'"))*8+(COUNTIF(E4:AI4,"9'"))*8+(COUNTIF(E4:AI4,"8'"))*8+(COUNTIF(E4:AI4,"7'"))*7+(COUNTIF(E4:AI4,"6'"))*6+(COUNTIF(E4:AI4,"5'"))*5+(COUNTIF(E4:AI4,"4'"))*4+(COUNTIF(E4:AI4,"3'"))*3+(COUNTIF(E4:AI4,"2'"))*2+(COUNTIF(E4:AI4,"1'"))*1</f>
        <v>0</v>
      </c>
      <c r="AM4" s="6">
        <f t="shared" ref="AM4:AM37" si="3">COUNTIF(E4:AI4,"б")</f>
        <v>0</v>
      </c>
      <c r="AN4" s="6">
        <f t="shared" ref="AN4:AN37" si="4">COUNTIF(B4:AI4,"г")+COUNTIF(B4:AI4,"к")+COUNTIF(B4:AI4,"оу")+COUNTIF(B4:AI4,"ос")</f>
        <v>0</v>
      </c>
      <c r="AO4" s="6">
        <f t="shared" ref="AO4:AO37" si="5">COUNTIF(E4:AI4,"а")</f>
        <v>0</v>
      </c>
      <c r="AP4" s="6">
        <f t="shared" ref="AP4:AP37" si="6">COUNTIF(B4:AI4,"о")</f>
        <v>0</v>
      </c>
      <c r="AQ4" s="6">
        <f t="shared" ref="AQ4:AQ37" si="7">COUNTIF(E4:AI4,"Пр")</f>
        <v>0</v>
      </c>
      <c r="AR4" s="6">
        <f t="shared" ref="AR4:AR37" si="8">COUNTIF(E4:AI4,"в")</f>
        <v>0</v>
      </c>
    </row>
    <row r="5" spans="1:44" ht="21" customHeight="1">
      <c r="A5" s="6">
        <v>3</v>
      </c>
      <c r="B5" s="7">
        <f>IFERROR(VLOOKUP(C5,Список!$B$2:$C$150,2,0),"")</f>
        <v>643</v>
      </c>
      <c r="C5" s="8" t="s">
        <v>11</v>
      </c>
      <c r="D5" s="9" t="s">
        <v>63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2">
        <f t="shared" si="0"/>
        <v>0</v>
      </c>
      <c r="AK5" s="6">
        <f t="shared" si="1"/>
        <v>0</v>
      </c>
      <c r="AL5" s="6">
        <f t="shared" si="2"/>
        <v>0</v>
      </c>
      <c r="AM5" s="6">
        <f t="shared" si="3"/>
        <v>0</v>
      </c>
      <c r="AN5" s="6">
        <f t="shared" si="4"/>
        <v>0</v>
      </c>
      <c r="AO5" s="6">
        <f t="shared" si="5"/>
        <v>0</v>
      </c>
      <c r="AP5" s="6">
        <f t="shared" si="6"/>
        <v>0</v>
      </c>
      <c r="AQ5" s="6">
        <f t="shared" si="7"/>
        <v>0</v>
      </c>
      <c r="AR5" s="6">
        <f t="shared" si="8"/>
        <v>0</v>
      </c>
    </row>
    <row r="6" spans="1:44" ht="21" customHeight="1">
      <c r="A6" s="6">
        <v>4</v>
      </c>
      <c r="B6" s="7">
        <f>IFERROR(VLOOKUP(C6,Список!$B$2:$C$150,2,0),"")</f>
        <v>1179</v>
      </c>
      <c r="C6" s="8" t="s">
        <v>30</v>
      </c>
      <c r="D6" s="9" t="s">
        <v>42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2">
        <f t="shared" si="0"/>
        <v>0</v>
      </c>
      <c r="AK6" s="6">
        <f t="shared" si="1"/>
        <v>0</v>
      </c>
      <c r="AL6" s="6">
        <f t="shared" si="2"/>
        <v>0</v>
      </c>
      <c r="AM6" s="6">
        <f t="shared" si="3"/>
        <v>0</v>
      </c>
      <c r="AN6" s="6">
        <f t="shared" si="4"/>
        <v>0</v>
      </c>
      <c r="AO6" s="6">
        <f t="shared" si="5"/>
        <v>0</v>
      </c>
      <c r="AP6" s="6">
        <f t="shared" si="6"/>
        <v>0</v>
      </c>
      <c r="AQ6" s="6">
        <f t="shared" si="7"/>
        <v>0</v>
      </c>
      <c r="AR6" s="6">
        <f t="shared" si="8"/>
        <v>0</v>
      </c>
    </row>
    <row r="7" spans="1:44" ht="21" customHeight="1">
      <c r="A7" s="6">
        <v>5</v>
      </c>
      <c r="B7" s="7">
        <f>IFERROR(VLOOKUP(C7,Список!$B$2:$C$150,2,0),"")</f>
        <v>1291</v>
      </c>
      <c r="C7" s="8" t="s">
        <v>31</v>
      </c>
      <c r="D7" s="13" t="s">
        <v>42</v>
      </c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2">
        <f t="shared" si="0"/>
        <v>0</v>
      </c>
      <c r="AK7" s="6">
        <f t="shared" si="1"/>
        <v>0</v>
      </c>
      <c r="AL7" s="6">
        <f t="shared" si="2"/>
        <v>0</v>
      </c>
      <c r="AM7" s="6">
        <f t="shared" si="3"/>
        <v>0</v>
      </c>
      <c r="AN7" s="6">
        <f t="shared" si="4"/>
        <v>0</v>
      </c>
      <c r="AO7" s="6">
        <f t="shared" si="5"/>
        <v>0</v>
      </c>
      <c r="AP7" s="6">
        <f t="shared" si="6"/>
        <v>0</v>
      </c>
      <c r="AQ7" s="6">
        <f t="shared" si="7"/>
        <v>0</v>
      </c>
      <c r="AR7" s="6">
        <f t="shared" si="8"/>
        <v>0</v>
      </c>
    </row>
    <row r="8" spans="1:44" ht="21" customHeight="1">
      <c r="A8" s="6">
        <v>6</v>
      </c>
      <c r="B8" s="7">
        <f>IFERROR(VLOOKUP(C8,Список!$B$2:$C$150,2,0),"")</f>
        <v>491</v>
      </c>
      <c r="C8" s="8" t="s">
        <v>155</v>
      </c>
      <c r="D8" s="8" t="s">
        <v>15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2">
        <f t="shared" si="0"/>
        <v>0</v>
      </c>
      <c r="AK8" s="6">
        <f t="shared" si="1"/>
        <v>0</v>
      </c>
      <c r="AL8" s="6">
        <f t="shared" si="2"/>
        <v>0</v>
      </c>
      <c r="AM8" s="6">
        <f t="shared" si="3"/>
        <v>0</v>
      </c>
      <c r="AN8" s="6">
        <f t="shared" si="4"/>
        <v>0</v>
      </c>
      <c r="AO8" s="6">
        <f t="shared" si="5"/>
        <v>0</v>
      </c>
      <c r="AP8" s="6">
        <f t="shared" si="6"/>
        <v>0</v>
      </c>
      <c r="AQ8" s="6">
        <f t="shared" si="7"/>
        <v>0</v>
      </c>
      <c r="AR8" s="6">
        <f t="shared" si="8"/>
        <v>0</v>
      </c>
    </row>
    <row r="9" spans="1:44" ht="21" customHeight="1">
      <c r="A9" s="6">
        <v>7</v>
      </c>
      <c r="B9" s="7">
        <f>IFERROR(VLOOKUP(C9,Список!$B$2:$C$150,2,0),"")</f>
        <v>856</v>
      </c>
      <c r="C9" s="8" t="s">
        <v>8</v>
      </c>
      <c r="D9" s="8" t="s">
        <v>15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2">
        <f t="shared" si="0"/>
        <v>0</v>
      </c>
      <c r="AK9" s="6">
        <f t="shared" si="1"/>
        <v>0</v>
      </c>
      <c r="AL9" s="6">
        <f t="shared" si="2"/>
        <v>0</v>
      </c>
      <c r="AM9" s="6">
        <f t="shared" si="3"/>
        <v>0</v>
      </c>
      <c r="AN9" s="6">
        <f t="shared" si="4"/>
        <v>0</v>
      </c>
      <c r="AO9" s="6">
        <f t="shared" si="5"/>
        <v>0</v>
      </c>
      <c r="AP9" s="6">
        <f t="shared" si="6"/>
        <v>0</v>
      </c>
      <c r="AQ9" s="6">
        <f t="shared" si="7"/>
        <v>0</v>
      </c>
      <c r="AR9" s="6">
        <f t="shared" si="8"/>
        <v>0</v>
      </c>
    </row>
    <row r="10" spans="1:44" s="14" customFormat="1" ht="21" customHeight="1">
      <c r="A10" s="6">
        <v>8</v>
      </c>
      <c r="B10" s="7">
        <f>IFERROR(VLOOKUP(C10,Список!$B$2:$C$150,2,0),"")</f>
        <v>1311</v>
      </c>
      <c r="C10" s="8" t="s">
        <v>32</v>
      </c>
      <c r="D10" s="8" t="s">
        <v>16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2">
        <f t="shared" si="0"/>
        <v>0</v>
      </c>
      <c r="AK10" s="6">
        <f t="shared" si="1"/>
        <v>0</v>
      </c>
      <c r="AL10" s="6">
        <f t="shared" si="2"/>
        <v>0</v>
      </c>
      <c r="AM10" s="6">
        <f t="shared" si="3"/>
        <v>0</v>
      </c>
      <c r="AN10" s="6">
        <f t="shared" si="4"/>
        <v>0</v>
      </c>
      <c r="AO10" s="6">
        <f t="shared" si="5"/>
        <v>0</v>
      </c>
      <c r="AP10" s="6">
        <f t="shared" si="6"/>
        <v>0</v>
      </c>
      <c r="AQ10" s="6">
        <f t="shared" si="7"/>
        <v>0</v>
      </c>
      <c r="AR10" s="6">
        <f t="shared" si="8"/>
        <v>0</v>
      </c>
    </row>
    <row r="11" spans="1:44" s="14" customFormat="1" ht="21" customHeight="1">
      <c r="A11" s="6">
        <v>9</v>
      </c>
      <c r="B11" s="7">
        <f>IFERROR(VLOOKUP(C11,Список!$B$2:$C$150,2,0),"")</f>
        <v>170</v>
      </c>
      <c r="C11" s="8" t="s">
        <v>33</v>
      </c>
      <c r="D11" s="8" t="s">
        <v>17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2">
        <f t="shared" si="0"/>
        <v>0</v>
      </c>
      <c r="AK11" s="6">
        <f t="shared" si="1"/>
        <v>0</v>
      </c>
      <c r="AL11" s="6">
        <f t="shared" si="2"/>
        <v>0</v>
      </c>
      <c r="AM11" s="6">
        <f t="shared" si="3"/>
        <v>0</v>
      </c>
      <c r="AN11" s="6">
        <f t="shared" si="4"/>
        <v>0</v>
      </c>
      <c r="AO11" s="6">
        <f t="shared" si="5"/>
        <v>0</v>
      </c>
      <c r="AP11" s="6">
        <f t="shared" si="6"/>
        <v>0</v>
      </c>
      <c r="AQ11" s="6">
        <f t="shared" si="7"/>
        <v>0</v>
      </c>
      <c r="AR11" s="6">
        <f t="shared" si="8"/>
        <v>0</v>
      </c>
    </row>
    <row r="12" spans="1:44" s="14" customFormat="1" ht="21" customHeight="1">
      <c r="A12" s="6">
        <v>10</v>
      </c>
      <c r="B12" s="7">
        <f>IFERROR(VLOOKUP(C12,Список!$B$2:$C$150,2,0),"")</f>
        <v>509</v>
      </c>
      <c r="C12" s="8" t="s">
        <v>34</v>
      </c>
      <c r="D12" s="8" t="s">
        <v>17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66</v>
      </c>
      <c r="P12" s="10" t="s">
        <v>66</v>
      </c>
      <c r="Q12" s="10" t="s">
        <v>177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2">
        <f t="shared" si="0"/>
        <v>3</v>
      </c>
      <c r="AK12" s="6">
        <f t="shared" si="1"/>
        <v>35</v>
      </c>
      <c r="AL12" s="6">
        <f t="shared" si="2"/>
        <v>24</v>
      </c>
      <c r="AM12" s="6">
        <f t="shared" si="3"/>
        <v>0</v>
      </c>
      <c r="AN12" s="6">
        <f t="shared" si="4"/>
        <v>0</v>
      </c>
      <c r="AO12" s="6">
        <f t="shared" si="5"/>
        <v>0</v>
      </c>
      <c r="AP12" s="6">
        <f t="shared" si="6"/>
        <v>0</v>
      </c>
      <c r="AQ12" s="6">
        <f t="shared" si="7"/>
        <v>0</v>
      </c>
      <c r="AR12" s="6">
        <f t="shared" si="8"/>
        <v>0</v>
      </c>
    </row>
    <row r="13" spans="1:44" s="14" customFormat="1" ht="21" customHeight="1">
      <c r="A13" s="6">
        <v>11</v>
      </c>
      <c r="B13" s="7">
        <f>IFERROR(VLOOKUP(C13,Список!$B$2:$C$150,2,0),"")</f>
        <v>1379</v>
      </c>
      <c r="C13" s="8" t="s">
        <v>35</v>
      </c>
      <c r="D13" s="8" t="s">
        <v>17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2">
        <f t="shared" si="0"/>
        <v>0</v>
      </c>
      <c r="AK13" s="6">
        <f t="shared" si="1"/>
        <v>0</v>
      </c>
      <c r="AL13" s="6">
        <f t="shared" si="2"/>
        <v>0</v>
      </c>
      <c r="AM13" s="6">
        <f t="shared" si="3"/>
        <v>0</v>
      </c>
      <c r="AN13" s="6">
        <f t="shared" si="4"/>
        <v>0</v>
      </c>
      <c r="AO13" s="6">
        <f t="shared" si="5"/>
        <v>0</v>
      </c>
      <c r="AP13" s="6">
        <f t="shared" si="6"/>
        <v>0</v>
      </c>
      <c r="AQ13" s="6">
        <f t="shared" si="7"/>
        <v>0</v>
      </c>
      <c r="AR13" s="6">
        <f t="shared" si="8"/>
        <v>0</v>
      </c>
    </row>
    <row r="14" spans="1:44" s="14" customFormat="1" ht="21" customHeight="1">
      <c r="A14" s="6">
        <v>12</v>
      </c>
      <c r="B14" s="7">
        <f>IFERROR(VLOOKUP(C14,Список!$B$2:$C$150,2,0),"")</f>
        <v>342</v>
      </c>
      <c r="C14" s="8" t="s">
        <v>36</v>
      </c>
      <c r="D14" s="8" t="s">
        <v>18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2">
        <f t="shared" si="0"/>
        <v>0</v>
      </c>
      <c r="AK14" s="6">
        <f t="shared" si="1"/>
        <v>0</v>
      </c>
      <c r="AL14" s="6">
        <f t="shared" si="2"/>
        <v>0</v>
      </c>
      <c r="AM14" s="6">
        <f t="shared" si="3"/>
        <v>0</v>
      </c>
      <c r="AN14" s="6">
        <f t="shared" si="4"/>
        <v>0</v>
      </c>
      <c r="AO14" s="6">
        <f t="shared" si="5"/>
        <v>0</v>
      </c>
      <c r="AP14" s="6">
        <f t="shared" si="6"/>
        <v>0</v>
      </c>
      <c r="AQ14" s="6">
        <f t="shared" si="7"/>
        <v>0</v>
      </c>
      <c r="AR14" s="6">
        <f t="shared" si="8"/>
        <v>0</v>
      </c>
    </row>
    <row r="15" spans="1:44" s="14" customFormat="1" ht="21" customHeight="1">
      <c r="A15" s="6">
        <v>13</v>
      </c>
      <c r="B15" s="7">
        <f>IFERROR(VLOOKUP(C15,Список!$B$2:$C$150,2,0),"")</f>
        <v>1506</v>
      </c>
      <c r="C15" s="8" t="s">
        <v>9</v>
      </c>
      <c r="D15" s="8" t="s">
        <v>18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2">
        <f t="shared" si="0"/>
        <v>0</v>
      </c>
      <c r="AK15" s="6">
        <f t="shared" si="1"/>
        <v>0</v>
      </c>
      <c r="AL15" s="6">
        <f t="shared" si="2"/>
        <v>0</v>
      </c>
      <c r="AM15" s="6">
        <f t="shared" si="3"/>
        <v>0</v>
      </c>
      <c r="AN15" s="6">
        <f t="shared" si="4"/>
        <v>0</v>
      </c>
      <c r="AO15" s="6">
        <f t="shared" si="5"/>
        <v>0</v>
      </c>
      <c r="AP15" s="6">
        <f t="shared" si="6"/>
        <v>0</v>
      </c>
      <c r="AQ15" s="6">
        <f t="shared" si="7"/>
        <v>0</v>
      </c>
      <c r="AR15" s="6">
        <f t="shared" si="8"/>
        <v>0</v>
      </c>
    </row>
    <row r="16" spans="1:44" s="14" customFormat="1" ht="21" customHeight="1">
      <c r="A16" s="6">
        <v>14</v>
      </c>
      <c r="B16" s="7">
        <f>IFERROR(VLOOKUP(C16,Список!$B$2:$C$150,2,0),"")</f>
        <v>1140</v>
      </c>
      <c r="C16" s="8" t="s">
        <v>37</v>
      </c>
      <c r="D16" s="8" t="s">
        <v>26</v>
      </c>
      <c r="E16" s="10"/>
      <c r="F16" s="10"/>
      <c r="G16" s="10"/>
      <c r="H16" s="10"/>
      <c r="I16" s="1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2">
        <f t="shared" si="0"/>
        <v>0</v>
      </c>
      <c r="AK16" s="6">
        <f t="shared" si="1"/>
        <v>0</v>
      </c>
      <c r="AL16" s="6">
        <f t="shared" si="2"/>
        <v>0</v>
      </c>
      <c r="AM16" s="6">
        <f t="shared" si="3"/>
        <v>0</v>
      </c>
      <c r="AN16" s="6">
        <f t="shared" si="4"/>
        <v>0</v>
      </c>
      <c r="AO16" s="6">
        <f t="shared" si="5"/>
        <v>0</v>
      </c>
      <c r="AP16" s="6">
        <f t="shared" si="6"/>
        <v>0</v>
      </c>
      <c r="AQ16" s="6">
        <f t="shared" si="7"/>
        <v>0</v>
      </c>
      <c r="AR16" s="6">
        <f t="shared" si="8"/>
        <v>0</v>
      </c>
    </row>
    <row r="17" spans="1:46" s="15" customFormat="1" ht="21" customHeight="1">
      <c r="A17" s="6">
        <v>15</v>
      </c>
      <c r="B17" s="7">
        <f>IFERROR(VLOOKUP(C17,Список!$B$2:$C$150,2,0),"")</f>
        <v>552</v>
      </c>
      <c r="C17" s="8" t="s">
        <v>38</v>
      </c>
      <c r="D17" s="8" t="s">
        <v>19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2">
        <f t="shared" si="0"/>
        <v>0</v>
      </c>
      <c r="AK17" s="6">
        <f t="shared" si="1"/>
        <v>0</v>
      </c>
      <c r="AL17" s="6">
        <f t="shared" si="2"/>
        <v>0</v>
      </c>
      <c r="AM17" s="6">
        <f t="shared" si="3"/>
        <v>0</v>
      </c>
      <c r="AN17" s="6">
        <f t="shared" si="4"/>
        <v>0</v>
      </c>
      <c r="AO17" s="6">
        <f t="shared" si="5"/>
        <v>0</v>
      </c>
      <c r="AP17" s="6">
        <f t="shared" si="6"/>
        <v>0</v>
      </c>
      <c r="AQ17" s="6">
        <f t="shared" si="7"/>
        <v>0</v>
      </c>
      <c r="AR17" s="6">
        <f t="shared" si="8"/>
        <v>0</v>
      </c>
    </row>
    <row r="18" spans="1:46" s="14" customFormat="1" ht="21" customHeight="1">
      <c r="A18" s="6">
        <v>16</v>
      </c>
      <c r="B18" s="7">
        <f>IFERROR(VLOOKUP(C18,Список!$B$2:$C$150,2,0),"")</f>
        <v>1369</v>
      </c>
      <c r="C18" s="8" t="s">
        <v>39</v>
      </c>
      <c r="D18" s="8" t="s">
        <v>20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2">
        <f t="shared" si="0"/>
        <v>0</v>
      </c>
      <c r="AK18" s="6">
        <f t="shared" si="1"/>
        <v>0</v>
      </c>
      <c r="AL18" s="6">
        <f t="shared" si="2"/>
        <v>0</v>
      </c>
      <c r="AM18" s="6">
        <f t="shared" si="3"/>
        <v>0</v>
      </c>
      <c r="AN18" s="6">
        <f t="shared" si="4"/>
        <v>0</v>
      </c>
      <c r="AO18" s="6">
        <f t="shared" si="5"/>
        <v>0</v>
      </c>
      <c r="AP18" s="6">
        <f t="shared" si="6"/>
        <v>0</v>
      </c>
      <c r="AQ18" s="6">
        <f t="shared" si="7"/>
        <v>0</v>
      </c>
      <c r="AR18" s="6">
        <f t="shared" si="8"/>
        <v>0</v>
      </c>
    </row>
    <row r="19" spans="1:46" s="14" customFormat="1" ht="21" customHeight="1">
      <c r="A19" s="6">
        <v>17</v>
      </c>
      <c r="B19" s="7">
        <f>IFERROR(VLOOKUP(C19,Список!$B$2:$C$150,2,0),"")</f>
        <v>1454</v>
      </c>
      <c r="C19" s="8" t="s">
        <v>40</v>
      </c>
      <c r="D19" s="8" t="s">
        <v>20</v>
      </c>
      <c r="E19" s="10"/>
      <c r="F19" s="10"/>
      <c r="G19" s="10"/>
      <c r="H19" s="10"/>
      <c r="I19" s="1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2">
        <f t="shared" si="0"/>
        <v>0</v>
      </c>
      <c r="AK19" s="6">
        <f t="shared" si="1"/>
        <v>0</v>
      </c>
      <c r="AL19" s="6">
        <f t="shared" si="2"/>
        <v>0</v>
      </c>
      <c r="AM19" s="6">
        <f t="shared" si="3"/>
        <v>0</v>
      </c>
      <c r="AN19" s="6">
        <f t="shared" si="4"/>
        <v>0</v>
      </c>
      <c r="AO19" s="6">
        <f t="shared" si="5"/>
        <v>0</v>
      </c>
      <c r="AP19" s="6">
        <f t="shared" si="6"/>
        <v>0</v>
      </c>
      <c r="AQ19" s="6">
        <f t="shared" si="7"/>
        <v>0</v>
      </c>
      <c r="AR19" s="6">
        <f t="shared" si="8"/>
        <v>0</v>
      </c>
    </row>
    <row r="20" spans="1:46" s="14" customFormat="1" ht="21" customHeight="1">
      <c r="A20" s="6">
        <v>18</v>
      </c>
      <c r="B20" s="7">
        <f>IFERROR(VLOOKUP(C20,Список!$B$2:$C$150,2,0),"")</f>
        <v>1674</v>
      </c>
      <c r="C20" s="8" t="s">
        <v>10</v>
      </c>
      <c r="D20" s="9" t="s">
        <v>12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2">
        <f t="shared" si="0"/>
        <v>0</v>
      </c>
      <c r="AK20" s="6">
        <f t="shared" si="1"/>
        <v>0</v>
      </c>
      <c r="AL20" s="6">
        <f t="shared" si="2"/>
        <v>0</v>
      </c>
      <c r="AM20" s="6">
        <f t="shared" si="3"/>
        <v>0</v>
      </c>
      <c r="AN20" s="6">
        <f t="shared" si="4"/>
        <v>0</v>
      </c>
      <c r="AO20" s="6">
        <f t="shared" si="5"/>
        <v>0</v>
      </c>
      <c r="AP20" s="6">
        <f t="shared" si="6"/>
        <v>0</v>
      </c>
      <c r="AQ20" s="6">
        <f t="shared" si="7"/>
        <v>0</v>
      </c>
      <c r="AR20" s="6">
        <f t="shared" si="8"/>
        <v>0</v>
      </c>
    </row>
    <row r="21" spans="1:46" s="14" customFormat="1" ht="21" customHeight="1">
      <c r="A21" s="6">
        <v>19</v>
      </c>
      <c r="B21" s="7">
        <f>IFERROR(VLOOKUP(C21,Список!$B$2:$C$150,2,0),"")</f>
        <v>1538</v>
      </c>
      <c r="C21" s="8" t="s">
        <v>25</v>
      </c>
      <c r="D21" s="8" t="s">
        <v>17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2">
        <f t="shared" si="0"/>
        <v>0</v>
      </c>
      <c r="AK21" s="6">
        <f t="shared" si="1"/>
        <v>0</v>
      </c>
      <c r="AL21" s="6">
        <f t="shared" si="2"/>
        <v>0</v>
      </c>
      <c r="AM21" s="6">
        <f t="shared" si="3"/>
        <v>0</v>
      </c>
      <c r="AN21" s="6">
        <f t="shared" si="4"/>
        <v>0</v>
      </c>
      <c r="AO21" s="6">
        <f t="shared" si="5"/>
        <v>0</v>
      </c>
      <c r="AP21" s="6">
        <f t="shared" si="6"/>
        <v>0</v>
      </c>
      <c r="AQ21" s="6">
        <f t="shared" si="7"/>
        <v>0</v>
      </c>
      <c r="AR21" s="6">
        <f t="shared" si="8"/>
        <v>0</v>
      </c>
    </row>
    <row r="22" spans="1:46" s="14" customFormat="1" ht="21" customHeight="1">
      <c r="A22" s="6"/>
      <c r="B22" s="7"/>
      <c r="C22" s="16"/>
      <c r="D22" s="16"/>
      <c r="E22" s="10"/>
      <c r="F22" s="10"/>
      <c r="G22" s="10"/>
      <c r="H22" s="10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2">
        <f t="shared" si="0"/>
        <v>0</v>
      </c>
      <c r="AK22" s="6">
        <f t="shared" si="1"/>
        <v>0</v>
      </c>
      <c r="AL22" s="6">
        <f t="shared" si="2"/>
        <v>0</v>
      </c>
      <c r="AM22" s="6">
        <f t="shared" si="3"/>
        <v>0</v>
      </c>
      <c r="AN22" s="6">
        <f t="shared" si="4"/>
        <v>0</v>
      </c>
      <c r="AO22" s="6">
        <f t="shared" si="5"/>
        <v>0</v>
      </c>
      <c r="AP22" s="6">
        <f t="shared" si="6"/>
        <v>0</v>
      </c>
      <c r="AQ22" s="6">
        <f t="shared" si="7"/>
        <v>0</v>
      </c>
      <c r="AR22" s="6">
        <f t="shared" si="8"/>
        <v>0</v>
      </c>
    </row>
    <row r="23" spans="1:46" s="14" customFormat="1" ht="21" customHeight="1">
      <c r="A23" s="6"/>
      <c r="B23" s="7"/>
      <c r="C23" s="16"/>
      <c r="D23" s="16"/>
      <c r="E23" s="10"/>
      <c r="F23" s="10"/>
      <c r="G23" s="10"/>
      <c r="H23" s="10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2">
        <f t="shared" si="0"/>
        <v>0</v>
      </c>
      <c r="AK23" s="6">
        <f t="shared" si="1"/>
        <v>0</v>
      </c>
      <c r="AL23" s="6">
        <f t="shared" si="2"/>
        <v>0</v>
      </c>
      <c r="AM23" s="6">
        <f t="shared" si="3"/>
        <v>0</v>
      </c>
      <c r="AN23" s="6">
        <f t="shared" si="4"/>
        <v>0</v>
      </c>
      <c r="AO23" s="6">
        <f t="shared" si="5"/>
        <v>0</v>
      </c>
      <c r="AP23" s="6">
        <f t="shared" si="6"/>
        <v>0</v>
      </c>
      <c r="AQ23" s="6">
        <f t="shared" si="7"/>
        <v>0</v>
      </c>
      <c r="AR23" s="6">
        <f t="shared" si="8"/>
        <v>0</v>
      </c>
    </row>
    <row r="24" spans="1:46" s="14" customFormat="1" ht="21" customHeight="1">
      <c r="A24" s="6"/>
      <c r="B24" s="7"/>
      <c r="C24" s="16"/>
      <c r="D24" s="16"/>
      <c r="E24" s="10"/>
      <c r="F24" s="10"/>
      <c r="G24" s="10"/>
      <c r="H24" s="10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2">
        <f t="shared" si="0"/>
        <v>0</v>
      </c>
      <c r="AK24" s="6">
        <f t="shared" si="1"/>
        <v>0</v>
      </c>
      <c r="AL24" s="6">
        <f t="shared" si="2"/>
        <v>0</v>
      </c>
      <c r="AM24" s="6">
        <f t="shared" si="3"/>
        <v>0</v>
      </c>
      <c r="AN24" s="6">
        <f t="shared" si="4"/>
        <v>0</v>
      </c>
      <c r="AO24" s="6">
        <f t="shared" si="5"/>
        <v>0</v>
      </c>
      <c r="AP24" s="6">
        <f t="shared" si="6"/>
        <v>0</v>
      </c>
      <c r="AQ24" s="6">
        <f t="shared" si="7"/>
        <v>0</v>
      </c>
      <c r="AR24" s="6">
        <f t="shared" si="8"/>
        <v>0</v>
      </c>
    </row>
    <row r="25" spans="1:46" s="14" customFormat="1" ht="21" customHeight="1">
      <c r="A25" s="6"/>
      <c r="B25" s="7"/>
      <c r="C25" s="16"/>
      <c r="D25" s="16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2">
        <f t="shared" si="0"/>
        <v>0</v>
      </c>
      <c r="AK25" s="6">
        <f t="shared" si="1"/>
        <v>0</v>
      </c>
      <c r="AL25" s="6">
        <f t="shared" si="2"/>
        <v>0</v>
      </c>
      <c r="AM25" s="6">
        <f t="shared" si="3"/>
        <v>0</v>
      </c>
      <c r="AN25" s="6">
        <f t="shared" si="4"/>
        <v>0</v>
      </c>
      <c r="AO25" s="6">
        <f t="shared" si="5"/>
        <v>0</v>
      </c>
      <c r="AP25" s="6">
        <f t="shared" si="6"/>
        <v>0</v>
      </c>
      <c r="AQ25" s="6">
        <f t="shared" si="7"/>
        <v>0</v>
      </c>
      <c r="AR25" s="6">
        <f t="shared" si="8"/>
        <v>0</v>
      </c>
    </row>
    <row r="26" spans="1:46" s="14" customFormat="1" ht="21" customHeight="1">
      <c r="A26" s="6"/>
      <c r="B26" s="7"/>
      <c r="C26" s="16"/>
      <c r="D26" s="16"/>
      <c r="E26" s="10"/>
      <c r="F26" s="10"/>
      <c r="G26" s="10"/>
      <c r="H26" s="10"/>
      <c r="I26" s="11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2">
        <f t="shared" si="0"/>
        <v>0</v>
      </c>
      <c r="AK26" s="6">
        <f t="shared" si="1"/>
        <v>0</v>
      </c>
      <c r="AL26" s="6">
        <f t="shared" si="2"/>
        <v>0</v>
      </c>
      <c r="AM26" s="6">
        <f t="shared" si="3"/>
        <v>0</v>
      </c>
      <c r="AN26" s="6">
        <f t="shared" si="4"/>
        <v>0</v>
      </c>
      <c r="AO26" s="6">
        <f t="shared" si="5"/>
        <v>0</v>
      </c>
      <c r="AP26" s="6">
        <f t="shared" si="6"/>
        <v>0</v>
      </c>
      <c r="AQ26" s="6">
        <f t="shared" si="7"/>
        <v>0</v>
      </c>
      <c r="AR26" s="6">
        <f t="shared" si="8"/>
        <v>0</v>
      </c>
    </row>
    <row r="27" spans="1:46" s="14" customFormat="1" ht="21" customHeight="1">
      <c r="A27" s="6"/>
      <c r="B27" s="7" t="str">
        <f>IFERROR(VLOOKUP(C27,Список!$B$2:$C$150,2,0),"")</f>
        <v/>
      </c>
      <c r="C27" s="8"/>
      <c r="D27" s="8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2">
        <f t="shared" si="0"/>
        <v>0</v>
      </c>
      <c r="AK27" s="6">
        <f t="shared" si="1"/>
        <v>0</v>
      </c>
      <c r="AL27" s="6">
        <f t="shared" si="2"/>
        <v>0</v>
      </c>
      <c r="AM27" s="6">
        <f t="shared" si="3"/>
        <v>0</v>
      </c>
      <c r="AN27" s="6">
        <f t="shared" si="4"/>
        <v>0</v>
      </c>
      <c r="AO27" s="6">
        <f t="shared" si="5"/>
        <v>0</v>
      </c>
      <c r="AP27" s="6">
        <f t="shared" si="6"/>
        <v>0</v>
      </c>
      <c r="AQ27" s="6">
        <f t="shared" si="7"/>
        <v>0</v>
      </c>
      <c r="AR27" s="6">
        <f t="shared" si="8"/>
        <v>0</v>
      </c>
      <c r="AS27" s="15"/>
      <c r="AT27" s="15"/>
    </row>
    <row r="28" spans="1:46" s="14" customFormat="1" ht="21" customHeight="1">
      <c r="A28" s="6"/>
      <c r="B28" s="7" t="str">
        <f>IFERROR(VLOOKUP(C28,Список!$B$2:$C$150,2,0),"")</f>
        <v/>
      </c>
      <c r="C28" s="8"/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2">
        <f t="shared" si="0"/>
        <v>0</v>
      </c>
      <c r="AK28" s="6">
        <f t="shared" si="1"/>
        <v>0</v>
      </c>
      <c r="AL28" s="6">
        <f t="shared" si="2"/>
        <v>0</v>
      </c>
      <c r="AM28" s="6">
        <f t="shared" si="3"/>
        <v>0</v>
      </c>
      <c r="AN28" s="6">
        <f t="shared" si="4"/>
        <v>0</v>
      </c>
      <c r="AO28" s="6">
        <f t="shared" si="5"/>
        <v>0</v>
      </c>
      <c r="AP28" s="6">
        <f t="shared" si="6"/>
        <v>0</v>
      </c>
      <c r="AQ28" s="6">
        <f t="shared" si="7"/>
        <v>0</v>
      </c>
      <c r="AR28" s="6">
        <f t="shared" si="8"/>
        <v>0</v>
      </c>
      <c r="AS28" s="17"/>
      <c r="AT28" s="15"/>
    </row>
    <row r="29" spans="1:46" s="14" customFormat="1" ht="21" customHeight="1">
      <c r="A29" s="6"/>
      <c r="B29" s="7" t="str">
        <f>IFERROR(VLOOKUP(C29,Список!$B$2:$C$150,2,0),"")</f>
        <v/>
      </c>
      <c r="C29" s="8"/>
      <c r="D29" s="8"/>
      <c r="E29" s="10"/>
      <c r="F29" s="10"/>
      <c r="G29" s="10"/>
      <c r="H29" s="10"/>
      <c r="I29" s="11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2">
        <f t="shared" si="0"/>
        <v>0</v>
      </c>
      <c r="AK29" s="6">
        <f t="shared" si="1"/>
        <v>0</v>
      </c>
      <c r="AL29" s="6">
        <f t="shared" si="2"/>
        <v>0</v>
      </c>
      <c r="AM29" s="6">
        <f t="shared" si="3"/>
        <v>0</v>
      </c>
      <c r="AN29" s="6">
        <f t="shared" si="4"/>
        <v>0</v>
      </c>
      <c r="AO29" s="6">
        <f t="shared" si="5"/>
        <v>0</v>
      </c>
      <c r="AP29" s="6">
        <f t="shared" si="6"/>
        <v>0</v>
      </c>
      <c r="AQ29" s="6">
        <f t="shared" si="7"/>
        <v>0</v>
      </c>
      <c r="AR29" s="6">
        <f t="shared" si="8"/>
        <v>0</v>
      </c>
      <c r="AS29" s="17"/>
      <c r="AT29" s="15"/>
    </row>
    <row r="30" spans="1:46" s="14" customFormat="1" ht="21" customHeight="1">
      <c r="A30" s="6"/>
      <c r="B30" s="7" t="str">
        <f>IFERROR(VLOOKUP(C30,Список!$B$2:$C$150,2,0),"")</f>
        <v/>
      </c>
      <c r="C30" s="8"/>
      <c r="D30" s="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2">
        <f t="shared" si="0"/>
        <v>0</v>
      </c>
      <c r="AK30" s="6">
        <f t="shared" si="1"/>
        <v>0</v>
      </c>
      <c r="AL30" s="6">
        <f t="shared" si="2"/>
        <v>0</v>
      </c>
      <c r="AM30" s="6">
        <f t="shared" si="3"/>
        <v>0</v>
      </c>
      <c r="AN30" s="6">
        <f t="shared" si="4"/>
        <v>0</v>
      </c>
      <c r="AO30" s="6">
        <f t="shared" si="5"/>
        <v>0</v>
      </c>
      <c r="AP30" s="6">
        <f t="shared" si="6"/>
        <v>0</v>
      </c>
      <c r="AQ30" s="6">
        <f t="shared" si="7"/>
        <v>0</v>
      </c>
      <c r="AR30" s="6">
        <f t="shared" si="8"/>
        <v>0</v>
      </c>
      <c r="AS30" s="17"/>
      <c r="AT30" s="15"/>
    </row>
    <row r="31" spans="1:46" s="14" customFormat="1" ht="21" customHeight="1">
      <c r="A31" s="6"/>
      <c r="B31" s="7" t="str">
        <f>IFERROR(VLOOKUP(C31,Список!$B$2:$C$150,2,0),"")</f>
        <v/>
      </c>
      <c r="C31" s="8"/>
      <c r="D31" s="8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2">
        <f t="shared" si="0"/>
        <v>0</v>
      </c>
      <c r="AK31" s="6">
        <f t="shared" si="1"/>
        <v>0</v>
      </c>
      <c r="AL31" s="6">
        <f t="shared" si="2"/>
        <v>0</v>
      </c>
      <c r="AM31" s="6">
        <f t="shared" si="3"/>
        <v>0</v>
      </c>
      <c r="AN31" s="6">
        <f t="shared" si="4"/>
        <v>0</v>
      </c>
      <c r="AO31" s="6">
        <f t="shared" si="5"/>
        <v>0</v>
      </c>
      <c r="AP31" s="6">
        <f t="shared" si="6"/>
        <v>0</v>
      </c>
      <c r="AQ31" s="6">
        <f t="shared" si="7"/>
        <v>0</v>
      </c>
      <c r="AR31" s="6">
        <f t="shared" si="8"/>
        <v>0</v>
      </c>
      <c r="AS31" s="17"/>
      <c r="AT31" s="15"/>
    </row>
    <row r="32" spans="1:46" s="14" customFormat="1" ht="21" customHeight="1">
      <c r="A32" s="6"/>
      <c r="B32" s="7"/>
      <c r="C32" s="8" t="s">
        <v>167</v>
      </c>
      <c r="D32" s="8"/>
      <c r="E32" s="10"/>
      <c r="F32" s="10"/>
      <c r="G32" s="10"/>
      <c r="H32" s="10"/>
      <c r="I32" s="11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2">
        <f t="shared" si="0"/>
        <v>0</v>
      </c>
      <c r="AK32" s="6">
        <f t="shared" si="1"/>
        <v>0</v>
      </c>
      <c r="AL32" s="6">
        <f t="shared" si="2"/>
        <v>0</v>
      </c>
      <c r="AM32" s="6">
        <f t="shared" si="3"/>
        <v>0</v>
      </c>
      <c r="AN32" s="6">
        <f t="shared" si="4"/>
        <v>0</v>
      </c>
      <c r="AO32" s="6">
        <f t="shared" si="5"/>
        <v>0</v>
      </c>
      <c r="AP32" s="6">
        <f t="shared" si="6"/>
        <v>0</v>
      </c>
      <c r="AQ32" s="6">
        <f t="shared" si="7"/>
        <v>0</v>
      </c>
      <c r="AR32" s="6">
        <f t="shared" si="8"/>
        <v>0</v>
      </c>
      <c r="AS32" s="17"/>
      <c r="AT32" s="15"/>
    </row>
    <row r="33" spans="1:46" s="14" customFormat="1" ht="21" customHeight="1">
      <c r="A33" s="6">
        <v>20</v>
      </c>
      <c r="B33" s="7">
        <f>IFERROR(VLOOKUP(C33,Список!$B$2:$C$150,2,0),"")</f>
        <v>2108</v>
      </c>
      <c r="C33" s="8" t="s">
        <v>52</v>
      </c>
      <c r="D33" s="8" t="s">
        <v>41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2">
        <f t="shared" si="0"/>
        <v>0</v>
      </c>
      <c r="AK33" s="6">
        <f t="shared" si="1"/>
        <v>0</v>
      </c>
      <c r="AL33" s="6">
        <f t="shared" si="2"/>
        <v>0</v>
      </c>
      <c r="AM33" s="6">
        <f t="shared" si="3"/>
        <v>0</v>
      </c>
      <c r="AN33" s="6">
        <f t="shared" si="4"/>
        <v>0</v>
      </c>
      <c r="AO33" s="6">
        <f t="shared" si="5"/>
        <v>0</v>
      </c>
      <c r="AP33" s="6">
        <f t="shared" si="6"/>
        <v>0</v>
      </c>
      <c r="AQ33" s="6">
        <f t="shared" si="7"/>
        <v>0</v>
      </c>
      <c r="AR33" s="6">
        <f t="shared" si="8"/>
        <v>0</v>
      </c>
      <c r="AS33" s="17"/>
      <c r="AT33" s="15"/>
    </row>
    <row r="34" spans="1:46" s="14" customFormat="1" ht="21" customHeight="1">
      <c r="A34" s="6">
        <v>21</v>
      </c>
      <c r="B34" s="7">
        <f>IFERROR(VLOOKUP(C34,Список!$B$2:$C$150,2,0),"")</f>
        <v>1503</v>
      </c>
      <c r="C34" s="8" t="s">
        <v>76</v>
      </c>
      <c r="D34" s="8" t="s">
        <v>42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2">
        <f t="shared" si="0"/>
        <v>0</v>
      </c>
      <c r="AK34" s="6">
        <f t="shared" si="1"/>
        <v>0</v>
      </c>
      <c r="AL34" s="6">
        <f t="shared" si="2"/>
        <v>0</v>
      </c>
      <c r="AM34" s="6">
        <f t="shared" si="3"/>
        <v>0</v>
      </c>
      <c r="AN34" s="6">
        <f t="shared" si="4"/>
        <v>0</v>
      </c>
      <c r="AO34" s="6">
        <f t="shared" si="5"/>
        <v>0</v>
      </c>
      <c r="AP34" s="6">
        <f t="shared" si="6"/>
        <v>0</v>
      </c>
      <c r="AQ34" s="6">
        <f t="shared" si="7"/>
        <v>0</v>
      </c>
      <c r="AR34" s="6">
        <f t="shared" si="8"/>
        <v>0</v>
      </c>
    </row>
    <row r="35" spans="1:46" s="14" customFormat="1" ht="21" customHeight="1">
      <c r="A35" s="6">
        <v>22</v>
      </c>
      <c r="B35" s="7">
        <f>IFERROR(VLOOKUP(C35,Список!$B$2:$C$150,2,0),"")</f>
        <v>338</v>
      </c>
      <c r="C35" s="8" t="s">
        <v>54</v>
      </c>
      <c r="D35" s="8" t="s">
        <v>50</v>
      </c>
      <c r="E35" s="10"/>
      <c r="F35" s="10"/>
      <c r="G35" s="10"/>
      <c r="H35" s="10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2">
        <f t="shared" si="0"/>
        <v>0</v>
      </c>
      <c r="AK35" s="6">
        <f t="shared" si="1"/>
        <v>0</v>
      </c>
      <c r="AL35" s="6">
        <f t="shared" si="2"/>
        <v>0</v>
      </c>
      <c r="AM35" s="6">
        <f t="shared" si="3"/>
        <v>0</v>
      </c>
      <c r="AN35" s="6">
        <f t="shared" si="4"/>
        <v>0</v>
      </c>
      <c r="AO35" s="6">
        <f t="shared" si="5"/>
        <v>0</v>
      </c>
      <c r="AP35" s="6">
        <f t="shared" si="6"/>
        <v>0</v>
      </c>
      <c r="AQ35" s="6">
        <f t="shared" si="7"/>
        <v>0</v>
      </c>
      <c r="AR35" s="6">
        <f t="shared" si="8"/>
        <v>0</v>
      </c>
    </row>
    <row r="36" spans="1:46" s="14" customFormat="1" ht="21" customHeight="1">
      <c r="A36" s="6">
        <v>23</v>
      </c>
      <c r="B36" s="7">
        <f>IFERROR(VLOOKUP(C36,Список!$B$2:$C$150,2,0),"")</f>
        <v>1430</v>
      </c>
      <c r="C36" s="8" t="s">
        <v>53</v>
      </c>
      <c r="D36" s="8" t="s">
        <v>42</v>
      </c>
      <c r="E36" s="10"/>
      <c r="F36" s="10"/>
      <c r="G36" s="10"/>
      <c r="H36" s="10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2">
        <f t="shared" si="0"/>
        <v>0</v>
      </c>
      <c r="AK36" s="6">
        <f t="shared" si="1"/>
        <v>0</v>
      </c>
      <c r="AL36" s="6">
        <f t="shared" si="2"/>
        <v>0</v>
      </c>
      <c r="AM36" s="6">
        <f t="shared" si="3"/>
        <v>0</v>
      </c>
      <c r="AN36" s="6">
        <f t="shared" si="4"/>
        <v>0</v>
      </c>
      <c r="AO36" s="6">
        <f t="shared" si="5"/>
        <v>0</v>
      </c>
      <c r="AP36" s="6">
        <f t="shared" si="6"/>
        <v>0</v>
      </c>
      <c r="AQ36" s="6">
        <f t="shared" si="7"/>
        <v>0</v>
      </c>
      <c r="AR36" s="6">
        <f t="shared" si="8"/>
        <v>0</v>
      </c>
    </row>
    <row r="37" spans="1:46" s="14" customFormat="1" ht="21" customHeight="1">
      <c r="A37" s="6">
        <v>24</v>
      </c>
      <c r="B37" s="7">
        <f>IFERROR(VLOOKUP(C37,Список!$B$2:$C$150,2,0),"")</f>
        <v>300</v>
      </c>
      <c r="C37" s="8" t="s">
        <v>51</v>
      </c>
      <c r="D37" s="8" t="s">
        <v>42</v>
      </c>
      <c r="E37" s="10"/>
      <c r="F37" s="10"/>
      <c r="G37" s="10"/>
      <c r="H37" s="10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2">
        <f t="shared" si="0"/>
        <v>0</v>
      </c>
      <c r="AK37" s="6">
        <f t="shared" si="1"/>
        <v>0</v>
      </c>
      <c r="AL37" s="6">
        <f t="shared" si="2"/>
        <v>0</v>
      </c>
      <c r="AM37" s="6">
        <f t="shared" si="3"/>
        <v>0</v>
      </c>
      <c r="AN37" s="6">
        <f t="shared" si="4"/>
        <v>0</v>
      </c>
      <c r="AO37" s="6">
        <f t="shared" si="5"/>
        <v>0</v>
      </c>
      <c r="AP37" s="6">
        <f t="shared" si="6"/>
        <v>0</v>
      </c>
      <c r="AQ37" s="6">
        <f t="shared" si="7"/>
        <v>0</v>
      </c>
      <c r="AR37" s="6">
        <f t="shared" si="8"/>
        <v>0</v>
      </c>
    </row>
    <row r="38" spans="1:46" s="14" customFormat="1" ht="21" customHeight="1">
      <c r="B38" s="17"/>
      <c r="C38" s="17"/>
    </row>
    <row r="39" spans="1:46" s="14" customFormat="1" ht="21" customHeight="1">
      <c r="B39" s="17"/>
      <c r="C39" s="17"/>
    </row>
    <row r="40" spans="1:46" s="14" customFormat="1" ht="21" customHeight="1">
      <c r="B40" s="15"/>
      <c r="C40" s="15"/>
    </row>
    <row r="41" spans="1:46" s="14" customFormat="1" ht="21" customHeight="1"/>
    <row r="42" spans="1:46" s="14" customFormat="1" ht="21" customHeight="1"/>
    <row r="43" spans="1:46" s="14" customFormat="1" ht="21" customHeight="1"/>
    <row r="44" spans="1:46" s="14" customFormat="1" ht="21" customHeight="1"/>
    <row r="45" spans="1:46" s="14" customFormat="1" ht="21" customHeight="1"/>
    <row r="46" spans="1:46" s="14" customFormat="1" ht="21" customHeight="1"/>
    <row r="47" spans="1:46" s="14" customFormat="1" ht="21" customHeight="1"/>
    <row r="48" spans="1:46" s="14" customFormat="1" ht="21" customHeight="1"/>
    <row r="49" spans="2:44" s="14" customFormat="1" ht="21" customHeight="1"/>
    <row r="50" spans="2:44" s="14" customFormat="1" ht="21" customHeight="1"/>
    <row r="51" spans="2:44" s="14" customFormat="1" ht="21" customHeight="1"/>
    <row r="52" spans="2:44" s="14" customFormat="1" ht="21" customHeight="1"/>
    <row r="53" spans="2:44" s="14" customFormat="1" ht="21" customHeight="1"/>
    <row r="54" spans="2:44" s="14" customFormat="1" ht="21" customHeight="1"/>
    <row r="55" spans="2:44" s="14" customFormat="1" ht="21" customHeight="1"/>
    <row r="56" spans="2:44" s="14" customFormat="1" ht="21" customHeight="1"/>
    <row r="57" spans="2:44" s="14" customFormat="1" ht="21" customHeight="1"/>
    <row r="58" spans="2:44" s="14" customFormat="1" ht="21" customHeight="1"/>
    <row r="59" spans="2:44" s="14" customFormat="1" ht="21" customHeight="1"/>
    <row r="60" spans="2:44" s="14" customFormat="1" ht="21" customHeight="1"/>
    <row r="61" spans="2:44" s="14" customFormat="1" ht="21" customHeight="1"/>
    <row r="62" spans="2:44" ht="21" customHeight="1">
      <c r="B62" s="4"/>
      <c r="C62" s="4"/>
    </row>
    <row r="63" spans="2:44" ht="21" customHeight="1">
      <c r="B63" s="15"/>
      <c r="AF63" s="18"/>
      <c r="AK63" s="19"/>
      <c r="AR63" s="15"/>
    </row>
    <row r="64" spans="2:44" ht="21" customHeight="1">
      <c r="X64" s="18"/>
      <c r="AF64" s="18"/>
      <c r="AR64" s="15"/>
    </row>
    <row r="65" spans="1:38" ht="21" customHeight="1">
      <c r="X65" s="18"/>
      <c r="AB65" s="20"/>
      <c r="AD65" s="21"/>
      <c r="AJ65" s="20"/>
      <c r="AL65" s="20"/>
    </row>
    <row r="66" spans="1:38" ht="21" customHeight="1">
      <c r="AB66" s="20"/>
      <c r="AD66" s="21"/>
      <c r="AJ66" s="20"/>
      <c r="AL66" s="20"/>
    </row>
    <row r="67" spans="1:38" ht="21" customHeight="1">
      <c r="AB67" s="20"/>
      <c r="AD67" s="21"/>
      <c r="AJ67" s="20"/>
      <c r="AL67" s="20"/>
    </row>
    <row r="68" spans="1:38" ht="21" customHeight="1">
      <c r="AB68" s="20"/>
      <c r="AD68" s="21"/>
      <c r="AJ68" s="20"/>
      <c r="AL68" s="20"/>
    </row>
    <row r="69" spans="1:38" ht="21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</row>
    <row r="70" spans="1:38" ht="21" customHeight="1">
      <c r="AB70" s="20"/>
      <c r="AD70" s="21"/>
      <c r="AJ70" s="20"/>
      <c r="AL70" s="20"/>
    </row>
  </sheetData>
  <sheetProtection formatCells="0" formatColumns="0" formatRows="0"/>
  <customSheetViews>
    <customSheetView guid="{1957AC80-412C-4030-B807-A599A7F9C8EF}" scale="90" showGridLines="0" showRowCol="0" zeroValues="0">
      <pane xSplit="5" ySplit="2" topLeftCell="F3" activePane="bottomRight" state="frozen"/>
      <selection pane="bottomRight" activeCell="I28" sqref="I28"/>
      <rowBreaks count="1" manualBreakCount="1">
        <brk id="37" max="16383" man="1"/>
      </rowBreaks>
      <pageMargins left="0.70866141732283472" right="0.70866141732283472" top="0.74803149606299213" bottom="0.74803149606299213" header="0.31496062992125984" footer="0.31496062992125984"/>
      <pageSetup paperSize="8" scale="55" orientation="landscape" r:id="rId1"/>
    </customSheetView>
  </customSheetViews>
  <mergeCells count="14">
    <mergeCell ref="AO1:AO2"/>
    <mergeCell ref="AP1:AP2"/>
    <mergeCell ref="AR1:AR2"/>
    <mergeCell ref="D1:D2"/>
    <mergeCell ref="AK1:AK2"/>
    <mergeCell ref="AJ1:AJ2"/>
    <mergeCell ref="AL1:AL2"/>
    <mergeCell ref="AQ1:AQ2"/>
    <mergeCell ref="AN1:AN2"/>
    <mergeCell ref="A69:AH69"/>
    <mergeCell ref="B1:B2"/>
    <mergeCell ref="A1:A2"/>
    <mergeCell ref="C1:C2"/>
    <mergeCell ref="AM1:AM2"/>
  </mergeCells>
  <dataValidations count="3">
    <dataValidation type="list" allowBlank="1" showInputMessage="1" showErrorMessage="1" sqref="D3:D21 D27:D37">
      <formula1>Профессия</formula1>
    </dataValidation>
    <dataValidation type="list" allowBlank="1" showInputMessage="1" showErrorMessage="1" sqref="C3:C21 C27:C37">
      <formula1>ФИО</formula1>
    </dataValidation>
    <dataValidation type="list" allowBlank="1" showInputMessage="1" showErrorMessage="1" sqref="E3:AI37">
      <formula1>Знаки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2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tabColor rgb="FF00B0F0"/>
  </sheetPr>
  <dimension ref="A1:AK70"/>
  <sheetViews>
    <sheetView showGridLines="0" showZeros="0" zoomScale="110" zoomScaleNormal="110" zoomScaleSheetLayoutView="90" workbookViewId="0">
      <pane ySplit="7" topLeftCell="A8" activePane="bottomLeft" state="frozen"/>
      <selection pane="bottomLeft" activeCell="G9" sqref="G9"/>
    </sheetView>
  </sheetViews>
  <sheetFormatPr defaultColWidth="9.140625" defaultRowHeight="15"/>
  <cols>
    <col min="1" max="1" width="4.7109375" style="22" customWidth="1"/>
    <col min="2" max="2" width="21.85546875" style="22" customWidth="1"/>
    <col min="3" max="3" width="14.7109375" style="22" customWidth="1"/>
    <col min="4" max="34" width="3.28515625" style="22" customWidth="1"/>
    <col min="35" max="35" width="3.7109375" style="22" customWidth="1"/>
    <col min="36" max="36" width="5.5703125" style="22" customWidth="1"/>
    <col min="37" max="16384" width="9.140625" style="22"/>
  </cols>
  <sheetData>
    <row r="1" spans="1:37" ht="15.75">
      <c r="A1" s="18" t="s">
        <v>162</v>
      </c>
      <c r="J1" s="4" t="s">
        <v>275</v>
      </c>
    </row>
    <row r="2" spans="1:37" ht="15.75">
      <c r="O2" s="4" t="s">
        <v>232</v>
      </c>
    </row>
    <row r="3" spans="1:37" ht="20.25">
      <c r="A3" s="84" t="s">
        <v>161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</row>
    <row r="4" spans="1:37" ht="15.75">
      <c r="A4" s="23" t="s">
        <v>228</v>
      </c>
      <c r="B4" s="24"/>
      <c r="C4" s="25" t="s">
        <v>230</v>
      </c>
      <c r="D4" s="93" t="s">
        <v>229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9" t="e">
        <f>#REF!</f>
        <v>#REF!</v>
      </c>
      <c r="X4" s="100"/>
      <c r="Y4" s="100"/>
      <c r="Z4" s="100"/>
      <c r="AA4" s="100"/>
      <c r="AB4" s="100"/>
      <c r="AC4" s="100"/>
      <c r="AD4" s="100"/>
      <c r="AE4" s="26"/>
      <c r="AF4" s="26"/>
      <c r="AG4" s="26"/>
      <c r="AH4" s="26"/>
      <c r="AI4" s="26"/>
      <c r="AJ4" s="26"/>
    </row>
    <row r="5" spans="1:37" ht="15.75">
      <c r="A5" s="27"/>
    </row>
    <row r="6" spans="1:37" ht="23.1" customHeight="1">
      <c r="A6" s="85" t="s">
        <v>160</v>
      </c>
      <c r="B6" s="85" t="s">
        <v>159</v>
      </c>
      <c r="C6" s="28" t="s">
        <v>27</v>
      </c>
      <c r="D6" s="86" t="s">
        <v>158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8"/>
      <c r="AI6" s="89" t="s">
        <v>233</v>
      </c>
      <c r="AJ6" s="90" t="s">
        <v>248</v>
      </c>
      <c r="AK6" s="29"/>
    </row>
    <row r="7" spans="1:37" ht="23.1" customHeight="1">
      <c r="A7" s="85"/>
      <c r="B7" s="85"/>
      <c r="C7" s="28" t="s">
        <v>156</v>
      </c>
      <c r="D7" s="30">
        <v>1</v>
      </c>
      <c r="E7" s="30">
        <v>2</v>
      </c>
      <c r="F7" s="30">
        <v>3</v>
      </c>
      <c r="G7" s="30">
        <v>4</v>
      </c>
      <c r="H7" s="30">
        <v>5</v>
      </c>
      <c r="I7" s="30">
        <v>6</v>
      </c>
      <c r="J7" s="30">
        <v>7</v>
      </c>
      <c r="K7" s="30">
        <v>8</v>
      </c>
      <c r="L7" s="30">
        <v>9</v>
      </c>
      <c r="M7" s="30">
        <v>10</v>
      </c>
      <c r="N7" s="30">
        <v>11</v>
      </c>
      <c r="O7" s="30">
        <v>12</v>
      </c>
      <c r="P7" s="30">
        <v>13</v>
      </c>
      <c r="Q7" s="30">
        <v>14</v>
      </c>
      <c r="R7" s="30">
        <v>15</v>
      </c>
      <c r="S7" s="30">
        <v>16</v>
      </c>
      <c r="T7" s="30">
        <v>17</v>
      </c>
      <c r="U7" s="30">
        <v>18</v>
      </c>
      <c r="V7" s="30">
        <v>19</v>
      </c>
      <c r="W7" s="30">
        <v>20</v>
      </c>
      <c r="X7" s="30">
        <v>21</v>
      </c>
      <c r="Y7" s="30">
        <v>22</v>
      </c>
      <c r="Z7" s="30">
        <v>23</v>
      </c>
      <c r="AA7" s="30">
        <v>24</v>
      </c>
      <c r="AB7" s="30">
        <v>25</v>
      </c>
      <c r="AC7" s="30">
        <v>26</v>
      </c>
      <c r="AD7" s="30">
        <v>27</v>
      </c>
      <c r="AE7" s="30">
        <v>28</v>
      </c>
      <c r="AF7" s="30">
        <v>29</v>
      </c>
      <c r="AG7" s="30">
        <v>30</v>
      </c>
      <c r="AH7" s="30">
        <v>31</v>
      </c>
      <c r="AI7" s="89"/>
      <c r="AJ7" s="91"/>
      <c r="AK7" s="29"/>
    </row>
    <row r="8" spans="1:37" ht="23.1" customHeight="1">
      <c r="A8" s="31">
        <v>1</v>
      </c>
      <c r="B8" s="32" t="s">
        <v>7</v>
      </c>
      <c r="C8" s="32" t="s">
        <v>13</v>
      </c>
      <c r="D8" s="30" t="str">
        <f>IF(SUMIF('Общий табель'!$C$3:$C$37,$B$8,'Общий табель'!E3:E37)&gt;0,1,"")</f>
        <v/>
      </c>
      <c r="E8" s="30" t="str">
        <f>IF(SUMIF('Общий табель'!$C$3:$C$37,$B8,'Общий табель'!F$3:F$37)&gt;0,1,"")</f>
        <v/>
      </c>
      <c r="F8" s="30" t="str">
        <f>IF(SUMIF('Общий табель'!$C$3:$C$37,$B8,'Общий табель'!G$3:G$37)&gt;0,1,"")</f>
        <v/>
      </c>
      <c r="G8" s="30" t="str">
        <f>IF(SUMIF('Общий табель'!$C$3:$C$37,$B8,'Общий табель'!H$3:H$37)&gt;0,1,"")</f>
        <v/>
      </c>
      <c r="H8" s="30" t="str">
        <f>IF(SUMIF('Общий табель'!$C$3:$C$37,$B8,'Общий табель'!I$3:I$37)&gt;0,1,"")</f>
        <v/>
      </c>
      <c r="I8" s="30" t="str">
        <f>IF(SUMIF('Общий табель'!$C$3:$C$37,$B8,'Общий табель'!J$3:J$37)&gt;0,1,"")</f>
        <v/>
      </c>
      <c r="J8" s="30" t="str">
        <f>IF(SUMIF('Общий табель'!$C$3:$C$37,$B8,'Общий табель'!K$3:K$37)&gt;0,1,"")</f>
        <v/>
      </c>
      <c r="K8" s="30" t="str">
        <f>IF(SUMIF('Общий табель'!$C$3:$C$37,$B8,'Общий табель'!L$3:L$37)&gt;0,1,"")</f>
        <v/>
      </c>
      <c r="L8" s="30" t="str">
        <f>IF(SUMIF('Общий табель'!$C$3:$C$37,$B8,'Общий табель'!M$3:M$37)&gt;0,1,"")</f>
        <v/>
      </c>
      <c r="M8" s="30" t="str">
        <f>IF(SUMIF('Общий табель'!$C$3:$C$37,$B8,'Общий табель'!N$3:N$37)&gt;0,1,"")</f>
        <v/>
      </c>
      <c r="N8" s="30" t="str">
        <f>IF(SUMIF('Общий табель'!$C$3:$C$37,$B8,'Общий табель'!O$3:O$37)&gt;0,1,"")</f>
        <v/>
      </c>
      <c r="O8" s="30" t="str">
        <f>IF(SUMIF('Общий табель'!$C$3:$C$37,$B8,'Общий табель'!P$3:P$37)&gt;0,1,"")</f>
        <v/>
      </c>
      <c r="P8" s="30" t="str">
        <f>IF(SUMIF('Общий табель'!$C$3:$C$37,$B8,'Общий табель'!Q$3:Q$37)&gt;0,1,"")</f>
        <v/>
      </c>
      <c r="Q8" s="30" t="str">
        <f>IF(SUMIF('Общий табель'!$C$3:$C$37,$B8,'Общий табель'!R$3:R$37)&gt;0,1,"")</f>
        <v/>
      </c>
      <c r="R8" s="30" t="str">
        <f>IF(SUMIF('Общий табель'!$C$3:$C$37,$B8,'Общий табель'!S$3:S$37)&gt;0,1,"")</f>
        <v/>
      </c>
      <c r="S8" s="30" t="str">
        <f>IF(SUMIF('Общий табель'!$C$3:$C$37,$B8,'Общий табель'!T$3:T$37)&gt;0,1,"")</f>
        <v/>
      </c>
      <c r="T8" s="30" t="str">
        <f>IF(SUMIF('Общий табель'!$C$3:$C$37,$B8,'Общий табель'!U$3:U$37)&gt;0,1,"")</f>
        <v/>
      </c>
      <c r="U8" s="30" t="str">
        <f>IF(SUMIF('Общий табель'!$C$3:$C$37,$B8,'Общий табель'!V$3:V$37)&gt;0,1,"")</f>
        <v/>
      </c>
      <c r="V8" s="30" t="str">
        <f>IF(SUMIF('Общий табель'!$C$3:$C$37,$B8,'Общий табель'!W$3:W$37)&gt;0,1,"")</f>
        <v/>
      </c>
      <c r="W8" s="30" t="str">
        <f>IF(SUMIF('Общий табель'!$C$3:$C$37,$B8,'Общий табель'!X$3:X$37)&gt;0,1,"")</f>
        <v/>
      </c>
      <c r="X8" s="30" t="str">
        <f>IF(SUMIF('Общий табель'!$C$3:$C$37,$B8,'Общий табель'!Y$3:Y$37)&gt;0,1,"")</f>
        <v/>
      </c>
      <c r="Y8" s="30" t="str">
        <f>IF(SUMIF('Общий табель'!$C$3:$C$37,$B8,'Общий табель'!Z$3:Z$37)&gt;0,1,"")</f>
        <v/>
      </c>
      <c r="Z8" s="30" t="str">
        <f>IF(SUMIF('Общий табель'!$C$3:$C$37,$B8,'Общий табель'!AA$3:AA$37)&gt;0,1,"")</f>
        <v/>
      </c>
      <c r="AA8" s="30" t="str">
        <f>IF(SUMIF('Общий табель'!$C$3:$C$37,$B8,'Общий табель'!AB$3:AB$37)&gt;0,1,"")</f>
        <v/>
      </c>
      <c r="AB8" s="30" t="str">
        <f>IF(SUMIF('Общий табель'!$C$3:$C$37,$B8,'Общий табель'!AC$3:AC$37)&gt;0,1,"")</f>
        <v/>
      </c>
      <c r="AC8" s="30" t="str">
        <f>IF(SUMIF('Общий табель'!$C$3:$C$37,$B8,'Общий табель'!AD$3:AD$37)&gt;0,1,"")</f>
        <v/>
      </c>
      <c r="AD8" s="30" t="str">
        <f>IF(SUMIF('Общий табель'!$C$3:$C$37,$B8,'Общий табель'!AE$3:AE$37)&gt;0,1,"")</f>
        <v/>
      </c>
      <c r="AE8" s="30" t="str">
        <f>IF(SUMIF('Общий табель'!$C$3:$C$37,$B8,'Общий табель'!AF$3:AF$37)&gt;0,1,"")</f>
        <v/>
      </c>
      <c r="AF8" s="30" t="str">
        <f>IF(SUMIF('Общий табель'!$C$3:$C$37,$B8,'Общий табель'!AG$3:AG$37)&gt;0,1,"")</f>
        <v/>
      </c>
      <c r="AG8" s="30" t="str">
        <f>IF(SUMIF('Общий табель'!$C$3:$C$37,$B8,'Общий табель'!AH$3:AH$37)&gt;0,1,"")</f>
        <v/>
      </c>
      <c r="AH8" s="30" t="str">
        <f>IF(SUMIF('Общий табель'!$C$3:$C$37,$B8,'Общий табель'!AI$3:AI$37)&gt;0,1,"")</f>
        <v/>
      </c>
      <c r="AI8" s="30">
        <f>SUM(D8:AH8)</f>
        <v>0</v>
      </c>
      <c r="AJ8" s="33"/>
      <c r="AK8" s="29"/>
    </row>
    <row r="9" spans="1:37" ht="23.1" customHeight="1">
      <c r="A9" s="31">
        <v>2</v>
      </c>
      <c r="B9" s="32" t="s">
        <v>29</v>
      </c>
      <c r="C9" s="32" t="s">
        <v>13</v>
      </c>
      <c r="D9" s="30" t="str">
        <f>IF(SUMIF('Общий табель'!$C$3:$C$37,B9,'Общий табель'!$E$3:$E$37)&gt;0,1,"")</f>
        <v/>
      </c>
      <c r="E9" s="30" t="str">
        <f>IF(SUMIF('Общий табель'!$C$3:$C$37,$B9,'Общий табель'!F$3:F$37)&gt;0,1,"")</f>
        <v/>
      </c>
      <c r="F9" s="30" t="str">
        <f>IF(SUMIF('Общий табель'!$C$3:$C$37,$B9,'Общий табель'!G$3:G$37)&gt;0,1,"")</f>
        <v/>
      </c>
      <c r="G9" s="30" t="str">
        <f>IF(SUMIF('Общий табель'!$C$3:$C$37,$B9,'Общий табель'!H$3:H$37)&gt;0,1,"")</f>
        <v/>
      </c>
      <c r="H9" s="30" t="str">
        <f>IF(SUMIF('Общий табель'!$C$3:$C$37,$B9,'Общий табель'!I$3:I$37)&gt;0,1,"")</f>
        <v/>
      </c>
      <c r="I9" s="30" t="str">
        <f>IF(SUMIF('Общий табель'!$C$3:$C$37,$B9,'Общий табель'!J$3:J$37)&gt;0,1,"")</f>
        <v/>
      </c>
      <c r="J9" s="30" t="str">
        <f>IF(SUMIF('Общий табель'!$C$3:$C$37,$B9,'Общий табель'!K$3:K$37)&gt;0,1,"")</f>
        <v/>
      </c>
      <c r="K9" s="30" t="str">
        <f>IF(SUMIF('Общий табель'!$C$3:$C$37,$B9,'Общий табель'!L$3:L$37)&gt;0,1,"")</f>
        <v/>
      </c>
      <c r="L9" s="30" t="str">
        <f>IF(SUMIF('Общий табель'!$C$3:$C$37,$B9,'Общий табель'!M$3:M$37)&gt;0,1,"")</f>
        <v/>
      </c>
      <c r="M9" s="30" t="str">
        <f>IF(SUMIF('Общий табель'!$C$3:$C$37,$B9,'Общий табель'!N$3:N$37)&gt;0,1,"")</f>
        <v/>
      </c>
      <c r="N9" s="30" t="str">
        <f>IF(SUMIF('Общий табель'!$C$3:$C$37,$B9,'Общий табель'!O$3:O$37)&gt;0,1,"")</f>
        <v/>
      </c>
      <c r="O9" s="30" t="str">
        <f>IF(SUMIF('Общий табель'!$C$3:$C$37,$B9,'Общий табель'!P$3:P$37)&gt;0,1,"")</f>
        <v/>
      </c>
      <c r="P9" s="30" t="str">
        <f>IF(SUMIF('Общий табель'!$C$3:$C$37,$B9,'Общий табель'!Q$3:Q$37)&gt;0,1,"")</f>
        <v/>
      </c>
      <c r="Q9" s="30" t="str">
        <f>IF(SUMIF('Общий табель'!$C$3:$C$37,$B9,'Общий табель'!R$3:R$37)&gt;0,1,"")</f>
        <v/>
      </c>
      <c r="R9" s="30" t="str">
        <f>IF(SUMIF('Общий табель'!$C$3:$C$37,$B9,'Общий табель'!S$3:S$37)&gt;0,1,"")</f>
        <v/>
      </c>
      <c r="S9" s="30" t="str">
        <f>IF(SUMIF('Общий табель'!$C$3:$C$37,$B9,'Общий табель'!T$3:T$37)&gt;0,1,"")</f>
        <v/>
      </c>
      <c r="T9" s="30" t="str">
        <f>IF(SUMIF('Общий табель'!$C$3:$C$37,$B9,'Общий табель'!U$3:U$37)&gt;0,1,"")</f>
        <v/>
      </c>
      <c r="U9" s="30" t="str">
        <f>IF(SUMIF('Общий табель'!$C$3:$C$37,$B9,'Общий табель'!V$3:V$37)&gt;0,1,"")</f>
        <v/>
      </c>
      <c r="V9" s="30" t="str">
        <f>IF(SUMIF('Общий табель'!$C$3:$C$37,$B9,'Общий табель'!W$3:W$37)&gt;0,1,"")</f>
        <v/>
      </c>
      <c r="W9" s="30" t="str">
        <f>IF(SUMIF('Общий табель'!$C$3:$C$37,$B9,'Общий табель'!X$3:X$37)&gt;0,1,"")</f>
        <v/>
      </c>
      <c r="X9" s="30" t="str">
        <f>IF(SUMIF('Общий табель'!$C$3:$C$37,$B9,'Общий табель'!Y$3:Y$37)&gt;0,1,"")</f>
        <v/>
      </c>
      <c r="Y9" s="30" t="str">
        <f>IF(SUMIF('Общий табель'!$C$3:$C$37,$B9,'Общий табель'!Z$3:Z$37)&gt;0,1,"")</f>
        <v/>
      </c>
      <c r="Z9" s="30" t="str">
        <f>IF(SUMIF('Общий табель'!$C$3:$C$37,$B9,'Общий табель'!AA$3:AA$37)&gt;0,1,"")</f>
        <v/>
      </c>
      <c r="AA9" s="30" t="str">
        <f>IF(SUMIF('Общий табель'!$C$3:$C$37,$B9,'Общий табель'!AB$3:AB$37)&gt;0,1,"")</f>
        <v/>
      </c>
      <c r="AB9" s="30" t="str">
        <f>IF(SUMIF('Общий табель'!$C$3:$C$37,$B9,'Общий табель'!AC$3:AC$37)&gt;0,1,"")</f>
        <v/>
      </c>
      <c r="AC9" s="30" t="str">
        <f>IF(SUMIF('Общий табель'!$C$3:$C$37,$B9,'Общий табель'!AD$3:AD$37)&gt;0,1,"")</f>
        <v/>
      </c>
      <c r="AD9" s="30" t="str">
        <f>IF(SUMIF('Общий табель'!$C$3:$C$37,$B9,'Общий табель'!AE$3:AE$37)&gt;0,1,"")</f>
        <v/>
      </c>
      <c r="AE9" s="30" t="str">
        <f>IF(SUMIF('Общий табель'!$C$3:$C$37,$B9,'Общий табель'!AF$3:AF$37)&gt;0,1,"")</f>
        <v/>
      </c>
      <c r="AF9" s="30" t="str">
        <f>IF(SUMIF('Общий табель'!$C$3:$C$37,$B9,'Общий табель'!AG$3:AG$37)&gt;0,1,"")</f>
        <v/>
      </c>
      <c r="AG9" s="30" t="str">
        <f>IF(SUMIF('Общий табель'!$C$3:$C$37,$B9,'Общий табель'!AH$3:AH$37)&gt;0,1,"")</f>
        <v/>
      </c>
      <c r="AH9" s="30" t="str">
        <f>IF(SUMIF('Общий табель'!$C$3:$C$37,$B9,'Общий табель'!AI$3:AI$37)&gt;0,1,"")</f>
        <v/>
      </c>
      <c r="AI9" s="30">
        <f t="shared" ref="AI9:AI26" si="0">SUM(D9:AH9)</f>
        <v>0</v>
      </c>
      <c r="AJ9" s="33"/>
      <c r="AK9" s="29"/>
    </row>
    <row r="10" spans="1:37" ht="23.1" customHeight="1">
      <c r="A10" s="31">
        <v>3</v>
      </c>
      <c r="B10" s="32" t="s">
        <v>30</v>
      </c>
      <c r="C10" s="32" t="s">
        <v>231</v>
      </c>
      <c r="D10" s="30" t="str">
        <f>IF(SUMIF('Общий табель'!$C$3:$C$37,B10,'Общий табель'!$E$3:$E$37)&gt;0,1,"")</f>
        <v/>
      </c>
      <c r="E10" s="30" t="str">
        <f>IF(SUMIF('Общий табель'!$C$3:$C$37,$B10,'Общий табель'!F$3:F$37)&gt;0,1,"")</f>
        <v/>
      </c>
      <c r="F10" s="30" t="str">
        <f>IF(SUMIF('Общий табель'!$C$3:$C$37,$B10,'Общий табель'!G$3:G$37)&gt;0,1,"")</f>
        <v/>
      </c>
      <c r="G10" s="30" t="str">
        <f>IF(SUMIF('Общий табель'!$C$3:$C$37,$B10,'Общий табель'!H$3:H$37)&gt;0,1,"")</f>
        <v/>
      </c>
      <c r="H10" s="30" t="str">
        <f>IF(SUMIF('Общий табель'!$C$3:$C$37,$B10,'Общий табель'!I$3:I$37)&gt;0,1,"")</f>
        <v/>
      </c>
      <c r="I10" s="30" t="str">
        <f>IF(SUMIF('Общий табель'!$C$3:$C$37,$B10,'Общий табель'!J$3:J$37)&gt;0,1,"")</f>
        <v/>
      </c>
      <c r="J10" s="30" t="str">
        <f>IF(SUMIF('Общий табель'!$C$3:$C$37,$B10,'Общий табель'!K$3:K$37)&gt;0,1,"")</f>
        <v/>
      </c>
      <c r="K10" s="30" t="str">
        <f>IF(SUMIF('Общий табель'!$C$3:$C$37,$B10,'Общий табель'!L$3:L$37)&gt;0,1,"")</f>
        <v/>
      </c>
      <c r="L10" s="30" t="str">
        <f>IF(SUMIF('Общий табель'!$C$3:$C$37,$B10,'Общий табель'!M$3:M$37)&gt;0,1,"")</f>
        <v/>
      </c>
      <c r="M10" s="30" t="str">
        <f>IF(SUMIF('Общий табель'!$C$3:$C$37,$B10,'Общий табель'!N$3:N$37)&gt;0,1,"")</f>
        <v/>
      </c>
      <c r="N10" s="30" t="str">
        <f>IF(SUMIF('Общий табель'!$C$3:$C$37,$B10,'Общий табель'!O$3:O$37)&gt;0,1,"")</f>
        <v/>
      </c>
      <c r="O10" s="30" t="str">
        <f>IF(SUMIF('Общий табель'!$C$3:$C$37,$B10,'Общий табель'!P$3:P$37)&gt;0,1,"")</f>
        <v/>
      </c>
      <c r="P10" s="30" t="str">
        <f>IF(SUMIF('Общий табель'!$C$3:$C$37,$B10,'Общий табель'!Q$3:Q$37)&gt;0,1,"")</f>
        <v/>
      </c>
      <c r="Q10" s="30" t="str">
        <f>IF(SUMIF('Общий табель'!$C$3:$C$37,$B10,'Общий табель'!R$3:R$37)&gt;0,1,"")</f>
        <v/>
      </c>
      <c r="R10" s="30" t="str">
        <f>IF(SUMIF('Общий табель'!$C$3:$C$37,$B10,'Общий табель'!S$3:S$37)&gt;0,1,"")</f>
        <v/>
      </c>
      <c r="S10" s="30" t="str">
        <f>IF(SUMIF('Общий табель'!$C$3:$C$37,$B10,'Общий табель'!T$3:T$37)&gt;0,1,"")</f>
        <v/>
      </c>
      <c r="T10" s="30" t="str">
        <f>IF(SUMIF('Общий табель'!$C$3:$C$37,$B10,'Общий табель'!U$3:U$37)&gt;0,1,"")</f>
        <v/>
      </c>
      <c r="U10" s="30" t="str">
        <f>IF(SUMIF('Общий табель'!$C$3:$C$37,$B10,'Общий табель'!V$3:V$37)&gt;0,1,"")</f>
        <v/>
      </c>
      <c r="V10" s="30" t="str">
        <f>IF(SUMIF('Общий табель'!$C$3:$C$37,$B10,'Общий табель'!W$3:W$37)&gt;0,1,"")</f>
        <v/>
      </c>
      <c r="W10" s="30" t="str">
        <f>IF(SUMIF('Общий табель'!$C$3:$C$37,$B10,'Общий табель'!X$3:X$37)&gt;0,1,"")</f>
        <v/>
      </c>
      <c r="X10" s="30" t="str">
        <f>IF(SUMIF('Общий табель'!$C$3:$C$37,$B10,'Общий табель'!Y$3:Y$37)&gt;0,1,"")</f>
        <v/>
      </c>
      <c r="Y10" s="30" t="str">
        <f>IF(SUMIF('Общий табель'!$C$3:$C$37,$B10,'Общий табель'!Z$3:Z$37)&gt;0,1,"")</f>
        <v/>
      </c>
      <c r="Z10" s="30" t="str">
        <f>IF(SUMIF('Общий табель'!$C$3:$C$37,$B10,'Общий табель'!AA$3:AA$37)&gt;0,1,"")</f>
        <v/>
      </c>
      <c r="AA10" s="30" t="str">
        <f>IF(SUMIF('Общий табель'!$C$3:$C$37,$B10,'Общий табель'!AB$3:AB$37)&gt;0,1,"")</f>
        <v/>
      </c>
      <c r="AB10" s="30" t="str">
        <f>IF(SUMIF('Общий табель'!$C$3:$C$37,$B10,'Общий табель'!AC$3:AC$37)&gt;0,1,"")</f>
        <v/>
      </c>
      <c r="AC10" s="30" t="str">
        <f>IF(SUMIF('Общий табель'!$C$3:$C$37,$B10,'Общий табель'!AD$3:AD$37)&gt;0,1,"")</f>
        <v/>
      </c>
      <c r="AD10" s="30" t="str">
        <f>IF(SUMIF('Общий табель'!$C$3:$C$37,$B10,'Общий табель'!AE$3:AE$37)&gt;0,1,"")</f>
        <v/>
      </c>
      <c r="AE10" s="30" t="str">
        <f>IF(SUMIF('Общий табель'!$C$3:$C$37,$B10,'Общий табель'!AF$3:AF$37)&gt;0,1,"")</f>
        <v/>
      </c>
      <c r="AF10" s="30" t="str">
        <f>IF(SUMIF('Общий табель'!$C$3:$C$37,$B10,'Общий табель'!AG$3:AG$37)&gt;0,1,"")</f>
        <v/>
      </c>
      <c r="AG10" s="30" t="str">
        <f>IF(SUMIF('Общий табель'!$C$3:$C$37,$B10,'Общий табель'!AH$3:AH$37)&gt;0,1,"")</f>
        <v/>
      </c>
      <c r="AH10" s="30" t="str">
        <f>IF(SUMIF('Общий табель'!$C$3:$C$37,$B10,'Общий табель'!AI$3:AI$37)&gt;0,1,"")</f>
        <v/>
      </c>
      <c r="AI10" s="30">
        <f t="shared" si="0"/>
        <v>0</v>
      </c>
      <c r="AJ10" s="33"/>
      <c r="AK10" s="29"/>
    </row>
    <row r="11" spans="1:37" ht="23.1" customHeight="1">
      <c r="A11" s="31">
        <v>4</v>
      </c>
      <c r="B11" s="32" t="s">
        <v>31</v>
      </c>
      <c r="C11" s="32" t="s">
        <v>14</v>
      </c>
      <c r="D11" s="30" t="str">
        <f>IF(SUMIF('Общий табель'!$C$3:$C$37,B11,'Общий табель'!$E$3:$E$37)&gt;0,1,"")</f>
        <v/>
      </c>
      <c r="E11" s="30" t="str">
        <f>IF(SUMIF('Общий табель'!$C$3:$C$37,$B11,'Общий табель'!F$3:F$37)&gt;0,1,"")</f>
        <v/>
      </c>
      <c r="F11" s="30" t="str">
        <f>IF(SUMIF('Общий табель'!$C$3:$C$37,$B11,'Общий табель'!G$3:G$37)&gt;0,1,"")</f>
        <v/>
      </c>
      <c r="G11" s="30" t="str">
        <f>IF(SUMIF('Общий табель'!$C$3:$C$37,$B11,'Общий табель'!H$3:H$37)&gt;0,1,"")</f>
        <v/>
      </c>
      <c r="H11" s="30" t="str">
        <f>IF(SUMIF('Общий табель'!$C$3:$C$37,$B11,'Общий табель'!I$3:I$37)&gt;0,1,"")</f>
        <v/>
      </c>
      <c r="I11" s="30" t="str">
        <f>IF(SUMIF('Общий табель'!$C$3:$C$37,$B11,'Общий табель'!J$3:J$37)&gt;0,1,"")</f>
        <v/>
      </c>
      <c r="J11" s="30" t="str">
        <f>IF(SUMIF('Общий табель'!$C$3:$C$37,$B11,'Общий табель'!K$3:K$37)&gt;0,1,"")</f>
        <v/>
      </c>
      <c r="K11" s="30" t="str">
        <f>IF(SUMIF('Общий табель'!$C$3:$C$37,$B11,'Общий табель'!L$3:L$37)&gt;0,1,"")</f>
        <v/>
      </c>
      <c r="L11" s="30" t="str">
        <f>IF(SUMIF('Общий табель'!$C$3:$C$37,$B11,'Общий табель'!M$3:M$37)&gt;0,1,"")</f>
        <v/>
      </c>
      <c r="M11" s="30" t="str">
        <f>IF(SUMIF('Общий табель'!$C$3:$C$37,$B11,'Общий табель'!N$3:N$37)&gt;0,1,"")</f>
        <v/>
      </c>
      <c r="N11" s="30" t="str">
        <f>IF(SUMIF('Общий табель'!$C$3:$C$37,$B11,'Общий табель'!O$3:O$37)&gt;0,1,"")</f>
        <v/>
      </c>
      <c r="O11" s="30" t="str">
        <f>IF(SUMIF('Общий табель'!$C$3:$C$37,$B11,'Общий табель'!P$3:P$37)&gt;0,1,"")</f>
        <v/>
      </c>
      <c r="P11" s="30" t="str">
        <f>IF(SUMIF('Общий табель'!$C$3:$C$37,$B11,'Общий табель'!Q$3:Q$37)&gt;0,1,"")</f>
        <v/>
      </c>
      <c r="Q11" s="30" t="str">
        <f>IF(SUMIF('Общий табель'!$C$3:$C$37,$B11,'Общий табель'!R$3:R$37)&gt;0,1,"")</f>
        <v/>
      </c>
      <c r="R11" s="30" t="str">
        <f>IF(SUMIF('Общий табель'!$C$3:$C$37,$B11,'Общий табель'!S$3:S$37)&gt;0,1,"")</f>
        <v/>
      </c>
      <c r="S11" s="30" t="str">
        <f>IF(SUMIF('Общий табель'!$C$3:$C$37,$B11,'Общий табель'!T$3:T$37)&gt;0,1,"")</f>
        <v/>
      </c>
      <c r="T11" s="30" t="str">
        <f>IF(SUMIF('Общий табель'!$C$3:$C$37,$B11,'Общий табель'!U$3:U$37)&gt;0,1,"")</f>
        <v/>
      </c>
      <c r="U11" s="30" t="str">
        <f>IF(SUMIF('Общий табель'!$C$3:$C$37,$B11,'Общий табель'!V$3:V$37)&gt;0,1,"")</f>
        <v/>
      </c>
      <c r="V11" s="30" t="str">
        <f>IF(SUMIF('Общий табель'!$C$3:$C$37,$B11,'Общий табель'!W$3:W$37)&gt;0,1,"")</f>
        <v/>
      </c>
      <c r="W11" s="30" t="str">
        <f>IF(SUMIF('Общий табель'!$C$3:$C$37,$B11,'Общий табель'!X$3:X$37)&gt;0,1,"")</f>
        <v/>
      </c>
      <c r="X11" s="30" t="str">
        <f>IF(SUMIF('Общий табель'!$C$3:$C$37,$B11,'Общий табель'!Y$3:Y$37)&gt;0,1,"")</f>
        <v/>
      </c>
      <c r="Y11" s="30" t="str">
        <f>IF(SUMIF('Общий табель'!$C$3:$C$37,$B11,'Общий табель'!Z$3:Z$37)&gt;0,1,"")</f>
        <v/>
      </c>
      <c r="Z11" s="30" t="str">
        <f>IF(SUMIF('Общий табель'!$C$3:$C$37,$B11,'Общий табель'!AA$3:AA$37)&gt;0,1,"")</f>
        <v/>
      </c>
      <c r="AA11" s="30" t="str">
        <f>IF(SUMIF('Общий табель'!$C$3:$C$37,$B11,'Общий табель'!AB$3:AB$37)&gt;0,1,"")</f>
        <v/>
      </c>
      <c r="AB11" s="30" t="str">
        <f>IF(SUMIF('Общий табель'!$C$3:$C$37,$B11,'Общий табель'!AC$3:AC$37)&gt;0,1,"")</f>
        <v/>
      </c>
      <c r="AC11" s="30" t="str">
        <f>IF(SUMIF('Общий табель'!$C$3:$C$37,$B11,'Общий табель'!AD$3:AD$37)&gt;0,1,"")</f>
        <v/>
      </c>
      <c r="AD11" s="30" t="str">
        <f>IF(SUMIF('Общий табель'!$C$3:$C$37,$B11,'Общий табель'!AE$3:AE$37)&gt;0,1,"")</f>
        <v/>
      </c>
      <c r="AE11" s="30" t="str">
        <f>IF(SUMIF('Общий табель'!$C$3:$C$37,$B11,'Общий табель'!AF$3:AF$37)&gt;0,1,"")</f>
        <v/>
      </c>
      <c r="AF11" s="30" t="str">
        <f>IF(SUMIF('Общий табель'!$C$3:$C$37,$B11,'Общий табель'!AG$3:AG$37)&gt;0,1,"")</f>
        <v/>
      </c>
      <c r="AG11" s="30" t="str">
        <f>IF(SUMIF('Общий табель'!$C$3:$C$37,$B11,'Общий табель'!AH$3:AH$37)&gt;0,1,"")</f>
        <v/>
      </c>
      <c r="AH11" s="30" t="str">
        <f>IF(SUMIF('Общий табель'!$C$3:$C$37,$B11,'Общий табель'!AI$3:AI$37)&gt;0,1,"")</f>
        <v/>
      </c>
      <c r="AI11" s="30">
        <f t="shared" si="0"/>
        <v>0</v>
      </c>
      <c r="AJ11" s="33"/>
      <c r="AK11" s="29"/>
    </row>
    <row r="12" spans="1:37" ht="23.1" customHeight="1">
      <c r="A12" s="31">
        <v>5</v>
      </c>
      <c r="B12" s="32" t="s">
        <v>11</v>
      </c>
      <c r="C12" s="32" t="s">
        <v>12</v>
      </c>
      <c r="D12" s="30" t="str">
        <f>IF(SUMIF('Общий табель'!$C$3:$C$37,B12,'Общий табель'!$E$3:$E$37)&gt;0,1,"")</f>
        <v/>
      </c>
      <c r="E12" s="30" t="str">
        <f>IF(SUMIF('Общий табель'!$C$3:$C$37,$B12,'Общий табель'!F$3:F$37)&gt;0,1,"")</f>
        <v/>
      </c>
      <c r="F12" s="30" t="str">
        <f>IF(SUMIF('Общий табель'!$C$3:$C$37,$B12,'Общий табель'!G$3:G$37)&gt;0,1,"")</f>
        <v/>
      </c>
      <c r="G12" s="30" t="str">
        <f>IF(SUMIF('Общий табель'!$C$3:$C$37,$B12,'Общий табель'!H$3:H$37)&gt;0,1,"")</f>
        <v/>
      </c>
      <c r="H12" s="30" t="str">
        <f>IF(SUMIF('Общий табель'!$C$3:$C$37,$B12,'Общий табель'!I$3:I$37)&gt;0,1,"")</f>
        <v/>
      </c>
      <c r="I12" s="30" t="str">
        <f>IF(SUMIF('Общий табель'!$C$3:$C$37,$B12,'Общий табель'!J$3:J$37)&gt;0,1,"")</f>
        <v/>
      </c>
      <c r="J12" s="30" t="str">
        <f>IF(SUMIF('Общий табель'!$C$3:$C$37,$B12,'Общий табель'!K$3:K$37)&gt;0,1,"")</f>
        <v/>
      </c>
      <c r="K12" s="30" t="str">
        <f>IF(SUMIF('Общий табель'!$C$3:$C$37,$B12,'Общий табель'!L$3:L$37)&gt;0,1,"")</f>
        <v/>
      </c>
      <c r="L12" s="30" t="str">
        <f>IF(SUMIF('Общий табель'!$C$3:$C$37,$B12,'Общий табель'!M$3:M$37)&gt;0,1,"")</f>
        <v/>
      </c>
      <c r="M12" s="30" t="str">
        <f>IF(SUMIF('Общий табель'!$C$3:$C$37,$B12,'Общий табель'!N$3:N$37)&gt;0,1,"")</f>
        <v/>
      </c>
      <c r="N12" s="30" t="str">
        <f>IF(SUMIF('Общий табель'!$C$3:$C$37,$B12,'Общий табель'!O$3:O$37)&gt;0,1,"")</f>
        <v/>
      </c>
      <c r="O12" s="30" t="str">
        <f>IF(SUMIF('Общий табель'!$C$3:$C$37,$B12,'Общий табель'!P$3:P$37)&gt;0,1,"")</f>
        <v/>
      </c>
      <c r="P12" s="30" t="str">
        <f>IF(SUMIF('Общий табель'!$C$3:$C$37,$B12,'Общий табель'!Q$3:Q$37)&gt;0,1,"")</f>
        <v/>
      </c>
      <c r="Q12" s="30" t="str">
        <f>IF(SUMIF('Общий табель'!$C$3:$C$37,$B12,'Общий табель'!R$3:R$37)&gt;0,1,"")</f>
        <v/>
      </c>
      <c r="R12" s="30" t="str">
        <f>IF(SUMIF('Общий табель'!$C$3:$C$37,$B12,'Общий табель'!S$3:S$37)&gt;0,1,"")</f>
        <v/>
      </c>
      <c r="S12" s="30" t="str">
        <f>IF(SUMIF('Общий табель'!$C$3:$C$37,$B12,'Общий табель'!T$3:T$37)&gt;0,1,"")</f>
        <v/>
      </c>
      <c r="T12" s="30" t="str">
        <f>IF(SUMIF('Общий табель'!$C$3:$C$37,$B12,'Общий табель'!U$3:U$37)&gt;0,1,"")</f>
        <v/>
      </c>
      <c r="U12" s="30" t="str">
        <f>IF(SUMIF('Общий табель'!$C$3:$C$37,$B12,'Общий табель'!V$3:V$37)&gt;0,1,"")</f>
        <v/>
      </c>
      <c r="V12" s="30" t="str">
        <f>IF(SUMIF('Общий табель'!$C$3:$C$37,$B12,'Общий табель'!W$3:W$37)&gt;0,1,"")</f>
        <v/>
      </c>
      <c r="W12" s="30" t="str">
        <f>IF(SUMIF('Общий табель'!$C$3:$C$37,$B12,'Общий табель'!X$3:X$37)&gt;0,1,"")</f>
        <v/>
      </c>
      <c r="X12" s="30" t="str">
        <f>IF(SUMIF('Общий табель'!$C$3:$C$37,$B12,'Общий табель'!Y$3:Y$37)&gt;0,1,"")</f>
        <v/>
      </c>
      <c r="Y12" s="30" t="str">
        <f>IF(SUMIF('Общий табель'!$C$3:$C$37,$B12,'Общий табель'!Z$3:Z$37)&gt;0,1,"")</f>
        <v/>
      </c>
      <c r="Z12" s="30" t="str">
        <f>IF(SUMIF('Общий табель'!$C$3:$C$37,$B12,'Общий табель'!AA$3:AA$37)&gt;0,1,"")</f>
        <v/>
      </c>
      <c r="AA12" s="30" t="str">
        <f>IF(SUMIF('Общий табель'!$C$3:$C$37,$B12,'Общий табель'!AB$3:AB$37)&gt;0,1,"")</f>
        <v/>
      </c>
      <c r="AB12" s="30" t="str">
        <f>IF(SUMIF('Общий табель'!$C$3:$C$37,$B12,'Общий табель'!AC$3:AC$37)&gt;0,1,"")</f>
        <v/>
      </c>
      <c r="AC12" s="30" t="str">
        <f>IF(SUMIF('Общий табель'!$C$3:$C$37,$B12,'Общий табель'!AD$3:AD$37)&gt;0,1,"")</f>
        <v/>
      </c>
      <c r="AD12" s="30" t="str">
        <f>IF(SUMIF('Общий табель'!$C$3:$C$37,$B12,'Общий табель'!AE$3:AE$37)&gt;0,1,"")</f>
        <v/>
      </c>
      <c r="AE12" s="30" t="str">
        <f>IF(SUMIF('Общий табель'!$C$3:$C$37,$B12,'Общий табель'!AF$3:AF$37)&gt;0,1,"")</f>
        <v/>
      </c>
      <c r="AF12" s="30" t="str">
        <f>IF(SUMIF('Общий табель'!$C$3:$C$37,$B12,'Общий табель'!AG$3:AG$37)&gt;0,1,"")</f>
        <v/>
      </c>
      <c r="AG12" s="30" t="str">
        <f>IF(SUMIF('Общий табель'!$C$3:$C$37,$B12,'Общий табель'!AH$3:AH$37)&gt;0,1,"")</f>
        <v/>
      </c>
      <c r="AH12" s="30" t="str">
        <f>IF(SUMIF('Общий табель'!$C$3:$C$37,$B12,'Общий табель'!AI$3:AI$37)&gt;0,1,"")</f>
        <v/>
      </c>
      <c r="AI12" s="30">
        <f t="shared" si="0"/>
        <v>0</v>
      </c>
      <c r="AJ12" s="33"/>
      <c r="AK12" s="29"/>
    </row>
    <row r="13" spans="1:37" ht="23.1" customHeight="1">
      <c r="A13" s="31">
        <v>6</v>
      </c>
      <c r="B13" s="32" t="s">
        <v>155</v>
      </c>
      <c r="C13" s="32" t="s">
        <v>15</v>
      </c>
      <c r="D13" s="30" t="str">
        <f>IF(SUMIF('Общий табель'!$C$3:$C$37,B13,'Общий табель'!$E$3:$E$37)&gt;0,1,"")</f>
        <v/>
      </c>
      <c r="E13" s="30" t="str">
        <f>IF(SUMIF('Общий табель'!$C$3:$C$37,$B13,'Общий табель'!F$3:F$37)&gt;0,1,"")</f>
        <v/>
      </c>
      <c r="F13" s="30" t="str">
        <f>IF(SUMIF('Общий табель'!$C$3:$C$37,$B13,'Общий табель'!G$3:G$37)&gt;0,1,"")</f>
        <v/>
      </c>
      <c r="G13" s="30" t="str">
        <f>IF(SUMIF('Общий табель'!$C$3:$C$37,$B13,'Общий табель'!H$3:H$37)&gt;0,1,"")</f>
        <v/>
      </c>
      <c r="H13" s="30" t="str">
        <f>IF(SUMIF('Общий табель'!$C$3:$C$37,$B13,'Общий табель'!I$3:I$37)&gt;0,1,"")</f>
        <v/>
      </c>
      <c r="I13" s="30" t="str">
        <f>IF(SUMIF('Общий табель'!$C$3:$C$37,$B13,'Общий табель'!J$3:J$37)&gt;0,1,"")</f>
        <v/>
      </c>
      <c r="J13" s="30" t="str">
        <f>IF(SUMIF('Общий табель'!$C$3:$C$37,$B13,'Общий табель'!K$3:K$37)&gt;0,1,"")</f>
        <v/>
      </c>
      <c r="K13" s="30" t="str">
        <f>IF(SUMIF('Общий табель'!$C$3:$C$37,$B13,'Общий табель'!L$3:L$37)&gt;0,1,"")</f>
        <v/>
      </c>
      <c r="L13" s="30" t="str">
        <f>IF(SUMIF('Общий табель'!$C$3:$C$37,$B13,'Общий табель'!M$3:M$37)&gt;0,1,"")</f>
        <v/>
      </c>
      <c r="M13" s="30" t="str">
        <f>IF(SUMIF('Общий табель'!$C$3:$C$37,$B13,'Общий табель'!N$3:N$37)&gt;0,1,"")</f>
        <v/>
      </c>
      <c r="N13" s="30" t="str">
        <f>IF(SUMIF('Общий табель'!$C$3:$C$37,$B13,'Общий табель'!O$3:O$37)&gt;0,1,"")</f>
        <v/>
      </c>
      <c r="O13" s="30" t="str">
        <f>IF(SUMIF('Общий табель'!$C$3:$C$37,$B13,'Общий табель'!P$3:P$37)&gt;0,1,"")</f>
        <v/>
      </c>
      <c r="P13" s="30" t="str">
        <f>IF(SUMIF('Общий табель'!$C$3:$C$37,$B13,'Общий табель'!Q$3:Q$37)&gt;0,1,"")</f>
        <v/>
      </c>
      <c r="Q13" s="30" t="str">
        <f>IF(SUMIF('Общий табель'!$C$3:$C$37,$B13,'Общий табель'!R$3:R$37)&gt;0,1,"")</f>
        <v/>
      </c>
      <c r="R13" s="30" t="str">
        <f>IF(SUMIF('Общий табель'!$C$3:$C$37,$B13,'Общий табель'!S$3:S$37)&gt;0,1,"")</f>
        <v/>
      </c>
      <c r="S13" s="30" t="str">
        <f>IF(SUMIF('Общий табель'!$C$3:$C$37,$B13,'Общий табель'!T$3:T$37)&gt;0,1,"")</f>
        <v/>
      </c>
      <c r="T13" s="30" t="str">
        <f>IF(SUMIF('Общий табель'!$C$3:$C$37,$B13,'Общий табель'!U$3:U$37)&gt;0,1,"")</f>
        <v/>
      </c>
      <c r="U13" s="30" t="str">
        <f>IF(SUMIF('Общий табель'!$C$3:$C$37,$B13,'Общий табель'!V$3:V$37)&gt;0,1,"")</f>
        <v/>
      </c>
      <c r="V13" s="30" t="str">
        <f>IF(SUMIF('Общий табель'!$C$3:$C$37,$B13,'Общий табель'!W$3:W$37)&gt;0,1,"")</f>
        <v/>
      </c>
      <c r="W13" s="30" t="str">
        <f>IF(SUMIF('Общий табель'!$C$3:$C$37,$B13,'Общий табель'!X$3:X$37)&gt;0,1,"")</f>
        <v/>
      </c>
      <c r="X13" s="30" t="str">
        <f>IF(SUMIF('Общий табель'!$C$3:$C$37,$B13,'Общий табель'!Y$3:Y$37)&gt;0,1,"")</f>
        <v/>
      </c>
      <c r="Y13" s="30" t="str">
        <f>IF(SUMIF('Общий табель'!$C$3:$C$37,$B13,'Общий табель'!Z$3:Z$37)&gt;0,1,"")</f>
        <v/>
      </c>
      <c r="Z13" s="30" t="str">
        <f>IF(SUMIF('Общий табель'!$C$3:$C$37,$B13,'Общий табель'!AA$3:AA$37)&gt;0,1,"")</f>
        <v/>
      </c>
      <c r="AA13" s="30" t="str">
        <f>IF(SUMIF('Общий табель'!$C$3:$C$37,$B13,'Общий табель'!AB$3:AB$37)&gt;0,1,"")</f>
        <v/>
      </c>
      <c r="AB13" s="30" t="str">
        <f>IF(SUMIF('Общий табель'!$C$3:$C$37,$B13,'Общий табель'!AC$3:AC$37)&gt;0,1,"")</f>
        <v/>
      </c>
      <c r="AC13" s="30" t="str">
        <f>IF(SUMIF('Общий табель'!$C$3:$C$37,$B13,'Общий табель'!AD$3:AD$37)&gt;0,1,"")</f>
        <v/>
      </c>
      <c r="AD13" s="30" t="str">
        <f>IF(SUMIF('Общий табель'!$C$3:$C$37,$B13,'Общий табель'!AE$3:AE$37)&gt;0,1,"")</f>
        <v/>
      </c>
      <c r="AE13" s="30" t="str">
        <f>IF(SUMIF('Общий табель'!$C$3:$C$37,$B13,'Общий табель'!AF$3:AF$37)&gt;0,1,"")</f>
        <v/>
      </c>
      <c r="AF13" s="30" t="str">
        <f>IF(SUMIF('Общий табель'!$C$3:$C$37,$B13,'Общий табель'!AG$3:AG$37)&gt;0,1,"")</f>
        <v/>
      </c>
      <c r="AG13" s="30" t="str">
        <f>IF(SUMIF('Общий табель'!$C$3:$C$37,$B13,'Общий табель'!AH$3:AH$37)&gt;0,1,"")</f>
        <v/>
      </c>
      <c r="AH13" s="30" t="str">
        <f>IF(SUMIF('Общий табель'!$C$3:$C$37,$B13,'Общий табель'!AI$3:AI$37)&gt;0,1,"")</f>
        <v/>
      </c>
      <c r="AI13" s="30">
        <f t="shared" si="0"/>
        <v>0</v>
      </c>
      <c r="AJ13" s="33"/>
      <c r="AK13" s="29"/>
    </row>
    <row r="14" spans="1:37" ht="23.1" customHeight="1">
      <c r="A14" s="31">
        <v>7</v>
      </c>
      <c r="B14" s="32" t="s">
        <v>8</v>
      </c>
      <c r="C14" s="32" t="s">
        <v>15</v>
      </c>
      <c r="D14" s="30" t="str">
        <f>IF(SUMIF('Общий табель'!$C$3:$C$37,B14,'Общий табель'!$E$3:$E$37)&gt;0,1,"")</f>
        <v/>
      </c>
      <c r="E14" s="30" t="str">
        <f>IF(SUMIF('Общий табель'!$C$3:$C$37,$B14,'Общий табель'!F$3:F$37)&gt;0,1,"")</f>
        <v/>
      </c>
      <c r="F14" s="30" t="str">
        <f>IF(SUMIF('Общий табель'!$C$3:$C$37,$B14,'Общий табель'!G$3:G$37)&gt;0,1,"")</f>
        <v/>
      </c>
      <c r="G14" s="30" t="str">
        <f>IF(SUMIF('Общий табель'!$C$3:$C$37,$B14,'Общий табель'!H$3:H$37)&gt;0,1,"")</f>
        <v/>
      </c>
      <c r="H14" s="30" t="str">
        <f>IF(SUMIF('Общий табель'!$C$3:$C$37,$B14,'Общий табель'!I$3:I$37)&gt;0,1,"")</f>
        <v/>
      </c>
      <c r="I14" s="30" t="str">
        <f>IF(SUMIF('Общий табель'!$C$3:$C$37,$B14,'Общий табель'!J$3:J$37)&gt;0,1,"")</f>
        <v/>
      </c>
      <c r="J14" s="30" t="str">
        <f>IF(SUMIF('Общий табель'!$C$3:$C$37,$B14,'Общий табель'!K$3:K$37)&gt;0,1,"")</f>
        <v/>
      </c>
      <c r="K14" s="30" t="str">
        <f>IF(SUMIF('Общий табель'!$C$3:$C$37,$B14,'Общий табель'!L$3:L$37)&gt;0,1,"")</f>
        <v/>
      </c>
      <c r="L14" s="30" t="str">
        <f>IF(SUMIF('Общий табель'!$C$3:$C$37,$B14,'Общий табель'!M$3:M$37)&gt;0,1,"")</f>
        <v/>
      </c>
      <c r="M14" s="30" t="str">
        <f>IF(SUMIF('Общий табель'!$C$3:$C$37,$B14,'Общий табель'!N$3:N$37)&gt;0,1,"")</f>
        <v/>
      </c>
      <c r="N14" s="30" t="str">
        <f>IF(SUMIF('Общий табель'!$C$3:$C$37,$B14,'Общий табель'!O$3:O$37)&gt;0,1,"")</f>
        <v/>
      </c>
      <c r="O14" s="30" t="str">
        <f>IF(SUMIF('Общий табель'!$C$3:$C$37,$B14,'Общий табель'!P$3:P$37)&gt;0,1,"")</f>
        <v/>
      </c>
      <c r="P14" s="30" t="str">
        <f>IF(SUMIF('Общий табель'!$C$3:$C$37,$B14,'Общий табель'!Q$3:Q$37)&gt;0,1,"")</f>
        <v/>
      </c>
      <c r="Q14" s="30" t="str">
        <f>IF(SUMIF('Общий табель'!$C$3:$C$37,$B14,'Общий табель'!R$3:R$37)&gt;0,1,"")</f>
        <v/>
      </c>
      <c r="R14" s="30" t="str">
        <f>IF(SUMIF('Общий табель'!$C$3:$C$37,$B14,'Общий табель'!S$3:S$37)&gt;0,1,"")</f>
        <v/>
      </c>
      <c r="S14" s="30" t="str">
        <f>IF(SUMIF('Общий табель'!$C$3:$C$37,$B14,'Общий табель'!T$3:T$37)&gt;0,1,"")</f>
        <v/>
      </c>
      <c r="T14" s="30" t="str">
        <f>IF(SUMIF('Общий табель'!$C$3:$C$37,$B14,'Общий табель'!U$3:U$37)&gt;0,1,"")</f>
        <v/>
      </c>
      <c r="U14" s="30" t="str">
        <f>IF(SUMIF('Общий табель'!$C$3:$C$37,$B14,'Общий табель'!V$3:V$37)&gt;0,1,"")</f>
        <v/>
      </c>
      <c r="V14" s="30" t="str">
        <f>IF(SUMIF('Общий табель'!$C$3:$C$37,$B14,'Общий табель'!W$3:W$37)&gt;0,1,"")</f>
        <v/>
      </c>
      <c r="W14" s="30" t="str">
        <f>IF(SUMIF('Общий табель'!$C$3:$C$37,$B14,'Общий табель'!X$3:X$37)&gt;0,1,"")</f>
        <v/>
      </c>
      <c r="X14" s="30" t="str">
        <f>IF(SUMIF('Общий табель'!$C$3:$C$37,$B14,'Общий табель'!Y$3:Y$37)&gt;0,1,"")</f>
        <v/>
      </c>
      <c r="Y14" s="30" t="str">
        <f>IF(SUMIF('Общий табель'!$C$3:$C$37,$B14,'Общий табель'!Z$3:Z$37)&gt;0,1,"")</f>
        <v/>
      </c>
      <c r="Z14" s="30" t="str">
        <f>IF(SUMIF('Общий табель'!$C$3:$C$37,$B14,'Общий табель'!AA$3:AA$37)&gt;0,1,"")</f>
        <v/>
      </c>
      <c r="AA14" s="30" t="str">
        <f>IF(SUMIF('Общий табель'!$C$3:$C$37,$B14,'Общий табель'!AB$3:AB$37)&gt;0,1,"")</f>
        <v/>
      </c>
      <c r="AB14" s="30" t="str">
        <f>IF(SUMIF('Общий табель'!$C$3:$C$37,$B14,'Общий табель'!AC$3:AC$37)&gt;0,1,"")</f>
        <v/>
      </c>
      <c r="AC14" s="30" t="str">
        <f>IF(SUMIF('Общий табель'!$C$3:$C$37,$B14,'Общий табель'!AD$3:AD$37)&gt;0,1,"")</f>
        <v/>
      </c>
      <c r="AD14" s="30" t="str">
        <f>IF(SUMIF('Общий табель'!$C$3:$C$37,$B14,'Общий табель'!AE$3:AE$37)&gt;0,1,"")</f>
        <v/>
      </c>
      <c r="AE14" s="30" t="str">
        <f>IF(SUMIF('Общий табель'!$C$3:$C$37,$B14,'Общий табель'!AF$3:AF$37)&gt;0,1,"")</f>
        <v/>
      </c>
      <c r="AF14" s="30" t="str">
        <f>IF(SUMIF('Общий табель'!$C$3:$C$37,$B14,'Общий табель'!AG$3:AG$37)&gt;0,1,"")</f>
        <v/>
      </c>
      <c r="AG14" s="30" t="str">
        <f>IF(SUMIF('Общий табель'!$C$3:$C$37,$B14,'Общий табель'!AH$3:AH$37)&gt;0,1,"")</f>
        <v/>
      </c>
      <c r="AH14" s="30" t="str">
        <f>IF(SUMIF('Общий табель'!$C$3:$C$37,$B14,'Общий табель'!AI$3:AI$37)&gt;0,1,"")</f>
        <v/>
      </c>
      <c r="AI14" s="30">
        <f t="shared" si="0"/>
        <v>0</v>
      </c>
      <c r="AJ14" s="33"/>
      <c r="AK14" s="29"/>
    </row>
    <row r="15" spans="1:37" ht="23.1" customHeight="1">
      <c r="A15" s="31">
        <v>8</v>
      </c>
      <c r="B15" s="32" t="s">
        <v>33</v>
      </c>
      <c r="C15" s="32" t="s">
        <v>16</v>
      </c>
      <c r="D15" s="30" t="str">
        <f>IF(SUMIF('Общий табель'!$C$3:$C$37,B15,'Общий табель'!$E$3:$E$37)&gt;0,1,"")</f>
        <v/>
      </c>
      <c r="E15" s="30" t="str">
        <f>IF(SUMIF('Общий табель'!$C$3:$C$37,$B15,'Общий табель'!F$3:F$37)&gt;0,1,"")</f>
        <v/>
      </c>
      <c r="F15" s="30" t="str">
        <f>IF(SUMIF('Общий табель'!$C$3:$C$37,$B15,'Общий табель'!G$3:G$37)&gt;0,1,"")</f>
        <v/>
      </c>
      <c r="G15" s="30" t="str">
        <f>IF(SUMIF('Общий табель'!$C$3:$C$37,$B15,'Общий табель'!H$3:H$37)&gt;0,1,"")</f>
        <v/>
      </c>
      <c r="H15" s="30" t="str">
        <f>IF(SUMIF('Общий табель'!$C$3:$C$37,$B15,'Общий табель'!I$3:I$37)&gt;0,1,"")</f>
        <v/>
      </c>
      <c r="I15" s="30" t="str">
        <f>IF(SUMIF('Общий табель'!$C$3:$C$37,$B15,'Общий табель'!J$3:J$37)&gt;0,1,"")</f>
        <v/>
      </c>
      <c r="J15" s="30" t="str">
        <f>IF(SUMIF('Общий табель'!$C$3:$C$37,$B15,'Общий табель'!K$3:K$37)&gt;0,1,"")</f>
        <v/>
      </c>
      <c r="K15" s="30" t="str">
        <f>IF(SUMIF('Общий табель'!$C$3:$C$37,$B15,'Общий табель'!L$3:L$37)&gt;0,1,"")</f>
        <v/>
      </c>
      <c r="L15" s="30" t="str">
        <f>IF(SUMIF('Общий табель'!$C$3:$C$37,$B15,'Общий табель'!M$3:M$37)&gt;0,1,"")</f>
        <v/>
      </c>
      <c r="M15" s="30" t="str">
        <f>IF(SUMIF('Общий табель'!$C$3:$C$37,$B15,'Общий табель'!N$3:N$37)&gt;0,1,"")</f>
        <v/>
      </c>
      <c r="N15" s="30" t="str">
        <f>IF(SUMIF('Общий табель'!$C$3:$C$37,$B15,'Общий табель'!O$3:O$37)&gt;0,1,"")</f>
        <v/>
      </c>
      <c r="O15" s="30" t="str">
        <f>IF(SUMIF('Общий табель'!$C$3:$C$37,$B15,'Общий табель'!P$3:P$37)&gt;0,1,"")</f>
        <v/>
      </c>
      <c r="P15" s="30" t="str">
        <f>IF(SUMIF('Общий табель'!$C$3:$C$37,$B15,'Общий табель'!Q$3:Q$37)&gt;0,1,"")</f>
        <v/>
      </c>
      <c r="Q15" s="30" t="str">
        <f>IF(SUMIF('Общий табель'!$C$3:$C$37,$B15,'Общий табель'!R$3:R$37)&gt;0,1,"")</f>
        <v/>
      </c>
      <c r="R15" s="30" t="str">
        <f>IF(SUMIF('Общий табель'!$C$3:$C$37,$B15,'Общий табель'!S$3:S$37)&gt;0,1,"")</f>
        <v/>
      </c>
      <c r="S15" s="30" t="str">
        <f>IF(SUMIF('Общий табель'!$C$3:$C$37,$B15,'Общий табель'!T$3:T$37)&gt;0,1,"")</f>
        <v/>
      </c>
      <c r="T15" s="30" t="str">
        <f>IF(SUMIF('Общий табель'!$C$3:$C$37,$B15,'Общий табель'!U$3:U$37)&gt;0,1,"")</f>
        <v/>
      </c>
      <c r="U15" s="30" t="str">
        <f>IF(SUMIF('Общий табель'!$C$3:$C$37,$B15,'Общий табель'!V$3:V$37)&gt;0,1,"")</f>
        <v/>
      </c>
      <c r="V15" s="30" t="str">
        <f>IF(SUMIF('Общий табель'!$C$3:$C$37,$B15,'Общий табель'!W$3:W$37)&gt;0,1,"")</f>
        <v/>
      </c>
      <c r="W15" s="30" t="str">
        <f>IF(SUMIF('Общий табель'!$C$3:$C$37,$B15,'Общий табель'!X$3:X$37)&gt;0,1,"")</f>
        <v/>
      </c>
      <c r="X15" s="30" t="str">
        <f>IF(SUMIF('Общий табель'!$C$3:$C$37,$B15,'Общий табель'!Y$3:Y$37)&gt;0,1,"")</f>
        <v/>
      </c>
      <c r="Y15" s="30" t="str">
        <f>IF(SUMIF('Общий табель'!$C$3:$C$37,$B15,'Общий табель'!Z$3:Z$37)&gt;0,1,"")</f>
        <v/>
      </c>
      <c r="Z15" s="30" t="str">
        <f>IF(SUMIF('Общий табель'!$C$3:$C$37,$B15,'Общий табель'!AA$3:AA$37)&gt;0,1,"")</f>
        <v/>
      </c>
      <c r="AA15" s="30" t="str">
        <f>IF(SUMIF('Общий табель'!$C$3:$C$37,$B15,'Общий табель'!AB$3:AB$37)&gt;0,1,"")</f>
        <v/>
      </c>
      <c r="AB15" s="30" t="str">
        <f>IF(SUMIF('Общий табель'!$C$3:$C$37,$B15,'Общий табель'!AC$3:AC$37)&gt;0,1,"")</f>
        <v/>
      </c>
      <c r="AC15" s="30" t="str">
        <f>IF(SUMIF('Общий табель'!$C$3:$C$37,$B15,'Общий табель'!AD$3:AD$37)&gt;0,1,"")</f>
        <v/>
      </c>
      <c r="AD15" s="30" t="str">
        <f>IF(SUMIF('Общий табель'!$C$3:$C$37,$B15,'Общий табель'!AE$3:AE$37)&gt;0,1,"")</f>
        <v/>
      </c>
      <c r="AE15" s="30" t="str">
        <f>IF(SUMIF('Общий табель'!$C$3:$C$37,$B15,'Общий табель'!AF$3:AF$37)&gt;0,1,"")</f>
        <v/>
      </c>
      <c r="AF15" s="30" t="str">
        <f>IF(SUMIF('Общий табель'!$C$3:$C$37,$B15,'Общий табель'!AG$3:AG$37)&gt;0,1,"")</f>
        <v/>
      </c>
      <c r="AG15" s="30" t="str">
        <f>IF(SUMIF('Общий табель'!$C$3:$C$37,$B15,'Общий табель'!AH$3:AH$37)&gt;0,1,"")</f>
        <v/>
      </c>
      <c r="AH15" s="30" t="str">
        <f>IF(SUMIF('Общий табель'!$C$3:$C$37,$B15,'Общий табель'!AI$3:AI$37)&gt;0,1,"")</f>
        <v/>
      </c>
      <c r="AI15" s="30">
        <f t="shared" si="0"/>
        <v>0</v>
      </c>
      <c r="AJ15" s="33"/>
      <c r="AK15" s="29"/>
    </row>
    <row r="16" spans="1:37" ht="23.1" customHeight="1">
      <c r="A16" s="31">
        <v>9</v>
      </c>
      <c r="B16" s="32" t="s">
        <v>32</v>
      </c>
      <c r="C16" s="32" t="s">
        <v>16</v>
      </c>
      <c r="D16" s="30" t="str">
        <f>IF(SUMIF('Общий табель'!$C$3:$C$37,B16,'Общий табель'!$E$3:$E$37)&gt;0,1,"")</f>
        <v/>
      </c>
      <c r="E16" s="30" t="str">
        <f>IF(SUMIF('Общий табель'!$C$3:$C$37,$B16,'Общий табель'!F$3:F$37)&gt;0,1,"")</f>
        <v/>
      </c>
      <c r="F16" s="30" t="str">
        <f>IF(SUMIF('Общий табель'!$C$3:$C$37,$B16,'Общий табель'!G$3:G$37)&gt;0,1,"")</f>
        <v/>
      </c>
      <c r="G16" s="30" t="str">
        <f>IF(SUMIF('Общий табель'!$C$3:$C$37,$B16,'Общий табель'!H$3:H$37)&gt;0,1,"")</f>
        <v/>
      </c>
      <c r="H16" s="30" t="str">
        <f>IF(SUMIF('Общий табель'!$C$3:$C$37,$B16,'Общий табель'!I$3:I$37)&gt;0,1,"")</f>
        <v/>
      </c>
      <c r="I16" s="30" t="str">
        <f>IF(SUMIF('Общий табель'!$C$3:$C$37,$B16,'Общий табель'!J$3:J$37)&gt;0,1,"")</f>
        <v/>
      </c>
      <c r="J16" s="30" t="str">
        <f>IF(SUMIF('Общий табель'!$C$3:$C$37,$B16,'Общий табель'!K$3:K$37)&gt;0,1,"")</f>
        <v/>
      </c>
      <c r="K16" s="30" t="str">
        <f>IF(SUMIF('Общий табель'!$C$3:$C$37,$B16,'Общий табель'!L$3:L$37)&gt;0,1,"")</f>
        <v/>
      </c>
      <c r="L16" s="30" t="str">
        <f>IF(SUMIF('Общий табель'!$C$3:$C$37,$B16,'Общий табель'!M$3:M$37)&gt;0,1,"")</f>
        <v/>
      </c>
      <c r="M16" s="30" t="str">
        <f>IF(SUMIF('Общий табель'!$C$3:$C$37,$B16,'Общий табель'!N$3:N$37)&gt;0,1,"")</f>
        <v/>
      </c>
      <c r="N16" s="30" t="str">
        <f>IF(SUMIF('Общий табель'!$C$3:$C$37,$B16,'Общий табель'!O$3:O$37)&gt;0,1,"")</f>
        <v/>
      </c>
      <c r="O16" s="30" t="str">
        <f>IF(SUMIF('Общий табель'!$C$3:$C$37,$B16,'Общий табель'!P$3:P$37)&gt;0,1,"")</f>
        <v/>
      </c>
      <c r="P16" s="30" t="str">
        <f>IF(SUMIF('Общий табель'!$C$3:$C$37,$B16,'Общий табель'!Q$3:Q$37)&gt;0,1,"")</f>
        <v/>
      </c>
      <c r="Q16" s="30" t="str">
        <f>IF(SUMIF('Общий табель'!$C$3:$C$37,$B16,'Общий табель'!R$3:R$37)&gt;0,1,"")</f>
        <v/>
      </c>
      <c r="R16" s="30" t="str">
        <f>IF(SUMIF('Общий табель'!$C$3:$C$37,$B16,'Общий табель'!S$3:S$37)&gt;0,1,"")</f>
        <v/>
      </c>
      <c r="S16" s="30" t="str">
        <f>IF(SUMIF('Общий табель'!$C$3:$C$37,$B16,'Общий табель'!T$3:T$37)&gt;0,1,"")</f>
        <v/>
      </c>
      <c r="T16" s="30" t="str">
        <f>IF(SUMIF('Общий табель'!$C$3:$C$37,$B16,'Общий табель'!U$3:U$37)&gt;0,1,"")</f>
        <v/>
      </c>
      <c r="U16" s="30" t="str">
        <f>IF(SUMIF('Общий табель'!$C$3:$C$37,$B16,'Общий табель'!V$3:V$37)&gt;0,1,"")</f>
        <v/>
      </c>
      <c r="V16" s="30" t="str">
        <f>IF(SUMIF('Общий табель'!$C$3:$C$37,$B16,'Общий табель'!W$3:W$37)&gt;0,1,"")</f>
        <v/>
      </c>
      <c r="W16" s="30" t="str">
        <f>IF(SUMIF('Общий табель'!$C$3:$C$37,$B16,'Общий табель'!X$3:X$37)&gt;0,1,"")</f>
        <v/>
      </c>
      <c r="X16" s="30" t="str">
        <f>IF(SUMIF('Общий табель'!$C$3:$C$37,$B16,'Общий табель'!Y$3:Y$37)&gt;0,1,"")</f>
        <v/>
      </c>
      <c r="Y16" s="30" t="str">
        <f>IF(SUMIF('Общий табель'!$C$3:$C$37,$B16,'Общий табель'!Z$3:Z$37)&gt;0,1,"")</f>
        <v/>
      </c>
      <c r="Z16" s="30" t="str">
        <f>IF(SUMIF('Общий табель'!$C$3:$C$37,$B16,'Общий табель'!AA$3:AA$37)&gt;0,1,"")</f>
        <v/>
      </c>
      <c r="AA16" s="30" t="str">
        <f>IF(SUMIF('Общий табель'!$C$3:$C$37,$B16,'Общий табель'!AB$3:AB$37)&gt;0,1,"")</f>
        <v/>
      </c>
      <c r="AB16" s="30" t="str">
        <f>IF(SUMIF('Общий табель'!$C$3:$C$37,$B16,'Общий табель'!AC$3:AC$37)&gt;0,1,"")</f>
        <v/>
      </c>
      <c r="AC16" s="30" t="str">
        <f>IF(SUMIF('Общий табель'!$C$3:$C$37,$B16,'Общий табель'!AD$3:AD$37)&gt;0,1,"")</f>
        <v/>
      </c>
      <c r="AD16" s="30" t="str">
        <f>IF(SUMIF('Общий табель'!$C$3:$C$37,$B16,'Общий табель'!AE$3:AE$37)&gt;0,1,"")</f>
        <v/>
      </c>
      <c r="AE16" s="30" t="str">
        <f>IF(SUMIF('Общий табель'!$C$3:$C$37,$B16,'Общий табель'!AF$3:AF$37)&gt;0,1,"")</f>
        <v/>
      </c>
      <c r="AF16" s="30" t="str">
        <f>IF(SUMIF('Общий табель'!$C$3:$C$37,$B16,'Общий табель'!AG$3:AG$37)&gt;0,1,"")</f>
        <v/>
      </c>
      <c r="AG16" s="30" t="str">
        <f>IF(SUMIF('Общий табель'!$C$3:$C$37,$B16,'Общий табель'!AH$3:AH$37)&gt;0,1,"")</f>
        <v/>
      </c>
      <c r="AH16" s="30" t="str">
        <f>IF(SUMIF('Общий табель'!$C$3:$C$37,$B16,'Общий табель'!AI$3:AI$37)&gt;0,1,"")</f>
        <v/>
      </c>
      <c r="AI16" s="30">
        <f t="shared" si="0"/>
        <v>0</v>
      </c>
      <c r="AJ16" s="33"/>
      <c r="AK16" s="29"/>
    </row>
    <row r="17" spans="1:37" ht="23.1" customHeight="1">
      <c r="A17" s="31">
        <v>10</v>
      </c>
      <c r="B17" s="32" t="s">
        <v>34</v>
      </c>
      <c r="C17" s="32" t="s">
        <v>17</v>
      </c>
      <c r="D17" s="30" t="str">
        <f>IF(SUMIF('Общий табель'!$C$3:$C$37,B17,'Общий табель'!$E$3:$E$37)&gt;0,1,"")</f>
        <v/>
      </c>
      <c r="E17" s="30" t="str">
        <f>IF(SUMIF('Общий табель'!$C$3:$C$37,$B17,'Общий табель'!F$3:F$37)&gt;0,1,"")</f>
        <v/>
      </c>
      <c r="F17" s="30" t="str">
        <f>IF(SUMIF('Общий табель'!$C$3:$C$37,$B17,'Общий табель'!G$3:G$37)&gt;0,1,"")</f>
        <v/>
      </c>
      <c r="G17" s="30" t="str">
        <f>IF(SUMIF('Общий табель'!$C$3:$C$37,$B17,'Общий табель'!H$3:H$37)&gt;0,1,"")</f>
        <v/>
      </c>
      <c r="H17" s="30" t="str">
        <f>IF(SUMIF('Общий табель'!$C$3:$C$37,$B17,'Общий табель'!I$3:I$37)&gt;0,1,"")</f>
        <v/>
      </c>
      <c r="I17" s="30" t="str">
        <f>IF(SUMIF('Общий табель'!$C$3:$C$37,$B17,'Общий табель'!J$3:J$37)&gt;0,1,"")</f>
        <v/>
      </c>
      <c r="J17" s="30" t="str">
        <f>IF(SUMIF('Общий табель'!$C$3:$C$37,$B17,'Общий табель'!K$3:K$37)&gt;0,1,"")</f>
        <v/>
      </c>
      <c r="K17" s="30" t="str">
        <f>IF(SUMIF('Общий табель'!$C$3:$C$37,$B17,'Общий табель'!L$3:L$37)&gt;0,1,"")</f>
        <v/>
      </c>
      <c r="L17" s="30" t="str">
        <f>IF(SUMIF('Общий табель'!$C$3:$C$37,$B17,'Общий табель'!M$3:M$37)&gt;0,1,"")</f>
        <v/>
      </c>
      <c r="M17" s="30" t="str">
        <f>IF(SUMIF('Общий табель'!$C$3:$C$37,$B17,'Общий табель'!N$3:N$37)&gt;0,1,"")</f>
        <v/>
      </c>
      <c r="N17" s="30" t="str">
        <f>IF(SUMIF('Общий табель'!$C$3:$C$37,$B17,'Общий табель'!O$3:O$37)&gt;0,1,"")</f>
        <v/>
      </c>
      <c r="O17" s="30" t="str">
        <f>IF(SUMIF('Общий табель'!$C$3:$C$37,$B17,'Общий табель'!P$3:P$37)&gt;0,1,"")</f>
        <v/>
      </c>
      <c r="P17" s="30" t="str">
        <f>IF(SUMIF('Общий табель'!$C$3:$C$37,$B17,'Общий табель'!Q$3:Q$37)&gt;0,1,"")</f>
        <v/>
      </c>
      <c r="Q17" s="30" t="str">
        <f>IF(SUMIF('Общий табель'!$C$3:$C$37,$B17,'Общий табель'!R$3:R$37)&gt;0,1,"")</f>
        <v/>
      </c>
      <c r="R17" s="30" t="str">
        <f>IF(SUMIF('Общий табель'!$C$3:$C$37,$B17,'Общий табель'!S$3:S$37)&gt;0,1,"")</f>
        <v/>
      </c>
      <c r="S17" s="30" t="str">
        <f>IF(SUMIF('Общий табель'!$C$3:$C$37,$B17,'Общий табель'!T$3:T$37)&gt;0,1,"")</f>
        <v/>
      </c>
      <c r="T17" s="30" t="str">
        <f>IF(SUMIF('Общий табель'!$C$3:$C$37,$B17,'Общий табель'!U$3:U$37)&gt;0,1,"")</f>
        <v/>
      </c>
      <c r="U17" s="30" t="str">
        <f>IF(SUMIF('Общий табель'!$C$3:$C$37,$B17,'Общий табель'!V$3:V$37)&gt;0,1,"")</f>
        <v/>
      </c>
      <c r="V17" s="30" t="str">
        <f>IF(SUMIF('Общий табель'!$C$3:$C$37,$B17,'Общий табель'!W$3:W$37)&gt;0,1,"")</f>
        <v/>
      </c>
      <c r="W17" s="30" t="str">
        <f>IF(SUMIF('Общий табель'!$C$3:$C$37,$B17,'Общий табель'!X$3:X$37)&gt;0,1,"")</f>
        <v/>
      </c>
      <c r="X17" s="30" t="str">
        <f>IF(SUMIF('Общий табель'!$C$3:$C$37,$B17,'Общий табель'!Y$3:Y$37)&gt;0,1,"")</f>
        <v/>
      </c>
      <c r="Y17" s="30" t="str">
        <f>IF(SUMIF('Общий табель'!$C$3:$C$37,$B17,'Общий табель'!Z$3:Z$37)&gt;0,1,"")</f>
        <v/>
      </c>
      <c r="Z17" s="30" t="str">
        <f>IF(SUMIF('Общий табель'!$C$3:$C$37,$B17,'Общий табель'!AA$3:AA$37)&gt;0,1,"")</f>
        <v/>
      </c>
      <c r="AA17" s="30" t="str">
        <f>IF(SUMIF('Общий табель'!$C$3:$C$37,$B17,'Общий табель'!AB$3:AB$37)&gt;0,1,"")</f>
        <v/>
      </c>
      <c r="AB17" s="30" t="str">
        <f>IF(SUMIF('Общий табель'!$C$3:$C$37,$B17,'Общий табель'!AC$3:AC$37)&gt;0,1,"")</f>
        <v/>
      </c>
      <c r="AC17" s="30" t="str">
        <f>IF(SUMIF('Общий табель'!$C$3:$C$37,$B17,'Общий табель'!AD$3:AD$37)&gt;0,1,"")</f>
        <v/>
      </c>
      <c r="AD17" s="30" t="str">
        <f>IF(SUMIF('Общий табель'!$C$3:$C$37,$B17,'Общий табель'!AE$3:AE$37)&gt;0,1,"")</f>
        <v/>
      </c>
      <c r="AE17" s="30" t="str">
        <f>IF(SUMIF('Общий табель'!$C$3:$C$37,$B17,'Общий табель'!AF$3:AF$37)&gt;0,1,"")</f>
        <v/>
      </c>
      <c r="AF17" s="30" t="str">
        <f>IF(SUMIF('Общий табель'!$C$3:$C$37,$B17,'Общий табель'!AG$3:AG$37)&gt;0,1,"")</f>
        <v/>
      </c>
      <c r="AG17" s="30" t="str">
        <f>IF(SUMIF('Общий табель'!$C$3:$C$37,$B17,'Общий табель'!AH$3:AH$37)&gt;0,1,"")</f>
        <v/>
      </c>
      <c r="AH17" s="30" t="str">
        <f>IF(SUMIF('Общий табель'!$C$3:$C$37,$B17,'Общий табель'!AI$3:AI$37)&gt;0,1,"")</f>
        <v/>
      </c>
      <c r="AI17" s="30">
        <f t="shared" si="0"/>
        <v>0</v>
      </c>
      <c r="AJ17" s="33"/>
      <c r="AK17" s="29"/>
    </row>
    <row r="18" spans="1:37" ht="23.1" customHeight="1">
      <c r="A18" s="31">
        <v>11</v>
      </c>
      <c r="B18" s="32" t="s">
        <v>35</v>
      </c>
      <c r="C18" s="32" t="s">
        <v>17</v>
      </c>
      <c r="D18" s="30" t="str">
        <f>IF(SUMIF('Общий табель'!$C$3:$C$37,B18,'Общий табель'!$E$3:$E$37)&gt;0,1,"")</f>
        <v/>
      </c>
      <c r="E18" s="30" t="str">
        <f>IF(SUMIF('Общий табель'!$C$3:$C$37,$B18,'Общий табель'!F$3:F$37)&gt;0,1,"")</f>
        <v/>
      </c>
      <c r="F18" s="30" t="str">
        <f>IF(SUMIF('Общий табель'!$C$3:$C$37,$B18,'Общий табель'!G$3:G$37)&gt;0,1,"")</f>
        <v/>
      </c>
      <c r="G18" s="30" t="str">
        <f>IF(SUMIF('Общий табель'!$C$3:$C$37,$B18,'Общий табель'!H$3:H$37)&gt;0,1,"")</f>
        <v/>
      </c>
      <c r="H18" s="30" t="str">
        <f>IF(SUMIF('Общий табель'!$C$3:$C$37,$B18,'Общий табель'!I$3:I$37)&gt;0,1,"")</f>
        <v/>
      </c>
      <c r="I18" s="30" t="str">
        <f>IF(SUMIF('Общий табель'!$C$3:$C$37,$B18,'Общий табель'!J$3:J$37)&gt;0,1,"")</f>
        <v/>
      </c>
      <c r="J18" s="30" t="str">
        <f>IF(SUMIF('Общий табель'!$C$3:$C$37,$B18,'Общий табель'!K$3:K$37)&gt;0,1,"")</f>
        <v/>
      </c>
      <c r="K18" s="30" t="str">
        <f>IF(SUMIF('Общий табель'!$C$3:$C$37,$B18,'Общий табель'!L$3:L$37)&gt;0,1,"")</f>
        <v/>
      </c>
      <c r="L18" s="30" t="str">
        <f>IF(SUMIF('Общий табель'!$C$3:$C$37,$B18,'Общий табель'!M$3:M$37)&gt;0,1,"")</f>
        <v/>
      </c>
      <c r="M18" s="30" t="str">
        <f>IF(SUMIF('Общий табель'!$C$3:$C$37,$B18,'Общий табель'!N$3:N$37)&gt;0,1,"")</f>
        <v/>
      </c>
      <c r="N18" s="30" t="str">
        <f>IF(SUMIF('Общий табель'!$C$3:$C$37,$B18,'Общий табель'!O$3:O$37)&gt;0,1,"")</f>
        <v/>
      </c>
      <c r="O18" s="30" t="str">
        <f>IF(SUMIF('Общий табель'!$C$3:$C$37,$B18,'Общий табель'!P$3:P$37)&gt;0,1,"")</f>
        <v/>
      </c>
      <c r="P18" s="30" t="str">
        <f>IF(SUMIF('Общий табель'!$C$3:$C$37,$B18,'Общий табель'!Q$3:Q$37)&gt;0,1,"")</f>
        <v/>
      </c>
      <c r="Q18" s="30" t="str">
        <f>IF(SUMIF('Общий табель'!$C$3:$C$37,$B18,'Общий табель'!R$3:R$37)&gt;0,1,"")</f>
        <v/>
      </c>
      <c r="R18" s="30" t="str">
        <f>IF(SUMIF('Общий табель'!$C$3:$C$37,$B18,'Общий табель'!S$3:S$37)&gt;0,1,"")</f>
        <v/>
      </c>
      <c r="S18" s="30" t="str">
        <f>IF(SUMIF('Общий табель'!$C$3:$C$37,$B18,'Общий табель'!T$3:T$37)&gt;0,1,"")</f>
        <v/>
      </c>
      <c r="T18" s="30" t="str">
        <f>IF(SUMIF('Общий табель'!$C$3:$C$37,$B18,'Общий табель'!U$3:U$37)&gt;0,1,"")</f>
        <v/>
      </c>
      <c r="U18" s="30" t="str">
        <f>IF(SUMIF('Общий табель'!$C$3:$C$37,$B18,'Общий табель'!V$3:V$37)&gt;0,1,"")</f>
        <v/>
      </c>
      <c r="V18" s="30" t="str">
        <f>IF(SUMIF('Общий табель'!$C$3:$C$37,$B18,'Общий табель'!W$3:W$37)&gt;0,1,"")</f>
        <v/>
      </c>
      <c r="W18" s="30" t="str">
        <f>IF(SUMIF('Общий табель'!$C$3:$C$37,$B18,'Общий табель'!X$3:X$37)&gt;0,1,"")</f>
        <v/>
      </c>
      <c r="X18" s="30" t="str">
        <f>IF(SUMIF('Общий табель'!$C$3:$C$37,$B18,'Общий табель'!Y$3:Y$37)&gt;0,1,"")</f>
        <v/>
      </c>
      <c r="Y18" s="30" t="str">
        <f>IF(SUMIF('Общий табель'!$C$3:$C$37,$B18,'Общий табель'!Z$3:Z$37)&gt;0,1,"")</f>
        <v/>
      </c>
      <c r="Z18" s="30" t="str">
        <f>IF(SUMIF('Общий табель'!$C$3:$C$37,$B18,'Общий табель'!AA$3:AA$37)&gt;0,1,"")</f>
        <v/>
      </c>
      <c r="AA18" s="30" t="str">
        <f>IF(SUMIF('Общий табель'!$C$3:$C$37,$B18,'Общий табель'!AB$3:AB$37)&gt;0,1,"")</f>
        <v/>
      </c>
      <c r="AB18" s="30" t="str">
        <f>IF(SUMIF('Общий табель'!$C$3:$C$37,$B18,'Общий табель'!AC$3:AC$37)&gt;0,1,"")</f>
        <v/>
      </c>
      <c r="AC18" s="30" t="str">
        <f>IF(SUMIF('Общий табель'!$C$3:$C$37,$B18,'Общий табель'!AD$3:AD$37)&gt;0,1,"")</f>
        <v/>
      </c>
      <c r="AD18" s="30" t="str">
        <f>IF(SUMIF('Общий табель'!$C$3:$C$37,$B18,'Общий табель'!AE$3:AE$37)&gt;0,1,"")</f>
        <v/>
      </c>
      <c r="AE18" s="30" t="str">
        <f>IF(SUMIF('Общий табель'!$C$3:$C$37,$B18,'Общий табель'!AF$3:AF$37)&gt;0,1,"")</f>
        <v/>
      </c>
      <c r="AF18" s="30" t="str">
        <f>IF(SUMIF('Общий табель'!$C$3:$C$37,$B18,'Общий табель'!AG$3:AG$37)&gt;0,1,"")</f>
        <v/>
      </c>
      <c r="AG18" s="30" t="str">
        <f>IF(SUMIF('Общий табель'!$C$3:$C$37,$B18,'Общий табель'!AH$3:AH$37)&gt;0,1,"")</f>
        <v/>
      </c>
      <c r="AH18" s="30" t="str">
        <f>IF(SUMIF('Общий табель'!$C$3:$C$37,$B18,'Общий табель'!AI$3:AI$37)&gt;0,1,"")</f>
        <v/>
      </c>
      <c r="AI18" s="30">
        <f t="shared" si="0"/>
        <v>0</v>
      </c>
      <c r="AJ18" s="33"/>
      <c r="AK18" s="29"/>
    </row>
    <row r="19" spans="1:37" ht="23.1" customHeight="1">
      <c r="A19" s="31">
        <v>12</v>
      </c>
      <c r="B19" s="32" t="s">
        <v>9</v>
      </c>
      <c r="C19" s="32" t="s">
        <v>154</v>
      </c>
      <c r="D19" s="30" t="str">
        <f>IF(SUMIF('Общий табель'!$C$3:$C$37,B19,'Общий табель'!$E$3:$E$37)&gt;0,1,"")</f>
        <v/>
      </c>
      <c r="E19" s="30" t="str">
        <f>IF(SUMIF('Общий табель'!$C$3:$C$37,$B19,'Общий табель'!F$3:F$37)&gt;0,1,"")</f>
        <v/>
      </c>
      <c r="F19" s="30" t="str">
        <f>IF(SUMIF('Общий табель'!$C$3:$C$37,$B19,'Общий табель'!G$3:G$37)&gt;0,1,"")</f>
        <v/>
      </c>
      <c r="G19" s="30" t="str">
        <f>IF(SUMIF('Общий табель'!$C$3:$C$37,$B19,'Общий табель'!H$3:H$37)&gt;0,1,"")</f>
        <v/>
      </c>
      <c r="H19" s="30" t="str">
        <f>IF(SUMIF('Общий табель'!$C$3:$C$37,$B19,'Общий табель'!I$3:I$37)&gt;0,1,"")</f>
        <v/>
      </c>
      <c r="I19" s="30" t="str">
        <f>IF(SUMIF('Общий табель'!$C$3:$C$37,$B19,'Общий табель'!J$3:J$37)&gt;0,1,"")</f>
        <v/>
      </c>
      <c r="J19" s="30" t="str">
        <f>IF(SUMIF('Общий табель'!$C$3:$C$37,$B19,'Общий табель'!K$3:K$37)&gt;0,1,"")</f>
        <v/>
      </c>
      <c r="K19" s="30" t="str">
        <f>IF(SUMIF('Общий табель'!$C$3:$C$37,$B19,'Общий табель'!L$3:L$37)&gt;0,1,"")</f>
        <v/>
      </c>
      <c r="L19" s="30" t="str">
        <f>IF(SUMIF('Общий табель'!$C$3:$C$37,$B19,'Общий табель'!M$3:M$37)&gt;0,1,"")</f>
        <v/>
      </c>
      <c r="M19" s="30" t="str">
        <f>IF(SUMIF('Общий табель'!$C$3:$C$37,$B19,'Общий табель'!N$3:N$37)&gt;0,1,"")</f>
        <v/>
      </c>
      <c r="N19" s="30" t="str">
        <f>IF(SUMIF('Общий табель'!$C$3:$C$37,$B19,'Общий табель'!O$3:O$37)&gt;0,1,"")</f>
        <v/>
      </c>
      <c r="O19" s="30" t="str">
        <f>IF(SUMIF('Общий табель'!$C$3:$C$37,$B19,'Общий табель'!P$3:P$37)&gt;0,1,"")</f>
        <v/>
      </c>
      <c r="P19" s="30" t="str">
        <f>IF(SUMIF('Общий табель'!$C$3:$C$37,$B19,'Общий табель'!Q$3:Q$37)&gt;0,1,"")</f>
        <v/>
      </c>
      <c r="Q19" s="30" t="str">
        <f>IF(SUMIF('Общий табель'!$C$3:$C$37,$B19,'Общий табель'!R$3:R$37)&gt;0,1,"")</f>
        <v/>
      </c>
      <c r="R19" s="30" t="str">
        <f>IF(SUMIF('Общий табель'!$C$3:$C$37,$B19,'Общий табель'!S$3:S$37)&gt;0,1,"")</f>
        <v/>
      </c>
      <c r="S19" s="30" t="str">
        <f>IF(SUMIF('Общий табель'!$C$3:$C$37,$B19,'Общий табель'!T$3:T$37)&gt;0,1,"")</f>
        <v/>
      </c>
      <c r="T19" s="30" t="str">
        <f>IF(SUMIF('Общий табель'!$C$3:$C$37,$B19,'Общий табель'!U$3:U$37)&gt;0,1,"")</f>
        <v/>
      </c>
      <c r="U19" s="30" t="str">
        <f>IF(SUMIF('Общий табель'!$C$3:$C$37,$B19,'Общий табель'!V$3:V$37)&gt;0,1,"")</f>
        <v/>
      </c>
      <c r="V19" s="30" t="str">
        <f>IF(SUMIF('Общий табель'!$C$3:$C$37,$B19,'Общий табель'!W$3:W$37)&gt;0,1,"")</f>
        <v/>
      </c>
      <c r="W19" s="30" t="str">
        <f>IF(SUMIF('Общий табель'!$C$3:$C$37,$B19,'Общий табель'!X$3:X$37)&gt;0,1,"")</f>
        <v/>
      </c>
      <c r="X19" s="30" t="str">
        <f>IF(SUMIF('Общий табель'!$C$3:$C$37,$B19,'Общий табель'!Y$3:Y$37)&gt;0,1,"")</f>
        <v/>
      </c>
      <c r="Y19" s="30" t="str">
        <f>IF(SUMIF('Общий табель'!$C$3:$C$37,$B19,'Общий табель'!Z$3:Z$37)&gt;0,1,"")</f>
        <v/>
      </c>
      <c r="Z19" s="30" t="str">
        <f>IF(SUMIF('Общий табель'!$C$3:$C$37,$B19,'Общий табель'!AA$3:AA$37)&gt;0,1,"")</f>
        <v/>
      </c>
      <c r="AA19" s="30" t="str">
        <f>IF(SUMIF('Общий табель'!$C$3:$C$37,$B19,'Общий табель'!AB$3:AB$37)&gt;0,1,"")</f>
        <v/>
      </c>
      <c r="AB19" s="30" t="str">
        <f>IF(SUMIF('Общий табель'!$C$3:$C$37,$B19,'Общий табель'!AC$3:AC$37)&gt;0,1,"")</f>
        <v/>
      </c>
      <c r="AC19" s="30" t="str">
        <f>IF(SUMIF('Общий табель'!$C$3:$C$37,$B19,'Общий табель'!AD$3:AD$37)&gt;0,1,"")</f>
        <v/>
      </c>
      <c r="AD19" s="30" t="str">
        <f>IF(SUMIF('Общий табель'!$C$3:$C$37,$B19,'Общий табель'!AE$3:AE$37)&gt;0,1,"")</f>
        <v/>
      </c>
      <c r="AE19" s="30" t="str">
        <f>IF(SUMIF('Общий табель'!$C$3:$C$37,$B19,'Общий табель'!AF$3:AF$37)&gt;0,1,"")</f>
        <v/>
      </c>
      <c r="AF19" s="30" t="str">
        <f>IF(SUMIF('Общий табель'!$C$3:$C$37,$B19,'Общий табель'!AG$3:AG$37)&gt;0,1,"")</f>
        <v/>
      </c>
      <c r="AG19" s="30" t="str">
        <f>IF(SUMIF('Общий табель'!$C$3:$C$37,$B19,'Общий табель'!AH$3:AH$37)&gt;0,1,"")</f>
        <v/>
      </c>
      <c r="AH19" s="30" t="str">
        <f>IF(SUMIF('Общий табель'!$C$3:$C$37,$B19,'Общий табель'!AI$3:AI$37)&gt;0,1,"")</f>
        <v/>
      </c>
      <c r="AI19" s="30">
        <f t="shared" si="0"/>
        <v>0</v>
      </c>
      <c r="AJ19" s="33"/>
      <c r="AK19" s="29"/>
    </row>
    <row r="20" spans="1:37" ht="23.1" customHeight="1">
      <c r="A20" s="31">
        <v>13</v>
      </c>
      <c r="B20" s="32" t="s">
        <v>36</v>
      </c>
      <c r="C20" s="32" t="s">
        <v>154</v>
      </c>
      <c r="D20" s="30" t="str">
        <f>IF(SUMIF('Общий табель'!$C$3:$C$37,B20,'Общий табель'!$E$3:$E$37)&gt;0,1,"")</f>
        <v/>
      </c>
      <c r="E20" s="30" t="str">
        <f>IF(SUMIF('Общий табель'!$C$3:$C$37,$B20,'Общий табель'!F$3:F$37)&gt;0,1,"")</f>
        <v/>
      </c>
      <c r="F20" s="30" t="str">
        <f>IF(SUMIF('Общий табель'!$C$3:$C$37,$B20,'Общий табель'!G$3:G$37)&gt;0,1,"")</f>
        <v/>
      </c>
      <c r="G20" s="30" t="str">
        <f>IF(SUMIF('Общий табель'!$C$3:$C$37,$B20,'Общий табель'!H$3:H$37)&gt;0,1,"")</f>
        <v/>
      </c>
      <c r="H20" s="30" t="str">
        <f>IF(SUMIF('Общий табель'!$C$3:$C$37,$B20,'Общий табель'!I$3:I$37)&gt;0,1,"")</f>
        <v/>
      </c>
      <c r="I20" s="30" t="str">
        <f>IF(SUMIF('Общий табель'!$C$3:$C$37,$B20,'Общий табель'!J$3:J$37)&gt;0,1,"")</f>
        <v/>
      </c>
      <c r="J20" s="30" t="str">
        <f>IF(SUMIF('Общий табель'!$C$3:$C$37,$B20,'Общий табель'!K$3:K$37)&gt;0,1,"")</f>
        <v/>
      </c>
      <c r="K20" s="30" t="str">
        <f>IF(SUMIF('Общий табель'!$C$3:$C$37,$B20,'Общий табель'!L$3:L$37)&gt;0,1,"")</f>
        <v/>
      </c>
      <c r="L20" s="30" t="str">
        <f>IF(SUMIF('Общий табель'!$C$3:$C$37,$B20,'Общий табель'!M$3:M$37)&gt;0,1,"")</f>
        <v/>
      </c>
      <c r="M20" s="30" t="str">
        <f>IF(SUMIF('Общий табель'!$C$3:$C$37,$B20,'Общий табель'!N$3:N$37)&gt;0,1,"")</f>
        <v/>
      </c>
      <c r="N20" s="30" t="str">
        <f>IF(SUMIF('Общий табель'!$C$3:$C$37,$B20,'Общий табель'!O$3:O$37)&gt;0,1,"")</f>
        <v/>
      </c>
      <c r="O20" s="30" t="str">
        <f>IF(SUMIF('Общий табель'!$C$3:$C$37,$B20,'Общий табель'!P$3:P$37)&gt;0,1,"")</f>
        <v/>
      </c>
      <c r="P20" s="30" t="str">
        <f>IF(SUMIF('Общий табель'!$C$3:$C$37,$B20,'Общий табель'!Q$3:Q$37)&gt;0,1,"")</f>
        <v/>
      </c>
      <c r="Q20" s="30" t="str">
        <f>IF(SUMIF('Общий табель'!$C$3:$C$37,$B20,'Общий табель'!R$3:R$37)&gt;0,1,"")</f>
        <v/>
      </c>
      <c r="R20" s="30" t="str">
        <f>IF(SUMIF('Общий табель'!$C$3:$C$37,$B20,'Общий табель'!S$3:S$37)&gt;0,1,"")</f>
        <v/>
      </c>
      <c r="S20" s="30" t="str">
        <f>IF(SUMIF('Общий табель'!$C$3:$C$37,$B20,'Общий табель'!T$3:T$37)&gt;0,1,"")</f>
        <v/>
      </c>
      <c r="T20" s="30" t="str">
        <f>IF(SUMIF('Общий табель'!$C$3:$C$37,$B20,'Общий табель'!U$3:U$37)&gt;0,1,"")</f>
        <v/>
      </c>
      <c r="U20" s="30" t="str">
        <f>IF(SUMIF('Общий табель'!$C$3:$C$37,$B20,'Общий табель'!V$3:V$37)&gt;0,1,"")</f>
        <v/>
      </c>
      <c r="V20" s="30" t="str">
        <f>IF(SUMIF('Общий табель'!$C$3:$C$37,$B20,'Общий табель'!W$3:W$37)&gt;0,1,"")</f>
        <v/>
      </c>
      <c r="W20" s="30" t="str">
        <f>IF(SUMIF('Общий табель'!$C$3:$C$37,$B20,'Общий табель'!X$3:X$37)&gt;0,1,"")</f>
        <v/>
      </c>
      <c r="X20" s="30" t="str">
        <f>IF(SUMIF('Общий табель'!$C$3:$C$37,$B20,'Общий табель'!Y$3:Y$37)&gt;0,1,"")</f>
        <v/>
      </c>
      <c r="Y20" s="30" t="str">
        <f>IF(SUMIF('Общий табель'!$C$3:$C$37,$B20,'Общий табель'!Z$3:Z$37)&gt;0,1,"")</f>
        <v/>
      </c>
      <c r="Z20" s="30" t="str">
        <f>IF(SUMIF('Общий табель'!$C$3:$C$37,$B20,'Общий табель'!AA$3:AA$37)&gt;0,1,"")</f>
        <v/>
      </c>
      <c r="AA20" s="30" t="str">
        <f>IF(SUMIF('Общий табель'!$C$3:$C$37,$B20,'Общий табель'!AB$3:AB$37)&gt;0,1,"")</f>
        <v/>
      </c>
      <c r="AB20" s="30" t="str">
        <f>IF(SUMIF('Общий табель'!$C$3:$C$37,$B20,'Общий табель'!AC$3:AC$37)&gt;0,1,"")</f>
        <v/>
      </c>
      <c r="AC20" s="30" t="str">
        <f>IF(SUMIF('Общий табель'!$C$3:$C$37,$B20,'Общий табель'!AD$3:AD$37)&gt;0,1,"")</f>
        <v/>
      </c>
      <c r="AD20" s="30" t="str">
        <f>IF(SUMIF('Общий табель'!$C$3:$C$37,$B20,'Общий табель'!AE$3:AE$37)&gt;0,1,"")</f>
        <v/>
      </c>
      <c r="AE20" s="30" t="str">
        <f>IF(SUMIF('Общий табель'!$C$3:$C$37,$B20,'Общий табель'!AF$3:AF$37)&gt;0,1,"")</f>
        <v/>
      </c>
      <c r="AF20" s="30" t="str">
        <f>IF(SUMIF('Общий табель'!$C$3:$C$37,$B20,'Общий табель'!AG$3:AG$37)&gt;0,1,"")</f>
        <v/>
      </c>
      <c r="AG20" s="30" t="str">
        <f>IF(SUMIF('Общий табель'!$C$3:$C$37,$B20,'Общий табель'!AH$3:AH$37)&gt;0,1,"")</f>
        <v/>
      </c>
      <c r="AH20" s="30" t="str">
        <f>IF(SUMIF('Общий табель'!$C$3:$C$37,$B20,'Общий табель'!AI$3:AI$37)&gt;0,1,"")</f>
        <v/>
      </c>
      <c r="AI20" s="30">
        <f t="shared" si="0"/>
        <v>0</v>
      </c>
      <c r="AJ20" s="33"/>
      <c r="AK20" s="29"/>
    </row>
    <row r="21" spans="1:37" ht="23.1" customHeight="1">
      <c r="A21" s="31">
        <v>14</v>
      </c>
      <c r="B21" s="32" t="s">
        <v>37</v>
      </c>
      <c r="C21" s="32" t="s">
        <v>153</v>
      </c>
      <c r="D21" s="30" t="str">
        <f>IF(SUMIF('Общий табель'!$C$3:$C$37,B21,'Общий табель'!$E$3:$E$37)&gt;0,1,"")</f>
        <v/>
      </c>
      <c r="E21" s="30" t="str">
        <f>IF(SUMIF('Общий табель'!$C$3:$C$37,$B21,'Общий табель'!F$3:F$37)&gt;0,1,"")</f>
        <v/>
      </c>
      <c r="F21" s="30" t="str">
        <f>IF(SUMIF('Общий табель'!$C$3:$C$37,$B21,'Общий табель'!G$3:G$37)&gt;0,1,"")</f>
        <v/>
      </c>
      <c r="G21" s="30" t="str">
        <f>IF(SUMIF('Общий табель'!$C$3:$C$37,$B21,'Общий табель'!H$3:H$37)&gt;0,1,"")</f>
        <v/>
      </c>
      <c r="H21" s="30" t="str">
        <f>IF(SUMIF('Общий табель'!$C$3:$C$37,$B21,'Общий табель'!I$3:I$37)&gt;0,1,"")</f>
        <v/>
      </c>
      <c r="I21" s="30" t="str">
        <f>IF(SUMIF('Общий табель'!$C$3:$C$37,$B21,'Общий табель'!J$3:J$37)&gt;0,1,"")</f>
        <v/>
      </c>
      <c r="J21" s="30" t="str">
        <f>IF(SUMIF('Общий табель'!$C$3:$C$37,$B21,'Общий табель'!K$3:K$37)&gt;0,1,"")</f>
        <v/>
      </c>
      <c r="K21" s="30" t="str">
        <f>IF(SUMIF('Общий табель'!$C$3:$C$37,$B21,'Общий табель'!L$3:L$37)&gt;0,1,"")</f>
        <v/>
      </c>
      <c r="L21" s="30" t="str">
        <f>IF(SUMIF('Общий табель'!$C$3:$C$37,$B21,'Общий табель'!M$3:M$37)&gt;0,1,"")</f>
        <v/>
      </c>
      <c r="M21" s="30" t="str">
        <f>IF(SUMIF('Общий табель'!$C$3:$C$37,$B21,'Общий табель'!N$3:N$37)&gt;0,1,"")</f>
        <v/>
      </c>
      <c r="N21" s="30" t="str">
        <f>IF(SUMIF('Общий табель'!$C$3:$C$37,$B21,'Общий табель'!O$3:O$37)&gt;0,1,"")</f>
        <v/>
      </c>
      <c r="O21" s="30" t="str">
        <f>IF(SUMIF('Общий табель'!$C$3:$C$37,$B21,'Общий табель'!P$3:P$37)&gt;0,1,"")</f>
        <v/>
      </c>
      <c r="P21" s="30" t="str">
        <f>IF(SUMIF('Общий табель'!$C$3:$C$37,$B21,'Общий табель'!Q$3:Q$37)&gt;0,1,"")</f>
        <v/>
      </c>
      <c r="Q21" s="30" t="str">
        <f>IF(SUMIF('Общий табель'!$C$3:$C$37,$B21,'Общий табель'!R$3:R$37)&gt;0,1,"")</f>
        <v/>
      </c>
      <c r="R21" s="30" t="str">
        <f>IF(SUMIF('Общий табель'!$C$3:$C$37,$B21,'Общий табель'!S$3:S$37)&gt;0,1,"")</f>
        <v/>
      </c>
      <c r="S21" s="30" t="str">
        <f>IF(SUMIF('Общий табель'!$C$3:$C$37,$B21,'Общий табель'!T$3:T$37)&gt;0,1,"")</f>
        <v/>
      </c>
      <c r="T21" s="30" t="str">
        <f>IF(SUMIF('Общий табель'!$C$3:$C$37,$B21,'Общий табель'!U$3:U$37)&gt;0,1,"")</f>
        <v/>
      </c>
      <c r="U21" s="30" t="str">
        <f>IF(SUMIF('Общий табель'!$C$3:$C$37,$B21,'Общий табель'!V$3:V$37)&gt;0,1,"")</f>
        <v/>
      </c>
      <c r="V21" s="30" t="str">
        <f>IF(SUMIF('Общий табель'!$C$3:$C$37,$B21,'Общий табель'!W$3:W$37)&gt;0,1,"")</f>
        <v/>
      </c>
      <c r="W21" s="30" t="str">
        <f>IF(SUMIF('Общий табель'!$C$3:$C$37,$B21,'Общий табель'!X$3:X$37)&gt;0,1,"")</f>
        <v/>
      </c>
      <c r="X21" s="30" t="str">
        <f>IF(SUMIF('Общий табель'!$C$3:$C$37,$B21,'Общий табель'!Y$3:Y$37)&gt;0,1,"")</f>
        <v/>
      </c>
      <c r="Y21" s="30" t="str">
        <f>IF(SUMIF('Общий табель'!$C$3:$C$37,$B21,'Общий табель'!Z$3:Z$37)&gt;0,1,"")</f>
        <v/>
      </c>
      <c r="Z21" s="30" t="str">
        <f>IF(SUMIF('Общий табель'!$C$3:$C$37,$B21,'Общий табель'!AA$3:AA$37)&gt;0,1,"")</f>
        <v/>
      </c>
      <c r="AA21" s="30" t="str">
        <f>IF(SUMIF('Общий табель'!$C$3:$C$37,$B21,'Общий табель'!AB$3:AB$37)&gt;0,1,"")</f>
        <v/>
      </c>
      <c r="AB21" s="30" t="str">
        <f>IF(SUMIF('Общий табель'!$C$3:$C$37,$B21,'Общий табель'!AC$3:AC$37)&gt;0,1,"")</f>
        <v/>
      </c>
      <c r="AC21" s="30" t="str">
        <f>IF(SUMIF('Общий табель'!$C$3:$C$37,$B21,'Общий табель'!AD$3:AD$37)&gt;0,1,"")</f>
        <v/>
      </c>
      <c r="AD21" s="30" t="str">
        <f>IF(SUMIF('Общий табель'!$C$3:$C$37,$B21,'Общий табель'!AE$3:AE$37)&gt;0,1,"")</f>
        <v/>
      </c>
      <c r="AE21" s="30" t="str">
        <f>IF(SUMIF('Общий табель'!$C$3:$C$37,$B21,'Общий табель'!AF$3:AF$37)&gt;0,1,"")</f>
        <v/>
      </c>
      <c r="AF21" s="30" t="str">
        <f>IF(SUMIF('Общий табель'!$C$3:$C$37,$B21,'Общий табель'!AG$3:AG$37)&gt;0,1,"")</f>
        <v/>
      </c>
      <c r="AG21" s="30" t="str">
        <f>IF(SUMIF('Общий табель'!$C$3:$C$37,$B21,'Общий табель'!AH$3:AH$37)&gt;0,1,"")</f>
        <v/>
      </c>
      <c r="AH21" s="30" t="str">
        <f>IF(SUMIF('Общий табель'!$C$3:$C$37,$B21,'Общий табель'!AI$3:AI$37)&gt;0,1,"")</f>
        <v/>
      </c>
      <c r="AI21" s="30">
        <f t="shared" si="0"/>
        <v>0</v>
      </c>
      <c r="AJ21" s="33"/>
      <c r="AK21" s="29"/>
    </row>
    <row r="22" spans="1:37" ht="23.1" customHeight="1">
      <c r="A22" s="31">
        <v>15</v>
      </c>
      <c r="B22" s="32" t="s">
        <v>38</v>
      </c>
      <c r="C22" s="32" t="s">
        <v>152</v>
      </c>
      <c r="D22" s="30" t="str">
        <f>IF(SUMIF('Общий табель'!$C$3:$C$37,B22,'Общий табель'!$E$3:$E$37)&gt;0,1,"")</f>
        <v/>
      </c>
      <c r="E22" s="30" t="str">
        <f>IF(SUMIF('Общий табель'!$C$3:$C$37,$B22,'Общий табель'!F$3:F$37)&gt;0,1,"")</f>
        <v/>
      </c>
      <c r="F22" s="30" t="str">
        <f>IF(SUMIF('Общий табель'!$C$3:$C$37,$B22,'Общий табель'!G$3:G$37)&gt;0,1,"")</f>
        <v/>
      </c>
      <c r="G22" s="30" t="str">
        <f>IF(SUMIF('Общий табель'!$C$3:$C$37,$B22,'Общий табель'!H$3:H$37)&gt;0,1,"")</f>
        <v/>
      </c>
      <c r="H22" s="30" t="str">
        <f>IF(SUMIF('Общий табель'!$C$3:$C$37,$B22,'Общий табель'!I$3:I$37)&gt;0,1,"")</f>
        <v/>
      </c>
      <c r="I22" s="30" t="str">
        <f>IF(SUMIF('Общий табель'!$C$3:$C$37,$B22,'Общий табель'!J$3:J$37)&gt;0,1,"")</f>
        <v/>
      </c>
      <c r="J22" s="30" t="str">
        <f>IF(SUMIF('Общий табель'!$C$3:$C$37,$B22,'Общий табель'!K$3:K$37)&gt;0,1,"")</f>
        <v/>
      </c>
      <c r="K22" s="30" t="str">
        <f>IF(SUMIF('Общий табель'!$C$3:$C$37,$B22,'Общий табель'!L$3:L$37)&gt;0,1,"")</f>
        <v/>
      </c>
      <c r="L22" s="30" t="str">
        <f>IF(SUMIF('Общий табель'!$C$3:$C$37,$B22,'Общий табель'!M$3:M$37)&gt;0,1,"")</f>
        <v/>
      </c>
      <c r="M22" s="30" t="str">
        <f>IF(SUMIF('Общий табель'!$C$3:$C$37,$B22,'Общий табель'!N$3:N$37)&gt;0,1,"")</f>
        <v/>
      </c>
      <c r="N22" s="30" t="str">
        <f>IF(SUMIF('Общий табель'!$C$3:$C$37,$B22,'Общий табель'!O$3:O$37)&gt;0,1,"")</f>
        <v/>
      </c>
      <c r="O22" s="30" t="str">
        <f>IF(SUMIF('Общий табель'!$C$3:$C$37,$B22,'Общий табель'!P$3:P$37)&gt;0,1,"")</f>
        <v/>
      </c>
      <c r="P22" s="30" t="str">
        <f>IF(SUMIF('Общий табель'!$C$3:$C$37,$B22,'Общий табель'!Q$3:Q$37)&gt;0,1,"")</f>
        <v/>
      </c>
      <c r="Q22" s="30" t="str">
        <f>IF(SUMIF('Общий табель'!$C$3:$C$37,$B22,'Общий табель'!R$3:R$37)&gt;0,1,"")</f>
        <v/>
      </c>
      <c r="R22" s="30" t="str">
        <f>IF(SUMIF('Общий табель'!$C$3:$C$37,$B22,'Общий табель'!S$3:S$37)&gt;0,1,"")</f>
        <v/>
      </c>
      <c r="S22" s="30" t="str">
        <f>IF(SUMIF('Общий табель'!$C$3:$C$37,$B22,'Общий табель'!T$3:T$37)&gt;0,1,"")</f>
        <v/>
      </c>
      <c r="T22" s="30" t="str">
        <f>IF(SUMIF('Общий табель'!$C$3:$C$37,$B22,'Общий табель'!U$3:U$37)&gt;0,1,"")</f>
        <v/>
      </c>
      <c r="U22" s="30" t="str">
        <f>IF(SUMIF('Общий табель'!$C$3:$C$37,$B22,'Общий табель'!V$3:V$37)&gt;0,1,"")</f>
        <v/>
      </c>
      <c r="V22" s="30" t="str">
        <f>IF(SUMIF('Общий табель'!$C$3:$C$37,$B22,'Общий табель'!W$3:W$37)&gt;0,1,"")</f>
        <v/>
      </c>
      <c r="W22" s="30" t="str">
        <f>IF(SUMIF('Общий табель'!$C$3:$C$37,$B22,'Общий табель'!X$3:X$37)&gt;0,1,"")</f>
        <v/>
      </c>
      <c r="X22" s="30" t="str">
        <f>IF(SUMIF('Общий табель'!$C$3:$C$37,$B22,'Общий табель'!Y$3:Y$37)&gt;0,1,"")</f>
        <v/>
      </c>
      <c r="Y22" s="30" t="str">
        <f>IF(SUMIF('Общий табель'!$C$3:$C$37,$B22,'Общий табель'!Z$3:Z$37)&gt;0,1,"")</f>
        <v/>
      </c>
      <c r="Z22" s="30" t="str">
        <f>IF(SUMIF('Общий табель'!$C$3:$C$37,$B22,'Общий табель'!AA$3:AA$37)&gt;0,1,"")</f>
        <v/>
      </c>
      <c r="AA22" s="30" t="str">
        <f>IF(SUMIF('Общий табель'!$C$3:$C$37,$B22,'Общий табель'!AB$3:AB$37)&gt;0,1,"")</f>
        <v/>
      </c>
      <c r="AB22" s="30" t="str">
        <f>IF(SUMIF('Общий табель'!$C$3:$C$37,$B22,'Общий табель'!AC$3:AC$37)&gt;0,1,"")</f>
        <v/>
      </c>
      <c r="AC22" s="30" t="str">
        <f>IF(SUMIF('Общий табель'!$C$3:$C$37,$B22,'Общий табель'!AD$3:AD$37)&gt;0,1,"")</f>
        <v/>
      </c>
      <c r="AD22" s="30" t="str">
        <f>IF(SUMIF('Общий табель'!$C$3:$C$37,$B22,'Общий табель'!AE$3:AE$37)&gt;0,1,"")</f>
        <v/>
      </c>
      <c r="AE22" s="30" t="str">
        <f>IF(SUMIF('Общий табель'!$C$3:$C$37,$B22,'Общий табель'!AF$3:AF$37)&gt;0,1,"")</f>
        <v/>
      </c>
      <c r="AF22" s="30" t="str">
        <f>IF(SUMIF('Общий табель'!$C$3:$C$37,$B22,'Общий табель'!AG$3:AG$37)&gt;0,1,"")</f>
        <v/>
      </c>
      <c r="AG22" s="30" t="str">
        <f>IF(SUMIF('Общий табель'!$C$3:$C$37,$B22,'Общий табель'!AH$3:AH$37)&gt;0,1,"")</f>
        <v/>
      </c>
      <c r="AH22" s="30" t="str">
        <f>IF(SUMIF('Общий табель'!$C$3:$C$37,$B22,'Общий табель'!AI$3:AI$37)&gt;0,1,"")</f>
        <v/>
      </c>
      <c r="AI22" s="30">
        <f t="shared" si="0"/>
        <v>0</v>
      </c>
      <c r="AJ22" s="33"/>
      <c r="AK22" s="29"/>
    </row>
    <row r="23" spans="1:37" ht="23.1" customHeight="1">
      <c r="A23" s="34">
        <v>16</v>
      </c>
      <c r="B23" s="35" t="s">
        <v>39</v>
      </c>
      <c r="C23" s="35" t="s">
        <v>20</v>
      </c>
      <c r="D23" s="30" t="str">
        <f>IF(SUMIF('Общий табель'!$C$3:$C$37,B23,'Общий табель'!$E$3:$E$37)&gt;0,1,"")</f>
        <v/>
      </c>
      <c r="E23" s="30" t="str">
        <f>IF(SUMIF('Общий табель'!$C$3:$C$37,$B23,'Общий табель'!F$3:F$37)&gt;0,1,"")</f>
        <v/>
      </c>
      <c r="F23" s="30" t="str">
        <f>IF(SUMIF('Общий табель'!$C$3:$C$37,$B23,'Общий табель'!G$3:G$37)&gt;0,1,"")</f>
        <v/>
      </c>
      <c r="G23" s="30" t="str">
        <f>IF(SUMIF('Общий табель'!$C$3:$C$37,$B23,'Общий табель'!H$3:H$37)&gt;0,1,"")</f>
        <v/>
      </c>
      <c r="H23" s="30" t="str">
        <f>IF(SUMIF('Общий табель'!$C$3:$C$37,$B23,'Общий табель'!I$3:I$37)&gt;0,1,"")</f>
        <v/>
      </c>
      <c r="I23" s="30" t="str">
        <f>IF(SUMIF('Общий табель'!$C$3:$C$37,$B23,'Общий табель'!J$3:J$37)&gt;0,1,"")</f>
        <v/>
      </c>
      <c r="J23" s="30" t="str">
        <f>IF(SUMIF('Общий табель'!$C$3:$C$37,$B23,'Общий табель'!K$3:K$37)&gt;0,1,"")</f>
        <v/>
      </c>
      <c r="K23" s="30" t="str">
        <f>IF(SUMIF('Общий табель'!$C$3:$C$37,$B23,'Общий табель'!L$3:L$37)&gt;0,1,"")</f>
        <v/>
      </c>
      <c r="L23" s="30" t="str">
        <f>IF(SUMIF('Общий табель'!$C$3:$C$37,$B23,'Общий табель'!M$3:M$37)&gt;0,1,"")</f>
        <v/>
      </c>
      <c r="M23" s="30" t="str">
        <f>IF(SUMIF('Общий табель'!$C$3:$C$37,$B23,'Общий табель'!N$3:N$37)&gt;0,1,"")</f>
        <v/>
      </c>
      <c r="N23" s="30" t="str">
        <f>IF(SUMIF('Общий табель'!$C$3:$C$37,$B23,'Общий табель'!O$3:O$37)&gt;0,1,"")</f>
        <v/>
      </c>
      <c r="O23" s="30" t="str">
        <f>IF(SUMIF('Общий табель'!$C$3:$C$37,$B23,'Общий табель'!P$3:P$37)&gt;0,1,"")</f>
        <v/>
      </c>
      <c r="P23" s="30" t="str">
        <f>IF(SUMIF('Общий табель'!$C$3:$C$37,$B23,'Общий табель'!Q$3:Q$37)&gt;0,1,"")</f>
        <v/>
      </c>
      <c r="Q23" s="30" t="str">
        <f>IF(SUMIF('Общий табель'!$C$3:$C$37,$B23,'Общий табель'!R$3:R$37)&gt;0,1,"")</f>
        <v/>
      </c>
      <c r="R23" s="30" t="str">
        <f>IF(SUMIF('Общий табель'!$C$3:$C$37,$B23,'Общий табель'!S$3:S$37)&gt;0,1,"")</f>
        <v/>
      </c>
      <c r="S23" s="30" t="str">
        <f>IF(SUMIF('Общий табель'!$C$3:$C$37,$B23,'Общий табель'!T$3:T$37)&gt;0,1,"")</f>
        <v/>
      </c>
      <c r="T23" s="30" t="str">
        <f>IF(SUMIF('Общий табель'!$C$3:$C$37,$B23,'Общий табель'!U$3:U$37)&gt;0,1,"")</f>
        <v/>
      </c>
      <c r="U23" s="30" t="str">
        <f>IF(SUMIF('Общий табель'!$C$3:$C$37,$B23,'Общий табель'!V$3:V$37)&gt;0,1,"")</f>
        <v/>
      </c>
      <c r="V23" s="30" t="str">
        <f>IF(SUMIF('Общий табель'!$C$3:$C$37,$B23,'Общий табель'!W$3:W$37)&gt;0,1,"")</f>
        <v/>
      </c>
      <c r="W23" s="30" t="str">
        <f>IF(SUMIF('Общий табель'!$C$3:$C$37,$B23,'Общий табель'!X$3:X$37)&gt;0,1,"")</f>
        <v/>
      </c>
      <c r="X23" s="30" t="str">
        <f>IF(SUMIF('Общий табель'!$C$3:$C$37,$B23,'Общий табель'!Y$3:Y$37)&gt;0,1,"")</f>
        <v/>
      </c>
      <c r="Y23" s="30" t="str">
        <f>IF(SUMIF('Общий табель'!$C$3:$C$37,$B23,'Общий табель'!Z$3:Z$37)&gt;0,1,"")</f>
        <v/>
      </c>
      <c r="Z23" s="30" t="str">
        <f>IF(SUMIF('Общий табель'!$C$3:$C$37,$B23,'Общий табель'!AA$3:AA$37)&gt;0,1,"")</f>
        <v/>
      </c>
      <c r="AA23" s="30" t="str">
        <f>IF(SUMIF('Общий табель'!$C$3:$C$37,$B23,'Общий табель'!AB$3:AB$37)&gt;0,1,"")</f>
        <v/>
      </c>
      <c r="AB23" s="30" t="str">
        <f>IF(SUMIF('Общий табель'!$C$3:$C$37,$B23,'Общий табель'!AC$3:AC$37)&gt;0,1,"")</f>
        <v/>
      </c>
      <c r="AC23" s="30" t="str">
        <f>IF(SUMIF('Общий табель'!$C$3:$C$37,$B23,'Общий табель'!AD$3:AD$37)&gt;0,1,"")</f>
        <v/>
      </c>
      <c r="AD23" s="30" t="str">
        <f>IF(SUMIF('Общий табель'!$C$3:$C$37,$B23,'Общий табель'!AE$3:AE$37)&gt;0,1,"")</f>
        <v/>
      </c>
      <c r="AE23" s="30" t="str">
        <f>IF(SUMIF('Общий табель'!$C$3:$C$37,$B23,'Общий табель'!AF$3:AF$37)&gt;0,1,"")</f>
        <v/>
      </c>
      <c r="AF23" s="30" t="str">
        <f>IF(SUMIF('Общий табель'!$C$3:$C$37,$B23,'Общий табель'!AG$3:AG$37)&gt;0,1,"")</f>
        <v/>
      </c>
      <c r="AG23" s="30" t="str">
        <f>IF(SUMIF('Общий табель'!$C$3:$C$37,$B23,'Общий табель'!AH$3:AH$37)&gt;0,1,"")</f>
        <v/>
      </c>
      <c r="AH23" s="30" t="str">
        <f>IF(SUMIF('Общий табель'!$C$3:$C$37,$B23,'Общий табель'!AI$3:AI$37)&gt;0,1,"")</f>
        <v/>
      </c>
      <c r="AI23" s="30">
        <f t="shared" si="0"/>
        <v>0</v>
      </c>
      <c r="AJ23" s="36"/>
      <c r="AK23" s="29"/>
    </row>
    <row r="24" spans="1:37" ht="23.1" customHeight="1">
      <c r="A24" s="34">
        <v>17</v>
      </c>
      <c r="B24" s="35" t="s">
        <v>40</v>
      </c>
      <c r="C24" s="35" t="s">
        <v>234</v>
      </c>
      <c r="D24" s="30" t="str">
        <f>IF(SUMIF('Общий табель'!$C$3:$C$37,B24,'Общий табель'!$E$3:$E$37)&gt;0,1,"")</f>
        <v/>
      </c>
      <c r="E24" s="30" t="str">
        <f>IF(SUMIF('Общий табель'!$C$3:$C$37,$B24,'Общий табель'!F$3:F$37)&gt;0,1,"")</f>
        <v/>
      </c>
      <c r="F24" s="30" t="str">
        <f>IF(SUMIF('Общий табель'!$C$3:$C$37,$B24,'Общий табель'!G$3:G$37)&gt;0,1,"")</f>
        <v/>
      </c>
      <c r="G24" s="30" t="str">
        <f>IF(SUMIF('Общий табель'!$C$3:$C$37,$B24,'Общий табель'!H$3:H$37)&gt;0,1,"")</f>
        <v/>
      </c>
      <c r="H24" s="30" t="str">
        <f>IF(SUMIF('Общий табель'!$C$3:$C$37,$B24,'Общий табель'!I$3:I$37)&gt;0,1,"")</f>
        <v/>
      </c>
      <c r="I24" s="30" t="str">
        <f>IF(SUMIF('Общий табель'!$C$3:$C$37,$B24,'Общий табель'!J$3:J$37)&gt;0,1,"")</f>
        <v/>
      </c>
      <c r="J24" s="30" t="str">
        <f>IF(SUMIF('Общий табель'!$C$3:$C$37,$B24,'Общий табель'!K$3:K$37)&gt;0,1,"")</f>
        <v/>
      </c>
      <c r="K24" s="30" t="str">
        <f>IF(SUMIF('Общий табель'!$C$3:$C$37,$B24,'Общий табель'!L$3:L$37)&gt;0,1,"")</f>
        <v/>
      </c>
      <c r="L24" s="30" t="str">
        <f>IF(SUMIF('Общий табель'!$C$3:$C$37,$B24,'Общий табель'!M$3:M$37)&gt;0,1,"")</f>
        <v/>
      </c>
      <c r="M24" s="30" t="str">
        <f>IF(SUMIF('Общий табель'!$C$3:$C$37,$B24,'Общий табель'!N$3:N$37)&gt;0,1,"")</f>
        <v/>
      </c>
      <c r="N24" s="30" t="str">
        <f>IF(SUMIF('Общий табель'!$C$3:$C$37,$B24,'Общий табель'!O$3:O$37)&gt;0,1,"")</f>
        <v/>
      </c>
      <c r="O24" s="30" t="str">
        <f>IF(SUMIF('Общий табель'!$C$3:$C$37,$B24,'Общий табель'!P$3:P$37)&gt;0,1,"")</f>
        <v/>
      </c>
      <c r="P24" s="30" t="str">
        <f>IF(SUMIF('Общий табель'!$C$3:$C$37,$B24,'Общий табель'!Q$3:Q$37)&gt;0,1,"")</f>
        <v/>
      </c>
      <c r="Q24" s="30" t="str">
        <f>IF(SUMIF('Общий табель'!$C$3:$C$37,$B24,'Общий табель'!R$3:R$37)&gt;0,1,"")</f>
        <v/>
      </c>
      <c r="R24" s="30" t="str">
        <f>IF(SUMIF('Общий табель'!$C$3:$C$37,$B24,'Общий табель'!S$3:S$37)&gt;0,1,"")</f>
        <v/>
      </c>
      <c r="S24" s="30" t="str">
        <f>IF(SUMIF('Общий табель'!$C$3:$C$37,$B24,'Общий табель'!T$3:T$37)&gt;0,1,"")</f>
        <v/>
      </c>
      <c r="T24" s="30" t="str">
        <f>IF(SUMIF('Общий табель'!$C$3:$C$37,$B24,'Общий табель'!U$3:U$37)&gt;0,1,"")</f>
        <v/>
      </c>
      <c r="U24" s="30" t="str">
        <f>IF(SUMIF('Общий табель'!$C$3:$C$37,$B24,'Общий табель'!V$3:V$37)&gt;0,1,"")</f>
        <v/>
      </c>
      <c r="V24" s="30" t="str">
        <f>IF(SUMIF('Общий табель'!$C$3:$C$37,$B24,'Общий табель'!W$3:W$37)&gt;0,1,"")</f>
        <v/>
      </c>
      <c r="W24" s="30" t="str">
        <f>IF(SUMIF('Общий табель'!$C$3:$C$37,$B24,'Общий табель'!X$3:X$37)&gt;0,1,"")</f>
        <v/>
      </c>
      <c r="X24" s="30" t="str">
        <f>IF(SUMIF('Общий табель'!$C$3:$C$37,$B24,'Общий табель'!Y$3:Y$37)&gt;0,1,"")</f>
        <v/>
      </c>
      <c r="Y24" s="30" t="str">
        <f>IF(SUMIF('Общий табель'!$C$3:$C$37,$B24,'Общий табель'!Z$3:Z$37)&gt;0,1,"")</f>
        <v/>
      </c>
      <c r="Z24" s="30" t="str">
        <f>IF(SUMIF('Общий табель'!$C$3:$C$37,$B24,'Общий табель'!AA$3:AA$37)&gt;0,1,"")</f>
        <v/>
      </c>
      <c r="AA24" s="30" t="str">
        <f>IF(SUMIF('Общий табель'!$C$3:$C$37,$B24,'Общий табель'!AB$3:AB$37)&gt;0,1,"")</f>
        <v/>
      </c>
      <c r="AB24" s="30" t="str">
        <f>IF(SUMIF('Общий табель'!$C$3:$C$37,$B24,'Общий табель'!AC$3:AC$37)&gt;0,1,"")</f>
        <v/>
      </c>
      <c r="AC24" s="30" t="str">
        <f>IF(SUMIF('Общий табель'!$C$3:$C$37,$B24,'Общий табель'!AD$3:AD$37)&gt;0,1,"")</f>
        <v/>
      </c>
      <c r="AD24" s="30" t="str">
        <f>IF(SUMIF('Общий табель'!$C$3:$C$37,$B24,'Общий табель'!AE$3:AE$37)&gt;0,1,"")</f>
        <v/>
      </c>
      <c r="AE24" s="30" t="str">
        <f>IF(SUMIF('Общий табель'!$C$3:$C$37,$B24,'Общий табель'!AF$3:AF$37)&gt;0,1,"")</f>
        <v/>
      </c>
      <c r="AF24" s="30" t="str">
        <f>IF(SUMIF('Общий табель'!$C$3:$C$37,$B24,'Общий табель'!AG$3:AG$37)&gt;0,1,"")</f>
        <v/>
      </c>
      <c r="AG24" s="30" t="str">
        <f>IF(SUMIF('Общий табель'!$C$3:$C$37,$B24,'Общий табель'!AH$3:AH$37)&gt;0,1,"")</f>
        <v/>
      </c>
      <c r="AH24" s="30" t="str">
        <f>IF(SUMIF('Общий табель'!$C$3:$C$37,$B24,'Общий табель'!AI$3:AI$37)&gt;0,1,"")</f>
        <v/>
      </c>
      <c r="AI24" s="30">
        <f t="shared" si="0"/>
        <v>0</v>
      </c>
      <c r="AJ24" s="33"/>
      <c r="AK24" s="29"/>
    </row>
    <row r="25" spans="1:37" ht="23.1" customHeight="1">
      <c r="A25" s="34">
        <v>18</v>
      </c>
      <c r="B25" s="35" t="s">
        <v>52</v>
      </c>
      <c r="C25" s="35" t="s">
        <v>235</v>
      </c>
      <c r="D25" s="30" t="str">
        <f>IF(SUMIF('Общий табель'!$C$3:$C$37,B25,'Общий табель'!$E$3:$E$37)&gt;0,1,"")</f>
        <v/>
      </c>
      <c r="E25" s="30" t="str">
        <f>IF(SUMIF('Общий табель'!$C$3:$C$37,$B25,'Общий табель'!F$3:F$37)&gt;0,1,"")</f>
        <v/>
      </c>
      <c r="F25" s="30" t="str">
        <f>IF(SUMIF('Общий табель'!$C$3:$C$37,$B25,'Общий табель'!G$3:G$37)&gt;0,1,"")</f>
        <v/>
      </c>
      <c r="G25" s="30" t="str">
        <f>IF(SUMIF('Общий табель'!$C$3:$C$37,$B25,'Общий табель'!H$3:H$37)&gt;0,1,"")</f>
        <v/>
      </c>
      <c r="H25" s="30" t="str">
        <f>IF(SUMIF('Общий табель'!$C$3:$C$37,$B25,'Общий табель'!I$3:I$37)&gt;0,1,"")</f>
        <v/>
      </c>
      <c r="I25" s="30" t="str">
        <f>IF(SUMIF('Общий табель'!$C$3:$C$37,$B25,'Общий табель'!J$3:J$37)&gt;0,1,"")</f>
        <v/>
      </c>
      <c r="J25" s="30" t="str">
        <f>IF(SUMIF('Общий табель'!$C$3:$C$37,$B25,'Общий табель'!K$3:K$37)&gt;0,1,"")</f>
        <v/>
      </c>
      <c r="K25" s="30" t="str">
        <f>IF(SUMIF('Общий табель'!$C$3:$C$37,$B25,'Общий табель'!L$3:L$37)&gt;0,1,"")</f>
        <v/>
      </c>
      <c r="L25" s="30" t="str">
        <f>IF(SUMIF('Общий табель'!$C$3:$C$37,$B25,'Общий табель'!M$3:M$37)&gt;0,1,"")</f>
        <v/>
      </c>
      <c r="M25" s="30" t="str">
        <f>IF(SUMIF('Общий табель'!$C$3:$C$37,$B25,'Общий табель'!N$3:N$37)&gt;0,1,"")</f>
        <v/>
      </c>
      <c r="N25" s="30" t="str">
        <f>IF(SUMIF('Общий табель'!$C$3:$C$37,$B25,'Общий табель'!O$3:O$37)&gt;0,1,"")</f>
        <v/>
      </c>
      <c r="O25" s="30" t="str">
        <f>IF(SUMIF('Общий табель'!$C$3:$C$37,$B25,'Общий табель'!P$3:P$37)&gt;0,1,"")</f>
        <v/>
      </c>
      <c r="P25" s="30" t="str">
        <f>IF(SUMIF('Общий табель'!$C$3:$C$37,$B25,'Общий табель'!Q$3:Q$37)&gt;0,1,"")</f>
        <v/>
      </c>
      <c r="Q25" s="30" t="str">
        <f>IF(SUMIF('Общий табель'!$C$3:$C$37,$B25,'Общий табель'!R$3:R$37)&gt;0,1,"")</f>
        <v/>
      </c>
      <c r="R25" s="30" t="str">
        <f>IF(SUMIF('Общий табель'!$C$3:$C$37,$B25,'Общий табель'!S$3:S$37)&gt;0,1,"")</f>
        <v/>
      </c>
      <c r="S25" s="30" t="str">
        <f>IF(SUMIF('Общий табель'!$C$3:$C$37,$B25,'Общий табель'!T$3:T$37)&gt;0,1,"")</f>
        <v/>
      </c>
      <c r="T25" s="30" t="str">
        <f>IF(SUMIF('Общий табель'!$C$3:$C$37,$B25,'Общий табель'!U$3:U$37)&gt;0,1,"")</f>
        <v/>
      </c>
      <c r="U25" s="30" t="str">
        <f>IF(SUMIF('Общий табель'!$C$3:$C$37,$B25,'Общий табель'!V$3:V$37)&gt;0,1,"")</f>
        <v/>
      </c>
      <c r="V25" s="30" t="str">
        <f>IF(SUMIF('Общий табель'!$C$3:$C$37,$B25,'Общий табель'!W$3:W$37)&gt;0,1,"")</f>
        <v/>
      </c>
      <c r="W25" s="30" t="str">
        <f>IF(SUMIF('Общий табель'!$C$3:$C$37,$B25,'Общий табель'!X$3:X$37)&gt;0,1,"")</f>
        <v/>
      </c>
      <c r="X25" s="30" t="str">
        <f>IF(SUMIF('Общий табель'!$C$3:$C$37,$B25,'Общий табель'!Y$3:Y$37)&gt;0,1,"")</f>
        <v/>
      </c>
      <c r="Y25" s="30" t="str">
        <f>IF(SUMIF('Общий табель'!$C$3:$C$37,$B25,'Общий табель'!Z$3:Z$37)&gt;0,1,"")</f>
        <v/>
      </c>
      <c r="Z25" s="30" t="str">
        <f>IF(SUMIF('Общий табель'!$C$3:$C$37,$B25,'Общий табель'!AA$3:AA$37)&gt;0,1,"")</f>
        <v/>
      </c>
      <c r="AA25" s="30" t="str">
        <f>IF(SUMIF('Общий табель'!$C$3:$C$37,$B25,'Общий табель'!AB$3:AB$37)&gt;0,1,"")</f>
        <v/>
      </c>
      <c r="AB25" s="30" t="str">
        <f>IF(SUMIF('Общий табель'!$C$3:$C$37,$B25,'Общий табель'!AC$3:AC$37)&gt;0,1,"")</f>
        <v/>
      </c>
      <c r="AC25" s="30" t="str">
        <f>IF(SUMIF('Общий табель'!$C$3:$C$37,$B25,'Общий табель'!AD$3:AD$37)&gt;0,1,"")</f>
        <v/>
      </c>
      <c r="AD25" s="30" t="str">
        <f>IF(SUMIF('Общий табель'!$C$3:$C$37,$B25,'Общий табель'!AE$3:AE$37)&gt;0,1,"")</f>
        <v/>
      </c>
      <c r="AE25" s="30" t="str">
        <f>IF(SUMIF('Общий табель'!$C$3:$C$37,$B25,'Общий табель'!AF$3:AF$37)&gt;0,1,"")</f>
        <v/>
      </c>
      <c r="AF25" s="30" t="str">
        <f>IF(SUMIF('Общий табель'!$C$3:$C$37,$B25,'Общий табель'!AG$3:AG$37)&gt;0,1,"")</f>
        <v/>
      </c>
      <c r="AG25" s="30" t="str">
        <f>IF(SUMIF('Общий табель'!$C$3:$C$37,$B25,'Общий табель'!AH$3:AH$37)&gt;0,1,"")</f>
        <v/>
      </c>
      <c r="AH25" s="30" t="str">
        <f>IF(SUMIF('Общий табель'!$C$3:$C$37,$B25,'Общий табель'!AI$3:AI$37)&gt;0,1,"")</f>
        <v/>
      </c>
      <c r="AI25" s="30">
        <f t="shared" si="0"/>
        <v>0</v>
      </c>
      <c r="AJ25" s="33"/>
      <c r="AK25" s="29"/>
    </row>
    <row r="26" spans="1:37" ht="23.1" customHeight="1">
      <c r="A26" s="34">
        <v>19</v>
      </c>
      <c r="B26" s="35" t="s">
        <v>54</v>
      </c>
      <c r="C26" s="35" t="s">
        <v>236</v>
      </c>
      <c r="D26" s="30" t="str">
        <f>IF(SUMIF('Общий табель'!$C$3:$C$37,B26,'Общий табель'!$E$3:$E$37)&gt;0,1,"")</f>
        <v/>
      </c>
      <c r="E26" s="30" t="str">
        <f>IF(SUMIF('Общий табель'!$C$3:$C$37,$B26,'Общий табель'!F$3:F$37)&gt;0,1,"")</f>
        <v/>
      </c>
      <c r="F26" s="30" t="str">
        <f>IF(SUMIF('Общий табель'!$C$3:$C$37,$B26,'Общий табель'!G$3:G$37)&gt;0,1,"")</f>
        <v/>
      </c>
      <c r="G26" s="30" t="str">
        <f>IF(SUMIF('Общий табель'!$C$3:$C$37,$B26,'Общий табель'!H$3:H$37)&gt;0,1,"")</f>
        <v/>
      </c>
      <c r="H26" s="30" t="str">
        <f>IF(SUMIF('Общий табель'!$C$3:$C$37,$B26,'Общий табель'!I$3:I$37)&gt;0,1,"")</f>
        <v/>
      </c>
      <c r="I26" s="30" t="str">
        <f>IF(SUMIF('Общий табель'!$C$3:$C$37,$B26,'Общий табель'!J$3:J$37)&gt;0,1,"")</f>
        <v/>
      </c>
      <c r="J26" s="30" t="str">
        <f>IF(SUMIF('Общий табель'!$C$3:$C$37,$B26,'Общий табель'!K$3:K$37)&gt;0,1,"")</f>
        <v/>
      </c>
      <c r="K26" s="30" t="str">
        <f>IF(SUMIF('Общий табель'!$C$3:$C$37,$B26,'Общий табель'!L$3:L$37)&gt;0,1,"")</f>
        <v/>
      </c>
      <c r="L26" s="30" t="str">
        <f>IF(SUMIF('Общий табель'!$C$3:$C$37,$B26,'Общий табель'!M$3:M$37)&gt;0,1,"")</f>
        <v/>
      </c>
      <c r="M26" s="30" t="str">
        <f>IF(SUMIF('Общий табель'!$C$3:$C$37,$B26,'Общий табель'!N$3:N$37)&gt;0,1,"")</f>
        <v/>
      </c>
      <c r="N26" s="30" t="str">
        <f>IF(SUMIF('Общий табель'!$C$3:$C$37,$B26,'Общий табель'!O$3:O$37)&gt;0,1,"")</f>
        <v/>
      </c>
      <c r="O26" s="30" t="str">
        <f>IF(SUMIF('Общий табель'!$C$3:$C$37,$B26,'Общий табель'!P$3:P$37)&gt;0,1,"")</f>
        <v/>
      </c>
      <c r="P26" s="30" t="str">
        <f>IF(SUMIF('Общий табель'!$C$3:$C$37,$B26,'Общий табель'!Q$3:Q$37)&gt;0,1,"")</f>
        <v/>
      </c>
      <c r="Q26" s="30" t="str">
        <f>IF(SUMIF('Общий табель'!$C$3:$C$37,$B26,'Общий табель'!R$3:R$37)&gt;0,1,"")</f>
        <v/>
      </c>
      <c r="R26" s="30" t="str">
        <f>IF(SUMIF('Общий табель'!$C$3:$C$37,$B26,'Общий табель'!S$3:S$37)&gt;0,1,"")</f>
        <v/>
      </c>
      <c r="S26" s="30" t="str">
        <f>IF(SUMIF('Общий табель'!$C$3:$C$37,$B26,'Общий табель'!T$3:T$37)&gt;0,1,"")</f>
        <v/>
      </c>
      <c r="T26" s="30" t="str">
        <f>IF(SUMIF('Общий табель'!$C$3:$C$37,$B26,'Общий табель'!U$3:U$37)&gt;0,1,"")</f>
        <v/>
      </c>
      <c r="U26" s="30" t="str">
        <f>IF(SUMIF('Общий табель'!$C$3:$C$37,$B26,'Общий табель'!V$3:V$37)&gt;0,1,"")</f>
        <v/>
      </c>
      <c r="V26" s="30" t="str">
        <f>IF(SUMIF('Общий табель'!$C$3:$C$37,$B26,'Общий табель'!W$3:W$37)&gt;0,1,"")</f>
        <v/>
      </c>
      <c r="W26" s="30" t="str">
        <f>IF(SUMIF('Общий табель'!$C$3:$C$37,$B26,'Общий табель'!X$3:X$37)&gt;0,1,"")</f>
        <v/>
      </c>
      <c r="X26" s="30" t="str">
        <f>IF(SUMIF('Общий табель'!$C$3:$C$37,$B26,'Общий табель'!Y$3:Y$37)&gt;0,1,"")</f>
        <v/>
      </c>
      <c r="Y26" s="30" t="str">
        <f>IF(SUMIF('Общий табель'!$C$3:$C$37,$B26,'Общий табель'!Z$3:Z$37)&gt;0,1,"")</f>
        <v/>
      </c>
      <c r="Z26" s="30" t="str">
        <f>IF(SUMIF('Общий табель'!$C$3:$C$37,$B26,'Общий табель'!AA$3:AA$37)&gt;0,1,"")</f>
        <v/>
      </c>
      <c r="AA26" s="30" t="str">
        <f>IF(SUMIF('Общий табель'!$C$3:$C$37,$B26,'Общий табель'!AB$3:AB$37)&gt;0,1,"")</f>
        <v/>
      </c>
      <c r="AB26" s="30" t="str">
        <f>IF(SUMIF('Общий табель'!$C$3:$C$37,$B26,'Общий табель'!AC$3:AC$37)&gt;0,1,"")</f>
        <v/>
      </c>
      <c r="AC26" s="30" t="str">
        <f>IF(SUMIF('Общий табель'!$C$3:$C$37,$B26,'Общий табель'!AD$3:AD$37)&gt;0,1,"")</f>
        <v/>
      </c>
      <c r="AD26" s="30" t="str">
        <f>IF(SUMIF('Общий табель'!$C$3:$C$37,$B26,'Общий табель'!AE$3:AE$37)&gt;0,1,"")</f>
        <v/>
      </c>
      <c r="AE26" s="30" t="str">
        <f>IF(SUMIF('Общий табель'!$C$3:$C$37,$B26,'Общий табель'!AF$3:AF$37)&gt;0,1,"")</f>
        <v/>
      </c>
      <c r="AF26" s="30" t="str">
        <f>IF(SUMIF('Общий табель'!$C$3:$C$37,$B26,'Общий табель'!AG$3:AG$37)&gt;0,1,"")</f>
        <v/>
      </c>
      <c r="AG26" s="30" t="str">
        <f>IF(SUMIF('Общий табель'!$C$3:$C$37,$B26,'Общий табель'!AH$3:AH$37)&gt;0,1,"")</f>
        <v/>
      </c>
      <c r="AH26" s="30" t="str">
        <f>IF(SUMIF('Общий табель'!$C$3:$C$37,$B26,'Общий табель'!AI$3:AI$37)&gt;0,1,"")</f>
        <v/>
      </c>
      <c r="AI26" s="30">
        <f t="shared" si="0"/>
        <v>0</v>
      </c>
      <c r="AJ26" s="33"/>
      <c r="AK26" s="29"/>
    </row>
    <row r="27" spans="1:37" ht="18.600000000000001" customHeight="1">
      <c r="A27" s="37"/>
      <c r="B27" s="38"/>
      <c r="C27" s="92"/>
      <c r="D27" s="92"/>
      <c r="E27" s="92"/>
      <c r="F27" s="92"/>
      <c r="G27" s="92"/>
      <c r="H27" s="92"/>
      <c r="I27" s="92"/>
      <c r="J27" s="92"/>
      <c r="K27" s="92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94"/>
      <c r="AJ27" s="95"/>
      <c r="AK27" s="29"/>
    </row>
    <row r="28" spans="1:37" ht="18.600000000000001" customHeight="1">
      <c r="A28" s="40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3"/>
      <c r="AJ28" s="44"/>
      <c r="AK28" s="29"/>
    </row>
    <row r="29" spans="1:37" ht="18.600000000000001" customHeight="1">
      <c r="A29" s="96" t="s">
        <v>163</v>
      </c>
      <c r="B29" s="96"/>
      <c r="C29" s="97" t="e">
        <f>#REF!</f>
        <v>#REF!</v>
      </c>
      <c r="D29" s="98"/>
      <c r="E29" s="98"/>
      <c r="F29" s="98"/>
      <c r="G29" s="98"/>
      <c r="U29" s="22" t="s">
        <v>164</v>
      </c>
      <c r="AJ29" s="45"/>
      <c r="AK29" s="29"/>
    </row>
    <row r="30" spans="1:37" ht="18.600000000000001" customHeight="1">
      <c r="A30" s="18" t="s">
        <v>162</v>
      </c>
      <c r="J30" s="4" t="s">
        <v>275</v>
      </c>
    </row>
    <row r="31" spans="1:37" ht="18.600000000000001" customHeight="1">
      <c r="O31" s="4" t="s">
        <v>232</v>
      </c>
    </row>
    <row r="32" spans="1:37" ht="18.600000000000001" customHeight="1">
      <c r="A32" s="84" t="s">
        <v>161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</row>
    <row r="33" spans="1:36" ht="18.600000000000001" customHeight="1">
      <c r="A33" s="23" t="s">
        <v>228</v>
      </c>
      <c r="B33" s="24"/>
      <c r="C33" s="25" t="s">
        <v>230</v>
      </c>
      <c r="D33" s="93" t="s">
        <v>229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9" t="e">
        <f>#REF!</f>
        <v>#REF!</v>
      </c>
      <c r="X33" s="100"/>
      <c r="Y33" s="100"/>
      <c r="Z33" s="100"/>
      <c r="AA33" s="100"/>
      <c r="AB33" s="100"/>
      <c r="AC33" s="100"/>
      <c r="AD33" s="100"/>
      <c r="AE33" s="26"/>
      <c r="AF33" s="26"/>
      <c r="AG33" s="26"/>
      <c r="AH33" s="26"/>
      <c r="AI33" s="26"/>
      <c r="AJ33" s="26"/>
    </row>
    <row r="34" spans="1:36" ht="18.600000000000001" customHeight="1">
      <c r="A34" s="27"/>
    </row>
    <row r="35" spans="1:36" ht="23.1" customHeight="1">
      <c r="A35" s="85" t="s">
        <v>160</v>
      </c>
      <c r="B35" s="85" t="s">
        <v>159</v>
      </c>
      <c r="C35" s="28" t="s">
        <v>27</v>
      </c>
      <c r="D35" s="86" t="s">
        <v>158</v>
      </c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8"/>
      <c r="AI35" s="89" t="s">
        <v>233</v>
      </c>
      <c r="AJ35" s="90" t="s">
        <v>157</v>
      </c>
    </row>
    <row r="36" spans="1:36" ht="23.1" customHeight="1">
      <c r="A36" s="85"/>
      <c r="B36" s="85"/>
      <c r="C36" s="28" t="s">
        <v>156</v>
      </c>
      <c r="D36" s="30">
        <v>1</v>
      </c>
      <c r="E36" s="30">
        <v>2</v>
      </c>
      <c r="F36" s="30">
        <v>3</v>
      </c>
      <c r="G36" s="30">
        <v>4</v>
      </c>
      <c r="H36" s="30">
        <v>5</v>
      </c>
      <c r="I36" s="30">
        <v>6</v>
      </c>
      <c r="J36" s="30">
        <v>7</v>
      </c>
      <c r="K36" s="30">
        <v>8</v>
      </c>
      <c r="L36" s="30">
        <v>9</v>
      </c>
      <c r="M36" s="30">
        <v>10</v>
      </c>
      <c r="N36" s="30">
        <v>11</v>
      </c>
      <c r="O36" s="30">
        <v>12</v>
      </c>
      <c r="P36" s="30">
        <v>13</v>
      </c>
      <c r="Q36" s="30">
        <v>14</v>
      </c>
      <c r="R36" s="30">
        <v>15</v>
      </c>
      <c r="S36" s="30">
        <v>16</v>
      </c>
      <c r="T36" s="30">
        <v>17</v>
      </c>
      <c r="U36" s="30">
        <v>18</v>
      </c>
      <c r="V36" s="30">
        <v>19</v>
      </c>
      <c r="W36" s="30">
        <v>20</v>
      </c>
      <c r="X36" s="30">
        <v>21</v>
      </c>
      <c r="Y36" s="30">
        <v>22</v>
      </c>
      <c r="Z36" s="30">
        <v>23</v>
      </c>
      <c r="AA36" s="30">
        <v>24</v>
      </c>
      <c r="AB36" s="30">
        <v>25</v>
      </c>
      <c r="AC36" s="30">
        <v>26</v>
      </c>
      <c r="AD36" s="30">
        <v>27</v>
      </c>
      <c r="AE36" s="30">
        <v>28</v>
      </c>
      <c r="AF36" s="30">
        <v>29</v>
      </c>
      <c r="AG36" s="30">
        <v>30</v>
      </c>
      <c r="AH36" s="30">
        <v>31</v>
      </c>
      <c r="AI36" s="89"/>
      <c r="AJ36" s="91"/>
    </row>
    <row r="37" spans="1:36" ht="23.1" customHeight="1">
      <c r="A37" s="31">
        <v>20</v>
      </c>
      <c r="B37" s="32" t="s">
        <v>21</v>
      </c>
      <c r="C37" s="32" t="s">
        <v>237</v>
      </c>
      <c r="D37" s="30" t="str">
        <f>IF(SUMIF('Общий табель'!$C$3:$C$37,$B$8,'Общий табель'!E32:E66)&gt;0,1,"")</f>
        <v/>
      </c>
      <c r="E37" s="30" t="str">
        <f>IF(SUMIF('Общий табель'!$C$3:$C$37,$B37,'Общий табель'!F$3:F$37)&gt;0,1,"")</f>
        <v/>
      </c>
      <c r="F37" s="30" t="str">
        <f>IF(SUMIF('Общий табель'!$C$3:$C$37,$B37,'Общий табель'!G$3:G$37)&gt;0,1,"")</f>
        <v/>
      </c>
      <c r="G37" s="30" t="str">
        <f>IF(SUMIF('Общий табель'!$C$3:$C$37,$B37,'Общий табель'!H$3:H$37)&gt;0,1,"")</f>
        <v/>
      </c>
      <c r="H37" s="30" t="str">
        <f>IF(SUMIF('Общий табель'!$C$3:$C$37,$B37,'Общий табель'!I$3:I$37)&gt;0,1,"")</f>
        <v/>
      </c>
      <c r="I37" s="30" t="str">
        <f>IF(SUMIF('Общий табель'!$C$3:$C$37,$B37,'Общий табель'!J$3:J$37)&gt;0,1,"")</f>
        <v/>
      </c>
      <c r="J37" s="30" t="str">
        <f>IF(SUMIF('Общий табель'!$C$3:$C$37,$B37,'Общий табель'!K$3:K$37)&gt;0,1,"")</f>
        <v/>
      </c>
      <c r="K37" s="30" t="str">
        <f>IF(SUMIF('Общий табель'!$C$3:$C$37,$B37,'Общий табель'!L$3:L$37)&gt;0,1,"")</f>
        <v/>
      </c>
      <c r="L37" s="30" t="str">
        <f>IF(SUMIF('Общий табель'!$C$3:$C$37,$B37,'Общий табель'!M$3:M$37)&gt;0,1,"")</f>
        <v/>
      </c>
      <c r="M37" s="30" t="str">
        <f>IF(SUMIF('Общий табель'!$C$3:$C$37,$B37,'Общий табель'!N$3:N$37)&gt;0,1,"")</f>
        <v/>
      </c>
      <c r="N37" s="30" t="str">
        <f>IF(SUMIF('Общий табель'!$C$3:$C$37,$B37,'Общий табель'!O$3:O$37)&gt;0,1,"")</f>
        <v/>
      </c>
      <c r="O37" s="30" t="str">
        <f>IF(SUMIF('Общий табель'!$C$3:$C$37,$B37,'Общий табель'!P$3:P$37)&gt;0,1,"")</f>
        <v/>
      </c>
      <c r="P37" s="30" t="str">
        <f>IF(SUMIF('Общий табель'!$C$3:$C$37,$B37,'Общий табель'!Q$3:Q$37)&gt;0,1,"")</f>
        <v/>
      </c>
      <c r="Q37" s="30" t="str">
        <f>IF(SUMIF('Общий табель'!$C$3:$C$37,$B37,'Общий табель'!R$3:R$37)&gt;0,1,"")</f>
        <v/>
      </c>
      <c r="R37" s="30" t="str">
        <f>IF(SUMIF('Общий табель'!$C$3:$C$37,$B37,'Общий табель'!S$3:S$37)&gt;0,1,"")</f>
        <v/>
      </c>
      <c r="S37" s="30" t="str">
        <f>IF(SUMIF('Общий табель'!$C$3:$C$37,$B37,'Общий табель'!T$3:T$37)&gt;0,1,"")</f>
        <v/>
      </c>
      <c r="T37" s="30" t="str">
        <f>IF(SUMIF('Общий табель'!$C$3:$C$37,$B37,'Общий табель'!U$3:U$37)&gt;0,1,"")</f>
        <v/>
      </c>
      <c r="U37" s="30" t="str">
        <f>IF(SUMIF('Общий табель'!$C$3:$C$37,$B37,'Общий табель'!V$3:V$37)&gt;0,1,"")</f>
        <v/>
      </c>
      <c r="V37" s="30" t="str">
        <f>IF(SUMIF('Общий табель'!$C$3:$C$37,$B37,'Общий табель'!W$3:W$37)&gt;0,1,"")</f>
        <v/>
      </c>
      <c r="W37" s="30" t="str">
        <f>IF(SUMIF('Общий табель'!$C$3:$C$37,$B37,'Общий табель'!X$3:X$37)&gt;0,1,"")</f>
        <v/>
      </c>
      <c r="X37" s="30" t="str">
        <f>IF(SUMIF('Общий табель'!$C$3:$C$37,$B37,'Общий табель'!Y$3:Y$37)&gt;0,1,"")</f>
        <v/>
      </c>
      <c r="Y37" s="30" t="str">
        <f>IF(SUMIF('Общий табель'!$C$3:$C$37,$B37,'Общий табель'!Z$3:Z$37)&gt;0,1,"")</f>
        <v/>
      </c>
      <c r="Z37" s="30" t="str">
        <f>IF(SUMIF('Общий табель'!$C$3:$C$37,$B37,'Общий табель'!AA$3:AA$37)&gt;0,1,"")</f>
        <v/>
      </c>
      <c r="AA37" s="30" t="str">
        <f>IF(SUMIF('Общий табель'!$C$3:$C$37,$B37,'Общий табель'!AB$3:AB$37)&gt;0,1,"")</f>
        <v/>
      </c>
      <c r="AB37" s="30" t="str">
        <f>IF(SUMIF('Общий табель'!$C$3:$C$37,$B37,'Общий табель'!AC$3:AC$37)&gt;0,1,"")</f>
        <v/>
      </c>
      <c r="AC37" s="30" t="str">
        <f>IF(SUMIF('Общий табель'!$C$3:$C$37,$B37,'Общий табель'!AD$3:AD$37)&gt;0,1,"")</f>
        <v/>
      </c>
      <c r="AD37" s="30" t="str">
        <f>IF(SUMIF('Общий табель'!$C$3:$C$37,$B37,'Общий табель'!AE$3:AE$37)&gt;0,1,"")</f>
        <v/>
      </c>
      <c r="AE37" s="30" t="str">
        <f>IF(SUMIF('Общий табель'!$C$3:$C$37,$B37,'Общий табель'!AF$3:AF$37)&gt;0,1,"")</f>
        <v/>
      </c>
      <c r="AF37" s="30" t="str">
        <f>IF(SUMIF('Общий табель'!$C$3:$C$37,$B37,'Общий табель'!AG$3:AG$37)&gt;0,1,"")</f>
        <v/>
      </c>
      <c r="AG37" s="30" t="str">
        <f>IF(SUMIF('Общий табель'!$C$3:$C$37,$B37,'Общий табель'!AH$3:AH$37)&gt;0,1,"")</f>
        <v/>
      </c>
      <c r="AH37" s="30" t="str">
        <f>IF(SUMIF('Общий табель'!$C$3:$C$37,$B37,'Общий табель'!AI$3:AI$37)&gt;0,1,"")</f>
        <v/>
      </c>
      <c r="AI37" s="30">
        <f>SUM(D37:AH37)</f>
        <v>0</v>
      </c>
      <c r="AJ37" s="33"/>
    </row>
    <row r="38" spans="1:36" ht="23.1" customHeight="1">
      <c r="A38" s="31">
        <v>21</v>
      </c>
      <c r="B38" s="32" t="s">
        <v>10</v>
      </c>
      <c r="C38" s="32" t="s">
        <v>238</v>
      </c>
      <c r="D38" s="30" t="str">
        <f>IF(SUMIF('Общий табель'!$C$3:$C$37,B38,'Общий табель'!$E$3:$E$37)&gt;0,1,"")</f>
        <v/>
      </c>
      <c r="E38" s="30" t="str">
        <f>IF(SUMIF('Общий табель'!$C$3:$C$37,$B38,'Общий табель'!F$3:F$37)&gt;0,1,"")</f>
        <v/>
      </c>
      <c r="F38" s="30" t="str">
        <f>IF(SUMIF('Общий табель'!$C$3:$C$37,$B38,'Общий табель'!G$3:G$37)&gt;0,1,"")</f>
        <v/>
      </c>
      <c r="G38" s="30" t="str">
        <f>IF(SUMIF('Общий табель'!$C$3:$C$37,$B38,'Общий табель'!H$3:H$37)&gt;0,1,"")</f>
        <v/>
      </c>
      <c r="H38" s="30" t="str">
        <f>IF(SUMIF('Общий табель'!$C$3:$C$37,$B38,'Общий табель'!I$3:I$37)&gt;0,1,"")</f>
        <v/>
      </c>
      <c r="I38" s="30" t="str">
        <f>IF(SUMIF('Общий табель'!$C$3:$C$37,$B38,'Общий табель'!J$3:J$37)&gt;0,1,"")</f>
        <v/>
      </c>
      <c r="J38" s="30" t="str">
        <f>IF(SUMIF('Общий табель'!$C$3:$C$37,$B38,'Общий табель'!K$3:K$37)&gt;0,1,"")</f>
        <v/>
      </c>
      <c r="K38" s="30" t="str">
        <f>IF(SUMIF('Общий табель'!$C$3:$C$37,$B38,'Общий табель'!L$3:L$37)&gt;0,1,"")</f>
        <v/>
      </c>
      <c r="L38" s="30" t="str">
        <f>IF(SUMIF('Общий табель'!$C$3:$C$37,$B38,'Общий табель'!M$3:M$37)&gt;0,1,"")</f>
        <v/>
      </c>
      <c r="M38" s="30" t="str">
        <f>IF(SUMIF('Общий табель'!$C$3:$C$37,$B38,'Общий табель'!N$3:N$37)&gt;0,1,"")</f>
        <v/>
      </c>
      <c r="N38" s="30" t="str">
        <f>IF(SUMIF('Общий табель'!$C$3:$C$37,$B38,'Общий табель'!O$3:O$37)&gt;0,1,"")</f>
        <v/>
      </c>
      <c r="O38" s="30" t="str">
        <f>IF(SUMIF('Общий табель'!$C$3:$C$37,$B38,'Общий табель'!P$3:P$37)&gt;0,1,"")</f>
        <v/>
      </c>
      <c r="P38" s="30" t="str">
        <f>IF(SUMIF('Общий табель'!$C$3:$C$37,$B38,'Общий табель'!Q$3:Q$37)&gt;0,1,"")</f>
        <v/>
      </c>
      <c r="Q38" s="30" t="str">
        <f>IF(SUMIF('Общий табель'!$C$3:$C$37,$B38,'Общий табель'!R$3:R$37)&gt;0,1,"")</f>
        <v/>
      </c>
      <c r="R38" s="30" t="str">
        <f>IF(SUMIF('Общий табель'!$C$3:$C$37,$B38,'Общий табель'!S$3:S$37)&gt;0,1,"")</f>
        <v/>
      </c>
      <c r="S38" s="30" t="str">
        <f>IF(SUMIF('Общий табель'!$C$3:$C$37,$B38,'Общий табель'!T$3:T$37)&gt;0,1,"")</f>
        <v/>
      </c>
      <c r="T38" s="30" t="str">
        <f>IF(SUMIF('Общий табель'!$C$3:$C$37,$B38,'Общий табель'!U$3:U$37)&gt;0,1,"")</f>
        <v/>
      </c>
      <c r="U38" s="30" t="str">
        <f>IF(SUMIF('Общий табель'!$C$3:$C$37,$B38,'Общий табель'!V$3:V$37)&gt;0,1,"")</f>
        <v/>
      </c>
      <c r="V38" s="30" t="str">
        <f>IF(SUMIF('Общий табель'!$C$3:$C$37,$B38,'Общий табель'!W$3:W$37)&gt;0,1,"")</f>
        <v/>
      </c>
      <c r="W38" s="30" t="str">
        <f>IF(SUMIF('Общий табель'!$C$3:$C$37,$B38,'Общий табель'!X$3:X$37)&gt;0,1,"")</f>
        <v/>
      </c>
      <c r="X38" s="30" t="str">
        <f>IF(SUMIF('Общий табель'!$C$3:$C$37,$B38,'Общий табель'!Y$3:Y$37)&gt;0,1,"")</f>
        <v/>
      </c>
      <c r="Y38" s="30" t="str">
        <f>IF(SUMIF('Общий табель'!$C$3:$C$37,$B38,'Общий табель'!Z$3:Z$37)&gt;0,1,"")</f>
        <v/>
      </c>
      <c r="Z38" s="30" t="str">
        <f>IF(SUMIF('Общий табель'!$C$3:$C$37,$B38,'Общий табель'!AA$3:AA$37)&gt;0,1,"")</f>
        <v/>
      </c>
      <c r="AA38" s="30" t="str">
        <f>IF(SUMIF('Общий табель'!$C$3:$C$37,$B38,'Общий табель'!AB$3:AB$37)&gt;0,1,"")</f>
        <v/>
      </c>
      <c r="AB38" s="30" t="str">
        <f>IF(SUMIF('Общий табель'!$C$3:$C$37,$B38,'Общий табель'!AC$3:AC$37)&gt;0,1,"")</f>
        <v/>
      </c>
      <c r="AC38" s="30" t="str">
        <f>IF(SUMIF('Общий табель'!$C$3:$C$37,$B38,'Общий табель'!AD$3:AD$37)&gt;0,1,"")</f>
        <v/>
      </c>
      <c r="AD38" s="30" t="str">
        <f>IF(SUMIF('Общий табель'!$C$3:$C$37,$B38,'Общий табель'!AE$3:AE$37)&gt;0,1,"")</f>
        <v/>
      </c>
      <c r="AE38" s="30" t="str">
        <f>IF(SUMIF('Общий табель'!$C$3:$C$37,$B38,'Общий табель'!AF$3:AF$37)&gt;0,1,"")</f>
        <v/>
      </c>
      <c r="AF38" s="30" t="str">
        <f>IF(SUMIF('Общий табель'!$C$3:$C$37,$B38,'Общий табель'!AG$3:AG$37)&gt;0,1,"")</f>
        <v/>
      </c>
      <c r="AG38" s="30" t="str">
        <f>IF(SUMIF('Общий табель'!$C$3:$C$37,$B38,'Общий табель'!AH$3:AH$37)&gt;0,1,"")</f>
        <v/>
      </c>
      <c r="AH38" s="30" t="str">
        <f>IF(SUMIF('Общий табель'!$C$3:$C$37,$B38,'Общий табель'!AI$3:AI$37)&gt;0,1,"")</f>
        <v/>
      </c>
      <c r="AI38" s="30">
        <f t="shared" ref="AI38:AI55" si="1">SUM(D38:AH38)</f>
        <v>0</v>
      </c>
      <c r="AJ38" s="33"/>
    </row>
    <row r="39" spans="1:36" ht="23.1" customHeight="1">
      <c r="A39" s="31">
        <v>22</v>
      </c>
      <c r="B39" s="32" t="s">
        <v>25</v>
      </c>
      <c r="C39" s="32" t="s">
        <v>239</v>
      </c>
      <c r="D39" s="30" t="str">
        <f>IF(SUMIF('Общий табель'!$C$3:$C$37,B39,'Общий табель'!$E$3:$E$37)&gt;0,1,"")</f>
        <v/>
      </c>
      <c r="E39" s="30" t="str">
        <f>IF(SUMIF('Общий табель'!$C$3:$C$37,$B39,'Общий табель'!F$3:F$37)&gt;0,1,"")</f>
        <v/>
      </c>
      <c r="F39" s="30" t="str">
        <f>IF(SUMIF('Общий табель'!$C$3:$C$37,$B39,'Общий табель'!G$3:G$37)&gt;0,1,"")</f>
        <v/>
      </c>
      <c r="G39" s="30" t="str">
        <f>IF(SUMIF('Общий табель'!$C$3:$C$37,$B39,'Общий табель'!H$3:H$37)&gt;0,1,"")</f>
        <v/>
      </c>
      <c r="H39" s="30" t="str">
        <f>IF(SUMIF('Общий табель'!$C$3:$C$37,$B39,'Общий табель'!I$3:I$37)&gt;0,1,"")</f>
        <v/>
      </c>
      <c r="I39" s="30" t="str">
        <f>IF(SUMIF('Общий табель'!$C$3:$C$37,$B39,'Общий табель'!J$3:J$37)&gt;0,1,"")</f>
        <v/>
      </c>
      <c r="J39" s="30" t="str">
        <f>IF(SUMIF('Общий табель'!$C$3:$C$37,$B39,'Общий табель'!K$3:K$37)&gt;0,1,"")</f>
        <v/>
      </c>
      <c r="K39" s="30" t="str">
        <f>IF(SUMIF('Общий табель'!$C$3:$C$37,$B39,'Общий табель'!L$3:L$37)&gt;0,1,"")</f>
        <v/>
      </c>
      <c r="L39" s="30" t="str">
        <f>IF(SUMIF('Общий табель'!$C$3:$C$37,$B39,'Общий табель'!M$3:M$37)&gt;0,1,"")</f>
        <v/>
      </c>
      <c r="M39" s="30" t="str">
        <f>IF(SUMIF('Общий табель'!$C$3:$C$37,$B39,'Общий табель'!N$3:N$37)&gt;0,1,"")</f>
        <v/>
      </c>
      <c r="N39" s="30" t="str">
        <f>IF(SUMIF('Общий табель'!$C$3:$C$37,$B39,'Общий табель'!O$3:O$37)&gt;0,1,"")</f>
        <v/>
      </c>
      <c r="O39" s="30" t="str">
        <f>IF(SUMIF('Общий табель'!$C$3:$C$37,$B39,'Общий табель'!P$3:P$37)&gt;0,1,"")</f>
        <v/>
      </c>
      <c r="P39" s="30" t="str">
        <f>IF(SUMIF('Общий табель'!$C$3:$C$37,$B39,'Общий табель'!Q$3:Q$37)&gt;0,1,"")</f>
        <v/>
      </c>
      <c r="Q39" s="30" t="str">
        <f>IF(SUMIF('Общий табель'!$C$3:$C$37,$B39,'Общий табель'!R$3:R$37)&gt;0,1,"")</f>
        <v/>
      </c>
      <c r="R39" s="30" t="str">
        <f>IF(SUMIF('Общий табель'!$C$3:$C$37,$B39,'Общий табель'!S$3:S$37)&gt;0,1,"")</f>
        <v/>
      </c>
      <c r="S39" s="30" t="str">
        <f>IF(SUMIF('Общий табель'!$C$3:$C$37,$B39,'Общий табель'!T$3:T$37)&gt;0,1,"")</f>
        <v/>
      </c>
      <c r="T39" s="30" t="str">
        <f>IF(SUMIF('Общий табель'!$C$3:$C$37,$B39,'Общий табель'!U$3:U$37)&gt;0,1,"")</f>
        <v/>
      </c>
      <c r="U39" s="30" t="str">
        <f>IF(SUMIF('Общий табель'!$C$3:$C$37,$B39,'Общий табель'!V$3:V$37)&gt;0,1,"")</f>
        <v/>
      </c>
      <c r="V39" s="30" t="str">
        <f>IF(SUMIF('Общий табель'!$C$3:$C$37,$B39,'Общий табель'!W$3:W$37)&gt;0,1,"")</f>
        <v/>
      </c>
      <c r="W39" s="30" t="str">
        <f>IF(SUMIF('Общий табель'!$C$3:$C$37,$B39,'Общий табель'!X$3:X$37)&gt;0,1,"")</f>
        <v/>
      </c>
      <c r="X39" s="30" t="str">
        <f>IF(SUMIF('Общий табель'!$C$3:$C$37,$B39,'Общий табель'!Y$3:Y$37)&gt;0,1,"")</f>
        <v/>
      </c>
      <c r="Y39" s="30" t="str">
        <f>IF(SUMIF('Общий табель'!$C$3:$C$37,$B39,'Общий табель'!Z$3:Z$37)&gt;0,1,"")</f>
        <v/>
      </c>
      <c r="Z39" s="30" t="str">
        <f>IF(SUMIF('Общий табель'!$C$3:$C$37,$B39,'Общий табель'!AA$3:AA$37)&gt;0,1,"")</f>
        <v/>
      </c>
      <c r="AA39" s="30" t="str">
        <f>IF(SUMIF('Общий табель'!$C$3:$C$37,$B39,'Общий табель'!AB$3:AB$37)&gt;0,1,"")</f>
        <v/>
      </c>
      <c r="AB39" s="30" t="str">
        <f>IF(SUMIF('Общий табель'!$C$3:$C$37,$B39,'Общий табель'!AC$3:AC$37)&gt;0,1,"")</f>
        <v/>
      </c>
      <c r="AC39" s="30" t="str">
        <f>IF(SUMIF('Общий табель'!$C$3:$C$37,$B39,'Общий табель'!AD$3:AD$37)&gt;0,1,"")</f>
        <v/>
      </c>
      <c r="AD39" s="30" t="str">
        <f>IF(SUMIF('Общий табель'!$C$3:$C$37,$B39,'Общий табель'!AE$3:AE$37)&gt;0,1,"")</f>
        <v/>
      </c>
      <c r="AE39" s="30" t="str">
        <f>IF(SUMIF('Общий табель'!$C$3:$C$37,$B39,'Общий табель'!AF$3:AF$37)&gt;0,1,"")</f>
        <v/>
      </c>
      <c r="AF39" s="30" t="str">
        <f>IF(SUMIF('Общий табель'!$C$3:$C$37,$B39,'Общий табель'!AG$3:AG$37)&gt;0,1,"")</f>
        <v/>
      </c>
      <c r="AG39" s="30" t="str">
        <f>IF(SUMIF('Общий табель'!$C$3:$C$37,$B39,'Общий табель'!AH$3:AH$37)&gt;0,1,"")</f>
        <v/>
      </c>
      <c r="AH39" s="30" t="str">
        <f>IF(SUMIF('Общий табель'!$C$3:$C$37,$B39,'Общий табель'!AI$3:AI$37)&gt;0,1,"")</f>
        <v/>
      </c>
      <c r="AI39" s="30">
        <f t="shared" si="1"/>
        <v>0</v>
      </c>
      <c r="AJ39" s="33"/>
    </row>
    <row r="40" spans="1:36" ht="23.1" customHeight="1">
      <c r="A40" s="31">
        <v>23</v>
      </c>
      <c r="B40" s="32" t="s">
        <v>166</v>
      </c>
      <c r="C40" s="32" t="s">
        <v>240</v>
      </c>
      <c r="D40" s="30" t="str">
        <f>IF(SUMIF('Общий табель'!$C$3:$C$37,B40,'Общий табель'!$E$3:$E$37)&gt;0,1,"")</f>
        <v/>
      </c>
      <c r="E40" s="30" t="str">
        <f>IF(SUMIF('Общий табель'!$C$3:$C$37,$B40,'Общий табель'!F$3:F$37)&gt;0,1,"")</f>
        <v/>
      </c>
      <c r="F40" s="30" t="str">
        <f>IF(SUMIF('Общий табель'!$C$3:$C$37,$B40,'Общий табель'!G$3:G$37)&gt;0,1,"")</f>
        <v/>
      </c>
      <c r="G40" s="30" t="str">
        <f>IF(SUMIF('Общий табель'!$C$3:$C$37,$B40,'Общий табель'!H$3:H$37)&gt;0,1,"")</f>
        <v/>
      </c>
      <c r="H40" s="30" t="str">
        <f>IF(SUMIF('Общий табель'!$C$3:$C$37,$B40,'Общий табель'!I$3:I$37)&gt;0,1,"")</f>
        <v/>
      </c>
      <c r="I40" s="30" t="str">
        <f>IF(SUMIF('Общий табель'!$C$3:$C$37,$B40,'Общий табель'!J$3:J$37)&gt;0,1,"")</f>
        <v/>
      </c>
      <c r="J40" s="30" t="str">
        <f>IF(SUMIF('Общий табель'!$C$3:$C$37,$B40,'Общий табель'!K$3:K$37)&gt;0,1,"")</f>
        <v/>
      </c>
      <c r="K40" s="30" t="str">
        <f>IF(SUMIF('Общий табель'!$C$3:$C$37,$B40,'Общий табель'!L$3:L$37)&gt;0,1,"")</f>
        <v/>
      </c>
      <c r="L40" s="30" t="str">
        <f>IF(SUMIF('Общий табель'!$C$3:$C$37,$B40,'Общий табель'!M$3:M$37)&gt;0,1,"")</f>
        <v/>
      </c>
      <c r="M40" s="30" t="str">
        <f>IF(SUMIF('Общий табель'!$C$3:$C$37,$B40,'Общий табель'!N$3:N$37)&gt;0,1,"")</f>
        <v/>
      </c>
      <c r="N40" s="30" t="str">
        <f>IF(SUMIF('Общий табель'!$C$3:$C$37,$B40,'Общий табель'!O$3:O$37)&gt;0,1,"")</f>
        <v/>
      </c>
      <c r="O40" s="30" t="str">
        <f>IF(SUMIF('Общий табель'!$C$3:$C$37,$B40,'Общий табель'!P$3:P$37)&gt;0,1,"")</f>
        <v/>
      </c>
      <c r="P40" s="30" t="str">
        <f>IF(SUMIF('Общий табель'!$C$3:$C$37,$B40,'Общий табель'!Q$3:Q$37)&gt;0,1,"")</f>
        <v/>
      </c>
      <c r="Q40" s="30" t="str">
        <f>IF(SUMIF('Общий табель'!$C$3:$C$37,$B40,'Общий табель'!R$3:R$37)&gt;0,1,"")</f>
        <v/>
      </c>
      <c r="R40" s="30" t="str">
        <f>IF(SUMIF('Общий табель'!$C$3:$C$37,$B40,'Общий табель'!S$3:S$37)&gt;0,1,"")</f>
        <v/>
      </c>
      <c r="S40" s="30" t="str">
        <f>IF(SUMIF('Общий табель'!$C$3:$C$37,$B40,'Общий табель'!T$3:T$37)&gt;0,1,"")</f>
        <v/>
      </c>
      <c r="T40" s="30" t="str">
        <f>IF(SUMIF('Общий табель'!$C$3:$C$37,$B40,'Общий табель'!U$3:U$37)&gt;0,1,"")</f>
        <v/>
      </c>
      <c r="U40" s="30" t="str">
        <f>IF(SUMIF('Общий табель'!$C$3:$C$37,$B40,'Общий табель'!V$3:V$37)&gt;0,1,"")</f>
        <v/>
      </c>
      <c r="V40" s="30" t="str">
        <f>IF(SUMIF('Общий табель'!$C$3:$C$37,$B40,'Общий табель'!W$3:W$37)&gt;0,1,"")</f>
        <v/>
      </c>
      <c r="W40" s="30" t="str">
        <f>IF(SUMIF('Общий табель'!$C$3:$C$37,$B40,'Общий табель'!X$3:X$37)&gt;0,1,"")</f>
        <v/>
      </c>
      <c r="X40" s="30" t="str">
        <f>IF(SUMIF('Общий табель'!$C$3:$C$37,$B40,'Общий табель'!Y$3:Y$37)&gt;0,1,"")</f>
        <v/>
      </c>
      <c r="Y40" s="30" t="str">
        <f>IF(SUMIF('Общий табель'!$C$3:$C$37,$B40,'Общий табель'!Z$3:Z$37)&gt;0,1,"")</f>
        <v/>
      </c>
      <c r="Z40" s="30" t="str">
        <f>IF(SUMIF('Общий табель'!$C$3:$C$37,$B40,'Общий табель'!AA$3:AA$37)&gt;0,1,"")</f>
        <v/>
      </c>
      <c r="AA40" s="30" t="str">
        <f>IF(SUMIF('Общий табель'!$C$3:$C$37,$B40,'Общий табель'!AB$3:AB$37)&gt;0,1,"")</f>
        <v/>
      </c>
      <c r="AB40" s="30" t="str">
        <f>IF(SUMIF('Общий табель'!$C$3:$C$37,$B40,'Общий табель'!AC$3:AC$37)&gt;0,1,"")</f>
        <v/>
      </c>
      <c r="AC40" s="30" t="str">
        <f>IF(SUMIF('Общий табель'!$C$3:$C$37,$B40,'Общий табель'!AD$3:AD$37)&gt;0,1,"")</f>
        <v/>
      </c>
      <c r="AD40" s="30" t="str">
        <f>IF(SUMIF('Общий табель'!$C$3:$C$37,$B40,'Общий табель'!AE$3:AE$37)&gt;0,1,"")</f>
        <v/>
      </c>
      <c r="AE40" s="30" t="str">
        <f>IF(SUMIF('Общий табель'!$C$3:$C$37,$B40,'Общий табель'!AF$3:AF$37)&gt;0,1,"")</f>
        <v/>
      </c>
      <c r="AF40" s="30" t="str">
        <f>IF(SUMIF('Общий табель'!$C$3:$C$37,$B40,'Общий табель'!AG$3:AG$37)&gt;0,1,"")</f>
        <v/>
      </c>
      <c r="AG40" s="30" t="str">
        <f>IF(SUMIF('Общий табель'!$C$3:$C$37,$B40,'Общий табель'!AH$3:AH$37)&gt;0,1,"")</f>
        <v/>
      </c>
      <c r="AH40" s="30" t="str">
        <f>IF(SUMIF('Общий табель'!$C$3:$C$37,$B40,'Общий табель'!AI$3:AI$37)&gt;0,1,"")</f>
        <v/>
      </c>
      <c r="AI40" s="30">
        <f t="shared" si="1"/>
        <v>0</v>
      </c>
      <c r="AJ40" s="33"/>
    </row>
    <row r="41" spans="1:36" ht="23.1" customHeight="1">
      <c r="A41" s="31">
        <v>24</v>
      </c>
      <c r="B41" s="32" t="s">
        <v>167</v>
      </c>
      <c r="C41" s="32" t="s">
        <v>241</v>
      </c>
      <c r="D41" s="30" t="str">
        <f>IF(SUMIF('Общий табель'!$C$3:$C$37,B41,'Общий табель'!$E$3:$E$37)&gt;0,1,"")</f>
        <v/>
      </c>
      <c r="E41" s="30" t="str">
        <f>IF(SUMIF('Общий табель'!$C$3:$C$37,$B41,'Общий табель'!F$3:F$37)&gt;0,1,"")</f>
        <v/>
      </c>
      <c r="F41" s="30" t="str">
        <f>IF(SUMIF('Общий табель'!$C$3:$C$37,$B41,'Общий табель'!G$3:G$37)&gt;0,1,"")</f>
        <v/>
      </c>
      <c r="G41" s="30" t="str">
        <f>IF(SUMIF('Общий табель'!$C$3:$C$37,$B41,'Общий табель'!H$3:H$37)&gt;0,1,"")</f>
        <v/>
      </c>
      <c r="H41" s="30" t="str">
        <f>IF(SUMIF('Общий табель'!$C$3:$C$37,$B41,'Общий табель'!I$3:I$37)&gt;0,1,"")</f>
        <v/>
      </c>
      <c r="I41" s="30" t="str">
        <f>IF(SUMIF('Общий табель'!$C$3:$C$37,$B41,'Общий табель'!J$3:J$37)&gt;0,1,"")</f>
        <v/>
      </c>
      <c r="J41" s="30" t="str">
        <f>IF(SUMIF('Общий табель'!$C$3:$C$37,$B41,'Общий табель'!K$3:K$37)&gt;0,1,"")</f>
        <v/>
      </c>
      <c r="K41" s="30" t="str">
        <f>IF(SUMIF('Общий табель'!$C$3:$C$37,$B41,'Общий табель'!L$3:L$37)&gt;0,1,"")</f>
        <v/>
      </c>
      <c r="L41" s="30" t="str">
        <f>IF(SUMIF('Общий табель'!$C$3:$C$37,$B41,'Общий табель'!M$3:M$37)&gt;0,1,"")</f>
        <v/>
      </c>
      <c r="M41" s="30" t="str">
        <f>IF(SUMIF('Общий табель'!$C$3:$C$37,$B41,'Общий табель'!N$3:N$37)&gt;0,1,"")</f>
        <v/>
      </c>
      <c r="N41" s="30" t="str">
        <f>IF(SUMIF('Общий табель'!$C$3:$C$37,$B41,'Общий табель'!O$3:O$37)&gt;0,1,"")</f>
        <v/>
      </c>
      <c r="O41" s="30" t="str">
        <f>IF(SUMIF('Общий табель'!$C$3:$C$37,$B41,'Общий табель'!P$3:P$37)&gt;0,1,"")</f>
        <v/>
      </c>
      <c r="P41" s="30" t="str">
        <f>IF(SUMIF('Общий табель'!$C$3:$C$37,$B41,'Общий табель'!Q$3:Q$37)&gt;0,1,"")</f>
        <v/>
      </c>
      <c r="Q41" s="30" t="str">
        <f>IF(SUMIF('Общий табель'!$C$3:$C$37,$B41,'Общий табель'!R$3:R$37)&gt;0,1,"")</f>
        <v/>
      </c>
      <c r="R41" s="30" t="str">
        <f>IF(SUMIF('Общий табель'!$C$3:$C$37,$B41,'Общий табель'!S$3:S$37)&gt;0,1,"")</f>
        <v/>
      </c>
      <c r="S41" s="30" t="str">
        <f>IF(SUMIF('Общий табель'!$C$3:$C$37,$B41,'Общий табель'!T$3:T$37)&gt;0,1,"")</f>
        <v/>
      </c>
      <c r="T41" s="30" t="str">
        <f>IF(SUMIF('Общий табель'!$C$3:$C$37,$B41,'Общий табель'!U$3:U$37)&gt;0,1,"")</f>
        <v/>
      </c>
      <c r="U41" s="30" t="str">
        <f>IF(SUMIF('Общий табель'!$C$3:$C$37,$B41,'Общий табель'!V$3:V$37)&gt;0,1,"")</f>
        <v/>
      </c>
      <c r="V41" s="30" t="str">
        <f>IF(SUMIF('Общий табель'!$C$3:$C$37,$B41,'Общий табель'!W$3:W$37)&gt;0,1,"")</f>
        <v/>
      </c>
      <c r="W41" s="30" t="str">
        <f>IF(SUMIF('Общий табель'!$C$3:$C$37,$B41,'Общий табель'!X$3:X$37)&gt;0,1,"")</f>
        <v/>
      </c>
      <c r="X41" s="30" t="str">
        <f>IF(SUMIF('Общий табель'!$C$3:$C$37,$B41,'Общий табель'!Y$3:Y$37)&gt;0,1,"")</f>
        <v/>
      </c>
      <c r="Y41" s="30" t="str">
        <f>IF(SUMIF('Общий табель'!$C$3:$C$37,$B41,'Общий табель'!Z$3:Z$37)&gt;0,1,"")</f>
        <v/>
      </c>
      <c r="Z41" s="30" t="str">
        <f>IF(SUMIF('Общий табель'!$C$3:$C$37,$B41,'Общий табель'!AA$3:AA$37)&gt;0,1,"")</f>
        <v/>
      </c>
      <c r="AA41" s="30" t="str">
        <f>IF(SUMIF('Общий табель'!$C$3:$C$37,$B41,'Общий табель'!AB$3:AB$37)&gt;0,1,"")</f>
        <v/>
      </c>
      <c r="AB41" s="30" t="str">
        <f>IF(SUMIF('Общий табель'!$C$3:$C$37,$B41,'Общий табель'!AC$3:AC$37)&gt;0,1,"")</f>
        <v/>
      </c>
      <c r="AC41" s="30" t="str">
        <f>IF(SUMIF('Общий табель'!$C$3:$C$37,$B41,'Общий табель'!AD$3:AD$37)&gt;0,1,"")</f>
        <v/>
      </c>
      <c r="AD41" s="30" t="str">
        <f>IF(SUMIF('Общий табель'!$C$3:$C$37,$B41,'Общий табель'!AE$3:AE$37)&gt;0,1,"")</f>
        <v/>
      </c>
      <c r="AE41" s="30" t="str">
        <f>IF(SUMIF('Общий табель'!$C$3:$C$37,$B41,'Общий табель'!AF$3:AF$37)&gt;0,1,"")</f>
        <v/>
      </c>
      <c r="AF41" s="30" t="str">
        <f>IF(SUMIF('Общий табель'!$C$3:$C$37,$B41,'Общий табель'!AG$3:AG$37)&gt;0,1,"")</f>
        <v/>
      </c>
      <c r="AG41" s="30" t="str">
        <f>IF(SUMIF('Общий табель'!$C$3:$C$37,$B41,'Общий табель'!AH$3:AH$37)&gt;0,1,"")</f>
        <v/>
      </c>
      <c r="AH41" s="30" t="str">
        <f>IF(SUMIF('Общий табель'!$C$3:$C$37,$B41,'Общий табель'!AI$3:AI$37)&gt;0,1,"")</f>
        <v/>
      </c>
      <c r="AI41" s="30">
        <f t="shared" si="1"/>
        <v>0</v>
      </c>
      <c r="AJ41" s="33"/>
    </row>
    <row r="42" spans="1:36" ht="23.1" customHeight="1">
      <c r="A42" s="31">
        <v>25</v>
      </c>
      <c r="B42" s="32" t="s">
        <v>76</v>
      </c>
      <c r="C42" s="32"/>
      <c r="D42" s="30" t="str">
        <f>IF(SUMIF('Общий табель'!$C$3:$C$37,B42,'Общий табель'!$E$3:$E$37)&gt;0,1,"")</f>
        <v/>
      </c>
      <c r="E42" s="30" t="str">
        <f>IF(SUMIF('Общий табель'!$C$3:$C$37,$B42,'Общий табель'!F$3:F$37)&gt;0,1,"")</f>
        <v/>
      </c>
      <c r="F42" s="30" t="str">
        <f>IF(SUMIF('Общий табель'!$C$3:$C$37,$B42,'Общий табель'!G$3:G$37)&gt;0,1,"")</f>
        <v/>
      </c>
      <c r="G42" s="30" t="str">
        <f>IF(SUMIF('Общий табель'!$C$3:$C$37,$B42,'Общий табель'!H$3:H$37)&gt;0,1,"")</f>
        <v/>
      </c>
      <c r="H42" s="30" t="str">
        <f>IF(SUMIF('Общий табель'!$C$3:$C$37,$B42,'Общий табель'!I$3:I$37)&gt;0,1,"")</f>
        <v/>
      </c>
      <c r="I42" s="30" t="str">
        <f>IF(SUMIF('Общий табель'!$C$3:$C$37,$B42,'Общий табель'!J$3:J$37)&gt;0,1,"")</f>
        <v/>
      </c>
      <c r="J42" s="30" t="str">
        <f>IF(SUMIF('Общий табель'!$C$3:$C$37,$B42,'Общий табель'!K$3:K$37)&gt;0,1,"")</f>
        <v/>
      </c>
      <c r="K42" s="30" t="str">
        <f>IF(SUMIF('Общий табель'!$C$3:$C$37,$B42,'Общий табель'!L$3:L$37)&gt;0,1,"")</f>
        <v/>
      </c>
      <c r="L42" s="30" t="str">
        <f>IF(SUMIF('Общий табель'!$C$3:$C$37,$B42,'Общий табель'!M$3:M$37)&gt;0,1,"")</f>
        <v/>
      </c>
      <c r="M42" s="30" t="str">
        <f>IF(SUMIF('Общий табель'!$C$3:$C$37,$B42,'Общий табель'!N$3:N$37)&gt;0,1,"")</f>
        <v/>
      </c>
      <c r="N42" s="30" t="str">
        <f>IF(SUMIF('Общий табель'!$C$3:$C$37,$B42,'Общий табель'!O$3:O$37)&gt;0,1,"")</f>
        <v/>
      </c>
      <c r="O42" s="30" t="str">
        <f>IF(SUMIF('Общий табель'!$C$3:$C$37,$B42,'Общий табель'!P$3:P$37)&gt;0,1,"")</f>
        <v/>
      </c>
      <c r="P42" s="30" t="str">
        <f>IF(SUMIF('Общий табель'!$C$3:$C$37,$B42,'Общий табель'!Q$3:Q$37)&gt;0,1,"")</f>
        <v/>
      </c>
      <c r="Q42" s="30" t="str">
        <f>IF(SUMIF('Общий табель'!$C$3:$C$37,$B42,'Общий табель'!R$3:R$37)&gt;0,1,"")</f>
        <v/>
      </c>
      <c r="R42" s="30" t="str">
        <f>IF(SUMIF('Общий табель'!$C$3:$C$37,$B42,'Общий табель'!S$3:S$37)&gt;0,1,"")</f>
        <v/>
      </c>
      <c r="S42" s="30" t="str">
        <f>IF(SUMIF('Общий табель'!$C$3:$C$37,$B42,'Общий табель'!T$3:T$37)&gt;0,1,"")</f>
        <v/>
      </c>
      <c r="T42" s="30" t="str">
        <f>IF(SUMIF('Общий табель'!$C$3:$C$37,$B42,'Общий табель'!U$3:U$37)&gt;0,1,"")</f>
        <v/>
      </c>
      <c r="U42" s="30" t="str">
        <f>IF(SUMIF('Общий табель'!$C$3:$C$37,$B42,'Общий табель'!V$3:V$37)&gt;0,1,"")</f>
        <v/>
      </c>
      <c r="V42" s="30" t="str">
        <f>IF(SUMIF('Общий табель'!$C$3:$C$37,$B42,'Общий табель'!W$3:W$37)&gt;0,1,"")</f>
        <v/>
      </c>
      <c r="W42" s="30" t="str">
        <f>IF(SUMIF('Общий табель'!$C$3:$C$37,$B42,'Общий табель'!X$3:X$37)&gt;0,1,"")</f>
        <v/>
      </c>
      <c r="X42" s="30" t="str">
        <f>IF(SUMIF('Общий табель'!$C$3:$C$37,$B42,'Общий табель'!Y$3:Y$37)&gt;0,1,"")</f>
        <v/>
      </c>
      <c r="Y42" s="30" t="str">
        <f>IF(SUMIF('Общий табель'!$C$3:$C$37,$B42,'Общий табель'!Z$3:Z$37)&gt;0,1,"")</f>
        <v/>
      </c>
      <c r="Z42" s="30" t="str">
        <f>IF(SUMIF('Общий табель'!$C$3:$C$37,$B42,'Общий табель'!AA$3:AA$37)&gt;0,1,"")</f>
        <v/>
      </c>
      <c r="AA42" s="30" t="str">
        <f>IF(SUMIF('Общий табель'!$C$3:$C$37,$B42,'Общий табель'!AB$3:AB$37)&gt;0,1,"")</f>
        <v/>
      </c>
      <c r="AB42" s="30" t="str">
        <f>IF(SUMIF('Общий табель'!$C$3:$C$37,$B42,'Общий табель'!AC$3:AC$37)&gt;0,1,"")</f>
        <v/>
      </c>
      <c r="AC42" s="30" t="str">
        <f>IF(SUMIF('Общий табель'!$C$3:$C$37,$B42,'Общий табель'!AD$3:AD$37)&gt;0,1,"")</f>
        <v/>
      </c>
      <c r="AD42" s="30" t="str">
        <f>IF(SUMIF('Общий табель'!$C$3:$C$37,$B42,'Общий табель'!AE$3:AE$37)&gt;0,1,"")</f>
        <v/>
      </c>
      <c r="AE42" s="30" t="str">
        <f>IF(SUMIF('Общий табель'!$C$3:$C$37,$B42,'Общий табель'!AF$3:AF$37)&gt;0,1,"")</f>
        <v/>
      </c>
      <c r="AF42" s="30" t="str">
        <f>IF(SUMIF('Общий табель'!$C$3:$C$37,$B42,'Общий табель'!AG$3:AG$37)&gt;0,1,"")</f>
        <v/>
      </c>
      <c r="AG42" s="30" t="str">
        <f>IF(SUMIF('Общий табель'!$C$3:$C$37,$B42,'Общий табель'!AH$3:AH$37)&gt;0,1,"")</f>
        <v/>
      </c>
      <c r="AH42" s="30" t="str">
        <f>IF(SUMIF('Общий табель'!$C$3:$C$37,$B42,'Общий табель'!AI$3:AI$37)&gt;0,1,"")</f>
        <v/>
      </c>
      <c r="AI42" s="30">
        <f t="shared" si="1"/>
        <v>0</v>
      </c>
      <c r="AJ42" s="33"/>
    </row>
    <row r="43" spans="1:36" ht="23.1" customHeight="1">
      <c r="A43" s="31">
        <v>26</v>
      </c>
      <c r="B43" s="32"/>
      <c r="C43" s="32"/>
      <c r="D43" s="30" t="str">
        <f>IF(SUMIF('Общий табель'!$C$3:$C$37,B43,'Общий табель'!$E$3:$E$37)&gt;0,1,"")</f>
        <v/>
      </c>
      <c r="E43" s="30" t="str">
        <f>IF(SUMIF('Общий табель'!$C$3:$C$37,$B43,'Общий табель'!F$3:F$37)&gt;0,1,"")</f>
        <v/>
      </c>
      <c r="F43" s="30" t="str">
        <f>IF(SUMIF('Общий табель'!$C$3:$C$37,$B43,'Общий табель'!G$3:G$37)&gt;0,1,"")</f>
        <v/>
      </c>
      <c r="G43" s="30" t="str">
        <f>IF(SUMIF('Общий табель'!$C$3:$C$37,$B43,'Общий табель'!H$3:H$37)&gt;0,1,"")</f>
        <v/>
      </c>
      <c r="H43" s="30" t="str">
        <f>IF(SUMIF('Общий табель'!$C$3:$C$37,$B43,'Общий табель'!I$3:I$37)&gt;0,1,"")</f>
        <v/>
      </c>
      <c r="I43" s="30" t="str">
        <f>IF(SUMIF('Общий табель'!$C$3:$C$37,$B43,'Общий табель'!J$3:J$37)&gt;0,1,"")</f>
        <v/>
      </c>
      <c r="J43" s="30" t="str">
        <f>IF(SUMIF('Общий табель'!$C$3:$C$37,$B43,'Общий табель'!K$3:K$37)&gt;0,1,"")</f>
        <v/>
      </c>
      <c r="K43" s="30" t="str">
        <f>IF(SUMIF('Общий табель'!$C$3:$C$37,$B43,'Общий табель'!L$3:L$37)&gt;0,1,"")</f>
        <v/>
      </c>
      <c r="L43" s="30" t="str">
        <f>IF(SUMIF('Общий табель'!$C$3:$C$37,$B43,'Общий табель'!M$3:M$37)&gt;0,1,"")</f>
        <v/>
      </c>
      <c r="M43" s="30" t="str">
        <f>IF(SUMIF('Общий табель'!$C$3:$C$37,$B43,'Общий табель'!N$3:N$37)&gt;0,1,"")</f>
        <v/>
      </c>
      <c r="N43" s="30" t="str">
        <f>IF(SUMIF('Общий табель'!$C$3:$C$37,$B43,'Общий табель'!O$3:O$37)&gt;0,1,"")</f>
        <v/>
      </c>
      <c r="O43" s="30" t="str">
        <f>IF(SUMIF('Общий табель'!$C$3:$C$37,$B43,'Общий табель'!P$3:P$37)&gt;0,1,"")</f>
        <v/>
      </c>
      <c r="P43" s="30" t="str">
        <f>IF(SUMIF('Общий табель'!$C$3:$C$37,$B43,'Общий табель'!Q$3:Q$37)&gt;0,1,"")</f>
        <v/>
      </c>
      <c r="Q43" s="30" t="str">
        <f>IF(SUMIF('Общий табель'!$C$3:$C$37,$B43,'Общий табель'!R$3:R$37)&gt;0,1,"")</f>
        <v/>
      </c>
      <c r="R43" s="30" t="str">
        <f>IF(SUMIF('Общий табель'!$C$3:$C$37,$B43,'Общий табель'!S$3:S$37)&gt;0,1,"")</f>
        <v/>
      </c>
      <c r="S43" s="30" t="str">
        <f>IF(SUMIF('Общий табель'!$C$3:$C$37,$B43,'Общий табель'!T$3:T$37)&gt;0,1,"")</f>
        <v/>
      </c>
      <c r="T43" s="30" t="str">
        <f>IF(SUMIF('Общий табель'!$C$3:$C$37,$B43,'Общий табель'!U$3:U$37)&gt;0,1,"")</f>
        <v/>
      </c>
      <c r="U43" s="30" t="str">
        <f>IF(SUMIF('Общий табель'!$C$3:$C$37,$B43,'Общий табель'!V$3:V$37)&gt;0,1,"")</f>
        <v/>
      </c>
      <c r="V43" s="30" t="str">
        <f>IF(SUMIF('Общий табель'!$C$3:$C$37,$B43,'Общий табель'!W$3:W$37)&gt;0,1,"")</f>
        <v/>
      </c>
      <c r="W43" s="30" t="str">
        <f>IF(SUMIF('Общий табель'!$C$3:$C$37,$B43,'Общий табель'!X$3:X$37)&gt;0,1,"")</f>
        <v/>
      </c>
      <c r="X43" s="30" t="str">
        <f>IF(SUMIF('Общий табель'!$C$3:$C$37,$B43,'Общий табель'!Y$3:Y$37)&gt;0,1,"")</f>
        <v/>
      </c>
      <c r="Y43" s="30" t="str">
        <f>IF(SUMIF('Общий табель'!$C$3:$C$37,$B43,'Общий табель'!Z$3:Z$37)&gt;0,1,"")</f>
        <v/>
      </c>
      <c r="Z43" s="30" t="str">
        <f>IF(SUMIF('Общий табель'!$C$3:$C$37,$B43,'Общий табель'!AA$3:AA$37)&gt;0,1,"")</f>
        <v/>
      </c>
      <c r="AA43" s="30" t="str">
        <f>IF(SUMIF('Общий табель'!$C$3:$C$37,$B43,'Общий табель'!AB$3:AB$37)&gt;0,1,"")</f>
        <v/>
      </c>
      <c r="AB43" s="30" t="str">
        <f>IF(SUMIF('Общий табель'!$C$3:$C$37,$B43,'Общий табель'!AC$3:AC$37)&gt;0,1,"")</f>
        <v/>
      </c>
      <c r="AC43" s="30" t="str">
        <f>IF(SUMIF('Общий табель'!$C$3:$C$37,$B43,'Общий табель'!AD$3:AD$37)&gt;0,1,"")</f>
        <v/>
      </c>
      <c r="AD43" s="30" t="str">
        <f>IF(SUMIF('Общий табель'!$C$3:$C$37,$B43,'Общий табель'!AE$3:AE$37)&gt;0,1,"")</f>
        <v/>
      </c>
      <c r="AE43" s="30" t="str">
        <f>IF(SUMIF('Общий табель'!$C$3:$C$37,$B43,'Общий табель'!AF$3:AF$37)&gt;0,1,"")</f>
        <v/>
      </c>
      <c r="AF43" s="30" t="str">
        <f>IF(SUMIF('Общий табель'!$C$3:$C$37,$B43,'Общий табель'!AG$3:AG$37)&gt;0,1,"")</f>
        <v/>
      </c>
      <c r="AG43" s="30" t="str">
        <f>IF(SUMIF('Общий табель'!$C$3:$C$37,$B43,'Общий табель'!AH$3:AH$37)&gt;0,1,"")</f>
        <v/>
      </c>
      <c r="AH43" s="30" t="str">
        <f>IF(SUMIF('Общий табель'!$C$3:$C$37,$B43,'Общий табель'!AI$3:AI$37)&gt;0,1,"")</f>
        <v/>
      </c>
      <c r="AI43" s="30">
        <f t="shared" si="1"/>
        <v>0</v>
      </c>
      <c r="AJ43" s="33"/>
    </row>
    <row r="44" spans="1:36" ht="23.1" customHeight="1">
      <c r="A44" s="31">
        <v>27</v>
      </c>
      <c r="B44" s="32"/>
      <c r="C44" s="32"/>
      <c r="D44" s="30" t="str">
        <f>IF(SUMIF('Общий табель'!$C$3:$C$37,B44,'Общий табель'!$E$3:$E$37)&gt;0,1,"")</f>
        <v/>
      </c>
      <c r="E44" s="30" t="str">
        <f>IF(SUMIF('Общий табель'!$C$3:$C$37,$B44,'Общий табель'!F$3:F$37)&gt;0,1,"")</f>
        <v/>
      </c>
      <c r="F44" s="30" t="str">
        <f>IF(SUMIF('Общий табель'!$C$3:$C$37,$B44,'Общий табель'!G$3:G$37)&gt;0,1,"")</f>
        <v/>
      </c>
      <c r="G44" s="30" t="str">
        <f>IF(SUMIF('Общий табель'!$C$3:$C$37,$B44,'Общий табель'!H$3:H$37)&gt;0,1,"")</f>
        <v/>
      </c>
      <c r="H44" s="30" t="str">
        <f>IF(SUMIF('Общий табель'!$C$3:$C$37,$B44,'Общий табель'!I$3:I$37)&gt;0,1,"")</f>
        <v/>
      </c>
      <c r="I44" s="30" t="str">
        <f>IF(SUMIF('Общий табель'!$C$3:$C$37,$B44,'Общий табель'!J$3:J$37)&gt;0,1,"")</f>
        <v/>
      </c>
      <c r="J44" s="30" t="str">
        <f>IF(SUMIF('Общий табель'!$C$3:$C$37,$B44,'Общий табель'!K$3:K$37)&gt;0,1,"")</f>
        <v/>
      </c>
      <c r="K44" s="30" t="str">
        <f>IF(SUMIF('Общий табель'!$C$3:$C$37,$B44,'Общий табель'!L$3:L$37)&gt;0,1,"")</f>
        <v/>
      </c>
      <c r="L44" s="30" t="str">
        <f>IF(SUMIF('Общий табель'!$C$3:$C$37,$B44,'Общий табель'!M$3:M$37)&gt;0,1,"")</f>
        <v/>
      </c>
      <c r="M44" s="30" t="str">
        <f>IF(SUMIF('Общий табель'!$C$3:$C$37,$B44,'Общий табель'!N$3:N$37)&gt;0,1,"")</f>
        <v/>
      </c>
      <c r="N44" s="30" t="str">
        <f>IF(SUMIF('Общий табель'!$C$3:$C$37,$B44,'Общий табель'!O$3:O$37)&gt;0,1,"")</f>
        <v/>
      </c>
      <c r="O44" s="30" t="str">
        <f>IF(SUMIF('Общий табель'!$C$3:$C$37,$B44,'Общий табель'!P$3:P$37)&gt;0,1,"")</f>
        <v/>
      </c>
      <c r="P44" s="30" t="str">
        <f>IF(SUMIF('Общий табель'!$C$3:$C$37,$B44,'Общий табель'!Q$3:Q$37)&gt;0,1,"")</f>
        <v/>
      </c>
      <c r="Q44" s="30" t="str">
        <f>IF(SUMIF('Общий табель'!$C$3:$C$37,$B44,'Общий табель'!R$3:R$37)&gt;0,1,"")</f>
        <v/>
      </c>
      <c r="R44" s="30" t="str">
        <f>IF(SUMIF('Общий табель'!$C$3:$C$37,$B44,'Общий табель'!S$3:S$37)&gt;0,1,"")</f>
        <v/>
      </c>
      <c r="S44" s="30" t="str">
        <f>IF(SUMIF('Общий табель'!$C$3:$C$37,$B44,'Общий табель'!T$3:T$37)&gt;0,1,"")</f>
        <v/>
      </c>
      <c r="T44" s="30" t="str">
        <f>IF(SUMIF('Общий табель'!$C$3:$C$37,$B44,'Общий табель'!U$3:U$37)&gt;0,1,"")</f>
        <v/>
      </c>
      <c r="U44" s="30" t="str">
        <f>IF(SUMIF('Общий табель'!$C$3:$C$37,$B44,'Общий табель'!V$3:V$37)&gt;0,1,"")</f>
        <v/>
      </c>
      <c r="V44" s="30" t="str">
        <f>IF(SUMIF('Общий табель'!$C$3:$C$37,$B44,'Общий табель'!W$3:W$37)&gt;0,1,"")</f>
        <v/>
      </c>
      <c r="W44" s="30" t="str">
        <f>IF(SUMIF('Общий табель'!$C$3:$C$37,$B44,'Общий табель'!X$3:X$37)&gt;0,1,"")</f>
        <v/>
      </c>
      <c r="X44" s="30" t="str">
        <f>IF(SUMIF('Общий табель'!$C$3:$C$37,$B44,'Общий табель'!Y$3:Y$37)&gt;0,1,"")</f>
        <v/>
      </c>
      <c r="Y44" s="30" t="str">
        <f>IF(SUMIF('Общий табель'!$C$3:$C$37,$B44,'Общий табель'!Z$3:Z$37)&gt;0,1,"")</f>
        <v/>
      </c>
      <c r="Z44" s="30" t="str">
        <f>IF(SUMIF('Общий табель'!$C$3:$C$37,$B44,'Общий табель'!AA$3:AA$37)&gt;0,1,"")</f>
        <v/>
      </c>
      <c r="AA44" s="30" t="str">
        <f>IF(SUMIF('Общий табель'!$C$3:$C$37,$B44,'Общий табель'!AB$3:AB$37)&gt;0,1,"")</f>
        <v/>
      </c>
      <c r="AB44" s="30" t="str">
        <f>IF(SUMIF('Общий табель'!$C$3:$C$37,$B44,'Общий табель'!AC$3:AC$37)&gt;0,1,"")</f>
        <v/>
      </c>
      <c r="AC44" s="30" t="str">
        <f>IF(SUMIF('Общий табель'!$C$3:$C$37,$B44,'Общий табель'!AD$3:AD$37)&gt;0,1,"")</f>
        <v/>
      </c>
      <c r="AD44" s="30" t="str">
        <f>IF(SUMIF('Общий табель'!$C$3:$C$37,$B44,'Общий табель'!AE$3:AE$37)&gt;0,1,"")</f>
        <v/>
      </c>
      <c r="AE44" s="30" t="str">
        <f>IF(SUMIF('Общий табель'!$C$3:$C$37,$B44,'Общий табель'!AF$3:AF$37)&gt;0,1,"")</f>
        <v/>
      </c>
      <c r="AF44" s="30" t="str">
        <f>IF(SUMIF('Общий табель'!$C$3:$C$37,$B44,'Общий табель'!AG$3:AG$37)&gt;0,1,"")</f>
        <v/>
      </c>
      <c r="AG44" s="30" t="str">
        <f>IF(SUMIF('Общий табель'!$C$3:$C$37,$B44,'Общий табель'!AH$3:AH$37)&gt;0,1,"")</f>
        <v/>
      </c>
      <c r="AH44" s="30" t="str">
        <f>IF(SUMIF('Общий табель'!$C$3:$C$37,$B44,'Общий табель'!AI$3:AI$37)&gt;0,1,"")</f>
        <v/>
      </c>
      <c r="AI44" s="30">
        <f t="shared" si="1"/>
        <v>0</v>
      </c>
      <c r="AJ44" s="33"/>
    </row>
    <row r="45" spans="1:36" ht="23.1" customHeight="1">
      <c r="A45" s="31">
        <v>28</v>
      </c>
      <c r="B45" s="32"/>
      <c r="C45" s="32"/>
      <c r="D45" s="30" t="str">
        <f>IF(SUMIF('Общий табель'!$C$3:$C$37,B45,'Общий табель'!$E$3:$E$37)&gt;0,1,"")</f>
        <v/>
      </c>
      <c r="E45" s="30" t="str">
        <f>IF(SUMIF('Общий табель'!$C$3:$C$37,$B45,'Общий табель'!F$3:F$37)&gt;0,1,"")</f>
        <v/>
      </c>
      <c r="F45" s="30" t="str">
        <f>IF(SUMIF('Общий табель'!$C$3:$C$37,$B45,'Общий табель'!G$3:G$37)&gt;0,1,"")</f>
        <v/>
      </c>
      <c r="G45" s="30" t="str">
        <f>IF(SUMIF('Общий табель'!$C$3:$C$37,$B45,'Общий табель'!H$3:H$37)&gt;0,1,"")</f>
        <v/>
      </c>
      <c r="H45" s="30" t="str">
        <f>IF(SUMIF('Общий табель'!$C$3:$C$37,$B45,'Общий табель'!I$3:I$37)&gt;0,1,"")</f>
        <v/>
      </c>
      <c r="I45" s="30" t="str">
        <f>IF(SUMIF('Общий табель'!$C$3:$C$37,$B45,'Общий табель'!J$3:J$37)&gt;0,1,"")</f>
        <v/>
      </c>
      <c r="J45" s="30" t="str">
        <f>IF(SUMIF('Общий табель'!$C$3:$C$37,$B45,'Общий табель'!K$3:K$37)&gt;0,1,"")</f>
        <v/>
      </c>
      <c r="K45" s="30" t="str">
        <f>IF(SUMIF('Общий табель'!$C$3:$C$37,$B45,'Общий табель'!L$3:L$37)&gt;0,1,"")</f>
        <v/>
      </c>
      <c r="L45" s="30" t="str">
        <f>IF(SUMIF('Общий табель'!$C$3:$C$37,$B45,'Общий табель'!M$3:M$37)&gt;0,1,"")</f>
        <v/>
      </c>
      <c r="M45" s="30" t="str">
        <f>IF(SUMIF('Общий табель'!$C$3:$C$37,$B45,'Общий табель'!N$3:N$37)&gt;0,1,"")</f>
        <v/>
      </c>
      <c r="N45" s="30" t="str">
        <f>IF(SUMIF('Общий табель'!$C$3:$C$37,$B45,'Общий табель'!O$3:O$37)&gt;0,1,"")</f>
        <v/>
      </c>
      <c r="O45" s="30" t="str">
        <f>IF(SUMIF('Общий табель'!$C$3:$C$37,$B45,'Общий табель'!P$3:P$37)&gt;0,1,"")</f>
        <v/>
      </c>
      <c r="P45" s="30" t="str">
        <f>IF(SUMIF('Общий табель'!$C$3:$C$37,$B45,'Общий табель'!Q$3:Q$37)&gt;0,1,"")</f>
        <v/>
      </c>
      <c r="Q45" s="30" t="str">
        <f>IF(SUMIF('Общий табель'!$C$3:$C$37,$B45,'Общий табель'!R$3:R$37)&gt;0,1,"")</f>
        <v/>
      </c>
      <c r="R45" s="30" t="str">
        <f>IF(SUMIF('Общий табель'!$C$3:$C$37,$B45,'Общий табель'!S$3:S$37)&gt;0,1,"")</f>
        <v/>
      </c>
      <c r="S45" s="30" t="str">
        <f>IF(SUMIF('Общий табель'!$C$3:$C$37,$B45,'Общий табель'!T$3:T$37)&gt;0,1,"")</f>
        <v/>
      </c>
      <c r="T45" s="30" t="str">
        <f>IF(SUMIF('Общий табель'!$C$3:$C$37,$B45,'Общий табель'!U$3:U$37)&gt;0,1,"")</f>
        <v/>
      </c>
      <c r="U45" s="30" t="str">
        <f>IF(SUMIF('Общий табель'!$C$3:$C$37,$B45,'Общий табель'!V$3:V$37)&gt;0,1,"")</f>
        <v/>
      </c>
      <c r="V45" s="30" t="str">
        <f>IF(SUMIF('Общий табель'!$C$3:$C$37,$B45,'Общий табель'!W$3:W$37)&gt;0,1,"")</f>
        <v/>
      </c>
      <c r="W45" s="30" t="str">
        <f>IF(SUMIF('Общий табель'!$C$3:$C$37,$B45,'Общий табель'!X$3:X$37)&gt;0,1,"")</f>
        <v/>
      </c>
      <c r="X45" s="30" t="str">
        <f>IF(SUMIF('Общий табель'!$C$3:$C$37,$B45,'Общий табель'!Y$3:Y$37)&gt;0,1,"")</f>
        <v/>
      </c>
      <c r="Y45" s="30" t="str">
        <f>IF(SUMIF('Общий табель'!$C$3:$C$37,$B45,'Общий табель'!Z$3:Z$37)&gt;0,1,"")</f>
        <v/>
      </c>
      <c r="Z45" s="30" t="str">
        <f>IF(SUMIF('Общий табель'!$C$3:$C$37,$B45,'Общий табель'!AA$3:AA$37)&gt;0,1,"")</f>
        <v/>
      </c>
      <c r="AA45" s="30" t="str">
        <f>IF(SUMIF('Общий табель'!$C$3:$C$37,$B45,'Общий табель'!AB$3:AB$37)&gt;0,1,"")</f>
        <v/>
      </c>
      <c r="AB45" s="30" t="str">
        <f>IF(SUMIF('Общий табель'!$C$3:$C$37,$B45,'Общий табель'!AC$3:AC$37)&gt;0,1,"")</f>
        <v/>
      </c>
      <c r="AC45" s="30" t="str">
        <f>IF(SUMIF('Общий табель'!$C$3:$C$37,$B45,'Общий табель'!AD$3:AD$37)&gt;0,1,"")</f>
        <v/>
      </c>
      <c r="AD45" s="30" t="str">
        <f>IF(SUMIF('Общий табель'!$C$3:$C$37,$B45,'Общий табель'!AE$3:AE$37)&gt;0,1,"")</f>
        <v/>
      </c>
      <c r="AE45" s="30" t="str">
        <f>IF(SUMIF('Общий табель'!$C$3:$C$37,$B45,'Общий табель'!AF$3:AF$37)&gt;0,1,"")</f>
        <v/>
      </c>
      <c r="AF45" s="30" t="str">
        <f>IF(SUMIF('Общий табель'!$C$3:$C$37,$B45,'Общий табель'!AG$3:AG$37)&gt;0,1,"")</f>
        <v/>
      </c>
      <c r="AG45" s="30" t="str">
        <f>IF(SUMIF('Общий табель'!$C$3:$C$37,$B45,'Общий табель'!AH$3:AH$37)&gt;0,1,"")</f>
        <v/>
      </c>
      <c r="AH45" s="30" t="str">
        <f>IF(SUMIF('Общий табель'!$C$3:$C$37,$B45,'Общий табель'!AI$3:AI$37)&gt;0,1,"")</f>
        <v/>
      </c>
      <c r="AI45" s="30">
        <f t="shared" si="1"/>
        <v>0</v>
      </c>
      <c r="AJ45" s="33"/>
    </row>
    <row r="46" spans="1:36" ht="23.1" customHeight="1">
      <c r="A46" s="31">
        <v>29</v>
      </c>
      <c r="B46" s="32"/>
      <c r="C46" s="32"/>
      <c r="D46" s="30" t="str">
        <f>IF(SUMIF('Общий табель'!$C$3:$C$37,B46,'Общий табель'!$E$3:$E$37)&gt;0,1,"")</f>
        <v/>
      </c>
      <c r="E46" s="30" t="str">
        <f>IF(SUMIF('Общий табель'!$C$3:$C$37,$B46,'Общий табель'!F$3:F$37)&gt;0,1,"")</f>
        <v/>
      </c>
      <c r="F46" s="30" t="str">
        <f>IF(SUMIF('Общий табель'!$C$3:$C$37,$B46,'Общий табель'!G$3:G$37)&gt;0,1,"")</f>
        <v/>
      </c>
      <c r="G46" s="30" t="str">
        <f>IF(SUMIF('Общий табель'!$C$3:$C$37,$B46,'Общий табель'!H$3:H$37)&gt;0,1,"")</f>
        <v/>
      </c>
      <c r="H46" s="30" t="str">
        <f>IF(SUMIF('Общий табель'!$C$3:$C$37,$B46,'Общий табель'!I$3:I$37)&gt;0,1,"")</f>
        <v/>
      </c>
      <c r="I46" s="30" t="str">
        <f>IF(SUMIF('Общий табель'!$C$3:$C$37,$B46,'Общий табель'!J$3:J$37)&gt;0,1,"")</f>
        <v/>
      </c>
      <c r="J46" s="30" t="str">
        <f>IF(SUMIF('Общий табель'!$C$3:$C$37,$B46,'Общий табель'!K$3:K$37)&gt;0,1,"")</f>
        <v/>
      </c>
      <c r="K46" s="30" t="str">
        <f>IF(SUMIF('Общий табель'!$C$3:$C$37,$B46,'Общий табель'!L$3:L$37)&gt;0,1,"")</f>
        <v/>
      </c>
      <c r="L46" s="30" t="str">
        <f>IF(SUMIF('Общий табель'!$C$3:$C$37,$B46,'Общий табель'!M$3:M$37)&gt;0,1,"")</f>
        <v/>
      </c>
      <c r="M46" s="30" t="str">
        <f>IF(SUMIF('Общий табель'!$C$3:$C$37,$B46,'Общий табель'!N$3:N$37)&gt;0,1,"")</f>
        <v/>
      </c>
      <c r="N46" s="30" t="str">
        <f>IF(SUMIF('Общий табель'!$C$3:$C$37,$B46,'Общий табель'!O$3:O$37)&gt;0,1,"")</f>
        <v/>
      </c>
      <c r="O46" s="30" t="str">
        <f>IF(SUMIF('Общий табель'!$C$3:$C$37,$B46,'Общий табель'!P$3:P$37)&gt;0,1,"")</f>
        <v/>
      </c>
      <c r="P46" s="30" t="str">
        <f>IF(SUMIF('Общий табель'!$C$3:$C$37,$B46,'Общий табель'!Q$3:Q$37)&gt;0,1,"")</f>
        <v/>
      </c>
      <c r="Q46" s="30" t="str">
        <f>IF(SUMIF('Общий табель'!$C$3:$C$37,$B46,'Общий табель'!R$3:R$37)&gt;0,1,"")</f>
        <v/>
      </c>
      <c r="R46" s="30" t="str">
        <f>IF(SUMIF('Общий табель'!$C$3:$C$37,$B46,'Общий табель'!S$3:S$37)&gt;0,1,"")</f>
        <v/>
      </c>
      <c r="S46" s="30" t="str">
        <f>IF(SUMIF('Общий табель'!$C$3:$C$37,$B46,'Общий табель'!T$3:T$37)&gt;0,1,"")</f>
        <v/>
      </c>
      <c r="T46" s="30" t="str">
        <f>IF(SUMIF('Общий табель'!$C$3:$C$37,$B46,'Общий табель'!U$3:U$37)&gt;0,1,"")</f>
        <v/>
      </c>
      <c r="U46" s="30" t="str">
        <f>IF(SUMIF('Общий табель'!$C$3:$C$37,$B46,'Общий табель'!V$3:V$37)&gt;0,1,"")</f>
        <v/>
      </c>
      <c r="V46" s="30" t="str">
        <f>IF(SUMIF('Общий табель'!$C$3:$C$37,$B46,'Общий табель'!W$3:W$37)&gt;0,1,"")</f>
        <v/>
      </c>
      <c r="W46" s="30" t="str">
        <f>IF(SUMIF('Общий табель'!$C$3:$C$37,$B46,'Общий табель'!X$3:X$37)&gt;0,1,"")</f>
        <v/>
      </c>
      <c r="X46" s="30" t="str">
        <f>IF(SUMIF('Общий табель'!$C$3:$C$37,$B46,'Общий табель'!Y$3:Y$37)&gt;0,1,"")</f>
        <v/>
      </c>
      <c r="Y46" s="30" t="str">
        <f>IF(SUMIF('Общий табель'!$C$3:$C$37,$B46,'Общий табель'!Z$3:Z$37)&gt;0,1,"")</f>
        <v/>
      </c>
      <c r="Z46" s="30" t="str">
        <f>IF(SUMIF('Общий табель'!$C$3:$C$37,$B46,'Общий табель'!AA$3:AA$37)&gt;0,1,"")</f>
        <v/>
      </c>
      <c r="AA46" s="30" t="str">
        <f>IF(SUMIF('Общий табель'!$C$3:$C$37,$B46,'Общий табель'!AB$3:AB$37)&gt;0,1,"")</f>
        <v/>
      </c>
      <c r="AB46" s="30" t="str">
        <f>IF(SUMIF('Общий табель'!$C$3:$C$37,$B46,'Общий табель'!AC$3:AC$37)&gt;0,1,"")</f>
        <v/>
      </c>
      <c r="AC46" s="30" t="str">
        <f>IF(SUMIF('Общий табель'!$C$3:$C$37,$B46,'Общий табель'!AD$3:AD$37)&gt;0,1,"")</f>
        <v/>
      </c>
      <c r="AD46" s="30" t="str">
        <f>IF(SUMIF('Общий табель'!$C$3:$C$37,$B46,'Общий табель'!AE$3:AE$37)&gt;0,1,"")</f>
        <v/>
      </c>
      <c r="AE46" s="30" t="str">
        <f>IF(SUMIF('Общий табель'!$C$3:$C$37,$B46,'Общий табель'!AF$3:AF$37)&gt;0,1,"")</f>
        <v/>
      </c>
      <c r="AF46" s="30" t="str">
        <f>IF(SUMIF('Общий табель'!$C$3:$C$37,$B46,'Общий табель'!AG$3:AG$37)&gt;0,1,"")</f>
        <v/>
      </c>
      <c r="AG46" s="30" t="str">
        <f>IF(SUMIF('Общий табель'!$C$3:$C$37,$B46,'Общий табель'!AH$3:AH$37)&gt;0,1,"")</f>
        <v/>
      </c>
      <c r="AH46" s="30" t="str">
        <f>IF(SUMIF('Общий табель'!$C$3:$C$37,$B46,'Общий табель'!AI$3:AI$37)&gt;0,1,"")</f>
        <v/>
      </c>
      <c r="AI46" s="30">
        <f t="shared" si="1"/>
        <v>0</v>
      </c>
      <c r="AJ46" s="33"/>
    </row>
    <row r="47" spans="1:36" ht="23.1" customHeight="1">
      <c r="A47" s="31">
        <v>30</v>
      </c>
      <c r="B47" s="32"/>
      <c r="C47" s="32"/>
      <c r="D47" s="30" t="str">
        <f>IF(SUMIF('Общий табель'!$C$3:$C$37,B47,'Общий табель'!$E$3:$E$37)&gt;0,1,"")</f>
        <v/>
      </c>
      <c r="E47" s="30" t="str">
        <f>IF(SUMIF('Общий табель'!$C$3:$C$37,$B47,'Общий табель'!F$3:F$37)&gt;0,1,"")</f>
        <v/>
      </c>
      <c r="F47" s="30" t="str">
        <f>IF(SUMIF('Общий табель'!$C$3:$C$37,$B47,'Общий табель'!G$3:G$37)&gt;0,1,"")</f>
        <v/>
      </c>
      <c r="G47" s="30" t="str">
        <f>IF(SUMIF('Общий табель'!$C$3:$C$37,$B47,'Общий табель'!H$3:H$37)&gt;0,1,"")</f>
        <v/>
      </c>
      <c r="H47" s="30" t="str">
        <f>IF(SUMIF('Общий табель'!$C$3:$C$37,$B47,'Общий табель'!I$3:I$37)&gt;0,1,"")</f>
        <v/>
      </c>
      <c r="I47" s="30" t="str">
        <f>IF(SUMIF('Общий табель'!$C$3:$C$37,$B47,'Общий табель'!J$3:J$37)&gt;0,1,"")</f>
        <v/>
      </c>
      <c r="J47" s="30" t="str">
        <f>IF(SUMIF('Общий табель'!$C$3:$C$37,$B47,'Общий табель'!K$3:K$37)&gt;0,1,"")</f>
        <v/>
      </c>
      <c r="K47" s="30" t="str">
        <f>IF(SUMIF('Общий табель'!$C$3:$C$37,$B47,'Общий табель'!L$3:L$37)&gt;0,1,"")</f>
        <v/>
      </c>
      <c r="L47" s="30" t="str">
        <f>IF(SUMIF('Общий табель'!$C$3:$C$37,$B47,'Общий табель'!M$3:M$37)&gt;0,1,"")</f>
        <v/>
      </c>
      <c r="M47" s="30" t="str">
        <f>IF(SUMIF('Общий табель'!$C$3:$C$37,$B47,'Общий табель'!N$3:N$37)&gt;0,1,"")</f>
        <v/>
      </c>
      <c r="N47" s="30" t="str">
        <f>IF(SUMIF('Общий табель'!$C$3:$C$37,$B47,'Общий табель'!O$3:O$37)&gt;0,1,"")</f>
        <v/>
      </c>
      <c r="O47" s="30" t="str">
        <f>IF(SUMIF('Общий табель'!$C$3:$C$37,$B47,'Общий табель'!P$3:P$37)&gt;0,1,"")</f>
        <v/>
      </c>
      <c r="P47" s="30" t="str">
        <f>IF(SUMIF('Общий табель'!$C$3:$C$37,$B47,'Общий табель'!Q$3:Q$37)&gt;0,1,"")</f>
        <v/>
      </c>
      <c r="Q47" s="30" t="str">
        <f>IF(SUMIF('Общий табель'!$C$3:$C$37,$B47,'Общий табель'!R$3:R$37)&gt;0,1,"")</f>
        <v/>
      </c>
      <c r="R47" s="30" t="str">
        <f>IF(SUMIF('Общий табель'!$C$3:$C$37,$B47,'Общий табель'!S$3:S$37)&gt;0,1,"")</f>
        <v/>
      </c>
      <c r="S47" s="30" t="str">
        <f>IF(SUMIF('Общий табель'!$C$3:$C$37,$B47,'Общий табель'!T$3:T$37)&gt;0,1,"")</f>
        <v/>
      </c>
      <c r="T47" s="30" t="str">
        <f>IF(SUMIF('Общий табель'!$C$3:$C$37,$B47,'Общий табель'!U$3:U$37)&gt;0,1,"")</f>
        <v/>
      </c>
      <c r="U47" s="30" t="str">
        <f>IF(SUMIF('Общий табель'!$C$3:$C$37,$B47,'Общий табель'!V$3:V$37)&gt;0,1,"")</f>
        <v/>
      </c>
      <c r="V47" s="30" t="str">
        <f>IF(SUMIF('Общий табель'!$C$3:$C$37,$B47,'Общий табель'!W$3:W$37)&gt;0,1,"")</f>
        <v/>
      </c>
      <c r="W47" s="30" t="str">
        <f>IF(SUMIF('Общий табель'!$C$3:$C$37,$B47,'Общий табель'!X$3:X$37)&gt;0,1,"")</f>
        <v/>
      </c>
      <c r="X47" s="30" t="str">
        <f>IF(SUMIF('Общий табель'!$C$3:$C$37,$B47,'Общий табель'!Y$3:Y$37)&gt;0,1,"")</f>
        <v/>
      </c>
      <c r="Y47" s="30" t="str">
        <f>IF(SUMIF('Общий табель'!$C$3:$C$37,$B47,'Общий табель'!Z$3:Z$37)&gt;0,1,"")</f>
        <v/>
      </c>
      <c r="Z47" s="30" t="str">
        <f>IF(SUMIF('Общий табель'!$C$3:$C$37,$B47,'Общий табель'!AA$3:AA$37)&gt;0,1,"")</f>
        <v/>
      </c>
      <c r="AA47" s="30" t="str">
        <f>IF(SUMIF('Общий табель'!$C$3:$C$37,$B47,'Общий табель'!AB$3:AB$37)&gt;0,1,"")</f>
        <v/>
      </c>
      <c r="AB47" s="30" t="str">
        <f>IF(SUMIF('Общий табель'!$C$3:$C$37,$B47,'Общий табель'!AC$3:AC$37)&gt;0,1,"")</f>
        <v/>
      </c>
      <c r="AC47" s="30" t="str">
        <f>IF(SUMIF('Общий табель'!$C$3:$C$37,$B47,'Общий табель'!AD$3:AD$37)&gt;0,1,"")</f>
        <v/>
      </c>
      <c r="AD47" s="30" t="str">
        <f>IF(SUMIF('Общий табель'!$C$3:$C$37,$B47,'Общий табель'!AE$3:AE$37)&gt;0,1,"")</f>
        <v/>
      </c>
      <c r="AE47" s="30" t="str">
        <f>IF(SUMIF('Общий табель'!$C$3:$C$37,$B47,'Общий табель'!AF$3:AF$37)&gt;0,1,"")</f>
        <v/>
      </c>
      <c r="AF47" s="30" t="str">
        <f>IF(SUMIF('Общий табель'!$C$3:$C$37,$B47,'Общий табель'!AG$3:AG$37)&gt;0,1,"")</f>
        <v/>
      </c>
      <c r="AG47" s="30" t="str">
        <f>IF(SUMIF('Общий табель'!$C$3:$C$37,$B47,'Общий табель'!AH$3:AH$37)&gt;0,1,"")</f>
        <v/>
      </c>
      <c r="AH47" s="30" t="str">
        <f>IF(SUMIF('Общий табель'!$C$3:$C$37,$B47,'Общий табель'!AI$3:AI$37)&gt;0,1,"")</f>
        <v/>
      </c>
      <c r="AI47" s="30">
        <f t="shared" si="1"/>
        <v>0</v>
      </c>
      <c r="AJ47" s="33"/>
    </row>
    <row r="48" spans="1:36" ht="23.1" customHeight="1">
      <c r="A48" s="31">
        <v>31</v>
      </c>
      <c r="B48" s="32"/>
      <c r="C48" s="32"/>
      <c r="D48" s="30" t="str">
        <f>IF(SUMIF('Общий табель'!$C$3:$C$37,B48,'Общий табель'!$E$3:$E$37)&gt;0,1,"")</f>
        <v/>
      </c>
      <c r="E48" s="30" t="str">
        <f>IF(SUMIF('Общий табель'!$C$3:$C$37,$B48,'Общий табель'!F$3:F$37)&gt;0,1,"")</f>
        <v/>
      </c>
      <c r="F48" s="30" t="str">
        <f>IF(SUMIF('Общий табель'!$C$3:$C$37,$B48,'Общий табель'!G$3:G$37)&gt;0,1,"")</f>
        <v/>
      </c>
      <c r="G48" s="30" t="str">
        <f>IF(SUMIF('Общий табель'!$C$3:$C$37,$B48,'Общий табель'!H$3:H$37)&gt;0,1,"")</f>
        <v/>
      </c>
      <c r="H48" s="30" t="str">
        <f>IF(SUMIF('Общий табель'!$C$3:$C$37,$B48,'Общий табель'!I$3:I$37)&gt;0,1,"")</f>
        <v/>
      </c>
      <c r="I48" s="30" t="str">
        <f>IF(SUMIF('Общий табель'!$C$3:$C$37,$B48,'Общий табель'!J$3:J$37)&gt;0,1,"")</f>
        <v/>
      </c>
      <c r="J48" s="30" t="str">
        <f>IF(SUMIF('Общий табель'!$C$3:$C$37,$B48,'Общий табель'!K$3:K$37)&gt;0,1,"")</f>
        <v/>
      </c>
      <c r="K48" s="30" t="str">
        <f>IF(SUMIF('Общий табель'!$C$3:$C$37,$B48,'Общий табель'!L$3:L$37)&gt;0,1,"")</f>
        <v/>
      </c>
      <c r="L48" s="30" t="str">
        <f>IF(SUMIF('Общий табель'!$C$3:$C$37,$B48,'Общий табель'!M$3:M$37)&gt;0,1,"")</f>
        <v/>
      </c>
      <c r="M48" s="30" t="str">
        <f>IF(SUMIF('Общий табель'!$C$3:$C$37,$B48,'Общий табель'!N$3:N$37)&gt;0,1,"")</f>
        <v/>
      </c>
      <c r="N48" s="30" t="str">
        <f>IF(SUMIF('Общий табель'!$C$3:$C$37,$B48,'Общий табель'!O$3:O$37)&gt;0,1,"")</f>
        <v/>
      </c>
      <c r="O48" s="30" t="str">
        <f>IF(SUMIF('Общий табель'!$C$3:$C$37,$B48,'Общий табель'!P$3:P$37)&gt;0,1,"")</f>
        <v/>
      </c>
      <c r="P48" s="30" t="str">
        <f>IF(SUMIF('Общий табель'!$C$3:$C$37,$B48,'Общий табель'!Q$3:Q$37)&gt;0,1,"")</f>
        <v/>
      </c>
      <c r="Q48" s="30" t="str">
        <f>IF(SUMIF('Общий табель'!$C$3:$C$37,$B48,'Общий табель'!R$3:R$37)&gt;0,1,"")</f>
        <v/>
      </c>
      <c r="R48" s="30" t="str">
        <f>IF(SUMIF('Общий табель'!$C$3:$C$37,$B48,'Общий табель'!S$3:S$37)&gt;0,1,"")</f>
        <v/>
      </c>
      <c r="S48" s="30" t="str">
        <f>IF(SUMIF('Общий табель'!$C$3:$C$37,$B48,'Общий табель'!T$3:T$37)&gt;0,1,"")</f>
        <v/>
      </c>
      <c r="T48" s="30" t="str">
        <f>IF(SUMIF('Общий табель'!$C$3:$C$37,$B48,'Общий табель'!U$3:U$37)&gt;0,1,"")</f>
        <v/>
      </c>
      <c r="U48" s="30" t="str">
        <f>IF(SUMIF('Общий табель'!$C$3:$C$37,$B48,'Общий табель'!V$3:V$37)&gt;0,1,"")</f>
        <v/>
      </c>
      <c r="V48" s="30" t="str">
        <f>IF(SUMIF('Общий табель'!$C$3:$C$37,$B48,'Общий табель'!W$3:W$37)&gt;0,1,"")</f>
        <v/>
      </c>
      <c r="W48" s="30" t="str">
        <f>IF(SUMIF('Общий табель'!$C$3:$C$37,$B48,'Общий табель'!X$3:X$37)&gt;0,1,"")</f>
        <v/>
      </c>
      <c r="X48" s="30" t="str">
        <f>IF(SUMIF('Общий табель'!$C$3:$C$37,$B48,'Общий табель'!Y$3:Y$37)&gt;0,1,"")</f>
        <v/>
      </c>
      <c r="Y48" s="30" t="str">
        <f>IF(SUMIF('Общий табель'!$C$3:$C$37,$B48,'Общий табель'!Z$3:Z$37)&gt;0,1,"")</f>
        <v/>
      </c>
      <c r="Z48" s="30" t="str">
        <f>IF(SUMIF('Общий табель'!$C$3:$C$37,$B48,'Общий табель'!AA$3:AA$37)&gt;0,1,"")</f>
        <v/>
      </c>
      <c r="AA48" s="30" t="str">
        <f>IF(SUMIF('Общий табель'!$C$3:$C$37,$B48,'Общий табель'!AB$3:AB$37)&gt;0,1,"")</f>
        <v/>
      </c>
      <c r="AB48" s="30" t="str">
        <f>IF(SUMIF('Общий табель'!$C$3:$C$37,$B48,'Общий табель'!AC$3:AC$37)&gt;0,1,"")</f>
        <v/>
      </c>
      <c r="AC48" s="30" t="str">
        <f>IF(SUMIF('Общий табель'!$C$3:$C$37,$B48,'Общий табель'!AD$3:AD$37)&gt;0,1,"")</f>
        <v/>
      </c>
      <c r="AD48" s="30" t="str">
        <f>IF(SUMIF('Общий табель'!$C$3:$C$37,$B48,'Общий табель'!AE$3:AE$37)&gt;0,1,"")</f>
        <v/>
      </c>
      <c r="AE48" s="30" t="str">
        <f>IF(SUMIF('Общий табель'!$C$3:$C$37,$B48,'Общий табель'!AF$3:AF$37)&gt;0,1,"")</f>
        <v/>
      </c>
      <c r="AF48" s="30" t="str">
        <f>IF(SUMIF('Общий табель'!$C$3:$C$37,$B48,'Общий табель'!AG$3:AG$37)&gt;0,1,"")</f>
        <v/>
      </c>
      <c r="AG48" s="30" t="str">
        <f>IF(SUMIF('Общий табель'!$C$3:$C$37,$B48,'Общий табель'!AH$3:AH$37)&gt;0,1,"")</f>
        <v/>
      </c>
      <c r="AH48" s="30" t="str">
        <f>IF(SUMIF('Общий табель'!$C$3:$C$37,$B48,'Общий табель'!AI$3:AI$37)&gt;0,1,"")</f>
        <v/>
      </c>
      <c r="AI48" s="30">
        <f t="shared" si="1"/>
        <v>0</v>
      </c>
      <c r="AJ48" s="33"/>
    </row>
    <row r="49" spans="1:36" ht="23.1" customHeight="1">
      <c r="A49" s="31">
        <v>32</v>
      </c>
      <c r="B49" s="32"/>
      <c r="C49" s="32"/>
      <c r="D49" s="30" t="str">
        <f>IF(SUMIF('Общий табель'!$C$3:$C$37,B49,'Общий табель'!$E$3:$E$37)&gt;0,1,"")</f>
        <v/>
      </c>
      <c r="E49" s="30" t="str">
        <f>IF(SUMIF('Общий табель'!$C$3:$C$37,$B49,'Общий табель'!F$3:F$37)&gt;0,1,"")</f>
        <v/>
      </c>
      <c r="F49" s="30" t="str">
        <f>IF(SUMIF('Общий табель'!$C$3:$C$37,$B49,'Общий табель'!G$3:G$37)&gt;0,1,"")</f>
        <v/>
      </c>
      <c r="G49" s="30" t="str">
        <f>IF(SUMIF('Общий табель'!$C$3:$C$37,$B49,'Общий табель'!H$3:H$37)&gt;0,1,"")</f>
        <v/>
      </c>
      <c r="H49" s="30" t="str">
        <f>IF(SUMIF('Общий табель'!$C$3:$C$37,$B49,'Общий табель'!I$3:I$37)&gt;0,1,"")</f>
        <v/>
      </c>
      <c r="I49" s="30" t="str">
        <f>IF(SUMIF('Общий табель'!$C$3:$C$37,$B49,'Общий табель'!J$3:J$37)&gt;0,1,"")</f>
        <v/>
      </c>
      <c r="J49" s="30" t="str">
        <f>IF(SUMIF('Общий табель'!$C$3:$C$37,$B49,'Общий табель'!K$3:K$37)&gt;0,1,"")</f>
        <v/>
      </c>
      <c r="K49" s="30" t="str">
        <f>IF(SUMIF('Общий табель'!$C$3:$C$37,$B49,'Общий табель'!L$3:L$37)&gt;0,1,"")</f>
        <v/>
      </c>
      <c r="L49" s="30" t="str">
        <f>IF(SUMIF('Общий табель'!$C$3:$C$37,$B49,'Общий табель'!M$3:M$37)&gt;0,1,"")</f>
        <v/>
      </c>
      <c r="M49" s="30" t="str">
        <f>IF(SUMIF('Общий табель'!$C$3:$C$37,$B49,'Общий табель'!N$3:N$37)&gt;0,1,"")</f>
        <v/>
      </c>
      <c r="N49" s="30" t="str">
        <f>IF(SUMIF('Общий табель'!$C$3:$C$37,$B49,'Общий табель'!O$3:O$37)&gt;0,1,"")</f>
        <v/>
      </c>
      <c r="O49" s="30" t="str">
        <f>IF(SUMIF('Общий табель'!$C$3:$C$37,$B49,'Общий табель'!P$3:P$37)&gt;0,1,"")</f>
        <v/>
      </c>
      <c r="P49" s="30" t="str">
        <f>IF(SUMIF('Общий табель'!$C$3:$C$37,$B49,'Общий табель'!Q$3:Q$37)&gt;0,1,"")</f>
        <v/>
      </c>
      <c r="Q49" s="30" t="str">
        <f>IF(SUMIF('Общий табель'!$C$3:$C$37,$B49,'Общий табель'!R$3:R$37)&gt;0,1,"")</f>
        <v/>
      </c>
      <c r="R49" s="30" t="str">
        <f>IF(SUMIF('Общий табель'!$C$3:$C$37,$B49,'Общий табель'!S$3:S$37)&gt;0,1,"")</f>
        <v/>
      </c>
      <c r="S49" s="30" t="str">
        <f>IF(SUMIF('Общий табель'!$C$3:$C$37,$B49,'Общий табель'!T$3:T$37)&gt;0,1,"")</f>
        <v/>
      </c>
      <c r="T49" s="30" t="str">
        <f>IF(SUMIF('Общий табель'!$C$3:$C$37,$B49,'Общий табель'!U$3:U$37)&gt;0,1,"")</f>
        <v/>
      </c>
      <c r="U49" s="30" t="str">
        <f>IF(SUMIF('Общий табель'!$C$3:$C$37,$B49,'Общий табель'!V$3:V$37)&gt;0,1,"")</f>
        <v/>
      </c>
      <c r="V49" s="30" t="str">
        <f>IF(SUMIF('Общий табель'!$C$3:$C$37,$B49,'Общий табель'!W$3:W$37)&gt;0,1,"")</f>
        <v/>
      </c>
      <c r="W49" s="30" t="str">
        <f>IF(SUMIF('Общий табель'!$C$3:$C$37,$B49,'Общий табель'!X$3:X$37)&gt;0,1,"")</f>
        <v/>
      </c>
      <c r="X49" s="30" t="str">
        <f>IF(SUMIF('Общий табель'!$C$3:$C$37,$B49,'Общий табель'!Y$3:Y$37)&gt;0,1,"")</f>
        <v/>
      </c>
      <c r="Y49" s="30" t="str">
        <f>IF(SUMIF('Общий табель'!$C$3:$C$37,$B49,'Общий табель'!Z$3:Z$37)&gt;0,1,"")</f>
        <v/>
      </c>
      <c r="Z49" s="30" t="str">
        <f>IF(SUMIF('Общий табель'!$C$3:$C$37,$B49,'Общий табель'!AA$3:AA$37)&gt;0,1,"")</f>
        <v/>
      </c>
      <c r="AA49" s="30" t="str">
        <f>IF(SUMIF('Общий табель'!$C$3:$C$37,$B49,'Общий табель'!AB$3:AB$37)&gt;0,1,"")</f>
        <v/>
      </c>
      <c r="AB49" s="30" t="str">
        <f>IF(SUMIF('Общий табель'!$C$3:$C$37,$B49,'Общий табель'!AC$3:AC$37)&gt;0,1,"")</f>
        <v/>
      </c>
      <c r="AC49" s="30" t="str">
        <f>IF(SUMIF('Общий табель'!$C$3:$C$37,$B49,'Общий табель'!AD$3:AD$37)&gt;0,1,"")</f>
        <v/>
      </c>
      <c r="AD49" s="30" t="str">
        <f>IF(SUMIF('Общий табель'!$C$3:$C$37,$B49,'Общий табель'!AE$3:AE$37)&gt;0,1,"")</f>
        <v/>
      </c>
      <c r="AE49" s="30" t="str">
        <f>IF(SUMIF('Общий табель'!$C$3:$C$37,$B49,'Общий табель'!AF$3:AF$37)&gt;0,1,"")</f>
        <v/>
      </c>
      <c r="AF49" s="30" t="str">
        <f>IF(SUMIF('Общий табель'!$C$3:$C$37,$B49,'Общий табель'!AG$3:AG$37)&gt;0,1,"")</f>
        <v/>
      </c>
      <c r="AG49" s="30" t="str">
        <f>IF(SUMIF('Общий табель'!$C$3:$C$37,$B49,'Общий табель'!AH$3:AH$37)&gt;0,1,"")</f>
        <v/>
      </c>
      <c r="AH49" s="30" t="str">
        <f>IF(SUMIF('Общий табель'!$C$3:$C$37,$B49,'Общий табель'!AI$3:AI$37)&gt;0,1,"")</f>
        <v/>
      </c>
      <c r="AI49" s="30">
        <f t="shared" si="1"/>
        <v>0</v>
      </c>
      <c r="AJ49" s="33"/>
    </row>
    <row r="50" spans="1:36" ht="23.1" customHeight="1">
      <c r="A50" s="31">
        <v>33</v>
      </c>
      <c r="B50" s="32"/>
      <c r="C50" s="32"/>
      <c r="D50" s="30" t="str">
        <f>IF(SUMIF('Общий табель'!$C$3:$C$37,B50,'Общий табель'!$E$3:$E$37)&gt;0,1,"")</f>
        <v/>
      </c>
      <c r="E50" s="30" t="str">
        <f>IF(SUMIF('Общий табель'!$C$3:$C$37,$B50,'Общий табель'!F$3:F$37)&gt;0,1,"")</f>
        <v/>
      </c>
      <c r="F50" s="30" t="str">
        <f>IF(SUMIF('Общий табель'!$C$3:$C$37,$B50,'Общий табель'!G$3:G$37)&gt;0,1,"")</f>
        <v/>
      </c>
      <c r="G50" s="30" t="str">
        <f>IF(SUMIF('Общий табель'!$C$3:$C$37,$B50,'Общий табель'!H$3:H$37)&gt;0,1,"")</f>
        <v/>
      </c>
      <c r="H50" s="30" t="str">
        <f>IF(SUMIF('Общий табель'!$C$3:$C$37,$B50,'Общий табель'!I$3:I$37)&gt;0,1,"")</f>
        <v/>
      </c>
      <c r="I50" s="30" t="str">
        <f>IF(SUMIF('Общий табель'!$C$3:$C$37,$B50,'Общий табель'!J$3:J$37)&gt;0,1,"")</f>
        <v/>
      </c>
      <c r="J50" s="30" t="str">
        <f>IF(SUMIF('Общий табель'!$C$3:$C$37,$B50,'Общий табель'!K$3:K$37)&gt;0,1,"")</f>
        <v/>
      </c>
      <c r="K50" s="30" t="str">
        <f>IF(SUMIF('Общий табель'!$C$3:$C$37,$B50,'Общий табель'!L$3:L$37)&gt;0,1,"")</f>
        <v/>
      </c>
      <c r="L50" s="30" t="str">
        <f>IF(SUMIF('Общий табель'!$C$3:$C$37,$B50,'Общий табель'!M$3:M$37)&gt;0,1,"")</f>
        <v/>
      </c>
      <c r="M50" s="30" t="str">
        <f>IF(SUMIF('Общий табель'!$C$3:$C$37,$B50,'Общий табель'!N$3:N$37)&gt;0,1,"")</f>
        <v/>
      </c>
      <c r="N50" s="30" t="str">
        <f>IF(SUMIF('Общий табель'!$C$3:$C$37,$B50,'Общий табель'!O$3:O$37)&gt;0,1,"")</f>
        <v/>
      </c>
      <c r="O50" s="30" t="str">
        <f>IF(SUMIF('Общий табель'!$C$3:$C$37,$B50,'Общий табель'!P$3:P$37)&gt;0,1,"")</f>
        <v/>
      </c>
      <c r="P50" s="30" t="str">
        <f>IF(SUMIF('Общий табель'!$C$3:$C$37,$B50,'Общий табель'!Q$3:Q$37)&gt;0,1,"")</f>
        <v/>
      </c>
      <c r="Q50" s="30" t="str">
        <f>IF(SUMIF('Общий табель'!$C$3:$C$37,$B50,'Общий табель'!R$3:R$37)&gt;0,1,"")</f>
        <v/>
      </c>
      <c r="R50" s="30" t="str">
        <f>IF(SUMIF('Общий табель'!$C$3:$C$37,$B50,'Общий табель'!S$3:S$37)&gt;0,1,"")</f>
        <v/>
      </c>
      <c r="S50" s="30" t="str">
        <f>IF(SUMIF('Общий табель'!$C$3:$C$37,$B50,'Общий табель'!T$3:T$37)&gt;0,1,"")</f>
        <v/>
      </c>
      <c r="T50" s="30" t="str">
        <f>IF(SUMIF('Общий табель'!$C$3:$C$37,$B50,'Общий табель'!U$3:U$37)&gt;0,1,"")</f>
        <v/>
      </c>
      <c r="U50" s="30" t="str">
        <f>IF(SUMIF('Общий табель'!$C$3:$C$37,$B50,'Общий табель'!V$3:V$37)&gt;0,1,"")</f>
        <v/>
      </c>
      <c r="V50" s="30" t="str">
        <f>IF(SUMIF('Общий табель'!$C$3:$C$37,$B50,'Общий табель'!W$3:W$37)&gt;0,1,"")</f>
        <v/>
      </c>
      <c r="W50" s="30" t="str">
        <f>IF(SUMIF('Общий табель'!$C$3:$C$37,$B50,'Общий табель'!X$3:X$37)&gt;0,1,"")</f>
        <v/>
      </c>
      <c r="X50" s="30" t="str">
        <f>IF(SUMIF('Общий табель'!$C$3:$C$37,$B50,'Общий табель'!Y$3:Y$37)&gt;0,1,"")</f>
        <v/>
      </c>
      <c r="Y50" s="30" t="str">
        <f>IF(SUMIF('Общий табель'!$C$3:$C$37,$B50,'Общий табель'!Z$3:Z$37)&gt;0,1,"")</f>
        <v/>
      </c>
      <c r="Z50" s="30" t="str">
        <f>IF(SUMIF('Общий табель'!$C$3:$C$37,$B50,'Общий табель'!AA$3:AA$37)&gt;0,1,"")</f>
        <v/>
      </c>
      <c r="AA50" s="30" t="str">
        <f>IF(SUMIF('Общий табель'!$C$3:$C$37,$B50,'Общий табель'!AB$3:AB$37)&gt;0,1,"")</f>
        <v/>
      </c>
      <c r="AB50" s="30" t="str">
        <f>IF(SUMIF('Общий табель'!$C$3:$C$37,$B50,'Общий табель'!AC$3:AC$37)&gt;0,1,"")</f>
        <v/>
      </c>
      <c r="AC50" s="30" t="str">
        <f>IF(SUMIF('Общий табель'!$C$3:$C$37,$B50,'Общий табель'!AD$3:AD$37)&gt;0,1,"")</f>
        <v/>
      </c>
      <c r="AD50" s="30" t="str">
        <f>IF(SUMIF('Общий табель'!$C$3:$C$37,$B50,'Общий табель'!AE$3:AE$37)&gt;0,1,"")</f>
        <v/>
      </c>
      <c r="AE50" s="30" t="str">
        <f>IF(SUMIF('Общий табель'!$C$3:$C$37,$B50,'Общий табель'!AF$3:AF$37)&gt;0,1,"")</f>
        <v/>
      </c>
      <c r="AF50" s="30" t="str">
        <f>IF(SUMIF('Общий табель'!$C$3:$C$37,$B50,'Общий табель'!AG$3:AG$37)&gt;0,1,"")</f>
        <v/>
      </c>
      <c r="AG50" s="30" t="str">
        <f>IF(SUMIF('Общий табель'!$C$3:$C$37,$B50,'Общий табель'!AH$3:AH$37)&gt;0,1,"")</f>
        <v/>
      </c>
      <c r="AH50" s="30" t="str">
        <f>IF(SUMIF('Общий табель'!$C$3:$C$37,$B50,'Общий табель'!AI$3:AI$37)&gt;0,1,"")</f>
        <v/>
      </c>
      <c r="AI50" s="30">
        <f t="shared" si="1"/>
        <v>0</v>
      </c>
      <c r="AJ50" s="33"/>
    </row>
    <row r="51" spans="1:36" ht="23.1" customHeight="1">
      <c r="A51" s="31">
        <v>34</v>
      </c>
      <c r="B51" s="32"/>
      <c r="C51" s="32"/>
      <c r="D51" s="30" t="str">
        <f>IF(SUMIF('Общий табель'!$C$3:$C$37,B51,'Общий табель'!$E$3:$E$37)&gt;0,1,"")</f>
        <v/>
      </c>
      <c r="E51" s="30" t="str">
        <f>IF(SUMIF('Общий табель'!$C$3:$C$37,$B51,'Общий табель'!F$3:F$37)&gt;0,1,"")</f>
        <v/>
      </c>
      <c r="F51" s="30" t="str">
        <f>IF(SUMIF('Общий табель'!$C$3:$C$37,$B51,'Общий табель'!G$3:G$37)&gt;0,1,"")</f>
        <v/>
      </c>
      <c r="G51" s="30" t="str">
        <f>IF(SUMIF('Общий табель'!$C$3:$C$37,$B51,'Общий табель'!H$3:H$37)&gt;0,1,"")</f>
        <v/>
      </c>
      <c r="H51" s="30" t="str">
        <f>IF(SUMIF('Общий табель'!$C$3:$C$37,$B51,'Общий табель'!I$3:I$37)&gt;0,1,"")</f>
        <v/>
      </c>
      <c r="I51" s="30" t="str">
        <f>IF(SUMIF('Общий табель'!$C$3:$C$37,$B51,'Общий табель'!J$3:J$37)&gt;0,1,"")</f>
        <v/>
      </c>
      <c r="J51" s="30" t="str">
        <f>IF(SUMIF('Общий табель'!$C$3:$C$37,$B51,'Общий табель'!K$3:K$37)&gt;0,1,"")</f>
        <v/>
      </c>
      <c r="K51" s="30" t="str">
        <f>IF(SUMIF('Общий табель'!$C$3:$C$37,$B51,'Общий табель'!L$3:L$37)&gt;0,1,"")</f>
        <v/>
      </c>
      <c r="L51" s="30" t="str">
        <f>IF(SUMIF('Общий табель'!$C$3:$C$37,$B51,'Общий табель'!M$3:M$37)&gt;0,1,"")</f>
        <v/>
      </c>
      <c r="M51" s="30" t="str">
        <f>IF(SUMIF('Общий табель'!$C$3:$C$37,$B51,'Общий табель'!N$3:N$37)&gt;0,1,"")</f>
        <v/>
      </c>
      <c r="N51" s="30" t="str">
        <f>IF(SUMIF('Общий табель'!$C$3:$C$37,$B51,'Общий табель'!O$3:O$37)&gt;0,1,"")</f>
        <v/>
      </c>
      <c r="O51" s="30" t="str">
        <f>IF(SUMIF('Общий табель'!$C$3:$C$37,$B51,'Общий табель'!P$3:P$37)&gt;0,1,"")</f>
        <v/>
      </c>
      <c r="P51" s="30" t="str">
        <f>IF(SUMIF('Общий табель'!$C$3:$C$37,$B51,'Общий табель'!Q$3:Q$37)&gt;0,1,"")</f>
        <v/>
      </c>
      <c r="Q51" s="30" t="str">
        <f>IF(SUMIF('Общий табель'!$C$3:$C$37,$B51,'Общий табель'!R$3:R$37)&gt;0,1,"")</f>
        <v/>
      </c>
      <c r="R51" s="30" t="str">
        <f>IF(SUMIF('Общий табель'!$C$3:$C$37,$B51,'Общий табель'!S$3:S$37)&gt;0,1,"")</f>
        <v/>
      </c>
      <c r="S51" s="30" t="str">
        <f>IF(SUMIF('Общий табель'!$C$3:$C$37,$B51,'Общий табель'!T$3:T$37)&gt;0,1,"")</f>
        <v/>
      </c>
      <c r="T51" s="30" t="str">
        <f>IF(SUMIF('Общий табель'!$C$3:$C$37,$B51,'Общий табель'!U$3:U$37)&gt;0,1,"")</f>
        <v/>
      </c>
      <c r="U51" s="30" t="str">
        <f>IF(SUMIF('Общий табель'!$C$3:$C$37,$B51,'Общий табель'!V$3:V$37)&gt;0,1,"")</f>
        <v/>
      </c>
      <c r="V51" s="30" t="str">
        <f>IF(SUMIF('Общий табель'!$C$3:$C$37,$B51,'Общий табель'!W$3:W$37)&gt;0,1,"")</f>
        <v/>
      </c>
      <c r="W51" s="30" t="str">
        <f>IF(SUMIF('Общий табель'!$C$3:$C$37,$B51,'Общий табель'!X$3:X$37)&gt;0,1,"")</f>
        <v/>
      </c>
      <c r="X51" s="30" t="str">
        <f>IF(SUMIF('Общий табель'!$C$3:$C$37,$B51,'Общий табель'!Y$3:Y$37)&gt;0,1,"")</f>
        <v/>
      </c>
      <c r="Y51" s="30" t="str">
        <f>IF(SUMIF('Общий табель'!$C$3:$C$37,$B51,'Общий табель'!Z$3:Z$37)&gt;0,1,"")</f>
        <v/>
      </c>
      <c r="Z51" s="30" t="str">
        <f>IF(SUMIF('Общий табель'!$C$3:$C$37,$B51,'Общий табель'!AA$3:AA$37)&gt;0,1,"")</f>
        <v/>
      </c>
      <c r="AA51" s="30" t="str">
        <f>IF(SUMIF('Общий табель'!$C$3:$C$37,$B51,'Общий табель'!AB$3:AB$37)&gt;0,1,"")</f>
        <v/>
      </c>
      <c r="AB51" s="30" t="str">
        <f>IF(SUMIF('Общий табель'!$C$3:$C$37,$B51,'Общий табель'!AC$3:AC$37)&gt;0,1,"")</f>
        <v/>
      </c>
      <c r="AC51" s="30" t="str">
        <f>IF(SUMIF('Общий табель'!$C$3:$C$37,$B51,'Общий табель'!AD$3:AD$37)&gt;0,1,"")</f>
        <v/>
      </c>
      <c r="AD51" s="30" t="str">
        <f>IF(SUMIF('Общий табель'!$C$3:$C$37,$B51,'Общий табель'!AE$3:AE$37)&gt;0,1,"")</f>
        <v/>
      </c>
      <c r="AE51" s="30" t="str">
        <f>IF(SUMIF('Общий табель'!$C$3:$C$37,$B51,'Общий табель'!AF$3:AF$37)&gt;0,1,"")</f>
        <v/>
      </c>
      <c r="AF51" s="30" t="str">
        <f>IF(SUMIF('Общий табель'!$C$3:$C$37,$B51,'Общий табель'!AG$3:AG$37)&gt;0,1,"")</f>
        <v/>
      </c>
      <c r="AG51" s="30" t="str">
        <f>IF(SUMIF('Общий табель'!$C$3:$C$37,$B51,'Общий табель'!AH$3:AH$37)&gt;0,1,"")</f>
        <v/>
      </c>
      <c r="AH51" s="30" t="str">
        <f>IF(SUMIF('Общий табель'!$C$3:$C$37,$B51,'Общий табель'!AI$3:AI$37)&gt;0,1,"")</f>
        <v/>
      </c>
      <c r="AI51" s="30">
        <f t="shared" si="1"/>
        <v>0</v>
      </c>
      <c r="AJ51" s="33"/>
    </row>
    <row r="52" spans="1:36" ht="23.1" customHeight="1">
      <c r="A52" s="31">
        <v>35</v>
      </c>
      <c r="B52" s="35"/>
      <c r="C52" s="35"/>
      <c r="D52" s="30" t="str">
        <f>IF(SUMIF('Общий табель'!$C$3:$C$37,B52,'Общий табель'!$E$3:$E$37)&gt;0,1,"")</f>
        <v/>
      </c>
      <c r="E52" s="30" t="str">
        <f>IF(SUMIF('Общий табель'!$C$3:$C$37,$B52,'Общий табель'!F$3:F$37)&gt;0,1,"")</f>
        <v/>
      </c>
      <c r="F52" s="30" t="str">
        <f>IF(SUMIF('Общий табель'!$C$3:$C$37,$B52,'Общий табель'!G$3:G$37)&gt;0,1,"")</f>
        <v/>
      </c>
      <c r="G52" s="30" t="str">
        <f>IF(SUMIF('Общий табель'!$C$3:$C$37,$B52,'Общий табель'!H$3:H$37)&gt;0,1,"")</f>
        <v/>
      </c>
      <c r="H52" s="30" t="str">
        <f>IF(SUMIF('Общий табель'!$C$3:$C$37,$B52,'Общий табель'!I$3:I$37)&gt;0,1,"")</f>
        <v/>
      </c>
      <c r="I52" s="30" t="str">
        <f>IF(SUMIF('Общий табель'!$C$3:$C$37,$B52,'Общий табель'!J$3:J$37)&gt;0,1,"")</f>
        <v/>
      </c>
      <c r="J52" s="30" t="str">
        <f>IF(SUMIF('Общий табель'!$C$3:$C$37,$B52,'Общий табель'!K$3:K$37)&gt;0,1,"")</f>
        <v/>
      </c>
      <c r="K52" s="30" t="str">
        <f>IF(SUMIF('Общий табель'!$C$3:$C$37,$B52,'Общий табель'!L$3:L$37)&gt;0,1,"")</f>
        <v/>
      </c>
      <c r="L52" s="30" t="str">
        <f>IF(SUMIF('Общий табель'!$C$3:$C$37,$B52,'Общий табель'!M$3:M$37)&gt;0,1,"")</f>
        <v/>
      </c>
      <c r="M52" s="30" t="str">
        <f>IF(SUMIF('Общий табель'!$C$3:$C$37,$B52,'Общий табель'!N$3:N$37)&gt;0,1,"")</f>
        <v/>
      </c>
      <c r="N52" s="30" t="str">
        <f>IF(SUMIF('Общий табель'!$C$3:$C$37,$B52,'Общий табель'!O$3:O$37)&gt;0,1,"")</f>
        <v/>
      </c>
      <c r="O52" s="30" t="str">
        <f>IF(SUMIF('Общий табель'!$C$3:$C$37,$B52,'Общий табель'!P$3:P$37)&gt;0,1,"")</f>
        <v/>
      </c>
      <c r="P52" s="30" t="str">
        <f>IF(SUMIF('Общий табель'!$C$3:$C$37,$B52,'Общий табель'!Q$3:Q$37)&gt;0,1,"")</f>
        <v/>
      </c>
      <c r="Q52" s="30" t="str">
        <f>IF(SUMIF('Общий табель'!$C$3:$C$37,$B52,'Общий табель'!R$3:R$37)&gt;0,1,"")</f>
        <v/>
      </c>
      <c r="R52" s="30" t="str">
        <f>IF(SUMIF('Общий табель'!$C$3:$C$37,$B52,'Общий табель'!S$3:S$37)&gt;0,1,"")</f>
        <v/>
      </c>
      <c r="S52" s="30" t="str">
        <f>IF(SUMIF('Общий табель'!$C$3:$C$37,$B52,'Общий табель'!T$3:T$37)&gt;0,1,"")</f>
        <v/>
      </c>
      <c r="T52" s="30" t="str">
        <f>IF(SUMIF('Общий табель'!$C$3:$C$37,$B52,'Общий табель'!U$3:U$37)&gt;0,1,"")</f>
        <v/>
      </c>
      <c r="U52" s="30" t="str">
        <f>IF(SUMIF('Общий табель'!$C$3:$C$37,$B52,'Общий табель'!V$3:V$37)&gt;0,1,"")</f>
        <v/>
      </c>
      <c r="V52" s="30" t="str">
        <f>IF(SUMIF('Общий табель'!$C$3:$C$37,$B52,'Общий табель'!W$3:W$37)&gt;0,1,"")</f>
        <v/>
      </c>
      <c r="W52" s="30" t="str">
        <f>IF(SUMIF('Общий табель'!$C$3:$C$37,$B52,'Общий табель'!X$3:X$37)&gt;0,1,"")</f>
        <v/>
      </c>
      <c r="X52" s="30" t="str">
        <f>IF(SUMIF('Общий табель'!$C$3:$C$37,$B52,'Общий табель'!Y$3:Y$37)&gt;0,1,"")</f>
        <v/>
      </c>
      <c r="Y52" s="30" t="str">
        <f>IF(SUMIF('Общий табель'!$C$3:$C$37,$B52,'Общий табель'!Z$3:Z$37)&gt;0,1,"")</f>
        <v/>
      </c>
      <c r="Z52" s="30" t="str">
        <f>IF(SUMIF('Общий табель'!$C$3:$C$37,$B52,'Общий табель'!AA$3:AA$37)&gt;0,1,"")</f>
        <v/>
      </c>
      <c r="AA52" s="30" t="str">
        <f>IF(SUMIF('Общий табель'!$C$3:$C$37,$B52,'Общий табель'!AB$3:AB$37)&gt;0,1,"")</f>
        <v/>
      </c>
      <c r="AB52" s="30" t="str">
        <f>IF(SUMIF('Общий табель'!$C$3:$C$37,$B52,'Общий табель'!AC$3:AC$37)&gt;0,1,"")</f>
        <v/>
      </c>
      <c r="AC52" s="30" t="str">
        <f>IF(SUMIF('Общий табель'!$C$3:$C$37,$B52,'Общий табель'!AD$3:AD$37)&gt;0,1,"")</f>
        <v/>
      </c>
      <c r="AD52" s="30" t="str">
        <f>IF(SUMIF('Общий табель'!$C$3:$C$37,$B52,'Общий табель'!AE$3:AE$37)&gt;0,1,"")</f>
        <v/>
      </c>
      <c r="AE52" s="30" t="str">
        <f>IF(SUMIF('Общий табель'!$C$3:$C$37,$B52,'Общий табель'!AF$3:AF$37)&gt;0,1,"")</f>
        <v/>
      </c>
      <c r="AF52" s="30" t="str">
        <f>IF(SUMIF('Общий табель'!$C$3:$C$37,$B52,'Общий табель'!AG$3:AG$37)&gt;0,1,"")</f>
        <v/>
      </c>
      <c r="AG52" s="30" t="str">
        <f>IF(SUMIF('Общий табель'!$C$3:$C$37,$B52,'Общий табель'!AH$3:AH$37)&gt;0,1,"")</f>
        <v/>
      </c>
      <c r="AH52" s="30" t="str">
        <f>IF(SUMIF('Общий табель'!$C$3:$C$37,$B52,'Общий табель'!AI$3:AI$37)&gt;0,1,"")</f>
        <v/>
      </c>
      <c r="AI52" s="30">
        <f t="shared" si="1"/>
        <v>0</v>
      </c>
      <c r="AJ52" s="36"/>
    </row>
    <row r="53" spans="1:36" ht="23.1" customHeight="1">
      <c r="A53" s="31">
        <v>36</v>
      </c>
      <c r="B53" s="35"/>
      <c r="C53" s="35"/>
      <c r="D53" s="30" t="str">
        <f>IF(SUMIF('Общий табель'!$C$3:$C$37,B53,'Общий табель'!$E$3:$E$37)&gt;0,1,"")</f>
        <v/>
      </c>
      <c r="E53" s="30" t="str">
        <f>IF(SUMIF('Общий табель'!$C$3:$C$37,$B53,'Общий табель'!F$3:F$37)&gt;0,1,"")</f>
        <v/>
      </c>
      <c r="F53" s="30" t="str">
        <f>IF(SUMIF('Общий табель'!$C$3:$C$37,$B53,'Общий табель'!G$3:G$37)&gt;0,1,"")</f>
        <v/>
      </c>
      <c r="G53" s="30" t="str">
        <f>IF(SUMIF('Общий табель'!$C$3:$C$37,$B53,'Общий табель'!H$3:H$37)&gt;0,1,"")</f>
        <v/>
      </c>
      <c r="H53" s="30" t="str">
        <f>IF(SUMIF('Общий табель'!$C$3:$C$37,$B53,'Общий табель'!I$3:I$37)&gt;0,1,"")</f>
        <v/>
      </c>
      <c r="I53" s="30" t="str">
        <f>IF(SUMIF('Общий табель'!$C$3:$C$37,$B53,'Общий табель'!J$3:J$37)&gt;0,1,"")</f>
        <v/>
      </c>
      <c r="J53" s="30" t="str">
        <f>IF(SUMIF('Общий табель'!$C$3:$C$37,$B53,'Общий табель'!K$3:K$37)&gt;0,1,"")</f>
        <v/>
      </c>
      <c r="K53" s="30" t="str">
        <f>IF(SUMIF('Общий табель'!$C$3:$C$37,$B53,'Общий табель'!L$3:L$37)&gt;0,1,"")</f>
        <v/>
      </c>
      <c r="L53" s="30" t="str">
        <f>IF(SUMIF('Общий табель'!$C$3:$C$37,$B53,'Общий табель'!M$3:M$37)&gt;0,1,"")</f>
        <v/>
      </c>
      <c r="M53" s="30" t="str">
        <f>IF(SUMIF('Общий табель'!$C$3:$C$37,$B53,'Общий табель'!N$3:N$37)&gt;0,1,"")</f>
        <v/>
      </c>
      <c r="N53" s="30" t="str">
        <f>IF(SUMIF('Общий табель'!$C$3:$C$37,$B53,'Общий табель'!O$3:O$37)&gt;0,1,"")</f>
        <v/>
      </c>
      <c r="O53" s="30" t="str">
        <f>IF(SUMIF('Общий табель'!$C$3:$C$37,$B53,'Общий табель'!P$3:P$37)&gt;0,1,"")</f>
        <v/>
      </c>
      <c r="P53" s="30" t="str">
        <f>IF(SUMIF('Общий табель'!$C$3:$C$37,$B53,'Общий табель'!Q$3:Q$37)&gt;0,1,"")</f>
        <v/>
      </c>
      <c r="Q53" s="30" t="str">
        <f>IF(SUMIF('Общий табель'!$C$3:$C$37,$B53,'Общий табель'!R$3:R$37)&gt;0,1,"")</f>
        <v/>
      </c>
      <c r="R53" s="30" t="str">
        <f>IF(SUMIF('Общий табель'!$C$3:$C$37,$B53,'Общий табель'!S$3:S$37)&gt;0,1,"")</f>
        <v/>
      </c>
      <c r="S53" s="30" t="str">
        <f>IF(SUMIF('Общий табель'!$C$3:$C$37,$B53,'Общий табель'!T$3:T$37)&gt;0,1,"")</f>
        <v/>
      </c>
      <c r="T53" s="30" t="str">
        <f>IF(SUMIF('Общий табель'!$C$3:$C$37,$B53,'Общий табель'!U$3:U$37)&gt;0,1,"")</f>
        <v/>
      </c>
      <c r="U53" s="30" t="str">
        <f>IF(SUMIF('Общий табель'!$C$3:$C$37,$B53,'Общий табель'!V$3:V$37)&gt;0,1,"")</f>
        <v/>
      </c>
      <c r="V53" s="30" t="str">
        <f>IF(SUMIF('Общий табель'!$C$3:$C$37,$B53,'Общий табель'!W$3:W$37)&gt;0,1,"")</f>
        <v/>
      </c>
      <c r="W53" s="30" t="str">
        <f>IF(SUMIF('Общий табель'!$C$3:$C$37,$B53,'Общий табель'!X$3:X$37)&gt;0,1,"")</f>
        <v/>
      </c>
      <c r="X53" s="30" t="str">
        <f>IF(SUMIF('Общий табель'!$C$3:$C$37,$B53,'Общий табель'!Y$3:Y$37)&gt;0,1,"")</f>
        <v/>
      </c>
      <c r="Y53" s="30" t="str">
        <f>IF(SUMIF('Общий табель'!$C$3:$C$37,$B53,'Общий табель'!Z$3:Z$37)&gt;0,1,"")</f>
        <v/>
      </c>
      <c r="Z53" s="30" t="str">
        <f>IF(SUMIF('Общий табель'!$C$3:$C$37,$B53,'Общий табель'!AA$3:AA$37)&gt;0,1,"")</f>
        <v/>
      </c>
      <c r="AA53" s="30" t="str">
        <f>IF(SUMIF('Общий табель'!$C$3:$C$37,$B53,'Общий табель'!AB$3:AB$37)&gt;0,1,"")</f>
        <v/>
      </c>
      <c r="AB53" s="30" t="str">
        <f>IF(SUMIF('Общий табель'!$C$3:$C$37,$B53,'Общий табель'!AC$3:AC$37)&gt;0,1,"")</f>
        <v/>
      </c>
      <c r="AC53" s="30" t="str">
        <f>IF(SUMIF('Общий табель'!$C$3:$C$37,$B53,'Общий табель'!AD$3:AD$37)&gt;0,1,"")</f>
        <v/>
      </c>
      <c r="AD53" s="30" t="str">
        <f>IF(SUMIF('Общий табель'!$C$3:$C$37,$B53,'Общий табель'!AE$3:AE$37)&gt;0,1,"")</f>
        <v/>
      </c>
      <c r="AE53" s="30" t="str">
        <f>IF(SUMIF('Общий табель'!$C$3:$C$37,$B53,'Общий табель'!AF$3:AF$37)&gt;0,1,"")</f>
        <v/>
      </c>
      <c r="AF53" s="30" t="str">
        <f>IF(SUMIF('Общий табель'!$C$3:$C$37,$B53,'Общий табель'!AG$3:AG$37)&gt;0,1,"")</f>
        <v/>
      </c>
      <c r="AG53" s="30" t="str">
        <f>IF(SUMIF('Общий табель'!$C$3:$C$37,$B53,'Общий табель'!AH$3:AH$37)&gt;0,1,"")</f>
        <v/>
      </c>
      <c r="AH53" s="30" t="str">
        <f>IF(SUMIF('Общий табель'!$C$3:$C$37,$B53,'Общий табель'!AI$3:AI$37)&gt;0,1,"")</f>
        <v/>
      </c>
      <c r="AI53" s="30">
        <f t="shared" si="1"/>
        <v>0</v>
      </c>
      <c r="AJ53" s="33"/>
    </row>
    <row r="54" spans="1:36" ht="23.1" customHeight="1">
      <c r="A54" s="31">
        <v>37</v>
      </c>
      <c r="B54" s="35"/>
      <c r="C54" s="35"/>
      <c r="D54" s="30" t="str">
        <f>IF(SUMIF('Общий табель'!$C$3:$C$37,B54,'Общий табель'!$E$3:$E$37)&gt;0,1,"")</f>
        <v/>
      </c>
      <c r="E54" s="30" t="str">
        <f>IF(SUMIF('Общий табель'!$C$3:$C$37,$B54,'Общий табель'!F$3:F$37)&gt;0,1,"")</f>
        <v/>
      </c>
      <c r="F54" s="30" t="str">
        <f>IF(SUMIF('Общий табель'!$C$3:$C$37,$B54,'Общий табель'!G$3:G$37)&gt;0,1,"")</f>
        <v/>
      </c>
      <c r="G54" s="30" t="str">
        <f>IF(SUMIF('Общий табель'!$C$3:$C$37,$B54,'Общий табель'!H$3:H$37)&gt;0,1,"")</f>
        <v/>
      </c>
      <c r="H54" s="30" t="str">
        <f>IF(SUMIF('Общий табель'!$C$3:$C$37,$B54,'Общий табель'!I$3:I$37)&gt;0,1,"")</f>
        <v/>
      </c>
      <c r="I54" s="30" t="str">
        <f>IF(SUMIF('Общий табель'!$C$3:$C$37,$B54,'Общий табель'!J$3:J$37)&gt;0,1,"")</f>
        <v/>
      </c>
      <c r="J54" s="30" t="str">
        <f>IF(SUMIF('Общий табель'!$C$3:$C$37,$B54,'Общий табель'!K$3:K$37)&gt;0,1,"")</f>
        <v/>
      </c>
      <c r="K54" s="30" t="str">
        <f>IF(SUMIF('Общий табель'!$C$3:$C$37,$B54,'Общий табель'!L$3:L$37)&gt;0,1,"")</f>
        <v/>
      </c>
      <c r="L54" s="30" t="str">
        <f>IF(SUMIF('Общий табель'!$C$3:$C$37,$B54,'Общий табель'!M$3:M$37)&gt;0,1,"")</f>
        <v/>
      </c>
      <c r="M54" s="30" t="str">
        <f>IF(SUMIF('Общий табель'!$C$3:$C$37,$B54,'Общий табель'!N$3:N$37)&gt;0,1,"")</f>
        <v/>
      </c>
      <c r="N54" s="30" t="str">
        <f>IF(SUMIF('Общий табель'!$C$3:$C$37,$B54,'Общий табель'!O$3:O$37)&gt;0,1,"")</f>
        <v/>
      </c>
      <c r="O54" s="30" t="str">
        <f>IF(SUMIF('Общий табель'!$C$3:$C$37,$B54,'Общий табель'!P$3:P$37)&gt;0,1,"")</f>
        <v/>
      </c>
      <c r="P54" s="30" t="str">
        <f>IF(SUMIF('Общий табель'!$C$3:$C$37,$B54,'Общий табель'!Q$3:Q$37)&gt;0,1,"")</f>
        <v/>
      </c>
      <c r="Q54" s="30" t="str">
        <f>IF(SUMIF('Общий табель'!$C$3:$C$37,$B54,'Общий табель'!R$3:R$37)&gt;0,1,"")</f>
        <v/>
      </c>
      <c r="R54" s="30" t="str">
        <f>IF(SUMIF('Общий табель'!$C$3:$C$37,$B54,'Общий табель'!S$3:S$37)&gt;0,1,"")</f>
        <v/>
      </c>
      <c r="S54" s="30" t="str">
        <f>IF(SUMIF('Общий табель'!$C$3:$C$37,$B54,'Общий табель'!T$3:T$37)&gt;0,1,"")</f>
        <v/>
      </c>
      <c r="T54" s="30" t="str">
        <f>IF(SUMIF('Общий табель'!$C$3:$C$37,$B54,'Общий табель'!U$3:U$37)&gt;0,1,"")</f>
        <v/>
      </c>
      <c r="U54" s="30" t="str">
        <f>IF(SUMIF('Общий табель'!$C$3:$C$37,$B54,'Общий табель'!V$3:V$37)&gt;0,1,"")</f>
        <v/>
      </c>
      <c r="V54" s="30" t="str">
        <f>IF(SUMIF('Общий табель'!$C$3:$C$37,$B54,'Общий табель'!W$3:W$37)&gt;0,1,"")</f>
        <v/>
      </c>
      <c r="W54" s="30" t="str">
        <f>IF(SUMIF('Общий табель'!$C$3:$C$37,$B54,'Общий табель'!X$3:X$37)&gt;0,1,"")</f>
        <v/>
      </c>
      <c r="X54" s="30" t="str">
        <f>IF(SUMIF('Общий табель'!$C$3:$C$37,$B54,'Общий табель'!Y$3:Y$37)&gt;0,1,"")</f>
        <v/>
      </c>
      <c r="Y54" s="30" t="str">
        <f>IF(SUMIF('Общий табель'!$C$3:$C$37,$B54,'Общий табель'!Z$3:Z$37)&gt;0,1,"")</f>
        <v/>
      </c>
      <c r="Z54" s="30" t="str">
        <f>IF(SUMIF('Общий табель'!$C$3:$C$37,$B54,'Общий табель'!AA$3:AA$37)&gt;0,1,"")</f>
        <v/>
      </c>
      <c r="AA54" s="30" t="str">
        <f>IF(SUMIF('Общий табель'!$C$3:$C$37,$B54,'Общий табель'!AB$3:AB$37)&gt;0,1,"")</f>
        <v/>
      </c>
      <c r="AB54" s="30" t="str">
        <f>IF(SUMIF('Общий табель'!$C$3:$C$37,$B54,'Общий табель'!AC$3:AC$37)&gt;0,1,"")</f>
        <v/>
      </c>
      <c r="AC54" s="30" t="str">
        <f>IF(SUMIF('Общий табель'!$C$3:$C$37,$B54,'Общий табель'!AD$3:AD$37)&gt;0,1,"")</f>
        <v/>
      </c>
      <c r="AD54" s="30" t="str">
        <f>IF(SUMIF('Общий табель'!$C$3:$C$37,$B54,'Общий табель'!AE$3:AE$37)&gt;0,1,"")</f>
        <v/>
      </c>
      <c r="AE54" s="30" t="str">
        <f>IF(SUMIF('Общий табель'!$C$3:$C$37,$B54,'Общий табель'!AF$3:AF$37)&gt;0,1,"")</f>
        <v/>
      </c>
      <c r="AF54" s="30" t="str">
        <f>IF(SUMIF('Общий табель'!$C$3:$C$37,$B54,'Общий табель'!AG$3:AG$37)&gt;0,1,"")</f>
        <v/>
      </c>
      <c r="AG54" s="30" t="str">
        <f>IF(SUMIF('Общий табель'!$C$3:$C$37,$B54,'Общий табель'!AH$3:AH$37)&gt;0,1,"")</f>
        <v/>
      </c>
      <c r="AH54" s="30" t="str">
        <f>IF(SUMIF('Общий табель'!$C$3:$C$37,$B54,'Общий табель'!AI$3:AI$37)&gt;0,1,"")</f>
        <v/>
      </c>
      <c r="AI54" s="30">
        <f t="shared" si="1"/>
        <v>0</v>
      </c>
      <c r="AJ54" s="33"/>
    </row>
    <row r="55" spans="1:36" ht="23.1" customHeight="1">
      <c r="A55" s="31">
        <v>38</v>
      </c>
      <c r="B55" s="35"/>
      <c r="C55" s="35"/>
      <c r="D55" s="30" t="str">
        <f>IF(SUMIF('Общий табель'!$C$3:$C$37,B55,'Общий табель'!$E$3:$E$37)&gt;0,1,"")</f>
        <v/>
      </c>
      <c r="E55" s="30" t="str">
        <f>IF(SUMIF('Общий табель'!$C$3:$C$37,$B55,'Общий табель'!F$3:F$37)&gt;0,1,"")</f>
        <v/>
      </c>
      <c r="F55" s="30" t="str">
        <f>IF(SUMIF('Общий табель'!$C$3:$C$37,$B55,'Общий табель'!G$3:G$37)&gt;0,1,"")</f>
        <v/>
      </c>
      <c r="G55" s="30" t="str">
        <f>IF(SUMIF('Общий табель'!$C$3:$C$37,$B55,'Общий табель'!H$3:H$37)&gt;0,1,"")</f>
        <v/>
      </c>
      <c r="H55" s="30" t="str">
        <f>IF(SUMIF('Общий табель'!$C$3:$C$37,$B55,'Общий табель'!I$3:I$37)&gt;0,1,"")</f>
        <v/>
      </c>
      <c r="I55" s="30" t="str">
        <f>IF(SUMIF('Общий табель'!$C$3:$C$37,$B55,'Общий табель'!J$3:J$37)&gt;0,1,"")</f>
        <v/>
      </c>
      <c r="J55" s="30" t="str">
        <f>IF(SUMIF('Общий табель'!$C$3:$C$37,$B55,'Общий табель'!K$3:K$37)&gt;0,1,"")</f>
        <v/>
      </c>
      <c r="K55" s="30" t="str">
        <f>IF(SUMIF('Общий табель'!$C$3:$C$37,$B55,'Общий табель'!L$3:L$37)&gt;0,1,"")</f>
        <v/>
      </c>
      <c r="L55" s="30" t="str">
        <f>IF(SUMIF('Общий табель'!$C$3:$C$37,$B55,'Общий табель'!M$3:M$37)&gt;0,1,"")</f>
        <v/>
      </c>
      <c r="M55" s="30" t="str">
        <f>IF(SUMIF('Общий табель'!$C$3:$C$37,$B55,'Общий табель'!N$3:N$37)&gt;0,1,"")</f>
        <v/>
      </c>
      <c r="N55" s="30" t="str">
        <f>IF(SUMIF('Общий табель'!$C$3:$C$37,$B55,'Общий табель'!O$3:O$37)&gt;0,1,"")</f>
        <v/>
      </c>
      <c r="O55" s="30" t="str">
        <f>IF(SUMIF('Общий табель'!$C$3:$C$37,$B55,'Общий табель'!P$3:P$37)&gt;0,1,"")</f>
        <v/>
      </c>
      <c r="P55" s="30" t="str">
        <f>IF(SUMIF('Общий табель'!$C$3:$C$37,$B55,'Общий табель'!Q$3:Q$37)&gt;0,1,"")</f>
        <v/>
      </c>
      <c r="Q55" s="30" t="str">
        <f>IF(SUMIF('Общий табель'!$C$3:$C$37,$B55,'Общий табель'!R$3:R$37)&gt;0,1,"")</f>
        <v/>
      </c>
      <c r="R55" s="30" t="str">
        <f>IF(SUMIF('Общий табель'!$C$3:$C$37,$B55,'Общий табель'!S$3:S$37)&gt;0,1,"")</f>
        <v/>
      </c>
      <c r="S55" s="30" t="str">
        <f>IF(SUMIF('Общий табель'!$C$3:$C$37,$B55,'Общий табель'!T$3:T$37)&gt;0,1,"")</f>
        <v/>
      </c>
      <c r="T55" s="30" t="str">
        <f>IF(SUMIF('Общий табель'!$C$3:$C$37,$B55,'Общий табель'!U$3:U$37)&gt;0,1,"")</f>
        <v/>
      </c>
      <c r="U55" s="30" t="str">
        <f>IF(SUMIF('Общий табель'!$C$3:$C$37,$B55,'Общий табель'!V$3:V$37)&gt;0,1,"")</f>
        <v/>
      </c>
      <c r="V55" s="30" t="str">
        <f>IF(SUMIF('Общий табель'!$C$3:$C$37,$B55,'Общий табель'!W$3:W$37)&gt;0,1,"")</f>
        <v/>
      </c>
      <c r="W55" s="30" t="str">
        <f>IF(SUMIF('Общий табель'!$C$3:$C$37,$B55,'Общий табель'!X$3:X$37)&gt;0,1,"")</f>
        <v/>
      </c>
      <c r="X55" s="30" t="str">
        <f>IF(SUMIF('Общий табель'!$C$3:$C$37,$B55,'Общий табель'!Y$3:Y$37)&gt;0,1,"")</f>
        <v/>
      </c>
      <c r="Y55" s="30" t="str">
        <f>IF(SUMIF('Общий табель'!$C$3:$C$37,$B55,'Общий табель'!Z$3:Z$37)&gt;0,1,"")</f>
        <v/>
      </c>
      <c r="Z55" s="30" t="str">
        <f>IF(SUMIF('Общий табель'!$C$3:$C$37,$B55,'Общий табель'!AA$3:AA$37)&gt;0,1,"")</f>
        <v/>
      </c>
      <c r="AA55" s="30" t="str">
        <f>IF(SUMIF('Общий табель'!$C$3:$C$37,$B55,'Общий табель'!AB$3:AB$37)&gt;0,1,"")</f>
        <v/>
      </c>
      <c r="AB55" s="30" t="str">
        <f>IF(SUMIF('Общий табель'!$C$3:$C$37,$B55,'Общий табель'!AC$3:AC$37)&gt;0,1,"")</f>
        <v/>
      </c>
      <c r="AC55" s="30" t="str">
        <f>IF(SUMIF('Общий табель'!$C$3:$C$37,$B55,'Общий табель'!AD$3:AD$37)&gt;0,1,"")</f>
        <v/>
      </c>
      <c r="AD55" s="30" t="str">
        <f>IF(SUMIF('Общий табель'!$C$3:$C$37,$B55,'Общий табель'!AE$3:AE$37)&gt;0,1,"")</f>
        <v/>
      </c>
      <c r="AE55" s="30" t="str">
        <f>IF(SUMIF('Общий табель'!$C$3:$C$37,$B55,'Общий табель'!AF$3:AF$37)&gt;0,1,"")</f>
        <v/>
      </c>
      <c r="AF55" s="30" t="str">
        <f>IF(SUMIF('Общий табель'!$C$3:$C$37,$B55,'Общий табель'!AG$3:AG$37)&gt;0,1,"")</f>
        <v/>
      </c>
      <c r="AG55" s="30" t="str">
        <f>IF(SUMIF('Общий табель'!$C$3:$C$37,$B55,'Общий табель'!AH$3:AH$37)&gt;0,1,"")</f>
        <v/>
      </c>
      <c r="AH55" s="30" t="str">
        <f>IF(SUMIF('Общий табель'!$C$3:$C$37,$B55,'Общий табель'!AI$3:AI$37)&gt;0,1,"")</f>
        <v/>
      </c>
      <c r="AI55" s="30">
        <f t="shared" si="1"/>
        <v>0</v>
      </c>
      <c r="AJ55" s="33"/>
    </row>
    <row r="56" spans="1:36" ht="18.600000000000001" customHeight="1">
      <c r="A56" s="37"/>
      <c r="B56" s="38"/>
      <c r="C56" s="92" t="s">
        <v>165</v>
      </c>
      <c r="D56" s="92"/>
      <c r="E56" s="92"/>
      <c r="F56" s="92"/>
      <c r="G56" s="92"/>
      <c r="H56" s="92"/>
      <c r="I56" s="92"/>
      <c r="J56" s="92"/>
      <c r="K56" s="92"/>
      <c r="L56" s="39" t="str">
        <f>INDEX({"","сто ","двести ","триста ","четыреста ","пятьсот ","шестьсот ","семьсот ","восемьсот ","девятьсот "},MOD(TRUNC(AI56/10^8),10)+1)&amp;CHOOSE(MOD(TRUNC(AI56/10^7),10)+1,"",INDEX({"десять ","одиннадцать ","двенадцать ","тринадцать ","четырнадцать ","пятнадцать ","шестнадцать ","семнадцать ","восемнадцать ","девятнадцать "},MOD(TRUNC(AI56/10^6),10)+1),"двадцать ","тридцать ","сорок ","пятьдесят ","шестьдесят ","семьдесят ","восемьдесят ","девяносто ")&amp;IF(MOD(TRUNC(AI56/10^7),10)&lt;&gt;1,INDEX({"","один ","два ","три ","четыре ","пять ","шесть ","семь ","восемь ","девять "},MOD(TRUNC(AI56/10^6),10)+1),"")&amp;IF(MOD(TRUNC(AI56/10^6),1000),"миллион"&amp;IF(MOD(TRUNC(AI56/10^7),10)=1,"ов ",VLOOKUP(MOD(TRUNC(AI56/10^6),10),{0,"ов ";1," ";2,"а ";5,"ов "},2)),"")&amp;INDEX({"","сто ","двести ","триста ","четыреста ","пятьсот ","шестьсот ","семьсот ","восемьсот ","девятьсот "},MOD(TRUNC(AI56/10^5),10)+1)&amp;CHOOSE(MOD(TRUNC(AI56/10^4),10)+1,"",INDEX({"десять ","одиннадцать ","двенадцать ","тринадцать ","четырнадцать ","пятнадцать ","шестнадцать ","семнадцать ","восемнадцать ","девятнадцать "},MOD(TRUNC(AI56/1000),10)+1),"двадцать ","тридцать ","сорок ","пятьдесят ","шестьдесят ","семьдесят ","восемьдесят ","девяносто ")&amp;IF(MOD(TRUNC(AI56/10^4),10)&lt;&gt;1,INDEX({"","одна ","две ","три ","четыре ","пять ","шесть ","семь ","восемь ","девять "},MOD(TRUNC(AI56/1000),10)+1),"")&amp;IF(MOD(TRUNC(AI56/1000),1000),"тысяч"&amp;IF(MOD(TRUNC(AI56/10^4),10)=1," ",VLOOKUP(MOD(TRUNC(AI56/1000),10),{0," ";1,"а ";2,"и ";5," "},2)),"")&amp;INDEX({"","сто ","двести ","триста ","четыреста ","пятьсот ","шестьсот ","семьсот ","восемьсот ","девятьсот "},MOD(TRUNC(AI56/100),10)+1)&amp;CHOOSE(MOD(TRUNC(AI56/10),10)+1,"",INDEX({"десять ","одиннадцать ","двенадцать ","тринадцать ","четырнадцать ","пятнадцать ","шестнадцать ","семнадцать ","восемнадцать ","девятнадцать "},MOD(TRUNC(AI56),10)+1),"двадцать ","тридцать ","сорок ","пятьдесят ","шестьдесят ","семьдесят ","восемьдесят ","девяносто ")&amp;IF(TRUNC(AI56)=0,"ноль ",IF(MOD(TRUNC(AI56/10),10)&lt;&gt;1,INDEX({"","один ","два ","три ","четыре ","пять ","шесть ","семь ","восемь ","девять "},MOD(TRUNC(AI56),10)+1),""))&amp;"талон"&amp;IF(MOD(TRUNC(AI56/10),10)=1,"ов",VLOOKUP(MOD(TRUNC(AI56),10),{0,"ов";1,"";2,"а";5,"ов"},2))&amp;TEXT(TRUNC((AI56-TRUNC(AI56)+0.00001)*100),)</f>
        <v>ноль талонов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101">
        <f>SUM(AI37:AI55,AI8:AI26)</f>
        <v>0</v>
      </c>
      <c r="AJ56" s="102"/>
    </row>
    <row r="57" spans="1:36" ht="18.600000000000001" customHeight="1">
      <c r="A57" s="40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3"/>
      <c r="AJ57" s="44"/>
    </row>
    <row r="58" spans="1:36" ht="18.600000000000001" customHeight="1">
      <c r="A58" s="96" t="s">
        <v>163</v>
      </c>
      <c r="B58" s="96"/>
      <c r="C58" s="97" t="e">
        <f>#REF!</f>
        <v>#REF!</v>
      </c>
      <c r="D58" s="97"/>
      <c r="E58" s="97"/>
      <c r="F58" s="97"/>
      <c r="G58" s="97"/>
      <c r="U58" s="22" t="s">
        <v>164</v>
      </c>
      <c r="AJ58" s="45"/>
    </row>
    <row r="59" spans="1:36" ht="18.600000000000001" customHeight="1"/>
    <row r="60" spans="1:36" ht="18.600000000000001" customHeight="1"/>
    <row r="61" spans="1:36" ht="18.600000000000001" customHeight="1"/>
    <row r="62" spans="1:36" ht="18.600000000000001" customHeight="1"/>
    <row r="63" spans="1:36" ht="18.600000000000001" customHeight="1"/>
    <row r="64" spans="1:36" ht="18.600000000000001" customHeight="1"/>
    <row r="65" ht="18.600000000000001" customHeight="1"/>
    <row r="66" ht="18.600000000000001" customHeight="1"/>
    <row r="67" ht="18.600000000000001" customHeight="1"/>
    <row r="68" ht="18.600000000000001" customHeight="1"/>
    <row r="70" ht="15" customHeight="1"/>
  </sheetData>
  <sheetProtection formatCells="0" formatColumns="0" formatRows="0"/>
  <customSheetViews>
    <customSheetView guid="{1957AC80-412C-4030-B807-A599A7F9C8EF}" scale="130" showPageBreaks="1" showGridLines="0" showRowCol="0" zeroValues="0">
      <selection activeCell="J17" sqref="J17"/>
      <rowBreaks count="1" manualBreakCount="1">
        <brk id="32" max="16383" man="1"/>
      </rowBreaks>
      <pageMargins left="0.70866141732283472" right="0.70866141732283472" top="0.74803149606299213" bottom="0.74803149606299213" header="0.31496062992125984" footer="0.31496062992125984"/>
      <pageSetup paperSize="9" scale="91" orientation="landscape" horizontalDpi="300" verticalDpi="300" r:id="rId1"/>
    </customSheetView>
  </customSheetViews>
  <mergeCells count="24">
    <mergeCell ref="C56:K56"/>
    <mergeCell ref="AI56:AJ56"/>
    <mergeCell ref="A58:B58"/>
    <mergeCell ref="A32:AJ32"/>
    <mergeCell ref="D33:V33"/>
    <mergeCell ref="W33:AD33"/>
    <mergeCell ref="A35:A36"/>
    <mergeCell ref="B35:B36"/>
    <mergeCell ref="D35:AH35"/>
    <mergeCell ref="AI35:AI36"/>
    <mergeCell ref="AJ35:AJ36"/>
    <mergeCell ref="C58:G58"/>
    <mergeCell ref="C27:K27"/>
    <mergeCell ref="D4:V4"/>
    <mergeCell ref="AI27:AJ27"/>
    <mergeCell ref="A29:B29"/>
    <mergeCell ref="C29:G29"/>
    <mergeCell ref="W4:AD4"/>
    <mergeCell ref="A3:AJ3"/>
    <mergeCell ref="A6:A7"/>
    <mergeCell ref="B6:B7"/>
    <mergeCell ref="D6:AH6"/>
    <mergeCell ref="AI6:AI7"/>
    <mergeCell ref="AJ6:AJ7"/>
  </mergeCells>
  <dataValidations count="3">
    <dataValidation type="list" allowBlank="1" showInputMessage="1" showErrorMessage="1" sqref="A8:A26 A37:A55">
      <formula1>№</formula1>
    </dataValidation>
    <dataValidation type="list" allowBlank="1" showInputMessage="1" showErrorMessage="1" sqref="B8:B26 B37:B55">
      <formula1>ФИО</formula1>
    </dataValidation>
    <dataValidation type="list" allowBlank="1" showInputMessage="1" showErrorMessage="1" sqref="C8:C26 C37:C55">
      <formula1>Профессия</formula1>
    </dataValidation>
  </dataValidations>
  <printOptions horizontalCentered="1" verticalCentered="1"/>
  <pageMargins left="0" right="0" top="0" bottom="0.39370078740157483" header="0" footer="0"/>
  <pageSetup paperSize="9" scale="90" orientation="landscape" horizontalDpi="300" verticalDpi="300" r:id="rId2"/>
  <rowBreaks count="1" manualBreakCount="1">
    <brk id="29" max="35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0">
    <tabColor rgb="FFFFC000"/>
  </sheetPr>
  <dimension ref="A1:Q151"/>
  <sheetViews>
    <sheetView showGridLines="0" zoomScale="90" zoomScaleNormal="90" workbookViewId="0">
      <selection activeCell="D6" sqref="D6"/>
    </sheetView>
  </sheetViews>
  <sheetFormatPr defaultRowHeight="20.25"/>
  <cols>
    <col min="1" max="1" width="5.7109375" style="74" customWidth="1"/>
    <col min="2" max="2" width="27.28515625" style="64" customWidth="1"/>
    <col min="3" max="3" width="11.28515625" style="47" customWidth="1"/>
    <col min="4" max="4" width="28.7109375" style="53" customWidth="1"/>
    <col min="5" max="5" width="19.140625" style="68" customWidth="1"/>
    <col min="6" max="6" width="10.42578125" style="74" customWidth="1"/>
    <col min="7" max="7" width="25.28515625" style="53" customWidth="1"/>
    <col min="8" max="8" width="29" style="53" customWidth="1"/>
    <col min="9" max="9" width="92.140625" style="53" customWidth="1"/>
    <col min="10" max="10" width="20.5703125" style="53" customWidth="1"/>
    <col min="11" max="16384" width="9.140625" style="53"/>
  </cols>
  <sheetData>
    <row r="1" spans="1:17">
      <c r="A1" s="46" t="s">
        <v>1</v>
      </c>
      <c r="B1" s="47" t="s">
        <v>28</v>
      </c>
      <c r="C1" s="47" t="s">
        <v>4</v>
      </c>
      <c r="D1" s="48" t="s">
        <v>27</v>
      </c>
      <c r="E1" s="49" t="s">
        <v>274</v>
      </c>
      <c r="F1" s="47" t="s">
        <v>65</v>
      </c>
      <c r="G1" s="47" t="s">
        <v>132</v>
      </c>
      <c r="H1" s="46" t="s">
        <v>133</v>
      </c>
      <c r="I1" s="50" t="s">
        <v>184</v>
      </c>
      <c r="J1" s="51" t="s">
        <v>253</v>
      </c>
      <c r="K1" s="52"/>
      <c r="L1" s="52"/>
      <c r="M1" s="52"/>
      <c r="N1" s="52"/>
      <c r="O1" s="52"/>
      <c r="P1" s="52"/>
    </row>
    <row r="2" spans="1:17">
      <c r="A2" s="54">
        <v>1</v>
      </c>
      <c r="B2" s="55" t="s">
        <v>36</v>
      </c>
      <c r="C2" s="56">
        <f>IF(B2="Амосова Т.Ф.",342)</f>
        <v>342</v>
      </c>
      <c r="D2" s="57" t="s">
        <v>41</v>
      </c>
      <c r="E2" s="58">
        <f>IF(D2="Машинист 6 р.",7715)</f>
        <v>7715</v>
      </c>
      <c r="F2" s="47">
        <v>1</v>
      </c>
      <c r="G2" s="59" t="s">
        <v>173</v>
      </c>
      <c r="H2" s="60" t="s">
        <v>134</v>
      </c>
      <c r="I2" s="61" t="s">
        <v>254</v>
      </c>
      <c r="J2" s="51">
        <f>IF(I2="в том числе связывание канатика",16309)</f>
        <v>16309</v>
      </c>
      <c r="K2" s="52"/>
      <c r="L2" s="52"/>
      <c r="M2" s="52"/>
      <c r="N2" s="52"/>
      <c r="O2" s="52"/>
      <c r="P2" s="52"/>
    </row>
    <row r="3" spans="1:17">
      <c r="A3" s="54">
        <v>2</v>
      </c>
      <c r="B3" s="62" t="s">
        <v>216</v>
      </c>
      <c r="C3" s="47">
        <f>IF(B3="Аниськович А.П.",1339)</f>
        <v>1339</v>
      </c>
      <c r="D3" s="57" t="s">
        <v>46</v>
      </c>
      <c r="E3" s="58">
        <f>IF(D3="Ап.пр.хим.р-в 3 р.",5481)</f>
        <v>5481</v>
      </c>
      <c r="F3" s="47">
        <v>2</v>
      </c>
      <c r="G3" s="63" t="s">
        <v>174</v>
      </c>
      <c r="H3" s="60" t="s">
        <v>151</v>
      </c>
      <c r="I3" s="61" t="s">
        <v>255</v>
      </c>
      <c r="J3" s="51">
        <f>IF(I3="композиционного, оборотного брака, сгущеной целлюлозы",32283)</f>
        <v>32283</v>
      </c>
      <c r="K3" s="52"/>
      <c r="L3" s="52"/>
      <c r="M3" s="52"/>
      <c r="N3" s="52"/>
      <c r="O3" s="52"/>
      <c r="P3" s="52"/>
    </row>
    <row r="4" spans="1:17">
      <c r="A4" s="54">
        <v>3</v>
      </c>
      <c r="B4" s="62" t="s">
        <v>215</v>
      </c>
      <c r="C4" s="56">
        <f>IF(B4="Апет И.В.",2234)</f>
        <v>2234</v>
      </c>
      <c r="D4" s="57" t="s">
        <v>59</v>
      </c>
      <c r="E4" s="51">
        <f>IF(D4="Ап.пр.хим.р-в 3 р. %",5481)</f>
        <v>5481</v>
      </c>
      <c r="F4" s="47">
        <v>3</v>
      </c>
      <c r="G4" s="63" t="s">
        <v>175</v>
      </c>
      <c r="H4" s="60" t="s">
        <v>135</v>
      </c>
      <c r="I4" s="64" t="s">
        <v>186</v>
      </c>
      <c r="J4" s="51">
        <f>IF(I4="Переупаковка ролевой бумаги",7536)</f>
        <v>7536</v>
      </c>
      <c r="K4" s="52"/>
      <c r="L4" s="52"/>
      <c r="M4" s="52"/>
      <c r="N4" s="52"/>
      <c r="O4" s="52"/>
      <c r="P4" s="52"/>
    </row>
    <row r="5" spans="1:17">
      <c r="A5" s="54">
        <v>4</v>
      </c>
      <c r="B5" s="62" t="s">
        <v>130</v>
      </c>
      <c r="C5" s="56">
        <f>IF(B5="Богодяж Т.А.",1609)</f>
        <v>1609</v>
      </c>
      <c r="D5" s="65" t="s">
        <v>49</v>
      </c>
      <c r="E5" s="51">
        <f>IF(D5="Маш.уп. маш. 2 р.",4710)</f>
        <v>4710</v>
      </c>
      <c r="F5" s="47">
        <v>4</v>
      </c>
      <c r="G5" s="63" t="s">
        <v>138</v>
      </c>
      <c r="H5" s="60" t="s">
        <v>136</v>
      </c>
      <c r="I5" s="64" t="s">
        <v>192</v>
      </c>
      <c r="J5" s="51">
        <f>IF(I5="Промывка и чистка сгустителя",10688)</f>
        <v>10688</v>
      </c>
      <c r="K5" s="52"/>
      <c r="L5" s="52"/>
      <c r="M5" s="52"/>
      <c r="N5" s="52"/>
      <c r="O5" s="52"/>
      <c r="P5" s="52"/>
      <c r="Q5" s="66"/>
    </row>
    <row r="6" spans="1:17">
      <c r="A6" s="54">
        <v>5</v>
      </c>
      <c r="B6" s="55" t="s">
        <v>30</v>
      </c>
      <c r="C6" s="56">
        <f>IF(B6="Брикун М.А.",1179)</f>
        <v>1179</v>
      </c>
      <c r="D6" s="57" t="s">
        <v>62</v>
      </c>
      <c r="E6" s="51">
        <f>IF(D6="Маш.уп. маш. 2 р. %",4710)</f>
        <v>4710</v>
      </c>
      <c r="F6" s="47">
        <v>5</v>
      </c>
      <c r="G6" s="63" t="s">
        <v>139</v>
      </c>
      <c r="H6" s="60" t="s">
        <v>137</v>
      </c>
      <c r="I6" s="64" t="s">
        <v>193</v>
      </c>
      <c r="J6" s="51">
        <f>IF(I6="Промывка и чистка флотоловушки",36134)</f>
        <v>36134</v>
      </c>
      <c r="K6" s="52"/>
      <c r="L6" s="52"/>
      <c r="M6" s="52"/>
      <c r="N6" s="52"/>
      <c r="O6" s="52"/>
      <c r="P6" s="52"/>
      <c r="Q6" s="66"/>
    </row>
    <row r="7" spans="1:17">
      <c r="A7" s="54">
        <v>6</v>
      </c>
      <c r="B7" s="55" t="s">
        <v>168</v>
      </c>
      <c r="C7" s="56">
        <f>IF(B7="Буйко В.Г.",1241)</f>
        <v>1241</v>
      </c>
      <c r="D7" s="57" t="s">
        <v>43</v>
      </c>
      <c r="E7" s="58">
        <f>IF(D7="Накатчик 3 р.",5481)</f>
        <v>5481</v>
      </c>
      <c r="F7" s="47">
        <v>6</v>
      </c>
      <c r="G7" s="63" t="s">
        <v>140</v>
      </c>
      <c r="H7" s="60"/>
      <c r="I7" s="64" t="s">
        <v>256</v>
      </c>
      <c r="J7" s="51">
        <f>IF(I7="Резка и упаковка ленты бумажной для плоттеров 70 г/м2, ф. 1000 мм",4874)</f>
        <v>4874</v>
      </c>
      <c r="K7" s="52"/>
      <c r="L7" s="52"/>
      <c r="M7" s="52"/>
      <c r="N7" s="52"/>
      <c r="O7" s="52"/>
      <c r="P7" s="52"/>
      <c r="Q7" s="66"/>
    </row>
    <row r="8" spans="1:17">
      <c r="A8" s="54">
        <v>7</v>
      </c>
      <c r="B8" s="64" t="s">
        <v>169</v>
      </c>
      <c r="C8" s="47">
        <f>IF(B8="Булавский А.В.",1515)</f>
        <v>1515</v>
      </c>
      <c r="D8" s="57" t="s">
        <v>56</v>
      </c>
      <c r="E8" s="58">
        <f>IF(D8="Накатчик 3 р. %",5481)</f>
        <v>5481</v>
      </c>
      <c r="F8" s="47">
        <v>7</v>
      </c>
      <c r="G8" s="55" t="s">
        <v>141</v>
      </c>
      <c r="H8" s="60"/>
      <c r="I8" s="64" t="s">
        <v>257</v>
      </c>
      <c r="J8" s="51">
        <f>IF(I8="Резка и упаковка ленты бумажной для плоттеров 70 г/м2, ф. 1500 мм",8356)</f>
        <v>8356</v>
      </c>
      <c r="K8" s="52"/>
      <c r="L8" s="52"/>
      <c r="M8" s="52"/>
      <c r="N8" s="52"/>
      <c r="O8" s="52"/>
      <c r="P8" s="52"/>
      <c r="Q8" s="66"/>
    </row>
    <row r="9" spans="1:17">
      <c r="A9" s="54">
        <v>8</v>
      </c>
      <c r="B9" s="55" t="s">
        <v>11</v>
      </c>
      <c r="C9" s="47">
        <f>IF(B9="Буракова Т.А.",643)</f>
        <v>643</v>
      </c>
      <c r="D9" s="57" t="s">
        <v>63</v>
      </c>
      <c r="E9" s="58">
        <f>IF(D9="Перссовщик 3 р.",5481)</f>
        <v>5481</v>
      </c>
      <c r="F9" s="47">
        <v>8</v>
      </c>
      <c r="G9" s="55" t="s">
        <v>142</v>
      </c>
      <c r="H9" s="60"/>
      <c r="I9" s="64" t="s">
        <v>258</v>
      </c>
      <c r="J9" s="51">
        <f>IF(I9="Резка и упаковка ленты бумажной для плоттеров 70 г/м2, ф. 1510 мм",8356)</f>
        <v>8356</v>
      </c>
      <c r="K9" s="52"/>
      <c r="L9" s="52"/>
      <c r="M9" s="52"/>
      <c r="N9" s="52"/>
      <c r="O9" s="52"/>
      <c r="P9" s="52"/>
      <c r="Q9" s="66"/>
    </row>
    <row r="10" spans="1:17">
      <c r="A10" s="54">
        <v>9</v>
      </c>
      <c r="B10" s="62" t="s">
        <v>108</v>
      </c>
      <c r="C10" s="47">
        <f>IF(B10="Бурдыко Е.А.",2269)</f>
        <v>2269</v>
      </c>
      <c r="D10" s="57" t="s">
        <v>64</v>
      </c>
      <c r="E10" s="58">
        <f>IF(D10="Перссовщик 3 р. %",5481)</f>
        <v>5481</v>
      </c>
      <c r="F10" s="47">
        <v>9</v>
      </c>
      <c r="G10" s="55" t="s">
        <v>143</v>
      </c>
      <c r="H10" s="60"/>
      <c r="I10" s="64" t="s">
        <v>259</v>
      </c>
      <c r="J10" s="51">
        <f>IF(I10="Резка и упаковка ленты бумажной для плоттеров 70 г/м2, ф. 1680 мм",8356)</f>
        <v>8356</v>
      </c>
      <c r="K10" s="52"/>
      <c r="L10" s="52"/>
      <c r="M10" s="52"/>
      <c r="N10" s="52"/>
      <c r="O10" s="52"/>
      <c r="P10" s="52"/>
      <c r="Q10" s="66"/>
    </row>
    <row r="11" spans="1:17">
      <c r="A11" s="54">
        <v>10</v>
      </c>
      <c r="B11" s="62" t="s">
        <v>217</v>
      </c>
      <c r="C11" s="47">
        <f>IF(B11="Бурыхин С.А.",1501)</f>
        <v>1501</v>
      </c>
      <c r="D11" s="57" t="s">
        <v>45</v>
      </c>
      <c r="E11" s="58">
        <f>IF(D11="Разм. РПО 3 р.",5481)</f>
        <v>5481</v>
      </c>
      <c r="F11" s="47">
        <v>10</v>
      </c>
      <c r="G11" s="55" t="s">
        <v>144</v>
      </c>
      <c r="H11" s="60"/>
      <c r="I11" s="64" t="s">
        <v>260</v>
      </c>
      <c r="J11" s="51">
        <f>IF(I11="Резка и упаковка ленты бумажной для плоттеров 70 г/м2, ф. 1800 мм",8356)</f>
        <v>8356</v>
      </c>
      <c r="K11" s="52"/>
      <c r="L11" s="52"/>
      <c r="M11" s="52"/>
      <c r="N11" s="52"/>
      <c r="O11" s="52"/>
      <c r="P11" s="52"/>
      <c r="Q11" s="66"/>
    </row>
    <row r="12" spans="1:17">
      <c r="A12" s="54">
        <v>11</v>
      </c>
      <c r="B12" s="62" t="s">
        <v>224</v>
      </c>
      <c r="C12" s="56">
        <f>IF(B12="Буслов А.А.",2150)</f>
        <v>2150</v>
      </c>
      <c r="D12" s="57" t="s">
        <v>58</v>
      </c>
      <c r="E12" s="58">
        <f>IF(D12="Разм. РПО 3 р. %",5481)</f>
        <v>5481</v>
      </c>
      <c r="F12" s="47">
        <v>11</v>
      </c>
      <c r="G12" s="55" t="s">
        <v>145</v>
      </c>
      <c r="H12" s="60"/>
      <c r="I12" s="64" t="s">
        <v>261</v>
      </c>
      <c r="J12" s="51">
        <f>IF(I12="Резка и упаковка ленты бумажной для плоттеров 70 г/м2, ф. 1900 мм",8356)</f>
        <v>8356</v>
      </c>
      <c r="K12" s="52"/>
      <c r="L12" s="52"/>
      <c r="M12" s="52"/>
      <c r="N12" s="52"/>
      <c r="O12" s="52"/>
      <c r="P12" s="52"/>
      <c r="Q12" s="66"/>
    </row>
    <row r="13" spans="1:17">
      <c r="A13" s="54">
        <v>12</v>
      </c>
      <c r="B13" s="55" t="s">
        <v>53</v>
      </c>
      <c r="C13" s="56">
        <f>IF(B13="Бушкин В.Д.",1430)</f>
        <v>1430</v>
      </c>
      <c r="D13" s="57" t="s">
        <v>44</v>
      </c>
      <c r="E13" s="58">
        <f>IF(D13="Разм. РПО 4 р.",6375)</f>
        <v>6375</v>
      </c>
      <c r="F13" s="47">
        <v>12</v>
      </c>
      <c r="G13" s="57" t="s">
        <v>146</v>
      </c>
      <c r="H13" s="60"/>
      <c r="I13" s="64" t="s">
        <v>262</v>
      </c>
      <c r="J13" s="51">
        <f>IF(I13="Резка и упаковка ленты бумажной для плоттеров 70 г/м2, ф. 2000 мм",8356)</f>
        <v>8356</v>
      </c>
      <c r="K13" s="52"/>
      <c r="L13" s="52"/>
      <c r="M13" s="52"/>
      <c r="N13" s="52"/>
      <c r="O13" s="52"/>
      <c r="P13" s="52"/>
      <c r="Q13" s="66"/>
    </row>
    <row r="14" spans="1:17">
      <c r="A14" s="54">
        <v>13</v>
      </c>
      <c r="B14" s="64" t="s">
        <v>166</v>
      </c>
      <c r="C14" s="56">
        <f>IF(B14="Бушкина Т.П.",531)</f>
        <v>531</v>
      </c>
      <c r="D14" s="57" t="s">
        <v>57</v>
      </c>
      <c r="E14" s="58">
        <f>IF(D14="Разм. РПО 4 р. %",6375)</f>
        <v>6375</v>
      </c>
      <c r="F14" s="47" t="s">
        <v>81</v>
      </c>
      <c r="G14" s="47" t="s">
        <v>149</v>
      </c>
      <c r="H14" s="66"/>
      <c r="I14" s="64" t="s">
        <v>263</v>
      </c>
      <c r="J14" s="51">
        <f>IF(I14="Резка и упаковка ленты бумажной для плоттеров 80 г/м2, ф. 1000 мм",4874)</f>
        <v>4874</v>
      </c>
      <c r="K14" s="52"/>
      <c r="L14" s="52"/>
      <c r="M14" s="52"/>
      <c r="N14" s="52"/>
      <c r="O14" s="52"/>
      <c r="P14" s="52"/>
      <c r="Q14" s="66"/>
    </row>
    <row r="15" spans="1:17">
      <c r="A15" s="54">
        <v>14</v>
      </c>
      <c r="B15" s="62" t="s">
        <v>166</v>
      </c>
      <c r="C15" s="47">
        <f>IF(B15="Бушкина Т.П.",531)</f>
        <v>531</v>
      </c>
      <c r="D15" s="57" t="s">
        <v>50</v>
      </c>
      <c r="E15" s="58">
        <f>IF(D15="Разм. РПО 5 р.",7024)</f>
        <v>7024</v>
      </c>
      <c r="F15" s="47" t="s">
        <v>66</v>
      </c>
      <c r="G15" s="64" t="s">
        <v>150</v>
      </c>
      <c r="H15" s="66"/>
      <c r="I15" s="64" t="s">
        <v>264</v>
      </c>
      <c r="J15" s="51">
        <f>IF(I15="Резка и упаковка ленты бумажной для плоттеров 80 г/м2, ф. 1500 мм",8356)</f>
        <v>8356</v>
      </c>
      <c r="K15" s="52"/>
      <c r="L15" s="52"/>
      <c r="M15" s="52"/>
      <c r="N15" s="52"/>
      <c r="O15" s="52"/>
      <c r="P15" s="52"/>
      <c r="Q15" s="66"/>
    </row>
    <row r="16" spans="1:17">
      <c r="A16" s="54">
        <v>15</v>
      </c>
      <c r="B16" s="62" t="s">
        <v>116</v>
      </c>
      <c r="C16" s="47">
        <f>IF(B16="Буяновская В.П.",489)</f>
        <v>489</v>
      </c>
      <c r="D16" s="57" t="s">
        <v>75</v>
      </c>
      <c r="E16" s="58">
        <f>IF(D16="Разм. брака 2 р.",4710)</f>
        <v>4710</v>
      </c>
      <c r="F16" s="47" t="s">
        <v>82</v>
      </c>
      <c r="G16" s="55" t="s">
        <v>147</v>
      </c>
      <c r="H16" s="66"/>
      <c r="I16" s="64" t="s">
        <v>265</v>
      </c>
      <c r="J16" s="51">
        <f>IF(I16="Резка и упаковка ленты бумажной для плоттеров 80 г/м2, ф. 1510 мм",8356)</f>
        <v>8356</v>
      </c>
      <c r="K16" s="52"/>
      <c r="L16" s="52"/>
      <c r="M16" s="52"/>
      <c r="N16" s="52"/>
      <c r="O16" s="52"/>
      <c r="P16" s="52"/>
      <c r="Q16" s="66"/>
    </row>
    <row r="17" spans="1:17">
      <c r="A17" s="54">
        <v>16</v>
      </c>
      <c r="B17" s="62" t="s">
        <v>203</v>
      </c>
      <c r="C17" s="47">
        <f>IF(B17="Ваньков С.П.",115)</f>
        <v>115</v>
      </c>
      <c r="D17" s="57" t="s">
        <v>71</v>
      </c>
      <c r="E17" s="58">
        <f>IF(D17="Разм. брака 2 р. %",4710)</f>
        <v>4710</v>
      </c>
      <c r="F17" s="47" t="s">
        <v>84</v>
      </c>
      <c r="G17" s="55" t="s">
        <v>148</v>
      </c>
      <c r="H17" s="66"/>
      <c r="I17" s="64" t="s">
        <v>266</v>
      </c>
      <c r="J17" s="51">
        <f>IF(I17="Резка и упаковка ленты бумажной для плоттеров 80 г/м2, ф. 1680 мм",8356)</f>
        <v>8356</v>
      </c>
      <c r="K17" s="52"/>
      <c r="L17" s="52"/>
      <c r="M17" s="52"/>
      <c r="N17" s="52"/>
      <c r="O17" s="52"/>
      <c r="P17" s="52"/>
      <c r="Q17" s="66"/>
    </row>
    <row r="18" spans="1:17">
      <c r="A18" s="54">
        <v>17</v>
      </c>
      <c r="B18" s="62" t="s">
        <v>97</v>
      </c>
      <c r="C18" s="56">
        <f>IF(B18="Ванькова Л.Е.",365)</f>
        <v>365</v>
      </c>
      <c r="D18" s="57" t="s">
        <v>72</v>
      </c>
      <c r="E18" s="58">
        <f>IF(D18="Разм. ГРВ 3 р.",5481)</f>
        <v>5481</v>
      </c>
      <c r="F18" s="47" t="s">
        <v>85</v>
      </c>
      <c r="G18" s="55" t="s">
        <v>179</v>
      </c>
      <c r="H18" s="66"/>
      <c r="I18" s="64" t="s">
        <v>267</v>
      </c>
      <c r="J18" s="51">
        <f>IF(I18="Резка и упаковка ленты бумажной для плоттеров 80 г/м2, ф. 1800 мм",8356)</f>
        <v>8356</v>
      </c>
      <c r="K18" s="52"/>
      <c r="L18" s="52"/>
      <c r="M18" s="52"/>
      <c r="N18" s="52"/>
      <c r="O18" s="52"/>
      <c r="P18" s="52"/>
      <c r="Q18" s="66"/>
    </row>
    <row r="19" spans="1:17">
      <c r="A19" s="54">
        <v>18</v>
      </c>
      <c r="B19" s="62" t="s">
        <v>214</v>
      </c>
      <c r="C19" s="56">
        <f>IF(B19="Васильева О.А.",1560)</f>
        <v>1560</v>
      </c>
      <c r="D19" s="57" t="s">
        <v>73</v>
      </c>
      <c r="E19" s="58">
        <f>IF(D19="Разм. ПО 3 р.",5481)</f>
        <v>5481</v>
      </c>
      <c r="F19" s="47" t="s">
        <v>86</v>
      </c>
      <c r="G19" s="55"/>
      <c r="H19" s="66"/>
      <c r="I19" s="64" t="s">
        <v>268</v>
      </c>
      <c r="J19" s="51">
        <f>IF(I19="Резка и упаковка ленты бумажной для плоттеров 80 г/м2, ф. 1900 мм",8356)</f>
        <v>8356</v>
      </c>
      <c r="K19" s="52"/>
      <c r="L19" s="52"/>
      <c r="M19" s="52"/>
      <c r="N19" s="52"/>
      <c r="O19" s="52"/>
      <c r="P19" s="52"/>
      <c r="Q19" s="66"/>
    </row>
    <row r="20" spans="1:17">
      <c r="A20" s="54">
        <v>19</v>
      </c>
      <c r="B20" s="62" t="s">
        <v>107</v>
      </c>
      <c r="C20" s="56">
        <f>IF(B20="Волегов А.Г.",208)</f>
        <v>208</v>
      </c>
      <c r="D20" s="57" t="s">
        <v>74</v>
      </c>
      <c r="E20" s="58">
        <f>IF(D20="Разм. ПО 3 р. %",5481)</f>
        <v>5481</v>
      </c>
      <c r="F20" s="47" t="s">
        <v>87</v>
      </c>
      <c r="G20" s="55"/>
      <c r="H20" s="66"/>
      <c r="I20" s="64" t="s">
        <v>269</v>
      </c>
      <c r="J20" s="51">
        <f>IF(I20="Резка и упаковка ленты бумажной для плоттеров 80 г/м2, ф. 2000 мм",8356)</f>
        <v>8356</v>
      </c>
      <c r="K20" s="52"/>
      <c r="L20" s="52"/>
      <c r="M20" s="52"/>
      <c r="N20" s="52"/>
      <c r="O20" s="52"/>
      <c r="P20" s="52"/>
      <c r="Q20" s="66"/>
    </row>
    <row r="21" spans="1:17">
      <c r="A21" s="54">
        <v>20</v>
      </c>
      <c r="B21" s="62" t="s">
        <v>197</v>
      </c>
      <c r="C21" s="47">
        <f>IF(B21="Волегова Г.И.",707)</f>
        <v>707</v>
      </c>
      <c r="D21" s="57" t="s">
        <v>48</v>
      </c>
      <c r="E21" s="58">
        <f>IF(D21="Резчик ПРС 3 р.",5481)</f>
        <v>5481</v>
      </c>
      <c r="F21" s="47" t="s">
        <v>88</v>
      </c>
      <c r="G21" s="55"/>
      <c r="H21" s="66"/>
      <c r="I21" s="64" t="s">
        <v>250</v>
      </c>
      <c r="J21" s="51">
        <f>IF(I21="Смена верхних сушильных сеток 1-5-й сушильных групп",168705)</f>
        <v>168705</v>
      </c>
      <c r="K21" s="52"/>
      <c r="L21" s="52"/>
      <c r="M21" s="52"/>
      <c r="N21" s="52"/>
      <c r="O21" s="52"/>
      <c r="P21" s="52"/>
      <c r="Q21" s="66"/>
    </row>
    <row r="22" spans="1:17">
      <c r="A22" s="54">
        <v>21</v>
      </c>
      <c r="B22" s="62" t="s">
        <v>115</v>
      </c>
      <c r="C22" s="56">
        <f>IF(B22="Воронцевич М.П.",298)</f>
        <v>298</v>
      </c>
      <c r="D22" s="57" t="s">
        <v>61</v>
      </c>
      <c r="E22" s="58">
        <f>IF(D22="Резчик ПРС 3 р. %",5481)</f>
        <v>5481</v>
      </c>
      <c r="F22" s="47" t="s">
        <v>89</v>
      </c>
      <c r="G22" s="55"/>
      <c r="H22" s="66"/>
      <c r="I22" s="64" t="s">
        <v>189</v>
      </c>
      <c r="J22" s="51">
        <f>IF(I22="Смена канатика",53279)</f>
        <v>53279</v>
      </c>
      <c r="K22" s="52"/>
      <c r="L22" s="52"/>
      <c r="M22" s="52"/>
      <c r="N22" s="52"/>
      <c r="O22" s="52"/>
      <c r="P22" s="52"/>
      <c r="Q22" s="66"/>
    </row>
    <row r="23" spans="1:17">
      <c r="A23" s="54">
        <v>22</v>
      </c>
      <c r="B23" s="62" t="s">
        <v>202</v>
      </c>
      <c r="C23" s="47">
        <f>IF(B23="Гарбузов Г.Л.",381)</f>
        <v>381</v>
      </c>
      <c r="D23" s="57" t="s">
        <v>47</v>
      </c>
      <c r="E23" s="58">
        <f>IF(D23="Резчик ПРС 4 р.",6375)</f>
        <v>6375</v>
      </c>
      <c r="F23" s="47" t="s">
        <v>22</v>
      </c>
      <c r="G23" s="55"/>
      <c r="H23" s="66"/>
      <c r="I23" s="64" t="s">
        <v>251</v>
      </c>
      <c r="J23" s="51">
        <f>IF(I23="Смена нижних сушильных сеток 1-5-й сушильных групп",171505)</f>
        <v>171505</v>
      </c>
      <c r="K23" s="52"/>
      <c r="L23" s="52"/>
      <c r="M23" s="52"/>
      <c r="N23" s="52"/>
      <c r="O23" s="52"/>
      <c r="P23" s="52"/>
      <c r="Q23" s="66"/>
    </row>
    <row r="24" spans="1:17">
      <c r="A24" s="54">
        <v>23</v>
      </c>
      <c r="B24" s="62" t="s">
        <v>94</v>
      </c>
      <c r="C24" s="56">
        <f>IF(B24="Гвоздь М.П.",561)</f>
        <v>561</v>
      </c>
      <c r="D24" s="57" t="s">
        <v>60</v>
      </c>
      <c r="E24" s="58">
        <f>IF(D24="Резчик ПРС 4 р. %",6375)</f>
        <v>6375</v>
      </c>
      <c r="F24" s="50" t="s">
        <v>24</v>
      </c>
      <c r="G24" s="55"/>
      <c r="H24" s="66"/>
      <c r="I24" s="64" t="s">
        <v>194</v>
      </c>
      <c r="J24" s="51">
        <f>IF(I24="Смена прессовых сукон БДМ№2",43914)</f>
        <v>43914</v>
      </c>
      <c r="K24" s="52"/>
      <c r="L24" s="52"/>
      <c r="M24" s="52"/>
      <c r="N24" s="52"/>
      <c r="O24" s="52"/>
      <c r="P24" s="52"/>
      <c r="Q24" s="66"/>
    </row>
    <row r="25" spans="1:17">
      <c r="A25" s="54">
        <v>24</v>
      </c>
      <c r="B25" s="55" t="s">
        <v>38</v>
      </c>
      <c r="C25" s="47">
        <f>IF(B25="Гендик Н.В.",552)</f>
        <v>552</v>
      </c>
      <c r="D25" s="57" t="s">
        <v>42</v>
      </c>
      <c r="E25" s="58">
        <f>IF(D25="Сушильщик 4 р.",6375)</f>
        <v>6375</v>
      </c>
      <c r="F25" s="47" t="s">
        <v>67</v>
      </c>
      <c r="G25" s="47" t="s">
        <v>180</v>
      </c>
      <c r="H25" s="66"/>
      <c r="I25" s="64" t="s">
        <v>270</v>
      </c>
      <c r="J25" s="51">
        <f>IF(I25="Смена прессовых сукон марки Гешмай со снятием сукна вруч-ю",139841)</f>
        <v>139841</v>
      </c>
      <c r="K25" s="66"/>
      <c r="L25" s="66"/>
      <c r="M25" s="67"/>
      <c r="N25" s="66"/>
      <c r="O25" s="66"/>
      <c r="P25" s="66"/>
      <c r="Q25" s="66"/>
    </row>
    <row r="26" spans="1:17">
      <c r="A26" s="54">
        <v>25</v>
      </c>
      <c r="B26" s="62" t="s">
        <v>93</v>
      </c>
      <c r="C26" s="56">
        <f>IF(B26="Гончарук А.В.",652)</f>
        <v>652</v>
      </c>
      <c r="D26" s="55" t="s">
        <v>55</v>
      </c>
      <c r="E26" s="58">
        <f>IF(D26="Сушильщик 4 р. %",6375)</f>
        <v>6375</v>
      </c>
      <c r="F26" s="47" t="s">
        <v>79</v>
      </c>
      <c r="G26" s="64" t="s">
        <v>182</v>
      </c>
      <c r="H26" s="66"/>
      <c r="I26" s="64" t="s">
        <v>188</v>
      </c>
      <c r="J26" s="51">
        <f>IF(I26="Смена сетки БДМ",285830)</f>
        <v>285830</v>
      </c>
      <c r="K26" s="66"/>
      <c r="L26" s="66"/>
      <c r="M26" s="67"/>
      <c r="N26" s="66"/>
      <c r="O26" s="66"/>
      <c r="P26" s="66"/>
      <c r="Q26" s="66"/>
    </row>
    <row r="27" spans="1:17">
      <c r="A27" s="54">
        <v>26</v>
      </c>
      <c r="B27" s="62" t="s">
        <v>103</v>
      </c>
      <c r="C27" s="56">
        <f>IF(B27="Гончарук Т.И.",479)</f>
        <v>479</v>
      </c>
      <c r="D27" s="55" t="s">
        <v>77</v>
      </c>
      <c r="E27" s="58"/>
      <c r="F27" s="47" t="s">
        <v>23</v>
      </c>
      <c r="G27" s="64" t="s">
        <v>183</v>
      </c>
      <c r="H27" s="66"/>
      <c r="I27" s="64" t="s">
        <v>196</v>
      </c>
      <c r="J27" s="51">
        <f>IF(I27="Смена сетки БДМ№2",203513)</f>
        <v>203513</v>
      </c>
      <c r="K27" s="66"/>
      <c r="L27" s="66"/>
      <c r="M27" s="67"/>
      <c r="N27" s="66"/>
      <c r="O27" s="66"/>
      <c r="P27" s="66"/>
      <c r="Q27" s="66"/>
    </row>
    <row r="28" spans="1:17">
      <c r="A28" s="54">
        <v>27</v>
      </c>
      <c r="B28" s="62" t="s">
        <v>213</v>
      </c>
      <c r="C28" s="56">
        <f>IF(B28="Гридюшко П.А.",1499)</f>
        <v>1499</v>
      </c>
      <c r="D28" s="55" t="s">
        <v>78</v>
      </c>
      <c r="E28" s="58"/>
      <c r="F28" s="47" t="s">
        <v>68</v>
      </c>
      <c r="G28" s="64" t="s">
        <v>181</v>
      </c>
      <c r="H28" s="66"/>
      <c r="I28" s="64" t="s">
        <v>195</v>
      </c>
      <c r="J28" s="51">
        <f>IF(I28="Смена сушильных сеток БДМ№2",83586)</f>
        <v>83586</v>
      </c>
      <c r="K28" s="66"/>
      <c r="L28" s="66"/>
      <c r="M28" s="67"/>
      <c r="N28" s="66"/>
      <c r="O28" s="66"/>
      <c r="P28" s="66"/>
      <c r="Q28" s="66"/>
    </row>
    <row r="29" spans="1:17">
      <c r="A29" s="54">
        <v>28</v>
      </c>
      <c r="B29" s="55" t="s">
        <v>32</v>
      </c>
      <c r="C29" s="56">
        <f>IF(B29="Грузд Н.Н.",1311)</f>
        <v>1311</v>
      </c>
      <c r="D29" s="55" t="s">
        <v>172</v>
      </c>
      <c r="E29" s="58"/>
      <c r="F29" s="47" t="s">
        <v>80</v>
      </c>
      <c r="G29" s="64"/>
      <c r="H29" s="66"/>
      <c r="I29" s="64" t="s">
        <v>190</v>
      </c>
      <c r="J29" s="51">
        <f>IF(I29="Снятие сетки БДМ вручную",240807)</f>
        <v>240807</v>
      </c>
      <c r="K29" s="66"/>
      <c r="L29" s="66"/>
      <c r="M29" s="66"/>
      <c r="N29" s="66"/>
      <c r="O29" s="66"/>
      <c r="P29" s="66"/>
      <c r="Q29" s="66"/>
    </row>
    <row r="30" spans="1:17">
      <c r="A30" s="54">
        <v>29</v>
      </c>
      <c r="B30" s="62" t="s">
        <v>96</v>
      </c>
      <c r="C30" s="56">
        <f>IF(B30="Дворянкина Е.Л.",508)</f>
        <v>508</v>
      </c>
      <c r="D30" s="64" t="s">
        <v>227</v>
      </c>
      <c r="F30" s="47" t="s">
        <v>69</v>
      </c>
      <c r="G30" s="64"/>
      <c r="H30" s="66"/>
      <c r="I30" s="61" t="s">
        <v>271</v>
      </c>
      <c r="J30" s="51">
        <f>IF(I30="Снятие сукна марки Гешмай",70261)</f>
        <v>70261</v>
      </c>
      <c r="K30" s="66"/>
      <c r="L30" s="66"/>
      <c r="M30" s="66"/>
      <c r="N30" s="66"/>
      <c r="O30" s="66"/>
      <c r="P30" s="66"/>
      <c r="Q30" s="66"/>
    </row>
    <row r="31" spans="1:17">
      <c r="A31" s="54">
        <v>30</v>
      </c>
      <c r="B31" s="62" t="s">
        <v>120</v>
      </c>
      <c r="C31" s="56">
        <f>IF(B31="Дик А.С.",1089)</f>
        <v>1089</v>
      </c>
      <c r="D31" s="55"/>
      <c r="E31" s="58"/>
      <c r="F31" s="47" t="s">
        <v>70</v>
      </c>
      <c r="G31" s="64"/>
      <c r="H31" s="66"/>
      <c r="I31" s="64" t="s">
        <v>185</v>
      </c>
      <c r="J31" s="51">
        <f>IF(I31="Упаковка ролевой бумаги",3646)</f>
        <v>3646</v>
      </c>
      <c r="K31" s="66"/>
      <c r="L31" s="66"/>
      <c r="M31" s="67"/>
      <c r="N31" s="66"/>
      <c r="O31" s="66"/>
      <c r="P31" s="66"/>
      <c r="Q31" s="66"/>
    </row>
    <row r="32" spans="1:17">
      <c r="A32" s="54">
        <v>31</v>
      </c>
      <c r="B32" s="62" t="s">
        <v>124</v>
      </c>
      <c r="C32" s="47">
        <f>IF(B32="Дорц Д.В.",1147)</f>
        <v>1147</v>
      </c>
      <c r="D32" s="55"/>
      <c r="E32" s="58"/>
      <c r="F32" s="47" t="s">
        <v>176</v>
      </c>
      <c r="G32" s="64"/>
      <c r="H32" s="66"/>
      <c r="I32" s="64" t="s">
        <v>187</v>
      </c>
      <c r="J32" s="51">
        <f>IF(I32="Упаковка ролевой документной бумаги",2512)</f>
        <v>2512</v>
      </c>
      <c r="K32" s="66"/>
      <c r="L32" s="66"/>
      <c r="M32" s="67"/>
      <c r="N32" s="66"/>
      <c r="O32" s="66"/>
      <c r="P32" s="66"/>
      <c r="Q32" s="66"/>
    </row>
    <row r="33" spans="1:17">
      <c r="A33" s="54">
        <v>32</v>
      </c>
      <c r="B33" s="62" t="s">
        <v>91</v>
      </c>
      <c r="C33" s="56">
        <f>IF(B33="Драгун В.В.",481)</f>
        <v>481</v>
      </c>
      <c r="D33" s="57"/>
      <c r="E33" s="58"/>
      <c r="F33" s="47" t="s">
        <v>83</v>
      </c>
      <c r="G33" s="64"/>
      <c r="H33" s="66"/>
      <c r="I33" s="64" t="s">
        <v>191</v>
      </c>
      <c r="J33" s="51">
        <f>IF(I33="Установка иглопробивного сукна",83288)</f>
        <v>83288</v>
      </c>
      <c r="K33" s="66"/>
      <c r="L33" s="66"/>
      <c r="M33" s="66"/>
      <c r="N33" s="66"/>
      <c r="O33" s="66"/>
      <c r="P33" s="66"/>
      <c r="Q33" s="66"/>
    </row>
    <row r="34" spans="1:17">
      <c r="A34" s="54">
        <v>33</v>
      </c>
      <c r="B34" s="62" t="s">
        <v>212</v>
      </c>
      <c r="C34" s="56">
        <f>IF(B34="Драпезо Ю.Н.",548)</f>
        <v>548</v>
      </c>
      <c r="D34" s="57"/>
      <c r="E34" s="58"/>
      <c r="F34" s="47" t="s">
        <v>177</v>
      </c>
      <c r="G34" s="64"/>
      <c r="H34" s="66"/>
      <c r="I34" s="64" t="s">
        <v>249</v>
      </c>
      <c r="J34" s="51">
        <f>IF(I34="Чистка ГРВ и ГРГ",36134)</f>
        <v>36134</v>
      </c>
      <c r="K34" s="66"/>
      <c r="L34" s="66"/>
      <c r="M34" s="66"/>
      <c r="N34" s="66"/>
      <c r="O34" s="66"/>
      <c r="P34" s="66"/>
      <c r="Q34" s="66"/>
    </row>
    <row r="35" spans="1:17">
      <c r="A35" s="54">
        <v>34</v>
      </c>
      <c r="B35" s="62" t="s">
        <v>129</v>
      </c>
      <c r="C35" s="56">
        <f>IF(B35="Драч М.В.",1659)</f>
        <v>1659</v>
      </c>
      <c r="D35" s="57"/>
      <c r="E35" s="58"/>
      <c r="F35" s="69"/>
      <c r="H35" s="66"/>
      <c r="I35" s="64" t="s">
        <v>272</v>
      </c>
      <c r="J35" s="51">
        <f>IF(I35="Чистка скребками и промывка бассейнов: машинного,массного",43026)</f>
        <v>43026</v>
      </c>
      <c r="K35" s="66"/>
      <c r="L35" s="66"/>
      <c r="M35" s="67"/>
      <c r="N35" s="66"/>
      <c r="O35" s="66"/>
      <c r="P35" s="66"/>
      <c r="Q35" s="66"/>
    </row>
    <row r="36" spans="1:17">
      <c r="A36" s="54">
        <v>35</v>
      </c>
      <c r="B36" s="62" t="s">
        <v>114</v>
      </c>
      <c r="C36" s="56">
        <f>IF(B36="Дроздецкий В.С.",1335)</f>
        <v>1335</v>
      </c>
      <c r="D36" s="57"/>
      <c r="E36" s="58"/>
      <c r="F36" s="47"/>
      <c r="H36" s="66"/>
      <c r="I36" s="64" t="s">
        <v>273</v>
      </c>
      <c r="J36" s="51">
        <f>IF(I36="Чистка скребками и промывка бассейнов: приёмный, размольный",32283)</f>
        <v>32283</v>
      </c>
      <c r="K36" s="66"/>
      <c r="L36" s="66"/>
      <c r="M36" s="67"/>
      <c r="N36" s="66"/>
      <c r="O36" s="66"/>
      <c r="P36" s="66"/>
      <c r="Q36" s="66"/>
    </row>
    <row r="37" spans="1:17">
      <c r="A37" s="54">
        <v>36</v>
      </c>
      <c r="B37" s="62" t="s">
        <v>218</v>
      </c>
      <c r="C37" s="56">
        <f>IF(B37="Дунаев С.Е.",2035)</f>
        <v>2035</v>
      </c>
      <c r="D37" s="57"/>
      <c r="E37" s="58"/>
      <c r="F37" s="50"/>
      <c r="H37" s="66"/>
      <c r="I37" s="61" t="s">
        <v>252</v>
      </c>
      <c r="J37" s="51">
        <f>IF(I37="Чистка скребками и промывка бассейнов:избыт. и регистр.воды",32283)</f>
        <v>32283</v>
      </c>
      <c r="K37" s="66"/>
      <c r="L37" s="66"/>
      <c r="M37" s="67"/>
      <c r="N37" s="66"/>
      <c r="O37" s="66"/>
      <c r="P37" s="66"/>
      <c r="Q37" s="66"/>
    </row>
    <row r="38" spans="1:17">
      <c r="A38" s="54">
        <v>37</v>
      </c>
      <c r="B38" s="64" t="s">
        <v>205</v>
      </c>
      <c r="C38" s="47">
        <f>IF(B38="Жавранок И.Г.",712)</f>
        <v>712</v>
      </c>
      <c r="D38" s="57"/>
      <c r="E38" s="58"/>
      <c r="F38" s="50"/>
      <c r="H38" s="66"/>
      <c r="I38" s="70"/>
      <c r="J38" s="67"/>
      <c r="K38" s="66"/>
      <c r="L38" s="66"/>
      <c r="M38" s="67"/>
      <c r="N38" s="66"/>
      <c r="O38" s="66"/>
      <c r="P38" s="66"/>
      <c r="Q38" s="66"/>
    </row>
    <row r="39" spans="1:17">
      <c r="A39" s="54">
        <v>38</v>
      </c>
      <c r="B39" s="62" t="s">
        <v>98</v>
      </c>
      <c r="C39" s="56">
        <f>IF(B39="Жердочкина А.М.",1141)</f>
        <v>1141</v>
      </c>
      <c r="D39" s="71"/>
      <c r="E39" s="72"/>
      <c r="F39" s="50"/>
      <c r="H39" s="66"/>
      <c r="I39" s="66"/>
      <c r="J39" s="66"/>
      <c r="K39" s="66"/>
      <c r="L39" s="66"/>
      <c r="M39" s="67"/>
      <c r="N39" s="66"/>
      <c r="O39" s="66"/>
      <c r="P39" s="66"/>
      <c r="Q39" s="66"/>
    </row>
    <row r="40" spans="1:17">
      <c r="A40" s="54">
        <v>39</v>
      </c>
      <c r="B40" s="55" t="s">
        <v>155</v>
      </c>
      <c r="C40" s="56">
        <f>IF(B40="Жизневская Т.Ф.",491)</f>
        <v>491</v>
      </c>
      <c r="D40" s="71"/>
      <c r="E40" s="72"/>
      <c r="F40" s="50"/>
      <c r="H40" s="66"/>
      <c r="I40" s="66"/>
      <c r="J40" s="66"/>
      <c r="K40" s="66"/>
      <c r="L40" s="66"/>
      <c r="M40" s="67"/>
      <c r="N40" s="66"/>
      <c r="O40" s="66"/>
      <c r="P40" s="66"/>
      <c r="Q40" s="66"/>
    </row>
    <row r="41" spans="1:17">
      <c r="A41" s="54">
        <v>40</v>
      </c>
      <c r="B41" s="62" t="s">
        <v>118</v>
      </c>
      <c r="C41" s="47">
        <f>IF(B41="Жудрак Л.В.",1500)</f>
        <v>1500</v>
      </c>
      <c r="D41" s="71"/>
      <c r="E41" s="72"/>
      <c r="F41" s="50"/>
      <c r="H41" s="66"/>
      <c r="I41" s="66"/>
      <c r="J41" s="66"/>
      <c r="K41" s="66"/>
      <c r="L41" s="66"/>
      <c r="M41" s="67"/>
      <c r="N41" s="66"/>
      <c r="O41" s="66"/>
      <c r="P41" s="66"/>
      <c r="Q41" s="66"/>
    </row>
    <row r="42" spans="1:17">
      <c r="A42" s="54">
        <v>41</v>
      </c>
      <c r="B42" s="55" t="s">
        <v>8</v>
      </c>
      <c r="C42" s="56">
        <f>IF(B42="Залан А.В.",856)</f>
        <v>856</v>
      </c>
      <c r="D42" s="71"/>
      <c r="E42" s="72"/>
      <c r="F42" s="50"/>
      <c r="H42" s="66"/>
      <c r="I42" s="66"/>
      <c r="J42" s="66"/>
      <c r="K42" s="66"/>
      <c r="L42" s="66"/>
      <c r="M42" s="67"/>
      <c r="N42" s="66"/>
      <c r="O42" s="66"/>
      <c r="P42" s="66"/>
      <c r="Q42" s="66"/>
    </row>
    <row r="43" spans="1:17">
      <c r="A43" s="54">
        <v>42</v>
      </c>
      <c r="B43" s="62" t="s">
        <v>90</v>
      </c>
      <c r="C43" s="47">
        <f>IF(B43="Захаров С.А.",853)</f>
        <v>853</v>
      </c>
      <c r="D43" s="71"/>
      <c r="E43" s="72"/>
      <c r="F43" s="50"/>
      <c r="H43" s="66"/>
      <c r="I43" s="66"/>
      <c r="J43" s="66"/>
      <c r="K43" s="66"/>
      <c r="L43" s="66"/>
      <c r="M43" s="67"/>
      <c r="N43" s="66"/>
      <c r="O43" s="66"/>
      <c r="P43" s="66"/>
      <c r="Q43" s="66"/>
    </row>
    <row r="44" spans="1:17">
      <c r="A44" s="54">
        <v>43</v>
      </c>
      <c r="B44" s="55" t="s">
        <v>34</v>
      </c>
      <c r="C44" s="56">
        <f>IF(B44="Заяц Т.Л.",509)</f>
        <v>509</v>
      </c>
      <c r="D44" s="71"/>
      <c r="E44" s="72"/>
      <c r="F44" s="50"/>
      <c r="H44" s="66"/>
      <c r="I44" s="66"/>
      <c r="J44" s="66"/>
      <c r="K44" s="66"/>
      <c r="L44" s="66"/>
      <c r="M44" s="66"/>
      <c r="N44" s="66"/>
    </row>
    <row r="45" spans="1:17">
      <c r="A45" s="54">
        <v>44</v>
      </c>
      <c r="B45" s="62" t="s">
        <v>223</v>
      </c>
      <c r="C45" s="47">
        <f>IF(B45="Зеленкевич  Нат.В.",501)</f>
        <v>501</v>
      </c>
      <c r="D45" s="71"/>
      <c r="E45" s="72"/>
      <c r="F45" s="50"/>
    </row>
    <row r="46" spans="1:17">
      <c r="A46" s="54">
        <v>45</v>
      </c>
      <c r="B46" s="62" t="s">
        <v>131</v>
      </c>
      <c r="C46" s="56">
        <f>IF(B46="Зеленкевич  Ник.В.",1083)</f>
        <v>1083</v>
      </c>
      <c r="D46" s="71"/>
      <c r="E46" s="72"/>
      <c r="F46" s="50"/>
    </row>
    <row r="47" spans="1:17">
      <c r="A47" s="54">
        <v>46</v>
      </c>
      <c r="B47" s="62" t="s">
        <v>127</v>
      </c>
      <c r="C47" s="56">
        <f>IF(B47="Зеленко В.Л.",1360)</f>
        <v>1360</v>
      </c>
      <c r="D47" s="71"/>
      <c r="E47" s="72"/>
      <c r="F47" s="50"/>
    </row>
    <row r="48" spans="1:17">
      <c r="A48" s="54">
        <v>47</v>
      </c>
      <c r="B48" s="55" t="s">
        <v>35</v>
      </c>
      <c r="C48" s="56">
        <f>IF(B48="Кадевич О.В.",1379)</f>
        <v>1379</v>
      </c>
      <c r="D48" s="71"/>
      <c r="E48" s="72"/>
      <c r="F48" s="50"/>
    </row>
    <row r="49" spans="1:6">
      <c r="A49" s="54">
        <v>48</v>
      </c>
      <c r="B49" s="62" t="s">
        <v>122</v>
      </c>
      <c r="C49" s="47">
        <f>IF(B49="Каляпина К.А.",1537)</f>
        <v>1537</v>
      </c>
      <c r="D49" s="71"/>
      <c r="E49" s="72"/>
      <c r="F49" s="50"/>
    </row>
    <row r="50" spans="1:6">
      <c r="A50" s="54">
        <v>49</v>
      </c>
      <c r="B50" s="62" t="s">
        <v>100</v>
      </c>
      <c r="C50" s="47">
        <f>IF(B50="Карась А.Н.",2100)</f>
        <v>2100</v>
      </c>
      <c r="D50" s="71"/>
      <c r="E50" s="72"/>
      <c r="F50" s="50"/>
    </row>
    <row r="51" spans="1:6">
      <c r="A51" s="54">
        <v>50</v>
      </c>
      <c r="B51" s="64" t="s">
        <v>226</v>
      </c>
      <c r="C51" s="47">
        <f>IF(B51="Кирилуша С.В.",497)</f>
        <v>497</v>
      </c>
      <c r="D51" s="71"/>
      <c r="E51" s="72"/>
      <c r="F51" s="50"/>
    </row>
    <row r="52" spans="1:6">
      <c r="A52" s="54">
        <v>51</v>
      </c>
      <c r="B52" s="62" t="s">
        <v>25</v>
      </c>
      <c r="C52" s="56">
        <f>IF(B52="Ковалёв Д.А.",1538)</f>
        <v>1538</v>
      </c>
      <c r="D52" s="71"/>
      <c r="E52" s="72"/>
      <c r="F52" s="50"/>
    </row>
    <row r="53" spans="1:6">
      <c r="A53" s="54">
        <v>52</v>
      </c>
      <c r="B53" s="62" t="s">
        <v>219</v>
      </c>
      <c r="C53" s="47">
        <f>IF(B53="Коваль О.Г.",1497)</f>
        <v>1497</v>
      </c>
      <c r="D53" s="71"/>
      <c r="E53" s="72"/>
      <c r="F53" s="50"/>
    </row>
    <row r="54" spans="1:6">
      <c r="A54" s="54">
        <v>53</v>
      </c>
      <c r="B54" s="62" t="s">
        <v>220</v>
      </c>
      <c r="C54" s="56">
        <f>IF(B54="Козаков С.Л.",1404)</f>
        <v>1404</v>
      </c>
      <c r="D54" s="71"/>
      <c r="E54" s="72"/>
      <c r="F54" s="50"/>
    </row>
    <row r="55" spans="1:6">
      <c r="A55" s="54">
        <v>54</v>
      </c>
      <c r="B55" s="55" t="s">
        <v>40</v>
      </c>
      <c r="C55" s="56">
        <f>IF(B55="Комадей Д.В.",1454)</f>
        <v>1454</v>
      </c>
      <c r="D55" s="71"/>
      <c r="E55" s="72"/>
      <c r="F55" s="50"/>
    </row>
    <row r="56" spans="1:6">
      <c r="A56" s="54">
        <v>55</v>
      </c>
      <c r="B56" s="64" t="s">
        <v>206</v>
      </c>
      <c r="C56" s="47">
        <f>IF(B56="Конон Н.В.",2338)</f>
        <v>2338</v>
      </c>
      <c r="D56" s="71"/>
      <c r="E56" s="72"/>
      <c r="F56" s="50"/>
    </row>
    <row r="57" spans="1:6">
      <c r="A57" s="54">
        <v>56</v>
      </c>
      <c r="B57" s="62" t="s">
        <v>117</v>
      </c>
      <c r="C57" s="56">
        <f>IF(B57="Короленко А.В.",532)</f>
        <v>532</v>
      </c>
      <c r="D57" s="71"/>
      <c r="E57" s="72"/>
      <c r="F57" s="50"/>
    </row>
    <row r="58" spans="1:6">
      <c r="A58" s="54">
        <v>57</v>
      </c>
      <c r="B58" s="62" t="s">
        <v>221</v>
      </c>
      <c r="C58" s="56">
        <f>IF(B58="Костин А.М.",1653)</f>
        <v>1653</v>
      </c>
      <c r="D58" s="71"/>
      <c r="E58" s="72"/>
      <c r="F58" s="50"/>
    </row>
    <row r="59" spans="1:6">
      <c r="A59" s="54">
        <v>58</v>
      </c>
      <c r="B59" s="55" t="s">
        <v>33</v>
      </c>
      <c r="C59" s="47">
        <f>IF(B59="Кудревич О.М.",170)</f>
        <v>170</v>
      </c>
      <c r="D59" s="71"/>
      <c r="E59" s="72"/>
      <c r="F59" s="50"/>
    </row>
    <row r="60" spans="1:6">
      <c r="A60" s="54">
        <v>59</v>
      </c>
      <c r="B60" s="64" t="s">
        <v>170</v>
      </c>
      <c r="C60" s="47">
        <f>IF(B60="Кузьбар И.Н.",1637)</f>
        <v>1637</v>
      </c>
      <c r="D60" s="71"/>
      <c r="E60" s="72"/>
      <c r="F60" s="50"/>
    </row>
    <row r="61" spans="1:6">
      <c r="A61" s="54">
        <v>60</v>
      </c>
      <c r="B61" s="62" t="s">
        <v>105</v>
      </c>
      <c r="C61" s="56">
        <f>IF(B61="Курносова О.Ф.",478)</f>
        <v>478</v>
      </c>
      <c r="D61" s="71"/>
      <c r="E61" s="72"/>
      <c r="F61" s="50"/>
    </row>
    <row r="62" spans="1:6">
      <c r="A62" s="54">
        <v>61</v>
      </c>
      <c r="B62" s="62" t="s">
        <v>95</v>
      </c>
      <c r="C62" s="56">
        <f>IF(B62="Кучинская Е.М.",708)</f>
        <v>708</v>
      </c>
      <c r="D62" s="71"/>
      <c r="E62" s="72"/>
      <c r="F62" s="50"/>
    </row>
    <row r="63" spans="1:6">
      <c r="A63" s="54">
        <v>62</v>
      </c>
      <c r="B63" s="62" t="s">
        <v>92</v>
      </c>
      <c r="C63" s="47">
        <f>IF(B63="Лебедев О.Л.",514)</f>
        <v>514</v>
      </c>
      <c r="D63" s="71"/>
      <c r="E63" s="72"/>
      <c r="F63" s="50"/>
    </row>
    <row r="64" spans="1:6">
      <c r="A64" s="54">
        <v>63</v>
      </c>
      <c r="B64" s="62" t="s">
        <v>109</v>
      </c>
      <c r="C64" s="47">
        <f>IF(B64="Ливанович С.В.",536)</f>
        <v>536</v>
      </c>
      <c r="D64" s="71"/>
      <c r="E64" s="72"/>
      <c r="F64" s="50"/>
    </row>
    <row r="65" spans="1:6">
      <c r="A65" s="54">
        <v>64</v>
      </c>
      <c r="B65" s="55" t="s">
        <v>31</v>
      </c>
      <c r="C65" s="56">
        <f>IF(B65="Лысковец А.Н.",1291)</f>
        <v>1291</v>
      </c>
      <c r="D65" s="71"/>
      <c r="E65" s="72"/>
      <c r="F65" s="50"/>
    </row>
    <row r="66" spans="1:6">
      <c r="A66" s="54">
        <v>65</v>
      </c>
      <c r="B66" s="62" t="s">
        <v>199</v>
      </c>
      <c r="C66" s="56">
        <f>IF(B66="Лысковец О.И.",1517)</f>
        <v>1517</v>
      </c>
      <c r="D66" s="71"/>
      <c r="E66" s="72"/>
      <c r="F66" s="50"/>
    </row>
    <row r="67" spans="1:6">
      <c r="A67" s="54">
        <v>66</v>
      </c>
      <c r="B67" s="62" t="s">
        <v>119</v>
      </c>
      <c r="C67" s="56">
        <f>IF(B67="Макатерчик А.Н.",1307)</f>
        <v>1307</v>
      </c>
      <c r="D67" s="71"/>
      <c r="E67" s="72"/>
      <c r="F67" s="50"/>
    </row>
    <row r="68" spans="1:6">
      <c r="A68" s="54">
        <v>67</v>
      </c>
      <c r="B68" s="55" t="s">
        <v>52</v>
      </c>
      <c r="C68" s="56">
        <f>IF(B68="Макрицкий Ю.В.",2108)</f>
        <v>2108</v>
      </c>
      <c r="D68" s="71"/>
      <c r="E68" s="72"/>
      <c r="F68" s="50"/>
    </row>
    <row r="69" spans="1:6">
      <c r="A69" s="54">
        <v>68</v>
      </c>
      <c r="B69" s="62" t="s">
        <v>121</v>
      </c>
      <c r="C69" s="56">
        <f>IF(B69="Маркелов Д.Н.",1675)</f>
        <v>1675</v>
      </c>
      <c r="D69" s="71"/>
      <c r="E69" s="72"/>
      <c r="F69" s="50"/>
    </row>
    <row r="70" spans="1:6">
      <c r="A70" s="54">
        <v>69</v>
      </c>
      <c r="B70" s="62" t="s">
        <v>99</v>
      </c>
      <c r="C70" s="47">
        <f>IF(B70="Мисник Ю.А.",603)</f>
        <v>603</v>
      </c>
      <c r="D70" s="71"/>
      <c r="E70" s="72"/>
      <c r="F70" s="50"/>
    </row>
    <row r="71" spans="1:6">
      <c r="A71" s="54">
        <v>70</v>
      </c>
      <c r="B71" s="55" t="s">
        <v>9</v>
      </c>
      <c r="C71" s="56">
        <f>IF(B71="Михайловская Г.П.",1506)</f>
        <v>1506</v>
      </c>
      <c r="D71" s="71"/>
      <c r="E71" s="72"/>
      <c r="F71" s="50"/>
    </row>
    <row r="72" spans="1:6">
      <c r="A72" s="54">
        <v>71</v>
      </c>
      <c r="B72" s="55" t="s">
        <v>21</v>
      </c>
      <c r="C72" s="56">
        <f>IF(B72="Мишук А.В.",1677)</f>
        <v>1677</v>
      </c>
      <c r="D72" s="71"/>
      <c r="E72" s="72"/>
      <c r="F72" s="50"/>
    </row>
    <row r="73" spans="1:6">
      <c r="A73" s="54">
        <v>72</v>
      </c>
      <c r="B73" s="64" t="s">
        <v>225</v>
      </c>
      <c r="C73" s="47">
        <f>IF(B73="Мишук В.В.",2037)</f>
        <v>2037</v>
      </c>
      <c r="D73" s="71"/>
      <c r="E73" s="72"/>
      <c r="F73" s="50"/>
    </row>
    <row r="74" spans="1:6">
      <c r="A74" s="54">
        <v>73</v>
      </c>
      <c r="B74" s="62" t="s">
        <v>110</v>
      </c>
      <c r="C74" s="56">
        <f>IF(B74="Мишук О.В.",2127)</f>
        <v>2127</v>
      </c>
      <c r="D74" s="71"/>
      <c r="E74" s="72"/>
      <c r="F74" s="50"/>
    </row>
    <row r="75" spans="1:6">
      <c r="A75" s="54">
        <v>74</v>
      </c>
      <c r="B75" s="55" t="s">
        <v>51</v>
      </c>
      <c r="C75" s="56">
        <f>IF(B75="Мишук Р.В.",300)</f>
        <v>300</v>
      </c>
      <c r="D75" s="71"/>
      <c r="E75" s="72"/>
      <c r="F75" s="50"/>
    </row>
    <row r="76" spans="1:6">
      <c r="A76" s="54">
        <v>75</v>
      </c>
      <c r="B76" s="55" t="s">
        <v>76</v>
      </c>
      <c r="C76" s="56">
        <f>IF(B76="Мороз А.П.",1503)</f>
        <v>1503</v>
      </c>
      <c r="D76" s="71"/>
      <c r="E76" s="72"/>
      <c r="F76" s="50"/>
    </row>
    <row r="77" spans="1:6">
      <c r="A77" s="54">
        <v>76</v>
      </c>
      <c r="B77" s="62" t="s">
        <v>209</v>
      </c>
      <c r="C77" s="56">
        <f>IF(B77="Новоселов А.В.",1508)</f>
        <v>1508</v>
      </c>
      <c r="D77" s="71"/>
      <c r="E77" s="72"/>
      <c r="F77" s="50"/>
    </row>
    <row r="78" spans="1:6">
      <c r="A78" s="54">
        <v>77</v>
      </c>
      <c r="B78" s="55" t="s">
        <v>10</v>
      </c>
      <c r="C78" s="56">
        <f>IF(B78="Орловский А.М.",1674)</f>
        <v>1674</v>
      </c>
      <c r="D78" s="71"/>
      <c r="E78" s="72"/>
      <c r="F78" s="50"/>
    </row>
    <row r="79" spans="1:6">
      <c r="A79" s="54">
        <v>78</v>
      </c>
      <c r="B79" s="62" t="s">
        <v>104</v>
      </c>
      <c r="C79" s="56">
        <f>IF(B79="Пантелей А.В.",833)</f>
        <v>833</v>
      </c>
      <c r="D79" s="71"/>
      <c r="E79" s="72"/>
      <c r="F79" s="50"/>
    </row>
    <row r="80" spans="1:6">
      <c r="A80" s="54">
        <v>79</v>
      </c>
      <c r="B80" s="62" t="s">
        <v>125</v>
      </c>
      <c r="C80" s="56">
        <f>IF(B80="Петров В.А.",1393)</f>
        <v>1393</v>
      </c>
      <c r="D80" s="71"/>
      <c r="E80" s="72"/>
      <c r="F80" s="50"/>
    </row>
    <row r="81" spans="1:6">
      <c r="A81" s="54">
        <v>80</v>
      </c>
      <c r="B81" s="62" t="s">
        <v>207</v>
      </c>
      <c r="C81" s="56">
        <f>IF(B81="Петровых В.В.",2255)</f>
        <v>2255</v>
      </c>
      <c r="D81" s="71"/>
      <c r="E81" s="72"/>
      <c r="F81" s="50"/>
    </row>
    <row r="82" spans="1:6">
      <c r="A82" s="54">
        <v>81</v>
      </c>
      <c r="B82" s="62" t="s">
        <v>208</v>
      </c>
      <c r="C82" s="56">
        <f>IF(B82="Поплавский В.И.",255)</f>
        <v>255</v>
      </c>
      <c r="D82" s="71"/>
      <c r="E82" s="72"/>
      <c r="F82" s="50"/>
    </row>
    <row r="83" spans="1:6">
      <c r="A83" s="54">
        <v>82</v>
      </c>
      <c r="B83" s="62" t="s">
        <v>128</v>
      </c>
      <c r="C83" s="47">
        <f>IF(B83="Пресняков Г.В.",1676)</f>
        <v>1676</v>
      </c>
      <c r="D83" s="71"/>
      <c r="E83" s="72"/>
      <c r="F83" s="50"/>
    </row>
    <row r="84" spans="1:6">
      <c r="A84" s="54">
        <v>83</v>
      </c>
      <c r="B84" s="62" t="s">
        <v>101</v>
      </c>
      <c r="C84" s="56">
        <f>IF(B84="Раловец Л.П.",572)</f>
        <v>572</v>
      </c>
      <c r="D84" s="71"/>
      <c r="E84" s="72"/>
      <c r="F84" s="50"/>
    </row>
    <row r="85" spans="1:6">
      <c r="A85" s="54">
        <v>84</v>
      </c>
      <c r="B85" s="62" t="s">
        <v>178</v>
      </c>
      <c r="C85" s="56">
        <f>IF(B85="Романов В.В.",2095)</f>
        <v>2095</v>
      </c>
      <c r="D85" s="71"/>
      <c r="E85" s="72"/>
      <c r="F85" s="50"/>
    </row>
    <row r="86" spans="1:6">
      <c r="A86" s="54">
        <v>85</v>
      </c>
      <c r="B86" s="55" t="s">
        <v>54</v>
      </c>
      <c r="C86" s="56">
        <f>IF(B86="Романчук В.В.",338)</f>
        <v>338</v>
      </c>
      <c r="D86" s="71"/>
      <c r="E86" s="72"/>
      <c r="F86" s="50"/>
    </row>
    <row r="87" spans="1:6">
      <c r="A87" s="54">
        <v>86</v>
      </c>
      <c r="B87" s="62" t="s">
        <v>111</v>
      </c>
      <c r="C87" s="47">
        <f>IF(B87="Ротченкова С.С.",231)</f>
        <v>231</v>
      </c>
      <c r="D87" s="71"/>
      <c r="E87" s="72"/>
      <c r="F87" s="50"/>
    </row>
    <row r="88" spans="1:6">
      <c r="A88" s="54">
        <v>87</v>
      </c>
      <c r="B88" s="62" t="s">
        <v>204</v>
      </c>
      <c r="C88" s="47">
        <f>IF(B88="Рощупкина Л.И.",1608)</f>
        <v>1608</v>
      </c>
      <c r="D88" s="71"/>
      <c r="E88" s="72"/>
      <c r="F88" s="50"/>
    </row>
    <row r="89" spans="1:6">
      <c r="A89" s="54">
        <v>88</v>
      </c>
      <c r="B89" s="62" t="s">
        <v>7</v>
      </c>
      <c r="C89" s="56">
        <f>IF(B89="Рудницкий С.Н.",465)</f>
        <v>465</v>
      </c>
      <c r="D89" s="71"/>
      <c r="E89" s="72"/>
      <c r="F89" s="50"/>
    </row>
    <row r="90" spans="1:6">
      <c r="A90" s="54">
        <v>89</v>
      </c>
      <c r="B90" s="62" t="s">
        <v>222</v>
      </c>
      <c r="C90" s="56">
        <f>IF(B90="Рябов О.С.",462)</f>
        <v>462</v>
      </c>
      <c r="D90" s="71"/>
      <c r="E90" s="72"/>
      <c r="F90" s="50"/>
    </row>
    <row r="91" spans="1:6">
      <c r="A91" s="54">
        <v>90</v>
      </c>
      <c r="B91" s="62" t="s">
        <v>106</v>
      </c>
      <c r="C91" s="47">
        <f>IF(B91="Савельева Н.И.",534)</f>
        <v>534</v>
      </c>
      <c r="D91" s="71"/>
      <c r="E91" s="72"/>
      <c r="F91" s="50"/>
    </row>
    <row r="92" spans="1:6">
      <c r="A92" s="54">
        <v>91</v>
      </c>
      <c r="B92" s="64" t="s">
        <v>171</v>
      </c>
      <c r="C92" s="47">
        <f>IF(B92="Сандульская Л.А.",420)</f>
        <v>420</v>
      </c>
      <c r="D92" s="71"/>
      <c r="E92" s="72"/>
      <c r="F92" s="50"/>
    </row>
    <row r="93" spans="1:6">
      <c r="A93" s="54">
        <v>92</v>
      </c>
      <c r="B93" s="55" t="s">
        <v>29</v>
      </c>
      <c r="C93" s="56">
        <f>IF(B93="Сацук А.Л.",761)</f>
        <v>761</v>
      </c>
      <c r="D93" s="71"/>
      <c r="E93" s="72"/>
      <c r="F93" s="50"/>
    </row>
    <row r="94" spans="1:6">
      <c r="A94" s="54">
        <v>93</v>
      </c>
      <c r="B94" s="62" t="s">
        <v>210</v>
      </c>
      <c r="C94" s="56">
        <f>IF(B94="Сацукевич С.П.",265)</f>
        <v>265</v>
      </c>
      <c r="D94" s="71"/>
      <c r="E94" s="72"/>
      <c r="F94" s="50"/>
    </row>
    <row r="95" spans="1:6">
      <c r="A95" s="54">
        <v>94</v>
      </c>
      <c r="B95" s="62" t="s">
        <v>200</v>
      </c>
      <c r="C95" s="47">
        <f>IF(B95="Свидрицкая В.С.",1256)</f>
        <v>1256</v>
      </c>
      <c r="D95" s="71"/>
      <c r="E95" s="72"/>
      <c r="F95" s="50"/>
    </row>
    <row r="96" spans="1:6">
      <c r="A96" s="54">
        <v>95</v>
      </c>
      <c r="B96" s="62" t="s">
        <v>201</v>
      </c>
      <c r="C96" s="47">
        <f>IF(B96="Серий В.А.",515)</f>
        <v>515</v>
      </c>
      <c r="D96" s="71"/>
      <c r="E96" s="72"/>
      <c r="F96" s="50"/>
    </row>
    <row r="97" spans="1:6">
      <c r="A97" s="54">
        <v>96</v>
      </c>
      <c r="B97" s="62" t="s">
        <v>102</v>
      </c>
      <c r="C97" s="56">
        <f>IF(B97="Симонова Т.В.",519)</f>
        <v>519</v>
      </c>
      <c r="D97" s="71"/>
      <c r="E97" s="72"/>
      <c r="F97" s="50"/>
    </row>
    <row r="98" spans="1:6">
      <c r="A98" s="54">
        <v>97</v>
      </c>
      <c r="B98" s="62" t="s">
        <v>126</v>
      </c>
      <c r="C98" s="56">
        <f>IF(B98="Скачек А.В.",1649)</f>
        <v>1649</v>
      </c>
      <c r="D98" s="71"/>
      <c r="E98" s="72"/>
      <c r="F98" s="50"/>
    </row>
    <row r="99" spans="1:6">
      <c r="A99" s="54">
        <v>98</v>
      </c>
      <c r="B99" s="64" t="s">
        <v>167</v>
      </c>
      <c r="C99" s="56">
        <f>IF(B99="Хомич Н.Н.",589)</f>
        <v>589</v>
      </c>
      <c r="D99" s="71"/>
      <c r="E99" s="72"/>
      <c r="F99" s="50"/>
    </row>
    <row r="100" spans="1:6">
      <c r="A100" s="54">
        <v>99</v>
      </c>
      <c r="B100" s="62" t="s">
        <v>112</v>
      </c>
      <c r="C100" s="56">
        <f>IF(B100="Хомодеев В.В.",2325)</f>
        <v>2325</v>
      </c>
      <c r="D100" s="71"/>
      <c r="E100" s="72"/>
      <c r="F100" s="50"/>
    </row>
    <row r="101" spans="1:6">
      <c r="A101" s="54">
        <v>100</v>
      </c>
      <c r="B101" s="55" t="s">
        <v>37</v>
      </c>
      <c r="C101" s="56">
        <f>IF(B101="Цедрик Т.Н.",1140)</f>
        <v>1140</v>
      </c>
      <c r="D101" s="71"/>
      <c r="E101" s="72"/>
      <c r="F101" s="50"/>
    </row>
    <row r="102" spans="1:6">
      <c r="A102" s="54">
        <v>101</v>
      </c>
      <c r="B102" s="55" t="s">
        <v>39</v>
      </c>
      <c r="C102" s="56">
        <f>IF(B102="Чемеза О.П.",1369)</f>
        <v>1369</v>
      </c>
      <c r="D102" s="71"/>
      <c r="E102" s="72"/>
      <c r="F102" s="50"/>
    </row>
    <row r="103" spans="1:6">
      <c r="A103" s="54">
        <v>102</v>
      </c>
      <c r="B103" s="62" t="s">
        <v>123</v>
      </c>
      <c r="C103" s="56">
        <f>IF(B103="Шаповалов В.А.",1316)</f>
        <v>1316</v>
      </c>
      <c r="D103" s="71"/>
      <c r="E103" s="72"/>
      <c r="F103" s="50"/>
    </row>
    <row r="104" spans="1:6">
      <c r="A104" s="54">
        <v>103</v>
      </c>
      <c r="B104" s="62" t="s">
        <v>211</v>
      </c>
      <c r="C104" s="56">
        <f>IF(B104="Шерий Д.В.",563)</f>
        <v>563</v>
      </c>
      <c r="D104" s="71"/>
      <c r="E104" s="72"/>
      <c r="F104" s="50"/>
    </row>
    <row r="105" spans="1:6">
      <c r="A105" s="54">
        <v>104</v>
      </c>
      <c r="B105" s="62" t="s">
        <v>113</v>
      </c>
      <c r="C105" s="56">
        <f>IF(B105="Ясинский В.С.",70)</f>
        <v>70</v>
      </c>
      <c r="D105" s="71"/>
      <c r="E105" s="72"/>
      <c r="F105" s="50"/>
    </row>
    <row r="106" spans="1:6">
      <c r="A106" s="54">
        <v>105</v>
      </c>
      <c r="C106" s="64"/>
      <c r="D106" s="64"/>
      <c r="E106" s="73"/>
      <c r="F106" s="50"/>
    </row>
    <row r="107" spans="1:6">
      <c r="A107" s="54">
        <v>106</v>
      </c>
      <c r="D107" s="71"/>
      <c r="E107" s="72"/>
      <c r="F107" s="50"/>
    </row>
    <row r="108" spans="1:6">
      <c r="A108" s="54">
        <v>107</v>
      </c>
      <c r="B108" s="55"/>
      <c r="C108" s="56"/>
      <c r="D108" s="71"/>
      <c r="E108" s="72"/>
      <c r="F108" s="50"/>
    </row>
    <row r="109" spans="1:6">
      <c r="A109" s="54">
        <v>108</v>
      </c>
      <c r="D109" s="71"/>
      <c r="E109" s="72"/>
      <c r="F109" s="50"/>
    </row>
    <row r="110" spans="1:6">
      <c r="A110" s="54">
        <v>109</v>
      </c>
      <c r="D110" s="71"/>
      <c r="E110" s="72"/>
      <c r="F110" s="50"/>
    </row>
    <row r="111" spans="1:6">
      <c r="A111" s="54">
        <v>110</v>
      </c>
      <c r="D111" s="71"/>
      <c r="E111" s="72"/>
      <c r="F111" s="50"/>
    </row>
    <row r="112" spans="1:6">
      <c r="A112" s="54">
        <v>111</v>
      </c>
      <c r="D112" s="71"/>
      <c r="E112" s="72"/>
      <c r="F112" s="50"/>
    </row>
    <row r="113" spans="1:6">
      <c r="A113" s="54">
        <v>112</v>
      </c>
      <c r="D113" s="71"/>
      <c r="E113" s="72"/>
      <c r="F113" s="50"/>
    </row>
    <row r="114" spans="1:6">
      <c r="A114" s="54">
        <v>113</v>
      </c>
      <c r="D114" s="71"/>
      <c r="E114" s="72"/>
      <c r="F114" s="50"/>
    </row>
    <row r="115" spans="1:6">
      <c r="A115" s="54">
        <v>114</v>
      </c>
      <c r="D115" s="71"/>
      <c r="E115" s="72"/>
      <c r="F115" s="50"/>
    </row>
    <row r="116" spans="1:6">
      <c r="A116" s="54">
        <v>115</v>
      </c>
      <c r="D116" s="71"/>
      <c r="E116" s="72"/>
      <c r="F116" s="50"/>
    </row>
    <row r="117" spans="1:6">
      <c r="A117" s="54">
        <v>116</v>
      </c>
      <c r="D117" s="71"/>
      <c r="E117" s="72"/>
      <c r="F117" s="50"/>
    </row>
    <row r="118" spans="1:6">
      <c r="A118" s="54">
        <v>117</v>
      </c>
      <c r="D118" s="71"/>
      <c r="E118" s="72"/>
      <c r="F118" s="50"/>
    </row>
    <row r="119" spans="1:6">
      <c r="A119" s="54">
        <v>118</v>
      </c>
      <c r="D119" s="71"/>
      <c r="E119" s="72"/>
      <c r="F119" s="50"/>
    </row>
    <row r="120" spans="1:6">
      <c r="A120" s="54">
        <v>119</v>
      </c>
      <c r="D120" s="71"/>
      <c r="E120" s="72"/>
      <c r="F120" s="50"/>
    </row>
    <row r="121" spans="1:6">
      <c r="A121" s="54">
        <v>120</v>
      </c>
      <c r="D121" s="71"/>
      <c r="E121" s="72"/>
      <c r="F121" s="50"/>
    </row>
    <row r="122" spans="1:6">
      <c r="A122" s="54">
        <v>121</v>
      </c>
      <c r="D122" s="71"/>
      <c r="E122" s="72"/>
      <c r="F122" s="50"/>
    </row>
    <row r="123" spans="1:6">
      <c r="A123" s="54">
        <v>122</v>
      </c>
      <c r="D123" s="71"/>
      <c r="E123" s="72"/>
      <c r="F123" s="50"/>
    </row>
    <row r="124" spans="1:6">
      <c r="A124" s="54">
        <v>123</v>
      </c>
      <c r="D124" s="71"/>
      <c r="E124" s="72"/>
      <c r="F124" s="50"/>
    </row>
    <row r="125" spans="1:6">
      <c r="A125" s="54">
        <v>124</v>
      </c>
      <c r="D125" s="71"/>
      <c r="E125" s="72"/>
      <c r="F125" s="50"/>
    </row>
    <row r="126" spans="1:6">
      <c r="A126" s="54">
        <v>125</v>
      </c>
      <c r="D126" s="71"/>
      <c r="E126" s="72"/>
      <c r="F126" s="50"/>
    </row>
    <row r="127" spans="1:6">
      <c r="A127" s="54">
        <v>126</v>
      </c>
      <c r="D127" s="71"/>
      <c r="E127" s="72"/>
      <c r="F127" s="50"/>
    </row>
    <row r="128" spans="1:6">
      <c r="A128" s="54">
        <v>127</v>
      </c>
      <c r="D128" s="71"/>
      <c r="E128" s="72"/>
      <c r="F128" s="50"/>
    </row>
    <row r="129" spans="1:6">
      <c r="A129" s="54">
        <v>128</v>
      </c>
      <c r="D129" s="71"/>
      <c r="E129" s="72"/>
      <c r="F129" s="50"/>
    </row>
    <row r="130" spans="1:6">
      <c r="A130" s="54">
        <v>129</v>
      </c>
      <c r="D130" s="71"/>
      <c r="E130" s="72"/>
      <c r="F130" s="50"/>
    </row>
    <row r="131" spans="1:6">
      <c r="A131" s="54">
        <v>130</v>
      </c>
      <c r="D131" s="71"/>
      <c r="E131" s="72"/>
      <c r="F131" s="50"/>
    </row>
    <row r="132" spans="1:6">
      <c r="A132" s="54">
        <v>131</v>
      </c>
      <c r="D132" s="71"/>
      <c r="E132" s="72"/>
      <c r="F132" s="50"/>
    </row>
    <row r="133" spans="1:6">
      <c r="A133" s="54">
        <v>132</v>
      </c>
      <c r="D133" s="71"/>
      <c r="E133" s="72"/>
      <c r="F133" s="50"/>
    </row>
    <row r="134" spans="1:6">
      <c r="A134" s="54">
        <v>133</v>
      </c>
      <c r="D134" s="71"/>
      <c r="E134" s="72"/>
      <c r="F134" s="50"/>
    </row>
    <row r="135" spans="1:6">
      <c r="A135" s="54">
        <v>134</v>
      </c>
      <c r="D135" s="71"/>
      <c r="E135" s="72"/>
      <c r="F135" s="50"/>
    </row>
    <row r="136" spans="1:6">
      <c r="A136" s="54">
        <v>135</v>
      </c>
      <c r="D136" s="71"/>
      <c r="E136" s="72"/>
      <c r="F136" s="50"/>
    </row>
    <row r="137" spans="1:6">
      <c r="A137" s="54">
        <v>136</v>
      </c>
      <c r="D137" s="71"/>
      <c r="E137" s="72"/>
      <c r="F137" s="50"/>
    </row>
    <row r="138" spans="1:6">
      <c r="A138" s="54">
        <v>137</v>
      </c>
      <c r="D138" s="71"/>
      <c r="E138" s="72"/>
      <c r="F138" s="50"/>
    </row>
    <row r="139" spans="1:6">
      <c r="A139" s="54">
        <v>138</v>
      </c>
      <c r="D139" s="71"/>
      <c r="E139" s="72"/>
      <c r="F139" s="50"/>
    </row>
    <row r="140" spans="1:6">
      <c r="A140" s="54">
        <v>139</v>
      </c>
      <c r="D140" s="71"/>
      <c r="E140" s="72"/>
      <c r="F140" s="50"/>
    </row>
    <row r="141" spans="1:6">
      <c r="A141" s="54">
        <v>140</v>
      </c>
      <c r="D141" s="71"/>
      <c r="E141" s="72"/>
      <c r="F141" s="50"/>
    </row>
    <row r="142" spans="1:6">
      <c r="A142" s="54">
        <v>141</v>
      </c>
      <c r="D142" s="71"/>
      <c r="E142" s="72"/>
      <c r="F142" s="50"/>
    </row>
    <row r="143" spans="1:6">
      <c r="A143" s="54">
        <v>142</v>
      </c>
      <c r="D143" s="71"/>
      <c r="E143" s="72"/>
      <c r="F143" s="50"/>
    </row>
    <row r="144" spans="1:6">
      <c r="A144" s="54">
        <v>143</v>
      </c>
      <c r="D144" s="71"/>
      <c r="E144" s="72"/>
      <c r="F144" s="50"/>
    </row>
    <row r="145" spans="1:6">
      <c r="A145" s="54">
        <v>144</v>
      </c>
      <c r="D145" s="71"/>
      <c r="E145" s="72"/>
      <c r="F145" s="50"/>
    </row>
    <row r="146" spans="1:6">
      <c r="A146" s="54">
        <v>145</v>
      </c>
      <c r="D146" s="71"/>
      <c r="E146" s="72"/>
      <c r="F146" s="50"/>
    </row>
    <row r="147" spans="1:6">
      <c r="A147" s="54">
        <v>146</v>
      </c>
      <c r="D147" s="71"/>
      <c r="E147" s="72"/>
      <c r="F147" s="50"/>
    </row>
    <row r="148" spans="1:6">
      <c r="A148" s="54">
        <v>147</v>
      </c>
      <c r="D148" s="71"/>
      <c r="E148" s="72"/>
      <c r="F148" s="50"/>
    </row>
    <row r="149" spans="1:6">
      <c r="A149" s="54">
        <v>148</v>
      </c>
      <c r="D149" s="71"/>
      <c r="E149" s="72"/>
      <c r="F149" s="50"/>
    </row>
    <row r="150" spans="1:6">
      <c r="A150" s="54">
        <v>149</v>
      </c>
      <c r="D150" s="71"/>
      <c r="E150" s="72"/>
      <c r="F150" s="50"/>
    </row>
    <row r="151" spans="1:6">
      <c r="A151" s="54">
        <v>150</v>
      </c>
      <c r="D151" s="71"/>
      <c r="E151" s="72"/>
      <c r="F151" s="50"/>
    </row>
  </sheetData>
  <sheetProtection formatCells="0" formatColumns="0" formatRows="0" selectLockedCells="1" selectUnlockedCells="1"/>
  <sortState ref="B2:C151">
    <sortCondition ref="B27"/>
  </sortState>
  <customSheetViews>
    <customSheetView guid="{1957AC80-412C-4030-B807-A599A7F9C8EF}" showGridLines="0">
      <selection activeCell="C13" sqref="C1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Общий табель</vt:lpstr>
      <vt:lpstr>Молоко</vt:lpstr>
      <vt:lpstr>Список</vt:lpstr>
      <vt:lpstr>№</vt:lpstr>
      <vt:lpstr>Ед.изм</vt:lpstr>
      <vt:lpstr>Знаки</vt:lpstr>
      <vt:lpstr>Мастера</vt:lpstr>
      <vt:lpstr>Месяц</vt:lpstr>
      <vt:lpstr>Наряды</vt:lpstr>
      <vt:lpstr>Молоко!Область_печати</vt:lpstr>
      <vt:lpstr>Профессия</vt:lpstr>
      <vt:lpstr>Прочее</vt:lpstr>
      <vt:lpstr>Таб.№</vt:lpstr>
      <vt:lpstr>ФИО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Бригадный расчёт</dc:title>
  <dc:subject/>
  <dc:creator/>
  <dc:description>Для общего пользования. Версия 1.3</dc:description>
  <cp:lastModifiedBy>Николай</cp:lastModifiedBy>
  <dcterms:created xsi:type="dcterms:W3CDTF">2006-09-28T05:33:49Z</dcterms:created>
  <dcterms:modified xsi:type="dcterms:W3CDTF">2015-04-04T21:21:37Z</dcterms:modified>
</cp:coreProperties>
</file>