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verst\Desktop\"/>
    </mc:Choice>
  </mc:AlternateContent>
  <bookViews>
    <workbookView xWindow="0" yWindow="0" windowWidth="24000" windowHeight="15075" firstSheet="1" activeTab="2"/>
  </bookViews>
  <sheets>
    <sheet name="Дополнительные данные" sheetId="2" state="hidden" r:id="rId1"/>
    <sheet name="Производственный график" sheetId="4" r:id="rId2"/>
    <sheet name="Расчет срока готовности заказа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8" i="4" l="1"/>
  <c r="A26" i="2" l="1"/>
  <c r="A27" i="2"/>
  <c r="A28" i="2"/>
  <c r="A29" i="2"/>
  <c r="A30" i="2"/>
  <c r="A31" i="2"/>
  <c r="A32" i="2"/>
  <c r="A33" i="2"/>
  <c r="A34" i="2"/>
  <c r="A35" i="2"/>
  <c r="A36" i="2"/>
  <c r="I5" i="3"/>
  <c r="X13" i="3" l="1"/>
  <c r="S13" i="3"/>
  <c r="H13" i="3"/>
  <c r="I13" i="3" s="1"/>
  <c r="W13" i="3" s="1"/>
  <c r="Q13" i="3"/>
  <c r="B13" i="3"/>
  <c r="F13" i="3"/>
  <c r="G13" i="3" s="1"/>
  <c r="D13" i="3" s="1"/>
  <c r="A11" i="2"/>
  <c r="I108" i="2"/>
  <c r="H108" i="2"/>
  <c r="H88" i="2"/>
  <c r="I114" i="2"/>
  <c r="I113" i="2"/>
  <c r="I112" i="2"/>
  <c r="I111" i="2"/>
  <c r="I110" i="2"/>
  <c r="I109" i="2"/>
  <c r="F114" i="2"/>
  <c r="F113" i="2"/>
  <c r="F112" i="2"/>
  <c r="F111" i="2"/>
  <c r="F110" i="2"/>
  <c r="F109" i="2"/>
  <c r="F108" i="2"/>
  <c r="C114" i="2"/>
  <c r="C113" i="2"/>
  <c r="C112" i="2"/>
  <c r="C111" i="2"/>
  <c r="C110" i="2"/>
  <c r="C109" i="2"/>
  <c r="C108" i="2"/>
  <c r="C107" i="2"/>
  <c r="C106" i="2"/>
  <c r="C104" i="2"/>
  <c r="C105" i="2"/>
  <c r="B114" i="2"/>
  <c r="B113" i="2"/>
  <c r="B112" i="2"/>
  <c r="B111" i="2"/>
  <c r="B110" i="2"/>
  <c r="B109" i="2"/>
  <c r="B108" i="2"/>
  <c r="B107" i="2"/>
  <c r="B106" i="2"/>
  <c r="B104" i="2"/>
  <c r="B105" i="2"/>
  <c r="I75" i="2"/>
  <c r="I74" i="2"/>
  <c r="I73" i="2"/>
  <c r="I72" i="2"/>
  <c r="I71" i="2"/>
  <c r="I70" i="2"/>
  <c r="F75" i="2"/>
  <c r="F74" i="2"/>
  <c r="F73" i="2"/>
  <c r="F72" i="2"/>
  <c r="F71" i="2"/>
  <c r="F70" i="2"/>
  <c r="F69" i="2"/>
  <c r="C75" i="2"/>
  <c r="B75" i="2"/>
  <c r="C74" i="2"/>
  <c r="B74" i="2"/>
  <c r="C73" i="2"/>
  <c r="B73" i="2"/>
  <c r="C72" i="2"/>
  <c r="B72" i="2"/>
  <c r="C71" i="2"/>
  <c r="B71" i="2"/>
  <c r="C70" i="2"/>
  <c r="B70" i="2"/>
  <c r="B69" i="2"/>
  <c r="C69" i="2"/>
  <c r="B68" i="2"/>
  <c r="C68" i="2"/>
  <c r="C67" i="2"/>
  <c r="B67" i="2"/>
  <c r="C66" i="2"/>
  <c r="B66" i="2"/>
  <c r="C65" i="2"/>
  <c r="B65" i="2"/>
  <c r="I32" i="2"/>
  <c r="I36" i="2"/>
  <c r="I35" i="2"/>
  <c r="I34" i="2"/>
  <c r="I33" i="2"/>
  <c r="I31" i="2"/>
  <c r="F36" i="2"/>
  <c r="F35" i="2"/>
  <c r="F34" i="2"/>
  <c r="F33" i="2"/>
  <c r="F32" i="2"/>
  <c r="F31" i="2"/>
  <c r="F30" i="2"/>
  <c r="C36" i="2"/>
  <c r="C35" i="2"/>
  <c r="C34" i="2"/>
  <c r="C33" i="2"/>
  <c r="C32" i="2"/>
  <c r="C31" i="2"/>
  <c r="C30" i="2"/>
  <c r="C29" i="2"/>
  <c r="C28" i="2"/>
  <c r="C27" i="2"/>
  <c r="C26" i="2"/>
  <c r="B36" i="2"/>
  <c r="B35" i="2"/>
  <c r="B34" i="2"/>
  <c r="B33" i="2"/>
  <c r="B32" i="2"/>
  <c r="B31" i="2"/>
  <c r="B30" i="2"/>
  <c r="B29" i="2"/>
  <c r="B28" i="2"/>
  <c r="B27" i="2"/>
  <c r="B26" i="2"/>
  <c r="I7" i="3"/>
  <c r="I6" i="3"/>
  <c r="V13" i="3" l="1"/>
  <c r="X15" i="3"/>
  <c r="X14" i="3"/>
  <c r="B15" i="3"/>
  <c r="S15" i="3"/>
  <c r="Q15" i="3"/>
  <c r="S14" i="3"/>
  <c r="Q14" i="3"/>
  <c r="R13" i="3"/>
  <c r="T13" i="3"/>
  <c r="B14" i="3"/>
  <c r="C13" i="3"/>
  <c r="H15" i="3"/>
  <c r="I15" i="3" s="1"/>
  <c r="C15" i="3" s="1"/>
  <c r="H14" i="3"/>
  <c r="T14" i="3" s="1"/>
  <c r="F15" i="3"/>
  <c r="G15" i="3" s="1"/>
  <c r="F14" i="3"/>
  <c r="H89" i="2"/>
  <c r="H90" i="2"/>
  <c r="H91" i="2"/>
  <c r="H92" i="2"/>
  <c r="H93" i="2"/>
  <c r="H94" i="2"/>
  <c r="G89" i="2"/>
  <c r="G90" i="2"/>
  <c r="G91" i="2"/>
  <c r="G92" i="2"/>
  <c r="G93" i="2"/>
  <c r="G94" i="2"/>
  <c r="E84" i="2"/>
  <c r="E85" i="2"/>
  <c r="E86" i="2"/>
  <c r="E87" i="2"/>
  <c r="D89" i="2"/>
  <c r="E89" i="2" s="1"/>
  <c r="D90" i="2"/>
  <c r="E90" i="2" s="1"/>
  <c r="D91" i="2"/>
  <c r="E91" i="2" s="1"/>
  <c r="D92" i="2"/>
  <c r="E92" i="2" s="1"/>
  <c r="D93" i="2"/>
  <c r="E93" i="2" s="1"/>
  <c r="D94" i="2"/>
  <c r="E94" i="2" s="1"/>
  <c r="D88" i="2"/>
  <c r="E88" i="2" s="1"/>
  <c r="D68" i="2"/>
  <c r="D67" i="2"/>
  <c r="D66" i="2"/>
  <c r="D65" i="2"/>
  <c r="H51" i="2"/>
  <c r="H52" i="2"/>
  <c r="H53" i="2"/>
  <c r="H54" i="2"/>
  <c r="H55" i="2"/>
  <c r="H50" i="2"/>
  <c r="G51" i="2"/>
  <c r="G52" i="2"/>
  <c r="G53" i="2"/>
  <c r="G54" i="2"/>
  <c r="G55" i="2"/>
  <c r="I27" i="2"/>
  <c r="I28" i="2"/>
  <c r="I29" i="2"/>
  <c r="I30" i="2"/>
  <c r="I26" i="2"/>
  <c r="F27" i="2"/>
  <c r="F28" i="2"/>
  <c r="F29" i="2"/>
  <c r="F26" i="2"/>
  <c r="G26" i="2"/>
  <c r="G27" i="2"/>
  <c r="G28" i="2"/>
  <c r="G29" i="2"/>
  <c r="G30" i="2"/>
  <c r="G50" i="2"/>
  <c r="E45" i="2"/>
  <c r="E46" i="2"/>
  <c r="E47" i="2"/>
  <c r="E48" i="2"/>
  <c r="E49" i="2"/>
  <c r="D50" i="2"/>
  <c r="D70" i="2" s="1"/>
  <c r="D51" i="2"/>
  <c r="D71" i="2" s="1"/>
  <c r="D52" i="2"/>
  <c r="D72" i="2" s="1"/>
  <c r="D53" i="2"/>
  <c r="D73" i="2" s="1"/>
  <c r="D54" i="2"/>
  <c r="D74" i="2" s="1"/>
  <c r="D55" i="2"/>
  <c r="D75" i="2" s="1"/>
  <c r="D49" i="2"/>
  <c r="D69" i="2" s="1"/>
  <c r="H12" i="2"/>
  <c r="H13" i="2"/>
  <c r="H14" i="2"/>
  <c r="H15" i="2"/>
  <c r="H16" i="2"/>
  <c r="H11" i="2"/>
  <c r="G12" i="2"/>
  <c r="G32" i="2" s="1"/>
  <c r="G13" i="2"/>
  <c r="G33" i="2" s="1"/>
  <c r="G14" i="2"/>
  <c r="G34" i="2" s="1"/>
  <c r="G15" i="2"/>
  <c r="G35" i="2" s="1"/>
  <c r="G16" i="2"/>
  <c r="G36" i="2" s="1"/>
  <c r="G11" i="2"/>
  <c r="G31" i="2" s="1"/>
  <c r="E9" i="2"/>
  <c r="E8" i="2"/>
  <c r="E7" i="2"/>
  <c r="E6" i="2"/>
  <c r="D11" i="2"/>
  <c r="E11" i="2" s="1"/>
  <c r="D12" i="2"/>
  <c r="D32" i="2" s="1"/>
  <c r="D13" i="2"/>
  <c r="D33" i="2" s="1"/>
  <c r="D14" i="2"/>
  <c r="E14" i="2" s="1"/>
  <c r="D15" i="2"/>
  <c r="D35" i="2" s="1"/>
  <c r="D16" i="2"/>
  <c r="D36" i="2" s="1"/>
  <c r="D10" i="2"/>
  <c r="D30" i="2" s="1"/>
  <c r="D15" i="3" l="1"/>
  <c r="V15" i="3"/>
  <c r="W15" i="3"/>
  <c r="R15" i="3"/>
  <c r="T15" i="3"/>
  <c r="R14" i="3"/>
  <c r="Q16" i="3"/>
  <c r="S16" i="3"/>
  <c r="F16" i="3"/>
  <c r="F17" i="3" s="1"/>
  <c r="H16" i="3"/>
  <c r="H17" i="3" s="1"/>
  <c r="I14" i="3"/>
  <c r="G14" i="3"/>
  <c r="V14" i="3" s="1"/>
  <c r="E15" i="2"/>
  <c r="E13" i="2"/>
  <c r="E55" i="2"/>
  <c r="E54" i="2"/>
  <c r="E53" i="2"/>
  <c r="D31" i="2"/>
  <c r="E16" i="2"/>
  <c r="E10" i="2"/>
  <c r="E51" i="2"/>
  <c r="E12" i="2"/>
  <c r="D34" i="2"/>
  <c r="E50" i="2"/>
  <c r="E52" i="2"/>
  <c r="G108" i="2"/>
  <c r="H110" i="2"/>
  <c r="H111" i="2"/>
  <c r="H112" i="2"/>
  <c r="H113" i="2"/>
  <c r="H114" i="2"/>
  <c r="H109" i="2"/>
  <c r="J114" i="2"/>
  <c r="J113" i="2"/>
  <c r="J112" i="2"/>
  <c r="J111" i="2"/>
  <c r="J110" i="2"/>
  <c r="J109" i="2"/>
  <c r="J108" i="2"/>
  <c r="J107" i="2"/>
  <c r="I107" i="2"/>
  <c r="G107" i="2"/>
  <c r="H107" i="2" s="1"/>
  <c r="F107" i="2"/>
  <c r="D107" i="2"/>
  <c r="E107" i="2" s="1"/>
  <c r="J106" i="2"/>
  <c r="I106" i="2"/>
  <c r="G106" i="2"/>
  <c r="H106" i="2" s="1"/>
  <c r="F106" i="2"/>
  <c r="D106" i="2"/>
  <c r="E106" i="2" s="1"/>
  <c r="J105" i="2"/>
  <c r="I105" i="2"/>
  <c r="G105" i="2"/>
  <c r="H105" i="2" s="1"/>
  <c r="F105" i="2"/>
  <c r="D105" i="2"/>
  <c r="E105" i="2" s="1"/>
  <c r="J104" i="2"/>
  <c r="I104" i="2"/>
  <c r="G104" i="2"/>
  <c r="H104" i="2" s="1"/>
  <c r="F104" i="2"/>
  <c r="D104" i="2"/>
  <c r="E104" i="2" s="1"/>
  <c r="A101" i="2"/>
  <c r="G114" i="2"/>
  <c r="A94" i="2"/>
  <c r="G113" i="2"/>
  <c r="D113" i="2"/>
  <c r="A93" i="2"/>
  <c r="G112" i="2"/>
  <c r="D112" i="2"/>
  <c r="A92" i="2"/>
  <c r="G111" i="2"/>
  <c r="A91" i="2"/>
  <c r="G110" i="2"/>
  <c r="D110" i="2"/>
  <c r="A90" i="2"/>
  <c r="G109" i="2"/>
  <c r="D109" i="2"/>
  <c r="E109" i="2" s="1"/>
  <c r="A89" i="2"/>
  <c r="D108" i="2"/>
  <c r="E108" i="2" s="1"/>
  <c r="A88" i="2"/>
  <c r="H87" i="2"/>
  <c r="A87" i="2"/>
  <c r="H86" i="2"/>
  <c r="A86" i="2"/>
  <c r="H85" i="2"/>
  <c r="A85" i="2"/>
  <c r="H84" i="2"/>
  <c r="A84" i="2"/>
  <c r="A62" i="2"/>
  <c r="A23" i="2"/>
  <c r="H75" i="2"/>
  <c r="H74" i="2"/>
  <c r="H73" i="2"/>
  <c r="H72" i="2"/>
  <c r="H71" i="2"/>
  <c r="H70" i="2"/>
  <c r="I66" i="2"/>
  <c r="I67" i="2"/>
  <c r="I68" i="2"/>
  <c r="I69" i="2"/>
  <c r="I65" i="2"/>
  <c r="G66" i="2"/>
  <c r="H66" i="2" s="1"/>
  <c r="G67" i="2"/>
  <c r="H67" i="2" s="1"/>
  <c r="G68" i="2"/>
  <c r="H68" i="2" s="1"/>
  <c r="G69" i="2"/>
  <c r="G65" i="2"/>
  <c r="H65" i="2" s="1"/>
  <c r="E75" i="2"/>
  <c r="E74" i="2"/>
  <c r="E73" i="2"/>
  <c r="E72" i="2"/>
  <c r="E71" i="2"/>
  <c r="E70" i="2"/>
  <c r="F65" i="2"/>
  <c r="F66" i="2"/>
  <c r="F67" i="2"/>
  <c r="F68" i="2"/>
  <c r="E69" i="2"/>
  <c r="E66" i="2"/>
  <c r="E67" i="2"/>
  <c r="E68" i="2"/>
  <c r="A45" i="2"/>
  <c r="A46" i="2"/>
  <c r="A47" i="2"/>
  <c r="A48" i="2"/>
  <c r="A49" i="2"/>
  <c r="A50" i="2"/>
  <c r="A51" i="2"/>
  <c r="A52" i="2"/>
  <c r="A53" i="2"/>
  <c r="A54" i="2"/>
  <c r="A55" i="2"/>
  <c r="J66" i="2"/>
  <c r="J67" i="2"/>
  <c r="J68" i="2"/>
  <c r="J69" i="2"/>
  <c r="J70" i="2"/>
  <c r="J71" i="2"/>
  <c r="J72" i="2"/>
  <c r="J73" i="2"/>
  <c r="J74" i="2"/>
  <c r="J75" i="2"/>
  <c r="J65" i="2"/>
  <c r="H69" i="2"/>
  <c r="X17" i="3" l="1"/>
  <c r="W14" i="3"/>
  <c r="X16" i="3"/>
  <c r="B17" i="3"/>
  <c r="T16" i="3"/>
  <c r="S17" i="3"/>
  <c r="R16" i="3"/>
  <c r="Q17" i="3"/>
  <c r="B16" i="3"/>
  <c r="I16" i="3"/>
  <c r="D14" i="3"/>
  <c r="G16" i="3"/>
  <c r="C14" i="3"/>
  <c r="A73" i="2"/>
  <c r="E112" i="2"/>
  <c r="A68" i="2"/>
  <c r="A69" i="2"/>
  <c r="E110" i="2"/>
  <c r="E113" i="2"/>
  <c r="A108" i="2"/>
  <c r="A65" i="2"/>
  <c r="A66" i="2"/>
  <c r="A74" i="2"/>
  <c r="A70" i="2"/>
  <c r="A72" i="2"/>
  <c r="A112" i="2"/>
  <c r="A110" i="2"/>
  <c r="A113" i="2"/>
  <c r="A104" i="2"/>
  <c r="A107" i="2"/>
  <c r="A106" i="2"/>
  <c r="A111" i="2"/>
  <c r="A71" i="2"/>
  <c r="A114" i="2"/>
  <c r="A67" i="2"/>
  <c r="A75" i="2"/>
  <c r="A105" i="2"/>
  <c r="A109" i="2"/>
  <c r="D114" i="2"/>
  <c r="E114" i="2" s="1"/>
  <c r="D111" i="2"/>
  <c r="E111" i="2" s="1"/>
  <c r="H49" i="2"/>
  <c r="H48" i="2"/>
  <c r="H47" i="2"/>
  <c r="H46" i="2"/>
  <c r="H45" i="2"/>
  <c r="G75" i="2"/>
  <c r="G74" i="2"/>
  <c r="G73" i="2"/>
  <c r="G72" i="2"/>
  <c r="G71" i="2"/>
  <c r="G70" i="2"/>
  <c r="D16" i="3" l="1"/>
  <c r="V16" i="3"/>
  <c r="C16" i="3"/>
  <c r="W16" i="3"/>
  <c r="R17" i="3"/>
  <c r="T17" i="3"/>
  <c r="I17" i="3"/>
  <c r="G17" i="3"/>
  <c r="V17" i="3" s="1"/>
  <c r="E65" i="2"/>
  <c r="D29" i="2"/>
  <c r="E29" i="2" s="1"/>
  <c r="D28" i="2"/>
  <c r="E28" i="2" s="1"/>
  <c r="D27" i="2"/>
  <c r="E27" i="2" s="1"/>
  <c r="D26" i="2"/>
  <c r="E26" i="2" s="1"/>
  <c r="H32" i="2"/>
  <c r="H31" i="2"/>
  <c r="H33" i="2"/>
  <c r="H34" i="2"/>
  <c r="H35" i="2"/>
  <c r="H36" i="2"/>
  <c r="E30" i="2"/>
  <c r="E31" i="2"/>
  <c r="E32" i="2"/>
  <c r="E33" i="2"/>
  <c r="E34" i="2"/>
  <c r="E35" i="2"/>
  <c r="J32" i="2"/>
  <c r="J36" i="2"/>
  <c r="J35" i="2"/>
  <c r="J34" i="2"/>
  <c r="J33" i="2"/>
  <c r="J31" i="2"/>
  <c r="J30" i="2"/>
  <c r="J29" i="2"/>
  <c r="J28" i="2"/>
  <c r="J27" i="2"/>
  <c r="J26" i="2"/>
  <c r="E36" i="2"/>
  <c r="H30" i="2"/>
  <c r="C17" i="3" l="1"/>
  <c r="W17" i="3"/>
  <c r="H26" i="2"/>
  <c r="H27" i="2"/>
  <c r="H28" i="2"/>
  <c r="H29" i="2"/>
  <c r="A16" i="2" l="1"/>
  <c r="A15" i="2"/>
  <c r="A14" i="2"/>
  <c r="A13" i="2"/>
  <c r="A12" i="2"/>
  <c r="H6" i="2"/>
  <c r="H7" i="2"/>
  <c r="H8" i="2"/>
  <c r="H9" i="2"/>
  <c r="H10" i="2"/>
  <c r="A10" i="2"/>
  <c r="A6" i="2"/>
  <c r="A7" i="2"/>
  <c r="A8" i="2"/>
  <c r="A9" i="2"/>
  <c r="D17" i="3" l="1"/>
</calcChain>
</file>

<file path=xl/sharedStrings.xml><?xml version="1.0" encoding="utf-8"?>
<sst xmlns="http://schemas.openxmlformats.org/spreadsheetml/2006/main" count="188" uniqueCount="48">
  <si>
    <t>Объем</t>
  </si>
  <si>
    <t>Вид работ</t>
  </si>
  <si>
    <t>Рабочих дней</t>
  </si>
  <si>
    <t>Рабочих часов</t>
  </si>
  <si>
    <t></t>
  </si>
  <si>
    <t>Больше</t>
  </si>
  <si>
    <t>Меньше</t>
  </si>
  <si>
    <t>Начало рабочего дня</t>
  </si>
  <si>
    <t>Праздничные дни</t>
  </si>
  <si>
    <t>Продолжительность рабочего дня</t>
  </si>
  <si>
    <t>по запросу</t>
  </si>
  <si>
    <t>-</t>
  </si>
  <si>
    <t>В часах (стандартно)</t>
  </si>
  <si>
    <t>В р. днях (стандартно)</t>
  </si>
  <si>
    <t>Объем в р. день (стандартно)</t>
  </si>
  <si>
    <t>В часах (ускоренно)</t>
  </si>
  <si>
    <t>В р. днях (ускоренно)</t>
  </si>
  <si>
    <t>Объем в р. день (ускоренно)</t>
  </si>
  <si>
    <t>Надбавка</t>
  </si>
  <si>
    <t>СТАНДАРТНО</t>
  </si>
  <si>
    <t>УСКОРЕННО</t>
  </si>
  <si>
    <t>СРОКИ ВЫПОЛНЕНИЯ ВЕРСТКИ СЛОЖНЫХ УЧЕТНЫХ СТРАНИЦ</t>
  </si>
  <si>
    <t>Стандартных единиц</t>
  </si>
  <si>
    <t>Сложных единиц</t>
  </si>
  <si>
    <t>Верстка по образцу</t>
  </si>
  <si>
    <t>Обработка иллюстраций</t>
  </si>
  <si>
    <t>Вставка иллюстраций</t>
  </si>
  <si>
    <t>НАДБАВКА</t>
  </si>
  <si>
    <t>Обработка+вставка иллюстраций</t>
  </si>
  <si>
    <t>1. ОБЪЕМ УСЛУГ</t>
  </si>
  <si>
    <t>СРОКИ ВЫПОЛНЕНИЯ ОБРАБОТКИ СЛОЖНЫХ ИЛЛЮСТРАЦИЙ</t>
  </si>
  <si>
    <r>
      <t xml:space="preserve">СРОКИ ВЫПОЛНЕНИЯ ОБРАБОТКИ СТАНДАРТНЫХ ИЛЛЮСТРАЦИЙ
</t>
    </r>
    <r>
      <rPr>
        <i/>
        <sz val="20"/>
        <color theme="4" tint="-0.249977111117893"/>
        <rFont val="Calibri"/>
        <family val="2"/>
        <charset val="204"/>
        <scheme val="minor"/>
      </rPr>
      <t>(применяется для расчета)</t>
    </r>
  </si>
  <si>
    <r>
      <t xml:space="preserve">СРОКИ ВЫПОЛНЕНИЯ ВЕРСТКИ СТАНДАРТНЫХ УЧЕТНЫХ СТРАНИЦ
</t>
    </r>
    <r>
      <rPr>
        <i/>
        <sz val="20"/>
        <color theme="4" tint="-0.249977111117893"/>
        <rFont val="Calibri"/>
        <family val="2"/>
        <charset val="204"/>
        <scheme val="minor"/>
      </rPr>
      <t>(применяется для расчета)</t>
    </r>
  </si>
  <si>
    <r>
      <t xml:space="preserve">СРОКИ ВЫПОЛНЕНИЯ ВСТАВКИ СТАНДАРТНЫХ ИЛЛЮСТРАЦИЙ
</t>
    </r>
    <r>
      <rPr>
        <i/>
        <sz val="20"/>
        <color theme="4" tint="-0.249977111117893"/>
        <rFont val="Calibri"/>
        <family val="2"/>
        <charset val="204"/>
        <scheme val="minor"/>
      </rPr>
      <t>(применяется для расчета)</t>
    </r>
  </si>
  <si>
    <t>СРОКИ ВЫПОЛНЕНИЯ ВСТАВКИ СЛОЖНЫХ ИЛЛЮСТРАЦИЙ</t>
  </si>
  <si>
    <r>
      <rPr>
        <b/>
        <i/>
        <sz val="25"/>
        <color rgb="FFFF0000"/>
        <rFont val="Calibri"/>
        <family val="2"/>
        <charset val="204"/>
        <scheme val="minor"/>
      </rPr>
      <t xml:space="preserve">k </t>
    </r>
    <r>
      <rPr>
        <b/>
        <i/>
        <sz val="16"/>
        <color rgb="FFFF0000"/>
        <rFont val="Calibri"/>
        <family val="2"/>
        <charset val="204"/>
        <scheme val="minor"/>
      </rPr>
      <t>сложной единицы =</t>
    </r>
  </si>
  <si>
    <t>СТАНДАРТНЫЙ СРОК</t>
  </si>
  <si>
    <t>УСКОРЕННЫЙ СРОК</t>
  </si>
  <si>
    <t>ç</t>
  </si>
  <si>
    <t>+</t>
  </si>
  <si>
    <t>=</t>
  </si>
  <si>
    <t>Требуемый срок готовности</t>
  </si>
  <si>
    <t>–</t>
  </si>
  <si>
    <t>РАСЧЕТНЫЙ СРОК ГОТОВНОСТИ</t>
  </si>
  <si>
    <t>РАСЧЕТНЫЙ СРОК ПЕРЕДАЧИ В РАБОТУ</t>
  </si>
  <si>
    <t>Планируемый срок передачи в работу</t>
  </si>
  <si>
    <t>ЕДИНОВРЕМЕННО</t>
  </si>
  <si>
    <t>Окончание рабочего 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</si>
</sst>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\ h:mm;@"/>
    <numFmt numFmtId="165" formatCode="0.0"/>
    <numFmt numFmtId="166" formatCode="h:mm;@"/>
    <numFmt numFmtId="167" formatCode="[h]:mm:ss;@"/>
    <numFmt numFmtId="168" formatCode="[$-F400]h:mm:ss\ AM/PM"/>
  </numFmts>
  <fonts count="3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2"/>
      <color theme="4" tint="-0.249977111117893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4" tint="-0.249977111117893"/>
      <name val="Wingdings"/>
      <charset val="2"/>
    </font>
    <font>
      <b/>
      <sz val="14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b/>
      <sz val="14"/>
      <color theme="4" tint="-0.249977111117893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20"/>
      <color theme="4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6"/>
      <color theme="4" tint="-0.249977111117893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20"/>
      <color theme="4" tint="-0.249977111117893"/>
      <name val="Calibri"/>
      <family val="2"/>
      <charset val="204"/>
      <scheme val="minor"/>
    </font>
    <font>
      <b/>
      <i/>
      <sz val="16"/>
      <color rgb="FFFF0000"/>
      <name val="Calibri"/>
      <family val="2"/>
      <charset val="204"/>
      <scheme val="minor"/>
    </font>
    <font>
      <b/>
      <i/>
      <sz val="25"/>
      <color rgb="FFFF0000"/>
      <name val="Calibri"/>
      <family val="2"/>
      <charset val="204"/>
      <scheme val="minor"/>
    </font>
    <font>
      <i/>
      <sz val="16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8"/>
      <color theme="4" tint="-0.249977111117893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6"/>
      <name val="Wingdings"/>
      <charset val="2"/>
    </font>
    <font>
      <b/>
      <sz val="14"/>
      <color rgb="FF00B05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4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4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4" tint="-0.24994659260841701"/>
      </bottom>
      <diagonal/>
    </border>
    <border>
      <left style="thick">
        <color theme="4"/>
      </left>
      <right style="thin">
        <color theme="0"/>
      </right>
      <top style="thick">
        <color theme="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4"/>
      </top>
      <bottom style="thin">
        <color theme="0"/>
      </bottom>
      <diagonal/>
    </border>
    <border>
      <left style="thin">
        <color theme="0"/>
      </left>
      <right style="thick">
        <color theme="4"/>
      </right>
      <top style="thick">
        <color theme="4"/>
      </top>
      <bottom style="thin">
        <color theme="0"/>
      </bottom>
      <diagonal/>
    </border>
    <border>
      <left style="thick">
        <color theme="4"/>
      </left>
      <right style="thin">
        <color theme="0"/>
      </right>
      <top style="thin">
        <color theme="0"/>
      </top>
      <bottom style="thick">
        <color theme="4"/>
      </bottom>
      <diagonal/>
    </border>
    <border>
      <left style="thick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ck">
        <color theme="4"/>
      </right>
      <top style="thin">
        <color theme="4"/>
      </top>
      <bottom style="thin">
        <color theme="4"/>
      </bottom>
      <diagonal/>
    </border>
    <border>
      <left style="thick">
        <color theme="4"/>
      </left>
      <right style="thin">
        <color theme="4"/>
      </right>
      <top style="thin">
        <color theme="4"/>
      </top>
      <bottom style="thick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ck">
        <color theme="4"/>
      </bottom>
      <diagonal/>
    </border>
    <border>
      <left style="thin">
        <color theme="4"/>
      </left>
      <right style="thick">
        <color theme="4"/>
      </right>
      <top style="thin">
        <color theme="4"/>
      </top>
      <bottom style="thick">
        <color theme="4"/>
      </bottom>
      <diagonal/>
    </border>
    <border>
      <left style="thick">
        <color theme="4"/>
      </left>
      <right style="thin">
        <color theme="0"/>
      </right>
      <top style="thin">
        <color theme="0"/>
      </top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7558519241921"/>
      </bottom>
      <diagonal/>
    </border>
    <border>
      <left style="thin">
        <color theme="0"/>
      </left>
      <right style="thick">
        <color theme="4"/>
      </right>
      <top style="thin">
        <color theme="0"/>
      </top>
      <bottom style="thin">
        <color theme="4" tint="0.39997558519241921"/>
      </bottom>
      <diagonal/>
    </border>
    <border>
      <left style="thick">
        <color theme="4"/>
      </left>
      <right style="thin">
        <color theme="4"/>
      </right>
      <top style="thin">
        <color theme="4" tint="0.3999755851924192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 tint="0.39997558519241921"/>
      </top>
      <bottom style="thin">
        <color theme="4"/>
      </bottom>
      <diagonal/>
    </border>
    <border>
      <left style="thin">
        <color theme="4"/>
      </left>
      <right style="thick">
        <color theme="4"/>
      </right>
      <top style="thin">
        <color theme="4" tint="0.39997558519241921"/>
      </top>
      <bottom style="thin">
        <color theme="4"/>
      </bottom>
      <diagonal/>
    </border>
    <border>
      <left/>
      <right style="dashed">
        <color theme="0"/>
      </right>
      <top style="thick">
        <color theme="4"/>
      </top>
      <bottom/>
      <diagonal/>
    </border>
    <border>
      <left style="dashed">
        <color theme="0"/>
      </left>
      <right style="dashed">
        <color theme="0"/>
      </right>
      <top style="thick">
        <color theme="4"/>
      </top>
      <bottom/>
      <diagonal/>
    </border>
    <border>
      <left style="dashed">
        <color theme="0"/>
      </left>
      <right/>
      <top style="thick">
        <color theme="4"/>
      </top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ck">
        <color theme="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ck">
        <color theme="4"/>
      </right>
      <top/>
      <bottom style="thin">
        <color theme="0"/>
      </bottom>
      <diagonal/>
    </border>
    <border>
      <left style="thick">
        <color theme="4"/>
      </left>
      <right style="thick">
        <color theme="4"/>
      </right>
      <top/>
      <bottom style="thick">
        <color theme="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 style="thick">
        <color theme="4"/>
      </right>
      <top style="thick">
        <color theme="4"/>
      </top>
      <bottom style="thin">
        <color theme="4"/>
      </bottom>
      <diagonal/>
    </border>
    <border>
      <left style="thick">
        <color theme="4"/>
      </left>
      <right style="thick">
        <color theme="4"/>
      </right>
      <top style="thin">
        <color theme="4"/>
      </top>
      <bottom style="thin">
        <color theme="4"/>
      </bottom>
      <diagonal/>
    </border>
    <border>
      <left style="thick">
        <color theme="4"/>
      </left>
      <right style="thick">
        <color theme="4"/>
      </right>
      <top style="thin">
        <color theme="4"/>
      </top>
      <bottom style="thick">
        <color theme="4"/>
      </bottom>
      <diagonal/>
    </border>
    <border>
      <left style="thick">
        <color theme="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ck">
        <color theme="4"/>
      </right>
      <top style="thin">
        <color theme="0"/>
      </top>
      <bottom/>
      <diagonal/>
    </border>
    <border>
      <left style="thick">
        <color theme="4"/>
      </left>
      <right/>
      <top/>
      <bottom style="thin">
        <color theme="4"/>
      </bottom>
      <diagonal/>
    </border>
    <border>
      <left style="thick">
        <color theme="4"/>
      </left>
      <right/>
      <top style="thin">
        <color theme="4"/>
      </top>
      <bottom style="thin">
        <color theme="4"/>
      </bottom>
      <diagonal/>
    </border>
    <border>
      <left/>
      <right style="thick">
        <color theme="4"/>
      </right>
      <top/>
      <bottom style="thin">
        <color theme="4"/>
      </bottom>
      <diagonal/>
    </border>
    <border>
      <left/>
      <right style="thick">
        <color theme="4"/>
      </right>
      <top style="thin">
        <color theme="4"/>
      </top>
      <bottom style="thin">
        <color theme="4"/>
      </bottom>
      <diagonal/>
    </border>
    <border>
      <left style="thick">
        <color theme="4"/>
      </left>
      <right/>
      <top style="thin">
        <color theme="4"/>
      </top>
      <bottom style="thick">
        <color theme="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theme="4"/>
      </right>
      <top style="thin">
        <color theme="4"/>
      </top>
      <bottom style="thick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1">
    <xf numFmtId="0" fontId="0" fillId="0" borderId="0" xfId="0"/>
    <xf numFmtId="0" fontId="4" fillId="4" borderId="12" xfId="0" applyFont="1" applyFill="1" applyBorder="1" applyAlignment="1">
      <alignment horizontal="center" vertical="center"/>
    </xf>
    <xf numFmtId="14" fontId="0" fillId="0" borderId="0" xfId="0" applyNumberFormat="1" applyAlignment="1">
      <alignment horizontal="left"/>
    </xf>
    <xf numFmtId="166" fontId="1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4" fillId="4" borderId="13" xfId="0" applyNumberFormat="1" applyFont="1" applyFill="1" applyBorder="1" applyAlignment="1">
      <alignment horizontal="center" vertical="center"/>
    </xf>
    <xf numFmtId="0" fontId="4" fillId="4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4" fillId="4" borderId="14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24" fillId="0" borderId="9" xfId="0" applyNumberFormat="1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10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166" fontId="24" fillId="0" borderId="7" xfId="0" applyNumberFormat="1" applyFont="1" applyBorder="1" applyAlignment="1">
      <alignment horizontal="center" vertical="center" wrapText="1"/>
    </xf>
    <xf numFmtId="2" fontId="24" fillId="0" borderId="7" xfId="0" applyNumberFormat="1" applyFont="1" applyBorder="1" applyAlignment="1">
      <alignment horizontal="center" vertical="center" wrapText="1"/>
    </xf>
    <xf numFmtId="2" fontId="24" fillId="0" borderId="8" xfId="0" applyNumberFormat="1" applyFont="1" applyBorder="1" applyAlignment="1">
      <alignment horizontal="center" vertical="center" wrapText="1"/>
    </xf>
    <xf numFmtId="10" fontId="24" fillId="0" borderId="8" xfId="0" applyNumberFormat="1" applyFont="1" applyBorder="1" applyAlignment="1">
      <alignment horizontal="center" vertical="center" wrapText="1"/>
    </xf>
    <xf numFmtId="2" fontId="24" fillId="0" borderId="0" xfId="0" applyNumberFormat="1" applyFont="1" applyBorder="1" applyAlignment="1">
      <alignment horizontal="center" vertical="center" wrapText="1"/>
    </xf>
    <xf numFmtId="10" fontId="24" fillId="0" borderId="7" xfId="0" applyNumberFormat="1" applyFont="1" applyBorder="1" applyAlignment="1">
      <alignment horizontal="center" vertical="center" wrapText="1"/>
    </xf>
    <xf numFmtId="166" fontId="24" fillId="0" borderId="11" xfId="0" applyNumberFormat="1" applyFont="1" applyBorder="1" applyAlignment="1">
      <alignment horizontal="center" vertical="center" wrapText="1"/>
    </xf>
    <xf numFmtId="2" fontId="24" fillId="0" borderId="11" xfId="0" applyNumberFormat="1" applyFont="1" applyBorder="1" applyAlignment="1">
      <alignment horizontal="center" vertical="center" wrapText="1"/>
    </xf>
    <xf numFmtId="1" fontId="24" fillId="0" borderId="11" xfId="0" applyNumberFormat="1" applyFont="1" applyBorder="1" applyAlignment="1">
      <alignment horizontal="center" vertical="center" wrapText="1"/>
    </xf>
    <xf numFmtId="1" fontId="24" fillId="0" borderId="7" xfId="0" applyNumberFormat="1" applyFont="1" applyBorder="1" applyAlignment="1">
      <alignment horizontal="center" vertical="center" wrapText="1"/>
    </xf>
    <xf numFmtId="10" fontId="24" fillId="0" borderId="1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165" fontId="24" fillId="0" borderId="11" xfId="0" applyNumberFormat="1" applyFont="1" applyBorder="1" applyAlignment="1">
      <alignment horizontal="center" vertical="center" wrapText="1"/>
    </xf>
    <xf numFmtId="165" fontId="24" fillId="0" borderId="7" xfId="0" applyNumberFormat="1" applyFont="1" applyBorder="1" applyAlignment="1">
      <alignment horizontal="center" vertical="center" wrapText="1"/>
    </xf>
    <xf numFmtId="0" fontId="0" fillId="5" borderId="0" xfId="0" applyFont="1" applyFill="1"/>
    <xf numFmtId="0" fontId="0" fillId="0" borderId="0" xfId="0" applyFont="1" applyFill="1"/>
    <xf numFmtId="165" fontId="24" fillId="0" borderId="8" xfId="0" applyNumberFormat="1" applyFont="1" applyBorder="1" applyAlignment="1">
      <alignment horizontal="center" vertical="center" wrapText="1"/>
    </xf>
    <xf numFmtId="165" fontId="24" fillId="0" borderId="7" xfId="0" applyNumberFormat="1" applyFont="1" applyBorder="1" applyAlignment="1">
      <alignment horizontal="center" vertical="center"/>
    </xf>
    <xf numFmtId="1" fontId="24" fillId="0" borderId="7" xfId="0" applyNumberFormat="1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4" fillId="4" borderId="36" xfId="0" applyNumberFormat="1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10" fontId="24" fillId="0" borderId="35" xfId="0" applyNumberFormat="1" applyFont="1" applyBorder="1" applyAlignment="1">
      <alignment horizontal="center" vertical="center" wrapText="1"/>
    </xf>
    <xf numFmtId="10" fontId="24" fillId="0" borderId="38" xfId="0" applyNumberFormat="1" applyFont="1" applyBorder="1" applyAlignment="1">
      <alignment horizontal="center" vertical="center" wrapText="1"/>
    </xf>
    <xf numFmtId="10" fontId="24" fillId="0" borderId="34" xfId="0" applyNumberFormat="1" applyFont="1" applyBorder="1" applyAlignment="1">
      <alignment horizontal="center" vertical="center" wrapText="1"/>
    </xf>
    <xf numFmtId="0" fontId="18" fillId="6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17" fillId="0" borderId="0" xfId="0" applyFont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0" fillId="0" borderId="31" xfId="0" applyBorder="1" applyAlignment="1" applyProtection="1">
      <alignment horizontal="center" vertical="center" wrapText="1"/>
    </xf>
    <xf numFmtId="0" fontId="18" fillId="6" borderId="32" xfId="0" applyFont="1" applyFill="1" applyBorder="1" applyAlignment="1" applyProtection="1">
      <alignment horizontal="center" vertical="center" wrapText="1"/>
    </xf>
    <xf numFmtId="0" fontId="18" fillId="6" borderId="33" xfId="0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 wrapText="1"/>
    </xf>
    <xf numFmtId="0" fontId="11" fillId="2" borderId="25" xfId="0" applyFont="1" applyFill="1" applyBorder="1" applyAlignment="1" applyProtection="1">
      <alignment horizontal="center" vertical="center" wrapText="1"/>
    </xf>
    <xf numFmtId="0" fontId="11" fillId="2" borderId="26" xfId="0" applyFont="1" applyFill="1" applyBorder="1" applyAlignment="1" applyProtection="1">
      <alignment horizontal="center" vertical="center" wrapText="1"/>
    </xf>
    <xf numFmtId="0" fontId="11" fillId="2" borderId="27" xfId="0" applyFont="1" applyFill="1" applyBorder="1" applyAlignment="1" applyProtection="1">
      <alignment horizontal="center" vertical="center" wrapText="1"/>
    </xf>
    <xf numFmtId="164" fontId="11" fillId="4" borderId="18" xfId="0" applyNumberFormat="1" applyFont="1" applyFill="1" applyBorder="1" applyAlignment="1" applyProtection="1">
      <alignment horizontal="center" vertical="center" wrapText="1"/>
    </xf>
    <xf numFmtId="165" fontId="13" fillId="0" borderId="28" xfId="0" applyNumberFormat="1" applyFont="1" applyFill="1" applyBorder="1" applyAlignment="1" applyProtection="1">
      <alignment horizontal="center" vertical="center" wrapText="1"/>
    </xf>
    <xf numFmtId="167" fontId="13" fillId="0" borderId="29" xfId="0" applyNumberFormat="1" applyFont="1" applyFill="1" applyBorder="1" applyAlignment="1" applyProtection="1">
      <alignment horizontal="center" vertical="center" wrapText="1"/>
    </xf>
    <xf numFmtId="165" fontId="14" fillId="0" borderId="29" xfId="0" applyNumberFormat="1" applyFont="1" applyFill="1" applyBorder="1" applyAlignment="1" applyProtection="1">
      <alignment horizontal="center" vertical="center" wrapText="1"/>
    </xf>
    <xf numFmtId="167" fontId="14" fillId="0" borderId="30" xfId="0" applyNumberFormat="1" applyFont="1" applyFill="1" applyBorder="1" applyAlignment="1" applyProtection="1">
      <alignment horizontal="center" vertical="center" wrapText="1"/>
    </xf>
    <xf numFmtId="165" fontId="13" fillId="3" borderId="19" xfId="0" applyNumberFormat="1" applyFont="1" applyFill="1" applyBorder="1" applyAlignment="1" applyProtection="1">
      <alignment horizontal="center" vertical="center" wrapText="1"/>
    </xf>
    <xf numFmtId="165" fontId="14" fillId="3" borderId="20" xfId="0" applyNumberFormat="1" applyFont="1" applyFill="1" applyBorder="1" applyAlignment="1" applyProtection="1">
      <alignment horizontal="center" vertical="center" wrapText="1"/>
    </xf>
    <xf numFmtId="167" fontId="14" fillId="3" borderId="21" xfId="0" applyNumberFormat="1" applyFont="1" applyFill="1" applyBorder="1" applyAlignment="1" applyProtection="1">
      <alignment horizontal="center" vertical="center" wrapText="1"/>
    </xf>
    <xf numFmtId="165" fontId="13" fillId="0" borderId="19" xfId="0" applyNumberFormat="1" applyFont="1" applyFill="1" applyBorder="1" applyAlignment="1" applyProtection="1">
      <alignment horizontal="center" vertical="center" wrapText="1"/>
    </xf>
    <xf numFmtId="165" fontId="14" fillId="0" borderId="20" xfId="0" applyNumberFormat="1" applyFont="1" applyFill="1" applyBorder="1" applyAlignment="1" applyProtection="1">
      <alignment horizontal="center" vertical="center" wrapText="1"/>
    </xf>
    <xf numFmtId="167" fontId="14" fillId="0" borderId="21" xfId="0" applyNumberFormat="1" applyFont="1" applyFill="1" applyBorder="1" applyAlignment="1" applyProtection="1">
      <alignment horizontal="center" vertical="center" wrapText="1"/>
    </xf>
    <xf numFmtId="167" fontId="13" fillId="3" borderId="20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29" fillId="0" borderId="0" xfId="0" applyFont="1" applyAlignment="1" applyProtection="1">
      <alignment vertical="center" wrapText="1"/>
    </xf>
    <xf numFmtId="0" fontId="15" fillId="0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 wrapText="1"/>
    </xf>
    <xf numFmtId="167" fontId="13" fillId="0" borderId="20" xfId="0" applyNumberFormat="1" applyFont="1" applyFill="1" applyBorder="1" applyAlignment="1" applyProtection="1">
      <alignment horizontal="center" vertical="center" wrapText="1"/>
    </xf>
    <xf numFmtId="22" fontId="18" fillId="6" borderId="44" xfId="0" applyNumberFormat="1" applyFont="1" applyFill="1" applyBorder="1" applyAlignment="1" applyProtection="1">
      <alignment horizontal="center" vertical="center" wrapText="1"/>
      <protection locked="0"/>
    </xf>
    <xf numFmtId="22" fontId="18" fillId="6" borderId="45" xfId="0" applyNumberFormat="1" applyFont="1" applyFill="1" applyBorder="1" applyAlignment="1" applyProtection="1">
      <alignment horizontal="center" vertical="center" wrapText="1"/>
      <protection locked="0"/>
    </xf>
    <xf numFmtId="165" fontId="30" fillId="0" borderId="22" xfId="0" applyNumberFormat="1" applyFont="1" applyFill="1" applyBorder="1" applyAlignment="1" applyProtection="1">
      <alignment horizontal="center" vertical="center" wrapText="1"/>
    </xf>
    <xf numFmtId="167" fontId="30" fillId="0" borderId="23" xfId="0" applyNumberFormat="1" applyFont="1" applyFill="1" applyBorder="1" applyAlignment="1" applyProtection="1">
      <alignment horizontal="center" vertical="center" wrapText="1"/>
    </xf>
    <xf numFmtId="165" fontId="27" fillId="0" borderId="23" xfId="0" applyNumberFormat="1" applyFont="1" applyFill="1" applyBorder="1" applyAlignment="1" applyProtection="1">
      <alignment horizontal="center" vertical="center" wrapText="1"/>
    </xf>
    <xf numFmtId="167" fontId="27" fillId="0" borderId="24" xfId="0" applyNumberFormat="1" applyFont="1" applyFill="1" applyBorder="1" applyAlignment="1" applyProtection="1">
      <alignment horizontal="center" vertical="center" wrapText="1"/>
    </xf>
    <xf numFmtId="22" fontId="28" fillId="6" borderId="4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4" xfId="0" applyNumberFormat="1" applyFont="1" applyBorder="1" applyAlignment="1" applyProtection="1">
      <alignment horizontal="center" vertical="center" wrapText="1"/>
    </xf>
    <xf numFmtId="0" fontId="0" fillId="3" borderId="45" xfId="0" applyFont="1" applyFill="1" applyBorder="1" applyAlignment="1" applyProtection="1">
      <alignment horizontal="center" vertical="center" wrapText="1"/>
    </xf>
    <xf numFmtId="0" fontId="0" fillId="0" borderId="45" xfId="0" applyFont="1" applyBorder="1" applyAlignment="1" applyProtection="1">
      <alignment horizontal="center" vertical="center" wrapText="1"/>
    </xf>
    <xf numFmtId="0" fontId="31" fillId="0" borderId="46" xfId="0" applyFont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vertical="center" wrapText="1"/>
    </xf>
    <xf numFmtId="164" fontId="11" fillId="4" borderId="47" xfId="0" applyNumberFormat="1" applyFont="1" applyFill="1" applyBorder="1" applyAlignment="1" applyProtection="1">
      <alignment horizontal="center" vertical="center" wrapText="1"/>
    </xf>
    <xf numFmtId="164" fontId="11" fillId="4" borderId="48" xfId="0" applyNumberFormat="1" applyFont="1" applyFill="1" applyBorder="1" applyAlignment="1" applyProtection="1">
      <alignment horizontal="center" vertical="center" wrapText="1"/>
    </xf>
    <xf numFmtId="164" fontId="11" fillId="4" borderId="49" xfId="0" applyNumberFormat="1" applyFont="1" applyFill="1" applyBorder="1" applyAlignment="1" applyProtection="1">
      <alignment horizontal="center" vertical="center" wrapText="1"/>
    </xf>
    <xf numFmtId="22" fontId="1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164" fontId="11" fillId="4" borderId="15" xfId="0" applyNumberFormat="1" applyFont="1" applyFill="1" applyBorder="1" applyAlignment="1" applyProtection="1">
      <alignment horizontal="center" vertical="center" wrapText="1"/>
    </xf>
    <xf numFmtId="164" fontId="11" fillId="4" borderId="16" xfId="0" applyNumberFormat="1" applyFont="1" applyFill="1" applyBorder="1" applyAlignment="1" applyProtection="1">
      <alignment horizontal="center" vertical="center" wrapText="1"/>
    </xf>
    <xf numFmtId="164" fontId="11" fillId="4" borderId="17" xfId="0" applyNumberFormat="1" applyFont="1" applyFill="1" applyBorder="1" applyAlignment="1" applyProtection="1">
      <alignment horizontal="center" vertical="center" wrapText="1"/>
    </xf>
    <xf numFmtId="0" fontId="16" fillId="4" borderId="39" xfId="0" applyFont="1" applyFill="1" applyBorder="1" applyAlignment="1" applyProtection="1">
      <alignment horizontal="center" vertical="center" wrapText="1"/>
    </xf>
    <xf numFmtId="0" fontId="16" fillId="4" borderId="37" xfId="0" applyFont="1" applyFill="1" applyBorder="1" applyAlignment="1" applyProtection="1">
      <alignment horizontal="center" vertical="center" wrapText="1"/>
    </xf>
    <xf numFmtId="0" fontId="16" fillId="4" borderId="40" xfId="0" applyFont="1" applyFill="1" applyBorder="1" applyAlignment="1" applyProtection="1">
      <alignment horizontal="center" vertical="center" wrapText="1"/>
    </xf>
    <xf numFmtId="0" fontId="16" fillId="4" borderId="41" xfId="0" applyFont="1" applyFill="1" applyBorder="1" applyAlignment="1" applyProtection="1">
      <alignment horizontal="center" vertical="center" wrapText="1"/>
    </xf>
    <xf numFmtId="0" fontId="16" fillId="4" borderId="43" xfId="0" applyFont="1" applyFill="1" applyBorder="1" applyAlignment="1" applyProtection="1">
      <alignment horizontal="center" vertical="center" wrapText="1"/>
    </xf>
    <xf numFmtId="0" fontId="16" fillId="4" borderId="42" xfId="0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NumberFormat="1" applyFill="1" applyAlignment="1" applyProtection="1">
      <alignment horizontal="center" vertical="center" wrapText="1"/>
    </xf>
    <xf numFmtId="22" fontId="0" fillId="0" borderId="0" xfId="0" applyNumberFormat="1" applyFill="1" applyAlignment="1" applyProtection="1">
      <alignment horizontal="center" vertical="center" wrapText="1"/>
    </xf>
    <xf numFmtId="168" fontId="0" fillId="0" borderId="0" xfId="0" applyNumberForma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2" fontId="0" fillId="0" borderId="0" xfId="0" applyNumberFormat="1" applyFill="1" applyAlignment="1" applyProtection="1">
      <alignment horizontal="center" vertical="center" wrapText="1"/>
    </xf>
    <xf numFmtId="167" fontId="0" fillId="0" borderId="0" xfId="0" applyNumberForma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0" fontId="14" fillId="0" borderId="50" xfId="0" applyNumberFormat="1" applyFont="1" applyBorder="1" applyAlignment="1" applyProtection="1">
      <alignment horizontal="center" vertical="center" wrapText="1"/>
    </xf>
    <xf numFmtId="10" fontId="14" fillId="3" borderId="51" xfId="0" applyNumberFormat="1" applyFont="1" applyFill="1" applyBorder="1" applyAlignment="1" applyProtection="1">
      <alignment horizontal="center" vertical="center" wrapText="1"/>
    </xf>
    <xf numFmtId="10" fontId="14" fillId="0" borderId="51" xfId="0" applyNumberFormat="1" applyFont="1" applyBorder="1" applyAlignment="1" applyProtection="1">
      <alignment horizontal="center" vertical="center" wrapText="1"/>
    </xf>
    <xf numFmtId="10" fontId="14" fillId="0" borderId="52" xfId="0" applyNumberFormat="1" applyFont="1" applyBorder="1" applyAlignment="1" applyProtection="1">
      <alignment horizontal="center" vertical="center" wrapText="1"/>
    </xf>
    <xf numFmtId="10" fontId="14" fillId="3" borderId="53" xfId="0" applyNumberFormat="1" applyFont="1" applyFill="1" applyBorder="1" applyAlignment="1" applyProtection="1">
      <alignment horizontal="center" vertical="center" wrapText="1"/>
    </xf>
    <xf numFmtId="10" fontId="14" fillId="0" borderId="53" xfId="0" applyNumberFormat="1" applyFont="1" applyBorder="1" applyAlignment="1" applyProtection="1">
      <alignment horizontal="center" vertical="center" wrapText="1"/>
    </xf>
    <xf numFmtId="10" fontId="27" fillId="0" borderId="54" xfId="0" applyNumberFormat="1" applyFont="1" applyFill="1" applyBorder="1" applyAlignment="1" applyProtection="1">
      <alignment horizontal="center" vertical="center" wrapText="1"/>
    </xf>
    <xf numFmtId="164" fontId="14" fillId="0" borderId="55" xfId="0" applyNumberFormat="1" applyFont="1" applyBorder="1" applyAlignment="1" applyProtection="1">
      <alignment horizontal="center" vertical="center" wrapText="1"/>
    </xf>
    <xf numFmtId="164" fontId="13" fillId="0" borderId="56" xfId="0" applyNumberFormat="1" applyFont="1" applyFill="1" applyBorder="1" applyAlignment="1" applyProtection="1">
      <alignment horizontal="center" vertical="center" wrapText="1"/>
    </xf>
    <xf numFmtId="164" fontId="14" fillId="3" borderId="57" xfId="0" applyNumberFormat="1" applyFont="1" applyFill="1" applyBorder="1" applyAlignment="1" applyProtection="1">
      <alignment horizontal="center" vertical="center" wrapText="1"/>
    </xf>
    <xf numFmtId="164" fontId="13" fillId="3" borderId="58" xfId="0" applyNumberFormat="1" applyFont="1" applyFill="1" applyBorder="1" applyAlignment="1" applyProtection="1">
      <alignment horizontal="center" vertical="center" wrapText="1"/>
    </xf>
    <xf numFmtId="164" fontId="14" fillId="0" borderId="57" xfId="0" applyNumberFormat="1" applyFont="1" applyBorder="1" applyAlignment="1" applyProtection="1">
      <alignment horizontal="center" vertical="center" wrapText="1"/>
    </xf>
    <xf numFmtId="164" fontId="13" fillId="0" borderId="58" xfId="0" applyNumberFormat="1" applyFont="1" applyFill="1" applyBorder="1" applyAlignment="1" applyProtection="1">
      <alignment horizontal="center" vertical="center" wrapText="1"/>
    </xf>
    <xf numFmtId="164" fontId="27" fillId="0" borderId="59" xfId="0" applyNumberFormat="1" applyFont="1" applyFill="1" applyBorder="1" applyAlignment="1" applyProtection="1">
      <alignment horizontal="center" vertical="center" wrapText="1"/>
    </xf>
    <xf numFmtId="164" fontId="30" fillId="0" borderId="60" xfId="0" applyNumberFormat="1" applyFont="1" applyFill="1" applyBorder="1" applyAlignment="1" applyProtection="1">
      <alignment horizontal="center" vertical="center" wrapText="1"/>
    </xf>
    <xf numFmtId="10" fontId="27" fillId="0" borderId="61" xfId="0" applyNumberFormat="1" applyFont="1" applyFill="1" applyBorder="1" applyAlignment="1" applyProtection="1">
      <alignment horizontal="center" vertical="center" wrapText="1"/>
    </xf>
    <xf numFmtId="164" fontId="13" fillId="0" borderId="55" xfId="0" applyNumberFormat="1" applyFont="1" applyFill="1" applyBorder="1" applyAlignment="1" applyProtection="1">
      <alignment horizontal="center" vertical="center" wrapText="1"/>
    </xf>
    <xf numFmtId="164" fontId="14" fillId="0" borderId="56" xfId="0" applyNumberFormat="1" applyFont="1" applyBorder="1" applyAlignment="1" applyProtection="1">
      <alignment horizontal="center" vertical="center" wrapText="1"/>
    </xf>
    <xf numFmtId="164" fontId="13" fillId="3" borderId="57" xfId="0" applyNumberFormat="1" applyFont="1" applyFill="1" applyBorder="1" applyAlignment="1" applyProtection="1">
      <alignment horizontal="center" vertical="center" wrapText="1"/>
    </xf>
    <xf numFmtId="164" fontId="14" fillId="3" borderId="58" xfId="0" applyNumberFormat="1" applyFont="1" applyFill="1" applyBorder="1" applyAlignment="1" applyProtection="1">
      <alignment horizontal="center" vertical="center" wrapText="1"/>
    </xf>
    <xf numFmtId="164" fontId="14" fillId="0" borderId="58" xfId="0" applyNumberFormat="1" applyFont="1" applyBorder="1" applyAlignment="1" applyProtection="1">
      <alignment horizontal="center" vertical="center" wrapText="1"/>
    </xf>
    <xf numFmtId="164" fontId="30" fillId="0" borderId="59" xfId="0" applyNumberFormat="1" applyFont="1" applyFill="1" applyBorder="1" applyAlignment="1" applyProtection="1">
      <alignment horizontal="center" vertical="center" wrapText="1"/>
    </xf>
    <xf numFmtId="164" fontId="27" fillId="0" borderId="60" xfId="0" applyNumberFormat="1" applyFont="1" applyFill="1" applyBorder="1" applyAlignment="1" applyProtection="1">
      <alignment horizontal="center" vertical="center" wrapText="1"/>
    </xf>
  </cellXfs>
  <cellStyles count="45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</cellStyles>
  <dxfs count="96">
    <dxf>
      <fill>
        <patternFill>
          <bgColor rgb="FF92D05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left" vertical="center" textRotation="0" wrapText="1" indent="0" justifyLastLine="0" shrinkToFit="0" readingOrder="0"/>
      <protection locked="1" hidden="0"/>
    </dxf>
    <dxf>
      <border diagonalUp="0" diagonalDown="0">
        <left style="thick">
          <color theme="4"/>
        </left>
        <right style="thick">
          <color theme="4"/>
        </right>
        <top style="thick">
          <color theme="4"/>
        </top>
        <bottom style="thick">
          <color theme="4"/>
        </bottom>
      </border>
    </dxf>
    <dxf>
      <protection locked="1" hidden="0"/>
    </dxf>
    <dxf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h:mm;@"/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h:mm;@"/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h:mm;@"/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alignment horizontal="left" vertical="center" textRotation="0" wrapText="1" indent="0" justifyLastLine="0" shrinkToFit="0" readingOrder="0"/>
    </dxf>
    <dxf>
      <numFmt numFmtId="19" formatCode="dd/mm/yyyy"/>
      <alignment horizontal="left" vertical="bottom" textRotation="0" wrapText="0" indent="0" justifyLastLine="0" shrinkToFit="0" readingOrder="0"/>
    </dxf>
    <dxf>
      <numFmt numFmtId="19" formatCode="dd/mm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h:mm;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h:mm;@"/>
      <alignment horizontal="center" vertical="center" textRotation="0" wrapText="1" indent="0" justifyLastLine="0" shrinkToFit="0" readingOrder="0"/>
      <border outline="0">
        <left style="thin">
          <color theme="4" tint="-0.24994659260841701"/>
        </left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0.0"/>
      <alignment horizontal="center" vertical="center" textRotation="0" wrapText="0" indent="0" justifyLastLine="0" shrinkToFit="0" readingOrder="0"/>
      <border>
        <left style="thin">
          <color theme="4" tint="-0.24994659260841701"/>
        </left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0.0"/>
      <alignment horizontal="center" vertical="center" textRotation="0" wrapText="0" indent="0" justifyLastLine="0" shrinkToFit="0" readingOrder="0"/>
      <border outline="0">
        <right style="thin">
          <color theme="4" tint="-0.24994659260841701"/>
        </right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outline="0">
        <right style="thin">
          <color theme="4" tint="-0.24994659260841701"/>
        </right>
      </border>
    </dxf>
    <dxf>
      <border outline="0">
        <left style="thin">
          <color theme="4" tint="-0.24994659260841701"/>
        </lef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h:mm;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h:mm;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h:mm;@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border outline="0">
        <left style="thin">
          <color theme="4" tint="-0.24994659260841701"/>
        </lef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h:mm;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h:mm;@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border outline="0">
        <left style="thin">
          <color theme="4" tint="-0.24994659260841701"/>
        </lef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h:mm;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h:mm;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h:mm;@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border outline="0">
        <left style="thin">
          <color theme="4" tint="-0.24994659260841701"/>
        </lef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h:mm;@"/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h:mm;@"/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border outline="0">
        <left style="thin">
          <color theme="4" tint="-0.24994659260841701"/>
        </left>
        <top style="thin">
          <color theme="4" tint="-0.24994659260841701"/>
        </top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h:mm;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h:mm;@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border diagonalUp="0" diagonalDown="0">
        <left style="thick">
          <color theme="4"/>
        </left>
        <right style="thick">
          <color theme="4"/>
        </right>
        <top style="thick">
          <color theme="4"/>
        </top>
        <bottom style="thick">
          <color theme="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6" name="Верстка_по_образцу_ст_стр" displayName="Верстка_по_образцу_ст_стр" ref="A5:J16" totalsRowShown="0" headerRowDxfId="95" dataDxfId="94" tableBorderDxfId="93">
  <autoFilter ref="A5:J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Объем" dataDxfId="92">
      <calculatedColumnFormula>B6+1&amp;" - "&amp;C6-1</calculatedColumnFormula>
    </tableColumn>
    <tableColumn id="2" name="Больше" dataDxfId="91"/>
    <tableColumn id="3" name="Меньше" dataDxfId="90"/>
    <tableColumn id="4" name="В часах (стандартно)" dataDxfId="89"/>
    <tableColumn id="5" name="В р. днях (стандартно)" dataDxfId="88">
      <calculatedColumnFormula>IFERROR(D6*24/9,"исходя из "&amp;Верстка_по_образцу_ст_стр[[#This Row],[Объем в р. день (стандартно)]]&amp;" стр./р.день")</calculatedColumnFormula>
    </tableColumn>
    <tableColumn id="7" name="Объем в р. день (стандартно)" dataDxfId="87"/>
    <tableColumn id="8" name="В часах (ускоренно)" dataDxfId="86"/>
    <tableColumn id="9" name="В р. днях (ускоренно)" dataDxfId="85">
      <calculatedColumnFormula>IFERROR(G6*24/9,"по запросу")</calculatedColumnFormula>
    </tableColumn>
    <tableColumn id="10" name="Объем в р. день (ускоренно)" dataDxfId="84"/>
    <tableColumn id="11" name="Надбавка" dataDxfId="8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0" name="Верстка_по_образцу_сл_стр" displayName="Верстка_по_образцу_сл_стр" ref="A25:J36" totalsRowShown="0" headerRowDxfId="82" dataDxfId="81" tableBorderDxfId="80">
  <autoFilter ref="A25:J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Объем" dataDxfId="79">
      <calculatedColumnFormula>ROUNDDOWN(B26+1,0)&amp;" - "&amp;ROUNDUP(C26-1,0)</calculatedColumnFormula>
    </tableColumn>
    <tableColumn id="2" name="Больше" dataDxfId="78"/>
    <tableColumn id="3" name="Меньше" dataDxfId="77"/>
    <tableColumn id="4" name="В часах (стандартно)" dataDxfId="76"/>
    <tableColumn id="5" name="В р. днях (стандартно)" dataDxfId="75">
      <calculatedColumnFormula>IFERROR(D26*24/9,"исходя из "&amp;Верстка_по_образцу_сл_стр[[#This Row],[Объем в р. день (стандартно)]]&amp;" стр./р.день")</calculatedColumnFormula>
    </tableColumn>
    <tableColumn id="7" name="Объем в р. день (стандартно)" dataDxfId="74"/>
    <tableColumn id="8" name="В часах (ускоренно)" dataDxfId="73"/>
    <tableColumn id="9" name="В р. днях (ускоренно)" dataDxfId="72">
      <calculatedColumnFormula>IFERROR(G26*24/9,"по запросу")</calculatedColumnFormula>
    </tableColumn>
    <tableColumn id="10" name="Объем в р. день (ускоренно)" dataDxfId="71"/>
    <tableColumn id="11" name="Надбавка" dataDxfId="7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Обработка_станд" displayName="Обработка_станд" ref="A44:J55" totalsRowShown="0" headerRowDxfId="69" dataDxfId="68" tableBorderDxfId="67">
  <autoFilter ref="A44:J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Объем" dataDxfId="66">
      <calculatedColumnFormula>B45+1&amp;" - "&amp;C45-1</calculatedColumnFormula>
    </tableColumn>
    <tableColumn id="2" name="Больше" dataDxfId="65"/>
    <tableColumn id="3" name="Меньше" dataDxfId="64">
      <calculatedColumnFormula>C6/#REF!</calculatedColumnFormula>
    </tableColumn>
    <tableColumn id="4" name="В часах (стандартно)" dataDxfId="63"/>
    <tableColumn id="5" name="В р. днях (стандартно)" dataDxfId="62">
      <calculatedColumnFormula>IFERROR(D45*24/9,"исходя из "&amp;Обработка_станд[[#This Row],[Объем в р. день (стандартно)]]&amp;" илл./р.день")</calculatedColumnFormula>
    </tableColumn>
    <tableColumn id="7" name="Объем в р. день (стандартно)" dataDxfId="61"/>
    <tableColumn id="8" name="В часах (ускоренно)" dataDxfId="60"/>
    <tableColumn id="9" name="В р. днях (ускоренно)" dataDxfId="59"/>
    <tableColumn id="10" name="Объем в р. день (ускоренно)" dataDxfId="58"/>
    <tableColumn id="11" name="Надбавка" dataDxfId="5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Обработка_сложн" displayName="Обработка_сложн" ref="A64:J75" totalsRowShown="0" headerRowDxfId="56" dataDxfId="55" tableBorderDxfId="54">
  <autoFilter ref="A64:J7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Объем" dataDxfId="53">
      <calculatedColumnFormula>ROUNDDOWN(B65+1,0)&amp;" - "&amp;ROUNDUP(C65-1,0)</calculatedColumnFormula>
    </tableColumn>
    <tableColumn id="2" name="Больше" dataDxfId="52"/>
    <tableColumn id="3" name="Меньше" dataDxfId="51"/>
    <tableColumn id="4" name="В часах (стандартно)" dataDxfId="50">
      <calculatedColumnFormula>D45</calculatedColumnFormula>
    </tableColumn>
    <tableColumn id="5" name="В р. днях (стандартно)" dataDxfId="49">
      <calculatedColumnFormula>IFERROR(D65*24/9,"из расчета "&amp;Обработка_сложн[[#This Row],[Объем в р. день (стандартно)]]&amp;" стр./р.день")</calculatedColumnFormula>
    </tableColumn>
    <tableColumn id="7" name="Объем в р. день (стандартно)" dataDxfId="48">
      <calculatedColumnFormula>F45</calculatedColumnFormula>
    </tableColumn>
    <tableColumn id="8" name="В часах (ускоренно)" dataDxfId="47">
      <calculatedColumnFormula>G45</calculatedColumnFormula>
    </tableColumn>
    <tableColumn id="9" name="В р. днях (ускоренно)" dataDxfId="46">
      <calculatedColumnFormula>IFERROR(G65*24/9,"по запросу")</calculatedColumnFormula>
    </tableColumn>
    <tableColumn id="10" name="Объем в р. день (ускоренно)" dataDxfId="45"/>
    <tableColumn id="11" name="Надбавка" dataDxfId="44">
      <calculatedColumnFormula>J45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1" name="Вставка_станд" displayName="Вставка_станд" ref="A83:J94" totalsRowShown="0" headerRowDxfId="43" dataDxfId="42" tableBorderDxfId="41">
  <autoFilter ref="A83:J9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Объем" dataDxfId="40">
      <calculatedColumnFormula>B84+1&amp;" - "&amp;C84-1</calculatedColumnFormula>
    </tableColumn>
    <tableColumn id="2" name="Больше" dataDxfId="39"/>
    <tableColumn id="3" name="Меньше" dataDxfId="38">
      <calculatedColumnFormula>C44/#REF!</calculatedColumnFormula>
    </tableColumn>
    <tableColumn id="4" name="В часах (стандартно)" dataDxfId="37"/>
    <tableColumn id="5" name="В р. днях (стандартно)" dataDxfId="36">
      <calculatedColumnFormula>IFERROR(D84*24/9,"исходя из "&amp;Вставка_станд[[#This Row],[Объем в р. день (стандартно)]]&amp;" илл./р.день")</calculatedColumnFormula>
    </tableColumn>
    <tableColumn id="7" name="Объем в р. день (стандартно)" dataDxfId="35"/>
    <tableColumn id="8" name="В часах (ускоренно)" dataDxfId="34"/>
    <tableColumn id="9" name="В р. днях (ускоренно)" dataDxfId="33"/>
    <tableColumn id="10" name="Объем в р. день (ускоренно)" dataDxfId="32"/>
    <tableColumn id="11" name="Надбавка" dataDxfId="3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2" name="Вставка_сложн" displayName="Вставка_сложн" ref="A103:J114" totalsRowShown="0" headerRowDxfId="30" dataDxfId="29" tableBorderDxfId="28">
  <autoFilter ref="A103:J1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Объем" dataDxfId="27">
      <calculatedColumnFormula>ROUNDDOWN(B104+1,0)&amp;" - "&amp;ROUNDUP(C104-1,0)</calculatedColumnFormula>
    </tableColumn>
    <tableColumn id="2" name="Больше" dataDxfId="26">
      <calculatedColumnFormula>B84/D97</calculatedColumnFormula>
    </tableColumn>
    <tableColumn id="3" name="Меньше" dataDxfId="25">
      <calculatedColumnFormula>C84/D96</calculatedColumnFormula>
    </tableColumn>
    <tableColumn id="4" name="В часах (стандартно)" dataDxfId="24">
      <calculatedColumnFormula>D84</calculatedColumnFormula>
    </tableColumn>
    <tableColumn id="5" name="В р. днях (стандартно)" dataDxfId="23">
      <calculatedColumnFormula>IFERROR(D104*24/9,"из расчета "&amp;Вставка_сложн[[#This Row],[Объем в р. день (стандартно)]]&amp;" стр./р.день")</calculatedColumnFormula>
    </tableColumn>
    <tableColumn id="7" name="Объем в р. день (стандартно)" dataDxfId="22">
      <calculatedColumnFormula>F84</calculatedColumnFormula>
    </tableColumn>
    <tableColumn id="8" name="В часах (ускоренно)" dataDxfId="21">
      <calculatedColumnFormula>G84</calculatedColumnFormula>
    </tableColumn>
    <tableColumn id="9" name="В р. днях (ускоренно)" dataDxfId="20">
      <calculatedColumnFormula>IFERROR(G104*24/9,"по запросу")</calculatedColumnFormula>
    </tableColumn>
    <tableColumn id="10" name="Объем в р. день (ускоренно)" dataDxfId="19"/>
    <tableColumn id="11" name="Надбавка" dataDxfId="18">
      <calculatedColumnFormula>J84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Праздничные_дни" displayName="Праздничные_дни" ref="A11:A29" totalsRowShown="0" dataDxfId="17">
  <autoFilter ref="A11:A29"/>
  <tableColumns count="1">
    <tableColumn id="1" name="Праздничные дни" dataDxfId="1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Начало_рабочего_дня" displayName="Начало_рабочего_дня" ref="A1:A2" totalsRowShown="0" headerRowDxfId="15" dataDxfId="14">
  <autoFilter ref="A1:A2">
    <filterColumn colId="0" hiddenButton="1"/>
  </autoFilter>
  <tableColumns count="1">
    <tableColumn id="1" name="Начало рабочего дня" dataDxfId="1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Продолжительность_рабочего_дня" displayName="Продолжительность_рабочего_дня" ref="A4:A5" totalsRowShown="0" headerRowDxfId="12" dataDxfId="11">
  <autoFilter ref="A4:A5">
    <filterColumn colId="0" hiddenButton="1"/>
  </autoFilter>
  <tableColumns count="1">
    <tableColumn id="1" name="Продолжительность рабочего дня" dataDxfId="10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" name="Окончание_рабочего_дня" displayName="Окончание_рабочего_дня" ref="A7:A8" totalsRowShown="0" headerRowDxfId="9" dataDxfId="8">
  <autoFilter ref="A7:A8">
    <filterColumn colId="0" hiddenButton="1"/>
  </autoFilter>
  <tableColumns count="1">
    <tableColumn id="1" name="Окончание рабочего дня" dataDxfId="7">
      <calculatedColumnFormula>Начало_рабочего_дня[Начало рабочего дня]+Продолжительность_рабочего_дня[Продолжительность рабочего дня]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3" name="Расчет_сроков" displayName="Расчет_сроков" ref="F4:H7" totalsRowShown="0" headerRowDxfId="6" dataDxfId="5" tableBorderDxfId="4">
  <tableColumns count="3">
    <tableColumn id="1" name="Вид работ" dataDxfId="3"/>
    <tableColumn id="2" name="Стандартных единиц" dataDxfId="2"/>
    <tableColumn id="5" name="Сложных единиц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table" Target="../tables/table7.xml"/><Relationship Id="rId4" Type="http://schemas.openxmlformats.org/officeDocument/2006/relationships/table" Target="../tables/table10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14"/>
  <sheetViews>
    <sheetView workbookViewId="0">
      <selection activeCell="D117" sqref="D117"/>
    </sheetView>
  </sheetViews>
  <sheetFormatPr defaultColWidth="11.42578125" defaultRowHeight="15" x14ac:dyDescent="0.25"/>
  <cols>
    <col min="1" max="1" width="11.42578125" style="15" customWidth="1"/>
    <col min="2" max="2" width="8.5703125" style="15" customWidth="1"/>
    <col min="3" max="3" width="12.5703125" style="15" customWidth="1"/>
    <col min="4" max="4" width="21.5703125" style="15" customWidth="1"/>
    <col min="5" max="5" width="25.7109375" style="15" customWidth="1"/>
    <col min="6" max="6" width="28.5703125" style="15" customWidth="1"/>
    <col min="7" max="7" width="22.7109375" style="15" customWidth="1"/>
    <col min="8" max="8" width="22" style="15" customWidth="1"/>
    <col min="9" max="9" width="28" style="15" customWidth="1"/>
    <col min="10" max="10" width="14.85546875" style="15" customWidth="1"/>
    <col min="11" max="16384" width="11.42578125" style="15"/>
  </cols>
  <sheetData>
    <row r="3" spans="1:11" ht="60.75" customHeight="1" thickBot="1" x14ac:dyDescent="0.3">
      <c r="A3" s="96" t="s">
        <v>32</v>
      </c>
      <c r="B3" s="96"/>
      <c r="C3" s="96"/>
      <c r="D3" s="96"/>
      <c r="E3" s="96"/>
      <c r="F3" s="96"/>
      <c r="G3" s="96"/>
      <c r="H3" s="96"/>
      <c r="I3" s="96"/>
      <c r="J3" s="96"/>
      <c r="K3" s="16"/>
    </row>
    <row r="4" spans="1:11" ht="38.25" customHeight="1" thickTop="1" x14ac:dyDescent="0.25">
      <c r="A4" s="7"/>
      <c r="B4" s="7"/>
      <c r="C4" s="7"/>
      <c r="D4" s="97" t="s">
        <v>36</v>
      </c>
      <c r="E4" s="98"/>
      <c r="F4" s="99"/>
      <c r="G4" s="97" t="s">
        <v>37</v>
      </c>
      <c r="H4" s="98"/>
      <c r="I4" s="98"/>
      <c r="J4" s="99"/>
      <c r="K4" s="16"/>
    </row>
    <row r="5" spans="1:11" x14ac:dyDescent="0.25">
      <c r="A5" s="38" t="s">
        <v>0</v>
      </c>
      <c r="B5" s="39" t="s">
        <v>5</v>
      </c>
      <c r="C5" s="39" t="s">
        <v>6</v>
      </c>
      <c r="D5" s="8" t="s">
        <v>12</v>
      </c>
      <c r="E5" s="8" t="s">
        <v>13</v>
      </c>
      <c r="F5" s="6" t="s">
        <v>14</v>
      </c>
      <c r="G5" s="8" t="s">
        <v>15</v>
      </c>
      <c r="H5" s="6" t="s">
        <v>16</v>
      </c>
      <c r="I5" s="6" t="s">
        <v>17</v>
      </c>
      <c r="J5" s="6" t="s">
        <v>18</v>
      </c>
      <c r="K5" s="10"/>
    </row>
    <row r="6" spans="1:11" x14ac:dyDescent="0.25">
      <c r="A6" s="11" t="str">
        <f>B6+1&amp;" - "&amp;C6-1</f>
        <v>1 - 2</v>
      </c>
      <c r="B6" s="12">
        <v>0</v>
      </c>
      <c r="C6" s="12">
        <v>3</v>
      </c>
      <c r="D6" s="17">
        <v>0.16666666666666666</v>
      </c>
      <c r="E6" s="18">
        <f>IFERROR(D6*24/9,"исходя из "&amp;Верстка_по_образцу_ст_стр[[#This Row],[Объем в р. день (стандартно)]]&amp;" стр./р.день")</f>
        <v>0.44444444444444442</v>
      </c>
      <c r="F6" s="19" t="s">
        <v>11</v>
      </c>
      <c r="G6" s="17">
        <v>8.3333333333333329E-2</v>
      </c>
      <c r="H6" s="19">
        <f t="shared" ref="H6:H10" si="0">IFERROR(G6*24/9,"по запросу")</f>
        <v>0.22222222222222221</v>
      </c>
      <c r="I6" s="19" t="s">
        <v>11</v>
      </c>
      <c r="J6" s="40">
        <v>1</v>
      </c>
      <c r="K6" s="21"/>
    </row>
    <row r="7" spans="1:11" x14ac:dyDescent="0.25">
      <c r="A7" s="11" t="str">
        <f t="shared" ref="A7:A9" si="1">B7+1&amp;" - "&amp;C7-1</f>
        <v>3 - 4</v>
      </c>
      <c r="B7" s="12">
        <v>2</v>
      </c>
      <c r="C7" s="12">
        <v>5</v>
      </c>
      <c r="D7" s="17">
        <v>0.25</v>
      </c>
      <c r="E7" s="18">
        <f>IFERROR(D7*24/9,"исходя из "&amp;Верстка_по_образцу_ст_стр[[#This Row],[Объем в р. день (стандартно)]]&amp;" стр./р.день")</f>
        <v>0.66666666666666663</v>
      </c>
      <c r="F7" s="18" t="s">
        <v>11</v>
      </c>
      <c r="G7" s="17">
        <v>0.125</v>
      </c>
      <c r="H7" s="18">
        <f t="shared" si="0"/>
        <v>0.33333333333333331</v>
      </c>
      <c r="I7" s="18" t="s">
        <v>11</v>
      </c>
      <c r="J7" s="41">
        <v>1</v>
      </c>
      <c r="K7" s="21"/>
    </row>
    <row r="8" spans="1:11" x14ac:dyDescent="0.25">
      <c r="A8" s="11" t="str">
        <f t="shared" si="1"/>
        <v>5 - 9</v>
      </c>
      <c r="B8" s="12">
        <v>4</v>
      </c>
      <c r="C8" s="12">
        <v>10</v>
      </c>
      <c r="D8" s="17">
        <v>0.33333333333333331</v>
      </c>
      <c r="E8" s="18">
        <f>IFERROR(D8*24/9,"исходя из "&amp;Верстка_по_образцу_ст_стр[[#This Row],[Объем в р. день (стандартно)]]&amp;" стр./р.день")</f>
        <v>0.88888888888888884</v>
      </c>
      <c r="F8" s="18" t="s">
        <v>11</v>
      </c>
      <c r="G8" s="17">
        <v>0.25</v>
      </c>
      <c r="H8" s="18">
        <f t="shared" si="0"/>
        <v>0.66666666666666663</v>
      </c>
      <c r="I8" s="18" t="s">
        <v>11</v>
      </c>
      <c r="J8" s="41">
        <v>0.75</v>
      </c>
      <c r="K8" s="21"/>
    </row>
    <row r="9" spans="1:11" x14ac:dyDescent="0.25">
      <c r="A9" s="13" t="str">
        <f t="shared" si="1"/>
        <v>10 - 15</v>
      </c>
      <c r="B9" s="14">
        <v>9</v>
      </c>
      <c r="C9" s="14">
        <v>16</v>
      </c>
      <c r="D9" s="23">
        <v>0.375</v>
      </c>
      <c r="E9" s="24">
        <f>IFERROR(D9*24/9,"исходя из "&amp;Верстка_по_образцу_ст_стр[[#This Row],[Объем в р. день (стандартно)]]&amp;" стр./р.день")</f>
        <v>1</v>
      </c>
      <c r="F9" s="18" t="s">
        <v>11</v>
      </c>
      <c r="G9" s="17" t="s">
        <v>10</v>
      </c>
      <c r="H9" s="18" t="str">
        <f t="shared" si="0"/>
        <v>по запросу</v>
      </c>
      <c r="I9" s="18" t="s">
        <v>11</v>
      </c>
      <c r="J9" s="41" t="s">
        <v>10</v>
      </c>
      <c r="K9" s="21"/>
    </row>
    <row r="10" spans="1:11" x14ac:dyDescent="0.25">
      <c r="A10" s="11" t="str">
        <f t="shared" ref="A10:A16" si="2">B10+1&amp;" - "&amp;C10-1</f>
        <v>16 - 21</v>
      </c>
      <c r="B10" s="12">
        <v>15</v>
      </c>
      <c r="C10" s="12">
        <v>22</v>
      </c>
      <c r="D10" s="17" t="str">
        <f>"исходя из 1 р. день = 9ч."</f>
        <v>исходя из 1 р. день = 9ч.</v>
      </c>
      <c r="E10" s="24" t="str">
        <f>IFERROR(D10*24/9,"исходя из "&amp;Верстка_по_образцу_ст_стр[[#This Row],[Объем в р. день (стандартно)]]&amp;" стр./р.день")</f>
        <v>исходя из 16 стр./р.день</v>
      </c>
      <c r="F10" s="25">
        <v>16</v>
      </c>
      <c r="G10" s="24" t="s">
        <v>10</v>
      </c>
      <c r="H10" s="24" t="str">
        <f t="shared" si="0"/>
        <v>по запросу</v>
      </c>
      <c r="I10" s="24" t="s">
        <v>11</v>
      </c>
      <c r="J10" s="41" t="s">
        <v>10</v>
      </c>
      <c r="K10" s="16"/>
    </row>
    <row r="11" spans="1:11" x14ac:dyDescent="0.25">
      <c r="A11" s="11" t="str">
        <f t="shared" si="2"/>
        <v>22 - 50</v>
      </c>
      <c r="B11" s="12">
        <v>21</v>
      </c>
      <c r="C11" s="12">
        <v>51</v>
      </c>
      <c r="D11" s="17" t="str">
        <f t="shared" ref="D11:D16" si="3">"исходя из 1 р. день = 9ч."</f>
        <v>исходя из 1 р. день = 9ч.</v>
      </c>
      <c r="E11" s="18" t="str">
        <f>IFERROR(D11*24/9,"исходя из "&amp;Верстка_по_образцу_ст_стр[[#This Row],[Объем в р. день (стандартно)]]&amp;" стр./р.день")</f>
        <v>исходя из 16 стр./р.день</v>
      </c>
      <c r="F11" s="26">
        <v>16</v>
      </c>
      <c r="G11" s="17" t="str">
        <f>"исходя из 1 р. день = 9ч."</f>
        <v>исходя из 1 р. день = 9ч.</v>
      </c>
      <c r="H11" s="17" t="str">
        <f>"исходя из "&amp;Верстка_по_образцу_ст_стр[[#This Row],[Объем в р. день (ускоренно)]]&amp;" стр./р.день"</f>
        <v>исходя из 22 стр./р.день</v>
      </c>
      <c r="I11" s="26">
        <v>22</v>
      </c>
      <c r="J11" s="41">
        <v>0.25</v>
      </c>
      <c r="K11" s="16"/>
    </row>
    <row r="12" spans="1:11" x14ac:dyDescent="0.25">
      <c r="A12" s="11" t="str">
        <f t="shared" si="2"/>
        <v>51 - 100</v>
      </c>
      <c r="B12" s="12">
        <v>50</v>
      </c>
      <c r="C12" s="12">
        <v>101</v>
      </c>
      <c r="D12" s="17" t="str">
        <f t="shared" si="3"/>
        <v>исходя из 1 р. день = 9ч.</v>
      </c>
      <c r="E12" s="18" t="str">
        <f>IFERROR(D12*24/9,"исходя из "&amp;Верстка_по_образцу_ст_стр[[#This Row],[Объем в р. день (стандартно)]]&amp;" стр./р.день")</f>
        <v>исходя из 16 стр./р.день</v>
      </c>
      <c r="F12" s="26">
        <v>16</v>
      </c>
      <c r="G12" s="17" t="str">
        <f t="shared" ref="G12:G16" si="4">"исходя из 1 р. день = 9ч."</f>
        <v>исходя из 1 р. день = 9ч.</v>
      </c>
      <c r="H12" s="17" t="str">
        <f>"исходя из "&amp;Верстка_по_образцу_ст_стр[[#This Row],[Объем в р. день (ускоренно)]]&amp;" стр./р.день"</f>
        <v>исходя из 22 стр./р.день</v>
      </c>
      <c r="I12" s="26">
        <v>22</v>
      </c>
      <c r="J12" s="41">
        <v>0.25</v>
      </c>
      <c r="K12" s="16"/>
    </row>
    <row r="13" spans="1:11" x14ac:dyDescent="0.25">
      <c r="A13" s="11" t="str">
        <f t="shared" si="2"/>
        <v>101 - 150</v>
      </c>
      <c r="B13" s="12">
        <v>100</v>
      </c>
      <c r="C13" s="12">
        <v>151</v>
      </c>
      <c r="D13" s="17" t="str">
        <f t="shared" si="3"/>
        <v>исходя из 1 р. день = 9ч.</v>
      </c>
      <c r="E13" s="18" t="str">
        <f>IFERROR(D13*24/9,"исходя из "&amp;Верстка_по_образцу_ст_стр[[#This Row],[Объем в р. день (стандартно)]]&amp;" стр./р.день")</f>
        <v>исходя из 22 стр./р.день</v>
      </c>
      <c r="F13" s="26">
        <v>22</v>
      </c>
      <c r="G13" s="17" t="str">
        <f t="shared" si="4"/>
        <v>исходя из 1 р. день = 9ч.</v>
      </c>
      <c r="H13" s="17" t="str">
        <f>"исходя из "&amp;Верстка_по_образцу_ст_стр[[#This Row],[Объем в р. день (ускоренно)]]&amp;" стр./р.день"</f>
        <v>исходя из 28 стр./р.день</v>
      </c>
      <c r="I13" s="26">
        <v>28</v>
      </c>
      <c r="J13" s="41">
        <v>0.25</v>
      </c>
      <c r="K13" s="16"/>
    </row>
    <row r="14" spans="1:11" x14ac:dyDescent="0.25">
      <c r="A14" s="11" t="str">
        <f t="shared" si="2"/>
        <v>151 - 200</v>
      </c>
      <c r="B14" s="12">
        <v>150</v>
      </c>
      <c r="C14" s="12">
        <v>201</v>
      </c>
      <c r="D14" s="17" t="str">
        <f t="shared" si="3"/>
        <v>исходя из 1 р. день = 9ч.</v>
      </c>
      <c r="E14" s="18" t="str">
        <f>IFERROR(D14*24/9,"исходя из "&amp;Верстка_по_образцу_ст_стр[[#This Row],[Объем в р. день (стандартно)]]&amp;" стр./р.день")</f>
        <v>исходя из 22 стр./р.день</v>
      </c>
      <c r="F14" s="26">
        <v>22</v>
      </c>
      <c r="G14" s="17" t="str">
        <f t="shared" si="4"/>
        <v>исходя из 1 р. день = 9ч.</v>
      </c>
      <c r="H14" s="17" t="str">
        <f>"исходя из "&amp;Верстка_по_образцу_ст_стр[[#This Row],[Объем в р. день (ускоренно)]]&amp;" стр./р.день"</f>
        <v>исходя из 28 стр./р.день</v>
      </c>
      <c r="I14" s="26">
        <v>28</v>
      </c>
      <c r="J14" s="41">
        <v>0.25</v>
      </c>
      <c r="K14" s="16"/>
    </row>
    <row r="15" spans="1:11" x14ac:dyDescent="0.25">
      <c r="A15" s="11" t="str">
        <f t="shared" si="2"/>
        <v>201 - 250</v>
      </c>
      <c r="B15" s="12">
        <v>200</v>
      </c>
      <c r="C15" s="12">
        <v>251</v>
      </c>
      <c r="D15" s="17" t="str">
        <f t="shared" si="3"/>
        <v>исходя из 1 р. день = 9ч.</v>
      </c>
      <c r="E15" s="18" t="str">
        <f>IFERROR(D15*24/9,"исходя из "&amp;Верстка_по_образцу_ст_стр[[#This Row],[Объем в р. день (стандартно)]]&amp;" стр./р.день")</f>
        <v>исходя из 28 стр./р.день</v>
      </c>
      <c r="F15" s="26">
        <v>28</v>
      </c>
      <c r="G15" s="17" t="str">
        <f t="shared" si="4"/>
        <v>исходя из 1 р. день = 9ч.</v>
      </c>
      <c r="H15" s="17" t="str">
        <f>"исходя из "&amp;Верстка_по_образцу_ст_стр[[#This Row],[Объем в р. день (ускоренно)]]&amp;" стр./р.день"</f>
        <v>исходя из 34 стр./р.день</v>
      </c>
      <c r="I15" s="26">
        <v>34</v>
      </c>
      <c r="J15" s="41">
        <v>0.25</v>
      </c>
      <c r="K15" s="16"/>
    </row>
    <row r="16" spans="1:11" x14ac:dyDescent="0.25">
      <c r="A16" s="13" t="str">
        <f t="shared" si="2"/>
        <v>251 - 300</v>
      </c>
      <c r="B16" s="14">
        <v>250</v>
      </c>
      <c r="C16" s="14">
        <v>301</v>
      </c>
      <c r="D16" s="23" t="str">
        <f t="shared" si="3"/>
        <v>исходя из 1 р. день = 9ч.</v>
      </c>
      <c r="E16" s="24" t="str">
        <f>IFERROR(D16*24/9,"исходя из "&amp;Верстка_по_образцу_ст_стр[[#This Row],[Объем в р. день (стандартно)]]&amp;" стр./р.день")</f>
        <v>исходя из 28 стр./р.день</v>
      </c>
      <c r="F16" s="25">
        <v>28</v>
      </c>
      <c r="G16" s="23" t="str">
        <f t="shared" si="4"/>
        <v>исходя из 1 р. день = 9ч.</v>
      </c>
      <c r="H16" s="23" t="str">
        <f>"исходя из "&amp;Верстка_по_образцу_ст_стр[[#This Row],[Объем в р. день (ускоренно)]]&amp;" стр./р.день"</f>
        <v>исходя из 34 стр./р.день</v>
      </c>
      <c r="I16" s="25">
        <v>34</v>
      </c>
      <c r="J16" s="42">
        <v>0.25</v>
      </c>
      <c r="K16" s="16"/>
    </row>
    <row r="18" spans="1:10" x14ac:dyDescent="0.25">
      <c r="B18" s="28"/>
    </row>
    <row r="19" spans="1:10" ht="32.25" x14ac:dyDescent="0.5">
      <c r="A19" s="101" t="s">
        <v>35</v>
      </c>
      <c r="B19" s="101"/>
      <c r="C19" s="101"/>
      <c r="D19" s="9">
        <v>2</v>
      </c>
    </row>
    <row r="20" spans="1:10" x14ac:dyDescent="0.25">
      <c r="A20" s="36"/>
      <c r="B20" s="36"/>
      <c r="C20" s="36"/>
      <c r="D20" s="37"/>
    </row>
    <row r="21" spans="1:10" ht="15" customHeight="1" x14ac:dyDescent="0.25">
      <c r="A21" s="36"/>
      <c r="B21" s="36"/>
      <c r="C21" s="36"/>
      <c r="D21" s="37"/>
    </row>
    <row r="22" spans="1:10" ht="38.25" customHeight="1" x14ac:dyDescent="0.25">
      <c r="A22" s="96" t="s">
        <v>21</v>
      </c>
      <c r="B22" s="96"/>
      <c r="C22" s="96"/>
      <c r="D22" s="96"/>
      <c r="E22" s="96"/>
      <c r="F22" s="96"/>
      <c r="G22" s="96"/>
      <c r="H22" s="96"/>
      <c r="I22" s="96"/>
      <c r="J22" s="96"/>
    </row>
    <row r="23" spans="1:10" ht="45.75" customHeight="1" thickBot="1" x14ac:dyDescent="0.3">
      <c r="A23" s="102" t="str">
        <f xml:space="preserve"> "(в расчетах и формулах сложные единицы переводятся в стандартные с k = "&amp;D19&amp;" расчет производится в соответствии
с таблицей выше; данная таблица представлена для иллюстрации алгоритма расчета)"</f>
        <v>(в расчетах и формулах сложные единицы переводятся в стандартные с k = 2 расчет производится в соответствии
с таблицей выше; данная таблица представлена для иллюстрации алгоритма расчета)</v>
      </c>
      <c r="B23" s="102"/>
      <c r="C23" s="102"/>
      <c r="D23" s="102"/>
      <c r="E23" s="102"/>
      <c r="F23" s="102"/>
      <c r="G23" s="102"/>
      <c r="H23" s="102"/>
      <c r="I23" s="102"/>
      <c r="J23" s="102"/>
    </row>
    <row r="24" spans="1:10" ht="33" customHeight="1" thickTop="1" x14ac:dyDescent="0.25">
      <c r="A24" s="7"/>
      <c r="B24" s="7"/>
      <c r="C24" s="7"/>
      <c r="D24" s="97" t="s">
        <v>36</v>
      </c>
      <c r="E24" s="98"/>
      <c r="F24" s="99"/>
      <c r="G24" s="97" t="s">
        <v>37</v>
      </c>
      <c r="H24" s="98"/>
      <c r="I24" s="98"/>
      <c r="J24" s="99"/>
    </row>
    <row r="25" spans="1:10" x14ac:dyDescent="0.25">
      <c r="A25" s="5" t="s">
        <v>0</v>
      </c>
      <c r="B25" s="1" t="s">
        <v>5</v>
      </c>
      <c r="C25" s="1" t="s">
        <v>6</v>
      </c>
      <c r="D25" s="8" t="s">
        <v>12</v>
      </c>
      <c r="E25" s="8" t="s">
        <v>13</v>
      </c>
      <c r="F25" s="6" t="s">
        <v>14</v>
      </c>
      <c r="G25" s="8" t="s">
        <v>15</v>
      </c>
      <c r="H25" s="6" t="s">
        <v>16</v>
      </c>
      <c r="I25" s="6" t="s">
        <v>17</v>
      </c>
      <c r="J25" s="6" t="s">
        <v>18</v>
      </c>
    </row>
    <row r="26" spans="1:10" x14ac:dyDescent="0.25">
      <c r="A26" s="11" t="str">
        <f t="shared" ref="A26:A36" si="5">ROUNDDOWN(B26+1,0)&amp;" - "&amp;ROUNDUP(C26-1,0)</f>
        <v>1 - 1</v>
      </c>
      <c r="B26" s="12">
        <f>B6/D19</f>
        <v>0</v>
      </c>
      <c r="C26" s="12">
        <f>C6/D19</f>
        <v>1.5</v>
      </c>
      <c r="D26" s="17">
        <f>D6</f>
        <v>0.16666666666666666</v>
      </c>
      <c r="E26" s="18">
        <f>IFERROR(D26*24/9,"исходя из "&amp;Верстка_по_образцу_сл_стр[[#This Row],[Объем в р. день (стандартно)]]&amp;" стр./р.день")</f>
        <v>0.44444444444444442</v>
      </c>
      <c r="F26" s="19" t="str">
        <f>F6</f>
        <v>-</v>
      </c>
      <c r="G26" s="17">
        <f t="shared" ref="G26:G30" si="6">G6</f>
        <v>8.3333333333333329E-2</v>
      </c>
      <c r="H26" s="19">
        <f t="shared" ref="H26:H30" si="7">IFERROR(G26*24/9,"по запросу")</f>
        <v>0.22222222222222221</v>
      </c>
      <c r="I26" s="19" t="str">
        <f>I6</f>
        <v>-</v>
      </c>
      <c r="J26" s="20">
        <f>J6</f>
        <v>1</v>
      </c>
    </row>
    <row r="27" spans="1:10" x14ac:dyDescent="0.25">
      <c r="A27" s="11" t="str">
        <f t="shared" si="5"/>
        <v>2 - 2</v>
      </c>
      <c r="B27" s="12">
        <f>B7/D19</f>
        <v>1</v>
      </c>
      <c r="C27" s="12">
        <f>C7/D19</f>
        <v>2.5</v>
      </c>
      <c r="D27" s="17">
        <f>D7</f>
        <v>0.25</v>
      </c>
      <c r="E27" s="18">
        <f>IFERROR(D27*24/9,"исходя из "&amp;Верстка_по_образцу_сл_стр[[#This Row],[Объем в р. день (стандартно)]]&amp;" стр./р.день")</f>
        <v>0.66666666666666663</v>
      </c>
      <c r="F27" s="19" t="str">
        <f t="shared" ref="F27:F29" si="8">F7</f>
        <v>-</v>
      </c>
      <c r="G27" s="17">
        <f t="shared" si="6"/>
        <v>0.125</v>
      </c>
      <c r="H27" s="18">
        <f t="shared" si="7"/>
        <v>0.33333333333333331</v>
      </c>
      <c r="I27" s="19" t="str">
        <f t="shared" ref="I27:I30" si="9">I7</f>
        <v>-</v>
      </c>
      <c r="J27" s="22">
        <f t="shared" ref="J27:J36" si="10">J7</f>
        <v>1</v>
      </c>
    </row>
    <row r="28" spans="1:10" x14ac:dyDescent="0.25">
      <c r="A28" s="11" t="str">
        <f t="shared" si="5"/>
        <v>3 - 4</v>
      </c>
      <c r="B28" s="12">
        <f>B8/D19</f>
        <v>2</v>
      </c>
      <c r="C28" s="12">
        <f>C8/D19</f>
        <v>5</v>
      </c>
      <c r="D28" s="17">
        <f>D8</f>
        <v>0.33333333333333331</v>
      </c>
      <c r="E28" s="18">
        <f>IFERROR(D28*24/9,"исходя из "&amp;Верстка_по_образцу_сл_стр[[#This Row],[Объем в р. день (стандартно)]]&amp;" стр./р.день")</f>
        <v>0.88888888888888884</v>
      </c>
      <c r="F28" s="19" t="str">
        <f t="shared" si="8"/>
        <v>-</v>
      </c>
      <c r="G28" s="17">
        <f t="shared" si="6"/>
        <v>0.25</v>
      </c>
      <c r="H28" s="18">
        <f t="shared" si="7"/>
        <v>0.66666666666666663</v>
      </c>
      <c r="I28" s="19" t="str">
        <f t="shared" si="9"/>
        <v>-</v>
      </c>
      <c r="J28" s="22">
        <f t="shared" si="10"/>
        <v>0.75</v>
      </c>
    </row>
    <row r="29" spans="1:10" x14ac:dyDescent="0.25">
      <c r="A29" s="13" t="str">
        <f t="shared" si="5"/>
        <v>5 - 7</v>
      </c>
      <c r="B29" s="14">
        <f>B9/D19</f>
        <v>4.5</v>
      </c>
      <c r="C29" s="14">
        <f>C9/D19</f>
        <v>8</v>
      </c>
      <c r="D29" s="23">
        <f>D9</f>
        <v>0.375</v>
      </c>
      <c r="E29" s="24">
        <f>IFERROR(D29*24/9,"исходя из "&amp;Верстка_по_образцу_сл_стр[[#This Row],[Объем в р. день (стандартно)]]&amp;" стр./р.день")</f>
        <v>1</v>
      </c>
      <c r="F29" s="19" t="str">
        <f t="shared" si="8"/>
        <v>-</v>
      </c>
      <c r="G29" s="17" t="str">
        <f t="shared" si="6"/>
        <v>по запросу</v>
      </c>
      <c r="H29" s="18" t="str">
        <f t="shared" si="7"/>
        <v>по запросу</v>
      </c>
      <c r="I29" s="19" t="str">
        <f t="shared" si="9"/>
        <v>-</v>
      </c>
      <c r="J29" s="22" t="str">
        <f t="shared" si="10"/>
        <v>по запросу</v>
      </c>
    </row>
    <row r="30" spans="1:10" x14ac:dyDescent="0.25">
      <c r="A30" s="11" t="str">
        <f t="shared" si="5"/>
        <v>8 - 10</v>
      </c>
      <c r="B30" s="34">
        <f>B10/D19</f>
        <v>7.5</v>
      </c>
      <c r="C30" s="12">
        <f>C10/D19</f>
        <v>11</v>
      </c>
      <c r="D30" s="17" t="str">
        <f>D10</f>
        <v>исходя из 1 р. день = 9ч.</v>
      </c>
      <c r="E30" s="24" t="str">
        <f>IFERROR(D30*24/9,"исходя из "&amp;Верстка_по_образцу_сл_стр[[#This Row],[Объем в р. день (стандартно)]]&amp;" стр./р.день")</f>
        <v>исходя из 8 стр./р.день</v>
      </c>
      <c r="F30" s="29">
        <f>F10/D19</f>
        <v>8</v>
      </c>
      <c r="G30" s="17" t="str">
        <f t="shared" si="6"/>
        <v>по запросу</v>
      </c>
      <c r="H30" s="18" t="str">
        <f t="shared" si="7"/>
        <v>по запросу</v>
      </c>
      <c r="I30" s="19" t="str">
        <f t="shared" si="9"/>
        <v>-</v>
      </c>
      <c r="J30" s="22" t="str">
        <f t="shared" si="10"/>
        <v>по запросу</v>
      </c>
    </row>
    <row r="31" spans="1:10" x14ac:dyDescent="0.25">
      <c r="A31" s="11" t="str">
        <f t="shared" si="5"/>
        <v>11 - 25</v>
      </c>
      <c r="B31" s="12">
        <f>B11/D19</f>
        <v>10.5</v>
      </c>
      <c r="C31" s="12">
        <f>C11/D19</f>
        <v>25.5</v>
      </c>
      <c r="D31" s="17" t="str">
        <f t="shared" ref="D31:D36" si="11">D11</f>
        <v>исходя из 1 р. день = 9ч.</v>
      </c>
      <c r="E31" s="18" t="str">
        <f>IFERROR(D31*24/9,"исходя из "&amp;Верстка_по_образцу_сл_стр[[#This Row],[Объем в р. день (стандартно)]]&amp;" стр./р.день")</f>
        <v>исходя из 8 стр./р.день</v>
      </c>
      <c r="F31" s="29">
        <f>F11/D19</f>
        <v>8</v>
      </c>
      <c r="G31" s="17" t="str">
        <f>G11</f>
        <v>исходя из 1 р. день = 9ч.</v>
      </c>
      <c r="H31" s="17" t="str">
        <f>"исходя из "&amp;Верстка_по_образцу_сл_стр[[#This Row],[Объем в р. день (ускоренно)]]&amp;" стр./р.день"</f>
        <v>исходя из 11 стр./р.день</v>
      </c>
      <c r="I31" s="30">
        <f>I11/D19</f>
        <v>11</v>
      </c>
      <c r="J31" s="22">
        <f t="shared" si="10"/>
        <v>0.25</v>
      </c>
    </row>
    <row r="32" spans="1:10" x14ac:dyDescent="0.25">
      <c r="A32" s="11" t="str">
        <f t="shared" si="5"/>
        <v>26 - 50</v>
      </c>
      <c r="B32" s="12">
        <f>B12/D19</f>
        <v>25</v>
      </c>
      <c r="C32" s="12">
        <f>C12/D19</f>
        <v>50.5</v>
      </c>
      <c r="D32" s="17" t="str">
        <f t="shared" si="11"/>
        <v>исходя из 1 р. день = 9ч.</v>
      </c>
      <c r="E32" s="18" t="str">
        <f>IFERROR(D32*24/9,"исходя из "&amp;Верстка_по_образцу_сл_стр[[#This Row],[Объем в р. день (стандартно)]]&amp;" стр./р.день")</f>
        <v>исходя из 8 стр./р.день</v>
      </c>
      <c r="F32" s="30">
        <f>F12/D19</f>
        <v>8</v>
      </c>
      <c r="G32" s="17" t="str">
        <f t="shared" ref="G32:G36" si="12">G12</f>
        <v>исходя из 1 р. день = 9ч.</v>
      </c>
      <c r="H32" s="17" t="str">
        <f>"исходя из "&amp;Верстка_по_образцу_сл_стр[[#This Row],[Объем в р. день (ускоренно)]]&amp;" стр./р.день"</f>
        <v>исходя из 11 стр./р.день</v>
      </c>
      <c r="I32" s="30">
        <f>I12/D19</f>
        <v>11</v>
      </c>
      <c r="J32" s="22">
        <f t="shared" si="10"/>
        <v>0.25</v>
      </c>
    </row>
    <row r="33" spans="1:11" x14ac:dyDescent="0.25">
      <c r="A33" s="11" t="str">
        <f t="shared" si="5"/>
        <v>51 - 75</v>
      </c>
      <c r="B33" s="12">
        <f>B13/D19</f>
        <v>50</v>
      </c>
      <c r="C33" s="12">
        <f>C13/D19</f>
        <v>75.5</v>
      </c>
      <c r="D33" s="17" t="str">
        <f t="shared" si="11"/>
        <v>исходя из 1 р. день = 9ч.</v>
      </c>
      <c r="E33" s="18" t="str">
        <f>IFERROR(D33*24/9,"исходя из "&amp;Верстка_по_образцу_сл_стр[[#This Row],[Объем в р. день (стандартно)]]&amp;" стр./р.день")</f>
        <v>исходя из 11 стр./р.день</v>
      </c>
      <c r="F33" s="30">
        <f>F13/D19</f>
        <v>11</v>
      </c>
      <c r="G33" s="17" t="str">
        <f t="shared" si="12"/>
        <v>исходя из 1 р. день = 9ч.</v>
      </c>
      <c r="H33" s="17" t="str">
        <f>"исходя из "&amp;Верстка_по_образцу_сл_стр[[#This Row],[Объем в р. день (ускоренно)]]&amp;" стр./р.день"</f>
        <v>исходя из 14 стр./р.день</v>
      </c>
      <c r="I33" s="30">
        <f>I13/D19</f>
        <v>14</v>
      </c>
      <c r="J33" s="22">
        <f t="shared" si="10"/>
        <v>0.25</v>
      </c>
    </row>
    <row r="34" spans="1:11" x14ac:dyDescent="0.25">
      <c r="A34" s="11" t="str">
        <f t="shared" si="5"/>
        <v>76 - 100</v>
      </c>
      <c r="B34" s="12">
        <f>B14/D19</f>
        <v>75</v>
      </c>
      <c r="C34" s="12">
        <f>C14/D19</f>
        <v>100.5</v>
      </c>
      <c r="D34" s="17" t="str">
        <f t="shared" si="11"/>
        <v>исходя из 1 р. день = 9ч.</v>
      </c>
      <c r="E34" s="18" t="str">
        <f>IFERROR(D34*24/9,"исходя из "&amp;Верстка_по_образцу_сл_стр[[#This Row],[Объем в р. день (стандартно)]]&amp;" стр./р.день")</f>
        <v>исходя из 11 стр./р.день</v>
      </c>
      <c r="F34" s="30">
        <f>F14/D19</f>
        <v>11</v>
      </c>
      <c r="G34" s="17" t="str">
        <f t="shared" si="12"/>
        <v>исходя из 1 р. день = 9ч.</v>
      </c>
      <c r="H34" s="17" t="str">
        <f>"исходя из "&amp;Верстка_по_образцу_сл_стр[[#This Row],[Объем в р. день (ускоренно)]]&amp;" стр./р.день"</f>
        <v>исходя из 14 стр./р.день</v>
      </c>
      <c r="I34" s="30">
        <f>I14/D19</f>
        <v>14</v>
      </c>
      <c r="J34" s="22">
        <f t="shared" si="10"/>
        <v>0.25</v>
      </c>
    </row>
    <row r="35" spans="1:11" x14ac:dyDescent="0.25">
      <c r="A35" s="11" t="str">
        <f t="shared" si="5"/>
        <v>101 - 125</v>
      </c>
      <c r="B35" s="12">
        <f>B15/D19</f>
        <v>100</v>
      </c>
      <c r="C35" s="12">
        <f>C15/D19</f>
        <v>125.5</v>
      </c>
      <c r="D35" s="17" t="str">
        <f t="shared" si="11"/>
        <v>исходя из 1 р. день = 9ч.</v>
      </c>
      <c r="E35" s="18" t="str">
        <f>IFERROR(D35*24/9,"исходя из "&amp;Верстка_по_образцу_сл_стр[[#This Row],[Объем в р. день (стандартно)]]&amp;" стр./р.день")</f>
        <v>исходя из 14 стр./р.день</v>
      </c>
      <c r="F35" s="30">
        <f>F15/D19</f>
        <v>14</v>
      </c>
      <c r="G35" s="17" t="str">
        <f t="shared" si="12"/>
        <v>исходя из 1 р. день = 9ч.</v>
      </c>
      <c r="H35" s="17" t="str">
        <f>"исходя из "&amp;Верстка_по_образцу_сл_стр[[#This Row],[Объем в р. день (ускоренно)]]&amp;" стр./р.день"</f>
        <v>исходя из 17 стр./р.день</v>
      </c>
      <c r="I35" s="30">
        <f>I15/D19</f>
        <v>17</v>
      </c>
      <c r="J35" s="22">
        <f t="shared" si="10"/>
        <v>0.25</v>
      </c>
    </row>
    <row r="36" spans="1:11" x14ac:dyDescent="0.25">
      <c r="A36" s="11" t="str">
        <f t="shared" si="5"/>
        <v>126 - 150</v>
      </c>
      <c r="B36" s="12">
        <f>B16/D19</f>
        <v>125</v>
      </c>
      <c r="C36" s="12">
        <f>C16/D19</f>
        <v>150.5</v>
      </c>
      <c r="D36" s="17" t="str">
        <f t="shared" si="11"/>
        <v>исходя из 1 р. день = 9ч.</v>
      </c>
      <c r="E36" s="18" t="str">
        <f>IFERROR(D36*24/9,"исходя из "&amp;Верстка_по_образцу_сл_стр[[#This Row],[Объем в р. день (стандартно)]]&amp;" стр./р.день")</f>
        <v>исходя из 14 стр./р.день</v>
      </c>
      <c r="F36" s="30">
        <f>F16/D19</f>
        <v>14</v>
      </c>
      <c r="G36" s="17" t="str">
        <f t="shared" si="12"/>
        <v>исходя из 1 р. день = 9ч.</v>
      </c>
      <c r="H36" s="17" t="str">
        <f>"исходя из "&amp;Верстка_по_образцу_сл_стр[[#This Row],[Объем в р. день (ускоренно)]]&amp;" стр./р.день"</f>
        <v>исходя из 17 стр./р.день</v>
      </c>
      <c r="I36" s="30">
        <f>I16/D19</f>
        <v>17</v>
      </c>
      <c r="J36" s="27">
        <f t="shared" si="10"/>
        <v>0.25</v>
      </c>
    </row>
    <row r="39" spans="1:11" s="31" customFormat="1" x14ac:dyDescent="0.25"/>
    <row r="40" spans="1:11" s="32" customFormat="1" x14ac:dyDescent="0.25"/>
    <row r="41" spans="1:11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</row>
    <row r="42" spans="1:11" ht="67.5" customHeight="1" thickBot="1" x14ac:dyDescent="0.3">
      <c r="A42" s="100" t="s">
        <v>31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6"/>
    </row>
    <row r="43" spans="1:11" ht="36.75" customHeight="1" thickTop="1" x14ac:dyDescent="0.25">
      <c r="A43" s="7"/>
      <c r="B43" s="7"/>
      <c r="C43" s="7"/>
      <c r="D43" s="97" t="s">
        <v>36</v>
      </c>
      <c r="E43" s="98"/>
      <c r="F43" s="99"/>
      <c r="G43" s="97" t="s">
        <v>37</v>
      </c>
      <c r="H43" s="98"/>
      <c r="I43" s="98"/>
      <c r="J43" s="99"/>
      <c r="K43" s="16"/>
    </row>
    <row r="44" spans="1:11" x14ac:dyDescent="0.25">
      <c r="A44" s="5" t="s">
        <v>0</v>
      </c>
      <c r="B44" s="1" t="s">
        <v>5</v>
      </c>
      <c r="C44" s="1" t="s">
        <v>6</v>
      </c>
      <c r="D44" s="8" t="s">
        <v>12</v>
      </c>
      <c r="E44" s="8" t="s">
        <v>13</v>
      </c>
      <c r="F44" s="6" t="s">
        <v>14</v>
      </c>
      <c r="G44" s="8" t="s">
        <v>15</v>
      </c>
      <c r="H44" s="6" t="s">
        <v>16</v>
      </c>
      <c r="I44" s="6" t="s">
        <v>17</v>
      </c>
      <c r="J44" s="6" t="s">
        <v>18</v>
      </c>
      <c r="K44" s="16"/>
    </row>
    <row r="45" spans="1:11" x14ac:dyDescent="0.25">
      <c r="A45" s="11" t="str">
        <f t="shared" ref="A45:A55" si="13">B45+1&amp;" - "&amp;C45-1</f>
        <v>1 - 5</v>
      </c>
      <c r="B45" s="35">
        <v>0</v>
      </c>
      <c r="C45" s="35">
        <v>6</v>
      </c>
      <c r="D45" s="17">
        <v>0.125</v>
      </c>
      <c r="E45" s="18">
        <f>IFERROR(D45*24/9,"исходя из "&amp;Обработка_станд[[#This Row],[Объем в р. день (стандартно)]]&amp;" илл./р.день")</f>
        <v>0.33333333333333331</v>
      </c>
      <c r="F45" s="19" t="s">
        <v>11</v>
      </c>
      <c r="G45" s="17" t="s">
        <v>10</v>
      </c>
      <c r="H45" s="19" t="str">
        <f t="shared" ref="H45:H49" si="14">IFERROR(G45*24/9,"по запросу")</f>
        <v>по запросу</v>
      </c>
      <c r="I45" s="19" t="s">
        <v>11</v>
      </c>
      <c r="J45" s="22" t="s">
        <v>10</v>
      </c>
      <c r="K45" s="16"/>
    </row>
    <row r="46" spans="1:11" x14ac:dyDescent="0.25">
      <c r="A46" s="11" t="str">
        <f t="shared" si="13"/>
        <v>6 - 10</v>
      </c>
      <c r="B46" s="35">
        <v>5</v>
      </c>
      <c r="C46" s="35">
        <v>11</v>
      </c>
      <c r="D46" s="17">
        <v>0.20833333333333334</v>
      </c>
      <c r="E46" s="18">
        <f>IFERROR(D46*24/9,"исходя из "&amp;Обработка_станд[[#This Row],[Объем в р. день (стандартно)]]&amp;" илл./р.день")</f>
        <v>0.55555555555555558</v>
      </c>
      <c r="F46" s="18" t="s">
        <v>11</v>
      </c>
      <c r="G46" s="17">
        <v>0.125</v>
      </c>
      <c r="H46" s="18">
        <f t="shared" si="14"/>
        <v>0.33333333333333331</v>
      </c>
      <c r="I46" s="18" t="s">
        <v>11</v>
      </c>
      <c r="J46" s="22">
        <v>0.5</v>
      </c>
      <c r="K46" s="16"/>
    </row>
    <row r="47" spans="1:11" x14ac:dyDescent="0.25">
      <c r="A47" s="11" t="str">
        <f t="shared" si="13"/>
        <v>11 - 15</v>
      </c>
      <c r="B47" s="35">
        <v>10</v>
      </c>
      <c r="C47" s="35">
        <v>16</v>
      </c>
      <c r="D47" s="17">
        <v>0.29166666666666669</v>
      </c>
      <c r="E47" s="18">
        <f>IFERROR(D47*24/9,"исходя из "&amp;Обработка_станд[[#This Row],[Объем в р. день (стандартно)]]&amp;" илл./р.день")</f>
        <v>0.77777777777777779</v>
      </c>
      <c r="F47" s="18" t="s">
        <v>11</v>
      </c>
      <c r="G47" s="17">
        <v>0.20833333333333334</v>
      </c>
      <c r="H47" s="18">
        <f t="shared" si="14"/>
        <v>0.55555555555555558</v>
      </c>
      <c r="I47" s="18" t="s">
        <v>11</v>
      </c>
      <c r="J47" s="22">
        <v>0.5</v>
      </c>
      <c r="K47" s="16"/>
    </row>
    <row r="48" spans="1:11" x14ac:dyDescent="0.25">
      <c r="A48" s="11" t="str">
        <f t="shared" si="13"/>
        <v>16 - 30</v>
      </c>
      <c r="B48" s="35">
        <v>15</v>
      </c>
      <c r="C48" s="35">
        <v>31</v>
      </c>
      <c r="D48" s="23">
        <v>0.375</v>
      </c>
      <c r="E48" s="24">
        <f>IFERROR(D48*24/9,"исходя из "&amp;Обработка_станд[[#This Row],[Объем в р. день (стандартно)]]&amp;" илл./р.день")</f>
        <v>1</v>
      </c>
      <c r="F48" s="18" t="s">
        <v>11</v>
      </c>
      <c r="G48" s="17" t="s">
        <v>10</v>
      </c>
      <c r="H48" s="18" t="str">
        <f t="shared" si="14"/>
        <v>по запросу</v>
      </c>
      <c r="I48" s="18" t="s">
        <v>11</v>
      </c>
      <c r="J48" s="22" t="s">
        <v>10</v>
      </c>
      <c r="K48" s="16"/>
    </row>
    <row r="49" spans="1:11" x14ac:dyDescent="0.25">
      <c r="A49" s="11" t="str">
        <f t="shared" si="13"/>
        <v>31 - 39</v>
      </c>
      <c r="B49" s="35">
        <v>30</v>
      </c>
      <c r="C49" s="35">
        <v>40</v>
      </c>
      <c r="D49" s="17" t="str">
        <f>"исходя из 1 р. день = 9ч."</f>
        <v>исходя из 1 р. день = 9ч.</v>
      </c>
      <c r="E49" s="24" t="str">
        <f>IFERROR(D49*24/9,"исходя из "&amp;Обработка_станд[[#This Row],[Объем в р. день (стандартно)]]&amp;" илл./р.день")</f>
        <v>исходя из 30 илл./р.день</v>
      </c>
      <c r="F49" s="25">
        <v>30</v>
      </c>
      <c r="G49" s="17" t="s">
        <v>10</v>
      </c>
      <c r="H49" s="18" t="str">
        <f t="shared" si="14"/>
        <v>по запросу</v>
      </c>
      <c r="I49" s="24" t="s">
        <v>11</v>
      </c>
      <c r="J49" s="22" t="s">
        <v>10</v>
      </c>
      <c r="K49" s="16"/>
    </row>
    <row r="50" spans="1:11" x14ac:dyDescent="0.25">
      <c r="A50" s="11" t="str">
        <f t="shared" si="13"/>
        <v>40 - 100</v>
      </c>
      <c r="B50" s="35">
        <v>39</v>
      </c>
      <c r="C50" s="35">
        <v>101</v>
      </c>
      <c r="D50" s="17" t="str">
        <f t="shared" ref="D50:D55" si="15">"исходя из 1 р. день = 9ч."</f>
        <v>исходя из 1 р. день = 9ч.</v>
      </c>
      <c r="E50" s="24" t="str">
        <f>IFERROR(D50*24/9,"исходя из "&amp;Обработка_станд[[#This Row],[Объем в р. день (стандартно)]]&amp;" илл./р.день")</f>
        <v>исходя из 30 илл./р.день</v>
      </c>
      <c r="F50" s="26">
        <v>30</v>
      </c>
      <c r="G50" s="17" t="str">
        <f>"исходя из 1 р. день = 9ч."</f>
        <v>исходя из 1 р. день = 9ч.</v>
      </c>
      <c r="H50" s="17" t="str">
        <f>"исходя из "&amp;Обработка_станд[[#This Row],[Объем в р. день (ускоренно)]]&amp;" илл./р.день"</f>
        <v>исходя из 40 илл./р.день</v>
      </c>
      <c r="I50" s="26">
        <v>40</v>
      </c>
      <c r="J50" s="22">
        <v>0.25</v>
      </c>
      <c r="K50" s="16"/>
    </row>
    <row r="51" spans="1:11" x14ac:dyDescent="0.25">
      <c r="A51" s="11" t="str">
        <f t="shared" si="13"/>
        <v>101 - 200</v>
      </c>
      <c r="B51" s="35">
        <v>100</v>
      </c>
      <c r="C51" s="35">
        <v>201</v>
      </c>
      <c r="D51" s="17" t="str">
        <f t="shared" si="15"/>
        <v>исходя из 1 р. день = 9ч.</v>
      </c>
      <c r="E51" s="24" t="str">
        <f>IFERROR(D51*24/9,"исходя из "&amp;Обработка_станд[[#This Row],[Объем в р. день (стандартно)]]&amp;" илл./р.день")</f>
        <v>исходя из 34 илл./р.день</v>
      </c>
      <c r="F51" s="26">
        <v>34</v>
      </c>
      <c r="G51" s="17" t="str">
        <f t="shared" ref="G51:G55" si="16">"исходя из 1 р. день = 9ч."</f>
        <v>исходя из 1 р. день = 9ч.</v>
      </c>
      <c r="H51" s="17" t="str">
        <f>"исходя из "&amp;Обработка_станд[[#This Row],[Объем в р. день (ускоренно)]]&amp;" илл./р.день"</f>
        <v>исходя из 44 илл./р.день</v>
      </c>
      <c r="I51" s="26">
        <v>44</v>
      </c>
      <c r="J51" s="22">
        <v>0.25</v>
      </c>
      <c r="K51" s="16"/>
    </row>
    <row r="52" spans="1:11" x14ac:dyDescent="0.25">
      <c r="A52" s="11" t="str">
        <f t="shared" si="13"/>
        <v>201 - 300</v>
      </c>
      <c r="B52" s="35">
        <v>200</v>
      </c>
      <c r="C52" s="35">
        <v>301</v>
      </c>
      <c r="D52" s="17" t="str">
        <f t="shared" si="15"/>
        <v>исходя из 1 р. день = 9ч.</v>
      </c>
      <c r="E52" s="24" t="str">
        <f>IFERROR(D52*24/9,"исходя из "&amp;Обработка_станд[[#This Row],[Объем в р. день (стандартно)]]&amp;" илл./р.день")</f>
        <v>исходя из 40 илл./р.день</v>
      </c>
      <c r="F52" s="26">
        <v>40</v>
      </c>
      <c r="G52" s="17" t="str">
        <f t="shared" si="16"/>
        <v>исходя из 1 р. день = 9ч.</v>
      </c>
      <c r="H52" s="17" t="str">
        <f>"исходя из "&amp;Обработка_станд[[#This Row],[Объем в р. день (ускоренно)]]&amp;" илл./р.день"</f>
        <v>исходя из 50 илл./р.день</v>
      </c>
      <c r="I52" s="26">
        <v>50</v>
      </c>
      <c r="J52" s="22">
        <v>0.25</v>
      </c>
      <c r="K52" s="16"/>
    </row>
    <row r="53" spans="1:11" x14ac:dyDescent="0.25">
      <c r="A53" s="11" t="str">
        <f t="shared" si="13"/>
        <v>301 - 400</v>
      </c>
      <c r="B53" s="35">
        <v>300</v>
      </c>
      <c r="C53" s="35">
        <v>401</v>
      </c>
      <c r="D53" s="17" t="str">
        <f t="shared" si="15"/>
        <v>исходя из 1 р. день = 9ч.</v>
      </c>
      <c r="E53" s="24" t="str">
        <f>IFERROR(D53*24/9,"исходя из "&amp;Обработка_станд[[#This Row],[Объем в р. день (стандартно)]]&amp;" илл./р.день")</f>
        <v>исходя из 40 илл./р.день</v>
      </c>
      <c r="F53" s="26">
        <v>40</v>
      </c>
      <c r="G53" s="17" t="str">
        <f t="shared" si="16"/>
        <v>исходя из 1 р. день = 9ч.</v>
      </c>
      <c r="H53" s="17" t="str">
        <f>"исходя из "&amp;Обработка_станд[[#This Row],[Объем в р. день (ускоренно)]]&amp;" илл./р.день"</f>
        <v>исходя из 50 илл./р.день</v>
      </c>
      <c r="I53" s="26">
        <v>50</v>
      </c>
      <c r="J53" s="22">
        <v>0.25</v>
      </c>
      <c r="K53" s="16"/>
    </row>
    <row r="54" spans="1:11" x14ac:dyDescent="0.25">
      <c r="A54" s="11" t="str">
        <f t="shared" si="13"/>
        <v>401 - 500</v>
      </c>
      <c r="B54" s="35">
        <v>400</v>
      </c>
      <c r="C54" s="35">
        <v>501</v>
      </c>
      <c r="D54" s="17" t="str">
        <f t="shared" si="15"/>
        <v>исходя из 1 р. день = 9ч.</v>
      </c>
      <c r="E54" s="24" t="str">
        <f>IFERROR(D54*24/9,"исходя из "&amp;Обработка_станд[[#This Row],[Объем в р. день (стандартно)]]&amp;" илл./р.день")</f>
        <v>исходя из 50 илл./р.день</v>
      </c>
      <c r="F54" s="26">
        <v>50</v>
      </c>
      <c r="G54" s="17" t="str">
        <f t="shared" si="16"/>
        <v>исходя из 1 р. день = 9ч.</v>
      </c>
      <c r="H54" s="17" t="str">
        <f>"исходя из "&amp;Обработка_станд[[#This Row],[Объем в р. день (ускоренно)]]&amp;" илл./р.день"</f>
        <v>исходя из 60 илл./р.день</v>
      </c>
      <c r="I54" s="26">
        <v>60</v>
      </c>
      <c r="J54" s="22">
        <v>0.25</v>
      </c>
      <c r="K54" s="16"/>
    </row>
    <row r="55" spans="1:11" x14ac:dyDescent="0.25">
      <c r="A55" s="11" t="str">
        <f t="shared" si="13"/>
        <v>501 - 600</v>
      </c>
      <c r="B55" s="35">
        <v>500</v>
      </c>
      <c r="C55" s="35">
        <v>601</v>
      </c>
      <c r="D55" s="17" t="str">
        <f t="shared" si="15"/>
        <v>исходя из 1 р. день = 9ч.</v>
      </c>
      <c r="E55" s="24" t="str">
        <f>IFERROR(D55*24/9,"исходя из "&amp;Обработка_станд[[#This Row],[Объем в р. день (стандартно)]]&amp;" илл./р.день")</f>
        <v>исходя из 50 илл./р.день</v>
      </c>
      <c r="F55" s="26">
        <v>50</v>
      </c>
      <c r="G55" s="17" t="str">
        <f t="shared" si="16"/>
        <v>исходя из 1 р. день = 9ч.</v>
      </c>
      <c r="H55" s="17" t="str">
        <f>"исходя из "&amp;Обработка_станд[[#This Row],[Объем в р. день (ускоренно)]]&amp;" илл./р.день"</f>
        <v>исходя из 60 илл./р.день</v>
      </c>
      <c r="I55" s="26">
        <v>60</v>
      </c>
      <c r="J55" s="27">
        <v>0.25</v>
      </c>
      <c r="K55" s="16"/>
    </row>
    <row r="58" spans="1:11" ht="32.25" x14ac:dyDescent="0.5">
      <c r="A58" s="103" t="s">
        <v>35</v>
      </c>
      <c r="B58" s="103"/>
      <c r="C58" s="103"/>
      <c r="D58" s="9">
        <v>2</v>
      </c>
    </row>
    <row r="59" spans="1:11" x14ac:dyDescent="0.25">
      <c r="A59" s="36"/>
      <c r="B59" s="36"/>
      <c r="C59" s="36"/>
      <c r="D59" s="37"/>
    </row>
    <row r="61" spans="1:11" ht="31.5" customHeight="1" x14ac:dyDescent="0.25">
      <c r="A61" s="100" t="s">
        <v>30</v>
      </c>
      <c r="B61" s="100"/>
      <c r="C61" s="100"/>
      <c r="D61" s="100"/>
      <c r="E61" s="100"/>
      <c r="F61" s="100"/>
      <c r="G61" s="100"/>
      <c r="H61" s="100"/>
      <c r="I61" s="100"/>
      <c r="J61" s="100"/>
    </row>
    <row r="62" spans="1:11" ht="45.75" customHeight="1" thickBot="1" x14ac:dyDescent="0.3">
      <c r="A62" s="102" t="str">
        <f xml:space="preserve"> "(в расчетах и формулах сложные единицы переводятся в стандартные с k = "&amp;D58&amp;" расчет производится в соответствии
с таблицей выше; данная таблица представлена для иллюстрации алгоритма расчета)"</f>
        <v>(в расчетах и формулах сложные единицы переводятся в стандартные с k = 2 расчет производится в соответствии
с таблицей выше; данная таблица представлена для иллюстрации алгоритма расчета)</v>
      </c>
      <c r="B62" s="102"/>
      <c r="C62" s="102"/>
      <c r="D62" s="102"/>
      <c r="E62" s="102"/>
      <c r="F62" s="102"/>
      <c r="G62" s="102"/>
      <c r="H62" s="102"/>
      <c r="I62" s="102"/>
      <c r="J62" s="102"/>
    </row>
    <row r="63" spans="1:11" ht="36.75" customHeight="1" thickTop="1" x14ac:dyDescent="0.25">
      <c r="A63" s="7"/>
      <c r="B63" s="7"/>
      <c r="C63" s="7"/>
      <c r="D63" s="97" t="s">
        <v>36</v>
      </c>
      <c r="E63" s="98"/>
      <c r="F63" s="99"/>
      <c r="G63" s="97" t="s">
        <v>37</v>
      </c>
      <c r="H63" s="98"/>
      <c r="I63" s="98"/>
      <c r="J63" s="99"/>
    </row>
    <row r="64" spans="1:11" x14ac:dyDescent="0.25">
      <c r="A64" s="5" t="s">
        <v>0</v>
      </c>
      <c r="B64" s="1" t="s">
        <v>5</v>
      </c>
      <c r="C64" s="1" t="s">
        <v>6</v>
      </c>
      <c r="D64" s="8" t="s">
        <v>12</v>
      </c>
      <c r="E64" s="8" t="s">
        <v>13</v>
      </c>
      <c r="F64" s="6" t="s">
        <v>14</v>
      </c>
      <c r="G64" s="8" t="s">
        <v>15</v>
      </c>
      <c r="H64" s="6" t="s">
        <v>16</v>
      </c>
      <c r="I64" s="6" t="s">
        <v>17</v>
      </c>
      <c r="J64" s="6" t="s">
        <v>18</v>
      </c>
    </row>
    <row r="65" spans="1:11" x14ac:dyDescent="0.25">
      <c r="A65" s="11" t="str">
        <f t="shared" ref="A65:A75" si="17">ROUNDDOWN(B65+1,0)&amp;" - "&amp;ROUNDUP(C65-1,0)</f>
        <v>1 - 2</v>
      </c>
      <c r="B65" s="12">
        <f>B45/D58</f>
        <v>0</v>
      </c>
      <c r="C65" s="12">
        <f>C45/D58</f>
        <v>3</v>
      </c>
      <c r="D65" s="17">
        <f>D45</f>
        <v>0.125</v>
      </c>
      <c r="E65" s="18">
        <f>E45</f>
        <v>0.33333333333333331</v>
      </c>
      <c r="F65" s="19" t="str">
        <f>F45</f>
        <v>-</v>
      </c>
      <c r="G65" s="17" t="str">
        <f>G45</f>
        <v>по запросу</v>
      </c>
      <c r="H65" s="19" t="str">
        <f t="shared" ref="H65:H69" si="18">IFERROR(G65*24/9,"по запросу")</f>
        <v>по запросу</v>
      </c>
      <c r="I65" s="19" t="str">
        <f t="shared" ref="I65:J69" si="19">I45</f>
        <v>-</v>
      </c>
      <c r="J65" s="20" t="str">
        <f t="shared" si="19"/>
        <v>по запросу</v>
      </c>
    </row>
    <row r="66" spans="1:11" x14ac:dyDescent="0.25">
      <c r="A66" s="11" t="str">
        <f t="shared" si="17"/>
        <v>3 - 5</v>
      </c>
      <c r="B66" s="12">
        <f>B46/D58</f>
        <v>2.5</v>
      </c>
      <c r="C66" s="12">
        <f>C46/D58</f>
        <v>5.5</v>
      </c>
      <c r="D66" s="17">
        <f t="shared" ref="D66:D75" si="20">D46</f>
        <v>0.20833333333333334</v>
      </c>
      <c r="E66" s="18">
        <f>IFERROR(D66*24/9,"из расчета "&amp;Обработка_сложн[[#This Row],[Объем в р. день (стандартно)]]&amp;" стр./р.день")</f>
        <v>0.55555555555555558</v>
      </c>
      <c r="F66" s="19" t="str">
        <f t="shared" ref="F66:G68" si="21">F46</f>
        <v>-</v>
      </c>
      <c r="G66" s="17">
        <f t="shared" si="21"/>
        <v>0.125</v>
      </c>
      <c r="H66" s="18">
        <f t="shared" si="18"/>
        <v>0.33333333333333331</v>
      </c>
      <c r="I66" s="19" t="str">
        <f t="shared" si="19"/>
        <v>-</v>
      </c>
      <c r="J66" s="20">
        <f t="shared" si="19"/>
        <v>0.5</v>
      </c>
    </row>
    <row r="67" spans="1:11" x14ac:dyDescent="0.25">
      <c r="A67" s="11" t="str">
        <f t="shared" si="17"/>
        <v>6 - 7</v>
      </c>
      <c r="B67" s="12">
        <f>B47/D58</f>
        <v>5</v>
      </c>
      <c r="C67" s="12">
        <f>C47/D58</f>
        <v>8</v>
      </c>
      <c r="D67" s="17">
        <f t="shared" si="20"/>
        <v>0.29166666666666669</v>
      </c>
      <c r="E67" s="18">
        <f>IFERROR(D67*24/9,"из расчета "&amp;Обработка_сложн[[#This Row],[Объем в р. день (стандартно)]]&amp;" стр./р.день")</f>
        <v>0.77777777777777779</v>
      </c>
      <c r="F67" s="19" t="str">
        <f t="shared" si="21"/>
        <v>-</v>
      </c>
      <c r="G67" s="17">
        <f t="shared" si="21"/>
        <v>0.20833333333333334</v>
      </c>
      <c r="H67" s="18">
        <f t="shared" si="18"/>
        <v>0.55555555555555558</v>
      </c>
      <c r="I67" s="19" t="str">
        <f t="shared" si="19"/>
        <v>-</v>
      </c>
      <c r="J67" s="20">
        <f t="shared" si="19"/>
        <v>0.5</v>
      </c>
    </row>
    <row r="68" spans="1:11" x14ac:dyDescent="0.25">
      <c r="A68" s="13" t="str">
        <f t="shared" si="17"/>
        <v>8 - 15</v>
      </c>
      <c r="B68" s="14">
        <f>B48/D58</f>
        <v>7.5</v>
      </c>
      <c r="C68" s="14">
        <f>C48/D58</f>
        <v>15.5</v>
      </c>
      <c r="D68" s="17">
        <f t="shared" si="20"/>
        <v>0.375</v>
      </c>
      <c r="E68" s="24">
        <f>IFERROR(D68*24/9,"из расчета "&amp;Обработка_сложн[[#This Row],[Объем в р. день (стандартно)]]&amp;" стр./р.день")</f>
        <v>1</v>
      </c>
      <c r="F68" s="19" t="str">
        <f t="shared" si="21"/>
        <v>-</v>
      </c>
      <c r="G68" s="17" t="str">
        <f t="shared" si="21"/>
        <v>по запросу</v>
      </c>
      <c r="H68" s="18" t="str">
        <f t="shared" si="18"/>
        <v>по запросу</v>
      </c>
      <c r="I68" s="19" t="str">
        <f t="shared" si="19"/>
        <v>-</v>
      </c>
      <c r="J68" s="20" t="str">
        <f t="shared" si="19"/>
        <v>по запросу</v>
      </c>
    </row>
    <row r="69" spans="1:11" x14ac:dyDescent="0.25">
      <c r="A69" s="11" t="str">
        <f t="shared" si="17"/>
        <v>16 - 19</v>
      </c>
      <c r="B69" s="12">
        <f>B49/D58</f>
        <v>15</v>
      </c>
      <c r="C69" s="12">
        <f>C49/D58</f>
        <v>20</v>
      </c>
      <c r="D69" s="17" t="str">
        <f t="shared" si="20"/>
        <v>исходя из 1 р. день = 9ч.</v>
      </c>
      <c r="E69" s="24" t="str">
        <f>IFERROR(D69*24/9,"исходя из "&amp;Обработка_сложн[[#This Row],[Объем в р. день (стандартно)]]&amp;" илл./р.день")</f>
        <v>исходя из 15 илл./р.день</v>
      </c>
      <c r="F69" s="33">
        <f>F49/D58</f>
        <v>15</v>
      </c>
      <c r="G69" s="17" t="str">
        <f t="shared" ref="G69:G75" si="22">G49</f>
        <v>по запросу</v>
      </c>
      <c r="H69" s="24" t="str">
        <f t="shared" si="18"/>
        <v>по запросу</v>
      </c>
      <c r="I69" s="19" t="str">
        <f t="shared" si="19"/>
        <v>-</v>
      </c>
      <c r="J69" s="20" t="str">
        <f t="shared" si="19"/>
        <v>по запросу</v>
      </c>
    </row>
    <row r="70" spans="1:11" x14ac:dyDescent="0.25">
      <c r="A70" s="11" t="str">
        <f t="shared" si="17"/>
        <v>20 - 50</v>
      </c>
      <c r="B70" s="12">
        <f>B50/D58</f>
        <v>19.5</v>
      </c>
      <c r="C70" s="12">
        <f>C50/D58</f>
        <v>50.5</v>
      </c>
      <c r="D70" s="17" t="str">
        <f t="shared" si="20"/>
        <v>исходя из 1 р. день = 9ч.</v>
      </c>
      <c r="E70" s="24" t="str">
        <f>IFERROR(D70*24/9,"исходя из "&amp;Обработка_сложн[[#This Row],[Объем в р. день (стандартно)]]&amp;" илл./р.день")</f>
        <v>исходя из 15 илл./р.день</v>
      </c>
      <c r="F70" s="33">
        <f>F50/D58</f>
        <v>15</v>
      </c>
      <c r="G70" s="17" t="str">
        <f t="shared" si="22"/>
        <v>исходя из 1 р. день = 9ч.</v>
      </c>
      <c r="H70" s="17" t="str">
        <f>"исходя из "&amp;Обработка_сложн[[#This Row],[Объем в р. день (ускоренно)]]&amp;" илл./р.день"</f>
        <v>исходя из 20 илл./р.день</v>
      </c>
      <c r="I70" s="30">
        <f>I50/D58</f>
        <v>20</v>
      </c>
      <c r="J70" s="20">
        <f t="shared" ref="J70:J75" si="23">J50</f>
        <v>0.25</v>
      </c>
    </row>
    <row r="71" spans="1:11" x14ac:dyDescent="0.25">
      <c r="A71" s="11" t="str">
        <f t="shared" si="17"/>
        <v>51 - 100</v>
      </c>
      <c r="B71" s="12">
        <f>B51/D58</f>
        <v>50</v>
      </c>
      <c r="C71" s="12">
        <f>C51/D58</f>
        <v>100.5</v>
      </c>
      <c r="D71" s="17" t="str">
        <f t="shared" si="20"/>
        <v>исходя из 1 р. день = 9ч.</v>
      </c>
      <c r="E71" s="24" t="str">
        <f>IFERROR(D71*24/9,"исходя из "&amp;Обработка_сложн[[#This Row],[Объем в р. день (стандартно)]]&amp;" илл./р.день")</f>
        <v>исходя из 17 илл./р.день</v>
      </c>
      <c r="F71" s="33">
        <f>F51/D58</f>
        <v>17</v>
      </c>
      <c r="G71" s="17" t="str">
        <f t="shared" si="22"/>
        <v>исходя из 1 р. день = 9ч.</v>
      </c>
      <c r="H71" s="17" t="str">
        <f>"исходя из "&amp;Обработка_сложн[[#This Row],[Объем в р. день (ускоренно)]]&amp;" илл./р.день"</f>
        <v>исходя из 22 илл./р.день</v>
      </c>
      <c r="I71" s="30">
        <f>I51/D58</f>
        <v>22</v>
      </c>
      <c r="J71" s="20">
        <f t="shared" si="23"/>
        <v>0.25</v>
      </c>
    </row>
    <row r="72" spans="1:11" x14ac:dyDescent="0.25">
      <c r="A72" s="11" t="str">
        <f t="shared" si="17"/>
        <v>101 - 150</v>
      </c>
      <c r="B72" s="12">
        <f>B52/D58</f>
        <v>100</v>
      </c>
      <c r="C72" s="12">
        <f>C52/D58</f>
        <v>150.5</v>
      </c>
      <c r="D72" s="17" t="str">
        <f t="shared" si="20"/>
        <v>исходя из 1 р. день = 9ч.</v>
      </c>
      <c r="E72" s="24" t="str">
        <f>IFERROR(D72*24/9,"исходя из "&amp;Обработка_сложн[[#This Row],[Объем в р. день (стандартно)]]&amp;" илл./р.день")</f>
        <v>исходя из 20 илл./р.день</v>
      </c>
      <c r="F72" s="33">
        <f>F52/D58</f>
        <v>20</v>
      </c>
      <c r="G72" s="17" t="str">
        <f t="shared" si="22"/>
        <v>исходя из 1 р. день = 9ч.</v>
      </c>
      <c r="H72" s="17" t="str">
        <f>"исходя из "&amp;Обработка_сложн[[#This Row],[Объем в р. день (ускоренно)]]&amp;" илл./р.день"</f>
        <v>исходя из 25 илл./р.день</v>
      </c>
      <c r="I72" s="30">
        <f>I52/D58</f>
        <v>25</v>
      </c>
      <c r="J72" s="20">
        <f t="shared" si="23"/>
        <v>0.25</v>
      </c>
    </row>
    <row r="73" spans="1:11" x14ac:dyDescent="0.25">
      <c r="A73" s="11" t="str">
        <f t="shared" si="17"/>
        <v>151 - 200</v>
      </c>
      <c r="B73" s="12">
        <f>B53/D58</f>
        <v>150</v>
      </c>
      <c r="C73" s="12">
        <f>C53/D58</f>
        <v>200.5</v>
      </c>
      <c r="D73" s="17" t="str">
        <f t="shared" si="20"/>
        <v>исходя из 1 р. день = 9ч.</v>
      </c>
      <c r="E73" s="24" t="str">
        <f>IFERROR(D73*24/9,"исходя из "&amp;Обработка_сложн[[#This Row],[Объем в р. день (стандартно)]]&amp;" илл./р.день")</f>
        <v>исходя из 20 илл./р.день</v>
      </c>
      <c r="F73" s="33">
        <f>F53/D58</f>
        <v>20</v>
      </c>
      <c r="G73" s="17" t="str">
        <f t="shared" si="22"/>
        <v>исходя из 1 р. день = 9ч.</v>
      </c>
      <c r="H73" s="17" t="str">
        <f>"исходя из "&amp;Обработка_сложн[[#This Row],[Объем в р. день (ускоренно)]]&amp;" илл./р.день"</f>
        <v>исходя из 25 илл./р.день</v>
      </c>
      <c r="I73" s="30">
        <f>I53/D58</f>
        <v>25</v>
      </c>
      <c r="J73" s="20">
        <f t="shared" si="23"/>
        <v>0.25</v>
      </c>
    </row>
    <row r="74" spans="1:11" x14ac:dyDescent="0.25">
      <c r="A74" s="11" t="str">
        <f t="shared" si="17"/>
        <v>201 - 250</v>
      </c>
      <c r="B74" s="12">
        <f>B54/D58</f>
        <v>200</v>
      </c>
      <c r="C74" s="12">
        <f>C54/D58</f>
        <v>250.5</v>
      </c>
      <c r="D74" s="17" t="str">
        <f t="shared" si="20"/>
        <v>исходя из 1 р. день = 9ч.</v>
      </c>
      <c r="E74" s="24" t="str">
        <f>IFERROR(D74*24/9,"исходя из "&amp;Обработка_сложн[[#This Row],[Объем в р. день (стандартно)]]&amp;" илл./р.день")</f>
        <v>исходя из 25 илл./р.день</v>
      </c>
      <c r="F74" s="33">
        <f>F54/D58</f>
        <v>25</v>
      </c>
      <c r="G74" s="17" t="str">
        <f t="shared" si="22"/>
        <v>исходя из 1 р. день = 9ч.</v>
      </c>
      <c r="H74" s="17" t="str">
        <f>"исходя из "&amp;Обработка_сложн[[#This Row],[Объем в р. день (ускоренно)]]&amp;" илл./р.день"</f>
        <v>исходя из 30 илл./р.день</v>
      </c>
      <c r="I74" s="30">
        <f>I54/D58</f>
        <v>30</v>
      </c>
      <c r="J74" s="20">
        <f t="shared" si="23"/>
        <v>0.25</v>
      </c>
    </row>
    <row r="75" spans="1:11" x14ac:dyDescent="0.25">
      <c r="A75" s="11" t="str">
        <f t="shared" si="17"/>
        <v>251 - 300</v>
      </c>
      <c r="B75" s="12">
        <f>B55/D58</f>
        <v>250</v>
      </c>
      <c r="C75" s="12">
        <f>C55/D58</f>
        <v>300.5</v>
      </c>
      <c r="D75" s="17" t="str">
        <f t="shared" si="20"/>
        <v>исходя из 1 р. день = 9ч.</v>
      </c>
      <c r="E75" s="24" t="str">
        <f>IFERROR(D75*24/9,"исходя из "&amp;Обработка_сложн[[#This Row],[Объем в р. день (стандартно)]]&amp;" илл./р.день")</f>
        <v>исходя из 25 илл./р.день</v>
      </c>
      <c r="F75" s="33">
        <f>F55/D58</f>
        <v>25</v>
      </c>
      <c r="G75" s="17" t="str">
        <f t="shared" si="22"/>
        <v>исходя из 1 р. день = 9ч.</v>
      </c>
      <c r="H75" s="17" t="str">
        <f>"исходя из "&amp;Обработка_сложн[[#This Row],[Объем в р. день (ускоренно)]]&amp;" илл./р.день"</f>
        <v>исходя из 30 илл./р.день</v>
      </c>
      <c r="I75" s="30">
        <f>I55/D58</f>
        <v>30</v>
      </c>
      <c r="J75" s="20">
        <f t="shared" si="23"/>
        <v>0.25</v>
      </c>
    </row>
    <row r="78" spans="1:11" s="31" customFormat="1" x14ac:dyDescent="0.25"/>
    <row r="80" spans="1:1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</row>
    <row r="81" spans="1:11" ht="27" thickBot="1" x14ac:dyDescent="0.3">
      <c r="A81" s="100" t="s">
        <v>33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6"/>
    </row>
    <row r="82" spans="1:11" ht="40.5" customHeight="1" thickTop="1" x14ac:dyDescent="0.25">
      <c r="A82" s="7"/>
      <c r="B82" s="7"/>
      <c r="C82" s="7"/>
      <c r="D82" s="97" t="s">
        <v>36</v>
      </c>
      <c r="E82" s="98"/>
      <c r="F82" s="99"/>
      <c r="G82" s="97" t="s">
        <v>37</v>
      </c>
      <c r="H82" s="98"/>
      <c r="I82" s="98"/>
      <c r="J82" s="99"/>
      <c r="K82" s="16"/>
    </row>
    <row r="83" spans="1:11" x14ac:dyDescent="0.25">
      <c r="A83" s="5" t="s">
        <v>0</v>
      </c>
      <c r="B83" s="1" t="s">
        <v>5</v>
      </c>
      <c r="C83" s="1" t="s">
        <v>6</v>
      </c>
      <c r="D83" s="8" t="s">
        <v>12</v>
      </c>
      <c r="E83" s="8" t="s">
        <v>13</v>
      </c>
      <c r="F83" s="6" t="s">
        <v>14</v>
      </c>
      <c r="G83" s="8" t="s">
        <v>15</v>
      </c>
      <c r="H83" s="6" t="s">
        <v>16</v>
      </c>
      <c r="I83" s="6" t="s">
        <v>17</v>
      </c>
      <c r="J83" s="6" t="s">
        <v>18</v>
      </c>
      <c r="K83" s="16"/>
    </row>
    <row r="84" spans="1:11" x14ac:dyDescent="0.25">
      <c r="A84" s="11" t="str">
        <f t="shared" ref="A84:A94" si="24">B84+1&amp;" - "&amp;C84-1</f>
        <v>1 - 10</v>
      </c>
      <c r="B84" s="35">
        <v>0</v>
      </c>
      <c r="C84" s="35">
        <v>11</v>
      </c>
      <c r="D84" s="17">
        <v>8.3333333333333329E-2</v>
      </c>
      <c r="E84" s="18">
        <f>IFERROR(D84*24/9,"исходя из "&amp;Вставка_станд[[#This Row],[Объем в р. день (стандартно)]]&amp;" илл./р.день")</f>
        <v>0.22222222222222221</v>
      </c>
      <c r="F84" s="19" t="s">
        <v>11</v>
      </c>
      <c r="G84" s="17">
        <v>4.1666666666666664E-2</v>
      </c>
      <c r="H84" s="19">
        <f t="shared" ref="H84:H88" si="25">IFERROR(G84*24/9,"по запросу")</f>
        <v>0.1111111111111111</v>
      </c>
      <c r="I84" s="19" t="s">
        <v>11</v>
      </c>
      <c r="J84" s="22">
        <v>1</v>
      </c>
      <c r="K84" s="16"/>
    </row>
    <row r="85" spans="1:11" x14ac:dyDescent="0.25">
      <c r="A85" s="11" t="str">
        <f t="shared" si="24"/>
        <v>11 - 20</v>
      </c>
      <c r="B85" s="35">
        <v>10</v>
      </c>
      <c r="C85" s="35">
        <v>21</v>
      </c>
      <c r="D85" s="17">
        <v>0.125</v>
      </c>
      <c r="E85" s="18">
        <f>IFERROR(D85*24/9,"исходя из "&amp;Вставка_станд[[#This Row],[Объем в р. день (стандартно)]]&amp;" илл./р.день")</f>
        <v>0.33333333333333331</v>
      </c>
      <c r="F85" s="18" t="s">
        <v>11</v>
      </c>
      <c r="G85" s="17">
        <v>6.25E-2</v>
      </c>
      <c r="H85" s="18">
        <f t="shared" si="25"/>
        <v>0.16666666666666666</v>
      </c>
      <c r="I85" s="18" t="s">
        <v>11</v>
      </c>
      <c r="J85" s="22">
        <v>1</v>
      </c>
      <c r="K85" s="16"/>
    </row>
    <row r="86" spans="1:11" x14ac:dyDescent="0.25">
      <c r="A86" s="11" t="str">
        <f t="shared" si="24"/>
        <v>21 - 40</v>
      </c>
      <c r="B86" s="35">
        <v>20</v>
      </c>
      <c r="C86" s="35">
        <v>41</v>
      </c>
      <c r="D86" s="17">
        <v>0.20833333333333334</v>
      </c>
      <c r="E86" s="18">
        <f>IFERROR(D86*24/9,"исходя из "&amp;Вставка_станд[[#This Row],[Объем в р. день (стандартно)]]&amp;" илл./р.день")</f>
        <v>0.55555555555555558</v>
      </c>
      <c r="F86" s="18" t="s">
        <v>11</v>
      </c>
      <c r="G86" s="17">
        <v>0.16666666666666666</v>
      </c>
      <c r="H86" s="18">
        <f t="shared" si="25"/>
        <v>0.44444444444444442</v>
      </c>
      <c r="I86" s="18" t="s">
        <v>11</v>
      </c>
      <c r="J86" s="22">
        <v>0.5</v>
      </c>
      <c r="K86" s="16"/>
    </row>
    <row r="87" spans="1:11" x14ac:dyDescent="0.25">
      <c r="A87" s="11" t="str">
        <f t="shared" si="24"/>
        <v>41 - 80</v>
      </c>
      <c r="B87" s="35">
        <v>40</v>
      </c>
      <c r="C87" s="35">
        <v>81</v>
      </c>
      <c r="D87" s="23">
        <v>0.375</v>
      </c>
      <c r="E87" s="24">
        <f>IFERROR(D87*24/9,"исходя из "&amp;Вставка_станд[[#This Row],[Объем в р. день (стандартно)]]&amp;" илл./р.день")</f>
        <v>1</v>
      </c>
      <c r="F87" s="18" t="s">
        <v>11</v>
      </c>
      <c r="G87" s="17">
        <v>0.29166666666666669</v>
      </c>
      <c r="H87" s="18">
        <f t="shared" si="25"/>
        <v>0.77777777777777779</v>
      </c>
      <c r="I87" s="18" t="s">
        <v>11</v>
      </c>
      <c r="J87" s="22">
        <v>0.5</v>
      </c>
      <c r="K87" s="16"/>
    </row>
    <row r="88" spans="1:11" x14ac:dyDescent="0.25">
      <c r="A88" s="11" t="str">
        <f t="shared" si="24"/>
        <v>81 - 99</v>
      </c>
      <c r="B88" s="35">
        <v>80</v>
      </c>
      <c r="C88" s="35">
        <v>100</v>
      </c>
      <c r="D88" s="17" t="str">
        <f>"исходя из 1 р. день = 9ч."</f>
        <v>исходя из 1 р. день = 9ч.</v>
      </c>
      <c r="E88" s="24" t="str">
        <f>IFERROR(D88*24/9,"исходя из "&amp;Вставка_станд[[#This Row],[Объем в р. день (стандартно)]]&amp;" илл./р.день")</f>
        <v>исходя из 80 илл./р.день</v>
      </c>
      <c r="F88" s="25">
        <v>80</v>
      </c>
      <c r="G88" s="17" t="s">
        <v>10</v>
      </c>
      <c r="H88" s="18" t="str">
        <f t="shared" si="25"/>
        <v>по запросу</v>
      </c>
      <c r="I88" s="25" t="s">
        <v>11</v>
      </c>
      <c r="J88" s="22">
        <v>0.5</v>
      </c>
      <c r="K88" s="16"/>
    </row>
    <row r="89" spans="1:11" x14ac:dyDescent="0.25">
      <c r="A89" s="11" t="str">
        <f t="shared" si="24"/>
        <v>100 - 200</v>
      </c>
      <c r="B89" s="35">
        <v>99</v>
      </c>
      <c r="C89" s="35">
        <v>201</v>
      </c>
      <c r="D89" s="17" t="str">
        <f t="shared" ref="D89:D94" si="26">"исходя из 1 р. день = 9ч."</f>
        <v>исходя из 1 р. день = 9ч.</v>
      </c>
      <c r="E89" s="18" t="str">
        <f>IFERROR(D89*24/9,"исходя из "&amp;Вставка_станд[[#This Row],[Объем в р. день (стандартно)]]&amp;" илл./р.день")</f>
        <v>исходя из 80 илл./р.день</v>
      </c>
      <c r="F89" s="26">
        <v>80</v>
      </c>
      <c r="G89" s="17" t="str">
        <f t="shared" ref="G89:G94" si="27">"исходя из 1 р. день = 9ч."</f>
        <v>исходя из 1 р. день = 9ч.</v>
      </c>
      <c r="H89" s="17" t="str">
        <f>"исходя из "&amp;Вставка_станд[[#This Row],[Объем в р. день (ускоренно)]]&amp;" илл./р.день"</f>
        <v>исходя из 120 илл./р.день</v>
      </c>
      <c r="I89" s="26">
        <v>120</v>
      </c>
      <c r="J89" s="22">
        <v>0.25</v>
      </c>
      <c r="K89" s="16"/>
    </row>
    <row r="90" spans="1:11" x14ac:dyDescent="0.25">
      <c r="A90" s="11" t="str">
        <f t="shared" si="24"/>
        <v>201 - 300</v>
      </c>
      <c r="B90" s="35">
        <v>200</v>
      </c>
      <c r="C90" s="35">
        <v>301</v>
      </c>
      <c r="D90" s="17" t="str">
        <f t="shared" si="26"/>
        <v>исходя из 1 р. день = 9ч.</v>
      </c>
      <c r="E90" s="18" t="str">
        <f>IFERROR(D90*24/9,"исходя из "&amp;Вставка_станд[[#This Row],[Объем в р. день (стандартно)]]&amp;" илл./р.день")</f>
        <v>исходя из 100 илл./р.день</v>
      </c>
      <c r="F90" s="26">
        <v>100</v>
      </c>
      <c r="G90" s="17" t="str">
        <f t="shared" si="27"/>
        <v>исходя из 1 р. день = 9ч.</v>
      </c>
      <c r="H90" s="17" t="str">
        <f>"исходя из "&amp;Вставка_станд[[#This Row],[Объем в р. день (ускоренно)]]&amp;" илл./р.день"</f>
        <v>исходя из 140 илл./р.день</v>
      </c>
      <c r="I90" s="26">
        <v>140</v>
      </c>
      <c r="J90" s="22">
        <v>0.25</v>
      </c>
      <c r="K90" s="16"/>
    </row>
    <row r="91" spans="1:11" x14ac:dyDescent="0.25">
      <c r="A91" s="11" t="str">
        <f t="shared" si="24"/>
        <v>301 - 400</v>
      </c>
      <c r="B91" s="35">
        <v>300</v>
      </c>
      <c r="C91" s="35">
        <v>401</v>
      </c>
      <c r="D91" s="17" t="str">
        <f t="shared" si="26"/>
        <v>исходя из 1 р. день = 9ч.</v>
      </c>
      <c r="E91" s="18" t="str">
        <f>IFERROR(D91*24/9,"исходя из "&amp;Вставка_станд[[#This Row],[Объем в р. день (стандартно)]]&amp;" илл./р.день")</f>
        <v>исходя из 100 илл./р.день</v>
      </c>
      <c r="F91" s="26">
        <v>100</v>
      </c>
      <c r="G91" s="17" t="str">
        <f t="shared" si="27"/>
        <v>исходя из 1 р. день = 9ч.</v>
      </c>
      <c r="H91" s="17" t="str">
        <f>"исходя из "&amp;Вставка_станд[[#This Row],[Объем в р. день (ускоренно)]]&amp;" илл./р.день"</f>
        <v>исходя из 140 илл./р.день</v>
      </c>
      <c r="I91" s="26">
        <v>140</v>
      </c>
      <c r="J91" s="22">
        <v>0.25</v>
      </c>
      <c r="K91" s="16"/>
    </row>
    <row r="92" spans="1:11" x14ac:dyDescent="0.25">
      <c r="A92" s="11" t="str">
        <f t="shared" si="24"/>
        <v>401 - 500</v>
      </c>
      <c r="B92" s="35">
        <v>400</v>
      </c>
      <c r="C92" s="35">
        <v>501</v>
      </c>
      <c r="D92" s="17" t="str">
        <f t="shared" si="26"/>
        <v>исходя из 1 р. день = 9ч.</v>
      </c>
      <c r="E92" s="18" t="str">
        <f>IFERROR(D92*24/9,"исходя из "&amp;Вставка_станд[[#This Row],[Объем в р. день (стандартно)]]&amp;" илл./р.день")</f>
        <v>исходя из 120 илл./р.день</v>
      </c>
      <c r="F92" s="26">
        <v>120</v>
      </c>
      <c r="G92" s="17" t="str">
        <f t="shared" si="27"/>
        <v>исходя из 1 р. день = 9ч.</v>
      </c>
      <c r="H92" s="17" t="str">
        <f>"исходя из "&amp;Вставка_станд[[#This Row],[Объем в р. день (ускоренно)]]&amp;" илл./р.день"</f>
        <v>исходя из 160 илл./р.день</v>
      </c>
      <c r="I92" s="26">
        <v>160</v>
      </c>
      <c r="J92" s="22">
        <v>0.25</v>
      </c>
      <c r="K92" s="16"/>
    </row>
    <row r="93" spans="1:11" x14ac:dyDescent="0.25">
      <c r="A93" s="11" t="str">
        <f t="shared" si="24"/>
        <v>501 - 600</v>
      </c>
      <c r="B93" s="35">
        <v>500</v>
      </c>
      <c r="C93" s="35">
        <v>601</v>
      </c>
      <c r="D93" s="17" t="str">
        <f t="shared" si="26"/>
        <v>исходя из 1 р. день = 9ч.</v>
      </c>
      <c r="E93" s="18" t="str">
        <f>IFERROR(D93*24/9,"исходя из "&amp;Вставка_станд[[#This Row],[Объем в р. день (стандартно)]]&amp;" илл./р.день")</f>
        <v>исходя из 140 илл./р.день</v>
      </c>
      <c r="F93" s="26">
        <v>140</v>
      </c>
      <c r="G93" s="17" t="str">
        <f t="shared" si="27"/>
        <v>исходя из 1 р. день = 9ч.</v>
      </c>
      <c r="H93" s="17" t="str">
        <f>"исходя из "&amp;Вставка_станд[[#This Row],[Объем в р. день (ускоренно)]]&amp;" илл./р.день"</f>
        <v>исходя из 160 илл./р.день</v>
      </c>
      <c r="I93" s="26">
        <v>160</v>
      </c>
      <c r="J93" s="22">
        <v>0.25</v>
      </c>
      <c r="K93" s="16"/>
    </row>
    <row r="94" spans="1:11" x14ac:dyDescent="0.25">
      <c r="A94" s="11" t="str">
        <f t="shared" si="24"/>
        <v>601 - 700</v>
      </c>
      <c r="B94" s="35">
        <v>600</v>
      </c>
      <c r="C94" s="35">
        <v>701</v>
      </c>
      <c r="D94" s="17" t="str">
        <f t="shared" si="26"/>
        <v>исходя из 1 р. день = 9ч.</v>
      </c>
      <c r="E94" s="18" t="str">
        <f>IFERROR(D94*24/9,"исходя из "&amp;Вставка_станд[[#This Row],[Объем в р. день (стандартно)]]&amp;" илл./р.день")</f>
        <v>исходя из 140 илл./р.день</v>
      </c>
      <c r="F94" s="26">
        <v>140</v>
      </c>
      <c r="G94" s="17" t="str">
        <f t="shared" si="27"/>
        <v>исходя из 1 р. день = 9ч.</v>
      </c>
      <c r="H94" s="17" t="str">
        <f>"исходя из "&amp;Вставка_станд[[#This Row],[Объем в р. день (ускоренно)]]&amp;" илл./р.день"</f>
        <v>исходя из 180 илл./р.день</v>
      </c>
      <c r="I94" s="26">
        <v>180</v>
      </c>
      <c r="J94" s="27">
        <v>0.25</v>
      </c>
      <c r="K94" s="16"/>
    </row>
    <row r="95" spans="1:1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</row>
    <row r="97" spans="1:10" ht="32.25" x14ac:dyDescent="0.5">
      <c r="A97" s="103" t="s">
        <v>35</v>
      </c>
      <c r="B97" s="103"/>
      <c r="C97" s="103"/>
      <c r="D97" s="9">
        <v>2</v>
      </c>
    </row>
    <row r="98" spans="1:10" x14ac:dyDescent="0.25">
      <c r="A98" s="36"/>
      <c r="B98" s="36"/>
      <c r="C98" s="36"/>
      <c r="D98" s="37"/>
    </row>
    <row r="100" spans="1:10" ht="26.25" x14ac:dyDescent="0.25">
      <c r="A100" s="100" t="s">
        <v>34</v>
      </c>
      <c r="B100" s="100"/>
      <c r="C100" s="100"/>
      <c r="D100" s="100"/>
      <c r="E100" s="100"/>
      <c r="F100" s="100"/>
      <c r="G100" s="100"/>
      <c r="H100" s="100"/>
      <c r="I100" s="100"/>
      <c r="J100" s="100"/>
    </row>
    <row r="101" spans="1:10" ht="47.25" customHeight="1" thickBot="1" x14ac:dyDescent="0.3">
      <c r="A101" s="102" t="str">
        <f xml:space="preserve"> "(в расчетах и формулах сложные единицы переводятся в стандартные с k = "&amp;D97&amp;" расчет производится в соответствии
с таблицей выше; данная таблица представлена для иллюстрации алгоритма расчета)"</f>
        <v>(в расчетах и формулах сложные единицы переводятся в стандартные с k = 2 расчет производится в соответствии
с таблицей выше; данная таблица представлена для иллюстрации алгоритма расчета)</v>
      </c>
      <c r="B101" s="102"/>
      <c r="C101" s="102"/>
      <c r="D101" s="102"/>
      <c r="E101" s="102"/>
      <c r="F101" s="102"/>
      <c r="G101" s="102"/>
      <c r="H101" s="102"/>
      <c r="I101" s="102"/>
      <c r="J101" s="102"/>
    </row>
    <row r="102" spans="1:10" ht="42.75" customHeight="1" thickTop="1" x14ac:dyDescent="0.25">
      <c r="A102" s="7"/>
      <c r="B102" s="7"/>
      <c r="C102" s="7"/>
      <c r="D102" s="97" t="s">
        <v>36</v>
      </c>
      <c r="E102" s="98"/>
      <c r="F102" s="99"/>
      <c r="G102" s="97" t="s">
        <v>37</v>
      </c>
      <c r="H102" s="98"/>
      <c r="I102" s="98"/>
      <c r="J102" s="99"/>
    </row>
    <row r="103" spans="1:10" x14ac:dyDescent="0.25">
      <c r="A103" s="5" t="s">
        <v>0</v>
      </c>
      <c r="B103" s="1" t="s">
        <v>5</v>
      </c>
      <c r="C103" s="1" t="s">
        <v>6</v>
      </c>
      <c r="D103" s="8" t="s">
        <v>12</v>
      </c>
      <c r="E103" s="8" t="s">
        <v>13</v>
      </c>
      <c r="F103" s="6" t="s">
        <v>14</v>
      </c>
      <c r="G103" s="8" t="s">
        <v>15</v>
      </c>
      <c r="H103" s="6" t="s">
        <v>16</v>
      </c>
      <c r="I103" s="6" t="s">
        <v>17</v>
      </c>
      <c r="J103" s="6" t="s">
        <v>18</v>
      </c>
    </row>
    <row r="104" spans="1:10" x14ac:dyDescent="0.25">
      <c r="A104" s="11" t="str">
        <f t="shared" ref="A104:A114" si="28">ROUNDDOWN(B104+1,0)&amp;" - "&amp;ROUNDUP(C104-1,0)</f>
        <v>1 - 5</v>
      </c>
      <c r="B104" s="34">
        <f t="shared" ref="B104" si="29">B84/D97</f>
        <v>0</v>
      </c>
      <c r="C104" s="34">
        <f>C84/D97</f>
        <v>5.5</v>
      </c>
      <c r="D104" s="17">
        <f>D84</f>
        <v>8.3333333333333329E-2</v>
      </c>
      <c r="E104" s="18">
        <f>IFERROR(D104*24/9,"из расчета "&amp;Вставка_сложн[[#This Row],[Объем в р. день (стандартно)]]&amp;" стр./р.день")</f>
        <v>0.22222222222222221</v>
      </c>
      <c r="F104" s="19" t="str">
        <f t="shared" ref="F104:G107" si="30">F84</f>
        <v>-</v>
      </c>
      <c r="G104" s="17">
        <f t="shared" si="30"/>
        <v>4.1666666666666664E-2</v>
      </c>
      <c r="H104" s="19">
        <f t="shared" ref="H104:H108" si="31">IFERROR(G104*24/9,"по запросу")</f>
        <v>0.1111111111111111</v>
      </c>
      <c r="I104" s="19" t="str">
        <f>I84</f>
        <v>-</v>
      </c>
      <c r="J104" s="20">
        <f>J84</f>
        <v>1</v>
      </c>
    </row>
    <row r="105" spans="1:10" x14ac:dyDescent="0.25">
      <c r="A105" s="11" t="str">
        <f t="shared" si="28"/>
        <v>6 - 10</v>
      </c>
      <c r="B105" s="34">
        <f>B85/D97</f>
        <v>5</v>
      </c>
      <c r="C105" s="34">
        <f t="shared" ref="C105" si="32">C85/D97</f>
        <v>10.5</v>
      </c>
      <c r="D105" s="17">
        <f t="shared" ref="D105:D114" si="33">D85</f>
        <v>0.125</v>
      </c>
      <c r="E105" s="18">
        <f>IFERROR(D105*24/9,"из расчета "&amp;Вставка_сложн[[#This Row],[Объем в р. день (стандартно)]]&amp;" стр./р.день")</f>
        <v>0.33333333333333331</v>
      </c>
      <c r="F105" s="19" t="str">
        <f t="shared" si="30"/>
        <v>-</v>
      </c>
      <c r="G105" s="17">
        <f t="shared" si="30"/>
        <v>6.25E-2</v>
      </c>
      <c r="H105" s="18">
        <f t="shared" si="31"/>
        <v>0.16666666666666666</v>
      </c>
      <c r="I105" s="19" t="str">
        <f t="shared" ref="I105:J114" si="34">I85</f>
        <v>-</v>
      </c>
      <c r="J105" s="20">
        <f t="shared" si="34"/>
        <v>1</v>
      </c>
    </row>
    <row r="106" spans="1:10" x14ac:dyDescent="0.25">
      <c r="A106" s="11" t="str">
        <f t="shared" si="28"/>
        <v>11 - 20</v>
      </c>
      <c r="B106" s="34">
        <f>B86/D97</f>
        <v>10</v>
      </c>
      <c r="C106" s="34">
        <f>C86/D97</f>
        <v>20.5</v>
      </c>
      <c r="D106" s="17">
        <f t="shared" si="33"/>
        <v>0.20833333333333334</v>
      </c>
      <c r="E106" s="18">
        <f>IFERROR(D106*24/9,"из расчета "&amp;Вставка_сложн[[#This Row],[Объем в р. день (стандартно)]]&amp;" стр./р.день")</f>
        <v>0.55555555555555558</v>
      </c>
      <c r="F106" s="19" t="str">
        <f t="shared" si="30"/>
        <v>-</v>
      </c>
      <c r="G106" s="17">
        <f t="shared" si="30"/>
        <v>0.16666666666666666</v>
      </c>
      <c r="H106" s="18">
        <f t="shared" si="31"/>
        <v>0.44444444444444442</v>
      </c>
      <c r="I106" s="19" t="str">
        <f t="shared" si="34"/>
        <v>-</v>
      </c>
      <c r="J106" s="20">
        <f t="shared" si="34"/>
        <v>0.5</v>
      </c>
    </row>
    <row r="107" spans="1:10" x14ac:dyDescent="0.25">
      <c r="A107" s="13" t="str">
        <f t="shared" si="28"/>
        <v>21 - 40</v>
      </c>
      <c r="B107" s="34">
        <f>B87/D97</f>
        <v>20</v>
      </c>
      <c r="C107" s="34">
        <f>C87/D97</f>
        <v>40.5</v>
      </c>
      <c r="D107" s="17">
        <f t="shared" si="33"/>
        <v>0.375</v>
      </c>
      <c r="E107" s="24">
        <f>IFERROR(D107*24/9,"из расчета "&amp;Вставка_сложн[[#This Row],[Объем в р. день (стандартно)]]&amp;" стр./р.день")</f>
        <v>1</v>
      </c>
      <c r="F107" s="19" t="str">
        <f t="shared" si="30"/>
        <v>-</v>
      </c>
      <c r="G107" s="17">
        <f t="shared" si="30"/>
        <v>0.29166666666666669</v>
      </c>
      <c r="H107" s="18">
        <f t="shared" si="31"/>
        <v>0.77777777777777779</v>
      </c>
      <c r="I107" s="19" t="str">
        <f t="shared" si="34"/>
        <v>-</v>
      </c>
      <c r="J107" s="20">
        <f t="shared" si="34"/>
        <v>0.5</v>
      </c>
    </row>
    <row r="108" spans="1:10" x14ac:dyDescent="0.25">
      <c r="A108" s="11" t="str">
        <f t="shared" si="28"/>
        <v>41 - 49</v>
      </c>
      <c r="B108" s="34">
        <f>B88/D97</f>
        <v>40</v>
      </c>
      <c r="C108" s="34">
        <f>C88/D97</f>
        <v>50</v>
      </c>
      <c r="D108" s="17" t="str">
        <f t="shared" si="33"/>
        <v>исходя из 1 р. день = 9ч.</v>
      </c>
      <c r="E108" s="24" t="str">
        <f>IFERROR(D108*24/9,"из расчета "&amp;Вставка_сложн[[#This Row],[Объем в р. день (стандартно)]]&amp;" илл./р.день")</f>
        <v>из расчета 40 илл./р.день</v>
      </c>
      <c r="F108" s="19">
        <f>F88/D97</f>
        <v>40</v>
      </c>
      <c r="G108" s="17" t="str">
        <f t="shared" ref="G108:G114" si="35">G88</f>
        <v>по запросу</v>
      </c>
      <c r="H108" s="18" t="str">
        <f t="shared" si="31"/>
        <v>по запросу</v>
      </c>
      <c r="I108" s="19" t="str">
        <f t="shared" si="34"/>
        <v>-</v>
      </c>
      <c r="J108" s="20">
        <f t="shared" si="34"/>
        <v>0.5</v>
      </c>
    </row>
    <row r="109" spans="1:10" x14ac:dyDescent="0.25">
      <c r="A109" s="11" t="str">
        <f t="shared" si="28"/>
        <v>50 - 100</v>
      </c>
      <c r="B109" s="34">
        <f>B89/D97</f>
        <v>49.5</v>
      </c>
      <c r="C109" s="34">
        <f>C89/D97</f>
        <v>100.5</v>
      </c>
      <c r="D109" s="17" t="str">
        <f t="shared" si="33"/>
        <v>исходя из 1 р. день = 9ч.</v>
      </c>
      <c r="E109" s="24" t="str">
        <f>IFERROR(D109*24/9,"из расчета "&amp;Вставка_сложн[[#This Row],[Объем в р. день (стандартно)]]&amp;" илл./р.день")</f>
        <v>из расчета 40 илл./р.день</v>
      </c>
      <c r="F109" s="19">
        <f>F89/D97</f>
        <v>40</v>
      </c>
      <c r="G109" s="17" t="str">
        <f t="shared" si="35"/>
        <v>исходя из 1 р. день = 9ч.</v>
      </c>
      <c r="H109" s="17" t="str">
        <f>"из расчета "&amp;Вставка_сложн[[#This Row],[Объем в р. день (ускоренно)]]&amp;" илл./р.день"</f>
        <v>из расчета 60 илл./р.день</v>
      </c>
      <c r="I109" s="18">
        <f>I89/D97</f>
        <v>60</v>
      </c>
      <c r="J109" s="20">
        <f t="shared" si="34"/>
        <v>0.25</v>
      </c>
    </row>
    <row r="110" spans="1:10" x14ac:dyDescent="0.25">
      <c r="A110" s="11" t="str">
        <f t="shared" si="28"/>
        <v>101 - 150</v>
      </c>
      <c r="B110" s="34">
        <f>B90/D97</f>
        <v>100</v>
      </c>
      <c r="C110" s="34">
        <f>C90/D97</f>
        <v>150.5</v>
      </c>
      <c r="D110" s="17" t="str">
        <f t="shared" si="33"/>
        <v>исходя из 1 р. день = 9ч.</v>
      </c>
      <c r="E110" s="24" t="str">
        <f>IFERROR(D110*24/9,"из расчета "&amp;Вставка_сложн[[#This Row],[Объем в р. день (стандартно)]]&amp;" илл./р.день")</f>
        <v>из расчета 50 илл./р.день</v>
      </c>
      <c r="F110" s="19">
        <f>F90/D97</f>
        <v>50</v>
      </c>
      <c r="G110" s="17" t="str">
        <f t="shared" si="35"/>
        <v>исходя из 1 р. день = 9ч.</v>
      </c>
      <c r="H110" s="17" t="str">
        <f>"из расчета "&amp;Вставка_сложн[[#This Row],[Объем в р. день (ускоренно)]]&amp;" илл./р.день"</f>
        <v>из расчета 70 илл./р.день</v>
      </c>
      <c r="I110" s="18">
        <f>I90/D97</f>
        <v>70</v>
      </c>
      <c r="J110" s="20">
        <f t="shared" si="34"/>
        <v>0.25</v>
      </c>
    </row>
    <row r="111" spans="1:10" x14ac:dyDescent="0.25">
      <c r="A111" s="11" t="str">
        <f t="shared" si="28"/>
        <v>151 - 200</v>
      </c>
      <c r="B111" s="34">
        <f>B91/D97</f>
        <v>150</v>
      </c>
      <c r="C111" s="34">
        <f>C91/D97</f>
        <v>200.5</v>
      </c>
      <c r="D111" s="17" t="str">
        <f t="shared" si="33"/>
        <v>исходя из 1 р. день = 9ч.</v>
      </c>
      <c r="E111" s="24" t="str">
        <f>IFERROR(D111*24/9,"из расчета "&amp;Вставка_сложн[[#This Row],[Объем в р. день (стандартно)]]&amp;" илл./р.день")</f>
        <v>из расчета 50 илл./р.день</v>
      </c>
      <c r="F111" s="19">
        <f>F91/D97</f>
        <v>50</v>
      </c>
      <c r="G111" s="17" t="str">
        <f t="shared" si="35"/>
        <v>исходя из 1 р. день = 9ч.</v>
      </c>
      <c r="H111" s="17" t="str">
        <f>"из расчета "&amp;Вставка_сложн[[#This Row],[Объем в р. день (ускоренно)]]&amp;" илл./р.день"</f>
        <v>из расчета 70 илл./р.день</v>
      </c>
      <c r="I111" s="18">
        <f>I91/D97</f>
        <v>70</v>
      </c>
      <c r="J111" s="20">
        <f t="shared" si="34"/>
        <v>0.25</v>
      </c>
    </row>
    <row r="112" spans="1:10" x14ac:dyDescent="0.25">
      <c r="A112" s="11" t="str">
        <f t="shared" si="28"/>
        <v>201 - 250</v>
      </c>
      <c r="B112" s="34">
        <f>B92/D97</f>
        <v>200</v>
      </c>
      <c r="C112" s="34">
        <f>C92/D97</f>
        <v>250.5</v>
      </c>
      <c r="D112" s="17" t="str">
        <f t="shared" si="33"/>
        <v>исходя из 1 р. день = 9ч.</v>
      </c>
      <c r="E112" s="24" t="str">
        <f>IFERROR(D112*24/9,"из расчета "&amp;Вставка_сложн[[#This Row],[Объем в р. день (стандартно)]]&amp;" илл./р.день")</f>
        <v>из расчета 60 илл./р.день</v>
      </c>
      <c r="F112" s="19">
        <f>F92/D97</f>
        <v>60</v>
      </c>
      <c r="G112" s="17" t="str">
        <f t="shared" si="35"/>
        <v>исходя из 1 р. день = 9ч.</v>
      </c>
      <c r="H112" s="17" t="str">
        <f>"из расчета "&amp;Вставка_сложн[[#This Row],[Объем в р. день (ускоренно)]]&amp;" илл./р.день"</f>
        <v>из расчета 80 илл./р.день</v>
      </c>
      <c r="I112" s="18">
        <f>I92/D97</f>
        <v>80</v>
      </c>
      <c r="J112" s="20">
        <f t="shared" si="34"/>
        <v>0.25</v>
      </c>
    </row>
    <row r="113" spans="1:10" x14ac:dyDescent="0.25">
      <c r="A113" s="11" t="str">
        <f t="shared" si="28"/>
        <v>251 - 300</v>
      </c>
      <c r="B113" s="34">
        <f>B93/D97</f>
        <v>250</v>
      </c>
      <c r="C113" s="34">
        <f>C93/D97</f>
        <v>300.5</v>
      </c>
      <c r="D113" s="17" t="str">
        <f t="shared" si="33"/>
        <v>исходя из 1 р. день = 9ч.</v>
      </c>
      <c r="E113" s="24" t="str">
        <f>IFERROR(D113*24/9,"из расчета "&amp;Вставка_сложн[[#This Row],[Объем в р. день (стандартно)]]&amp;" илл./р.день")</f>
        <v>из расчета 70 илл./р.день</v>
      </c>
      <c r="F113" s="19">
        <f>F93/D97</f>
        <v>70</v>
      </c>
      <c r="G113" s="17" t="str">
        <f t="shared" si="35"/>
        <v>исходя из 1 р. день = 9ч.</v>
      </c>
      <c r="H113" s="17" t="str">
        <f>"из расчета "&amp;Вставка_сложн[[#This Row],[Объем в р. день (ускоренно)]]&amp;" илл./р.день"</f>
        <v>из расчета 80 илл./р.день</v>
      </c>
      <c r="I113" s="18">
        <f>I93/D97</f>
        <v>80</v>
      </c>
      <c r="J113" s="20">
        <f t="shared" si="34"/>
        <v>0.25</v>
      </c>
    </row>
    <row r="114" spans="1:10" x14ac:dyDescent="0.25">
      <c r="A114" s="11" t="str">
        <f t="shared" si="28"/>
        <v>301 - 350</v>
      </c>
      <c r="B114" s="34">
        <f>B94/D97</f>
        <v>300</v>
      </c>
      <c r="C114" s="34">
        <f>C94/D97</f>
        <v>350.5</v>
      </c>
      <c r="D114" s="17" t="str">
        <f t="shared" si="33"/>
        <v>исходя из 1 р. день = 9ч.</v>
      </c>
      <c r="E114" s="24" t="str">
        <f>IFERROR(D114*24/9,"из расчета "&amp;Вставка_сложн[[#This Row],[Объем в р. день (стандартно)]]&amp;" илл./р.день")</f>
        <v>из расчета 70 илл./р.день</v>
      </c>
      <c r="F114" s="19">
        <f>F94/D97</f>
        <v>70</v>
      </c>
      <c r="G114" s="17" t="str">
        <f t="shared" si="35"/>
        <v>исходя из 1 р. день = 9ч.</v>
      </c>
      <c r="H114" s="17" t="str">
        <f>"из расчета "&amp;Вставка_сложн[[#This Row],[Объем в р. день (ускоренно)]]&amp;" илл./р.день"</f>
        <v>из расчета 90 илл./р.день</v>
      </c>
      <c r="I114" s="18">
        <f>I94/D97</f>
        <v>90</v>
      </c>
      <c r="J114" s="20">
        <f t="shared" si="34"/>
        <v>0.25</v>
      </c>
    </row>
  </sheetData>
  <mergeCells count="24">
    <mergeCell ref="D82:F82"/>
    <mergeCell ref="A100:J100"/>
    <mergeCell ref="A101:J101"/>
    <mergeCell ref="D102:F102"/>
    <mergeCell ref="A97:C97"/>
    <mergeCell ref="G82:J82"/>
    <mergeCell ref="G102:J102"/>
    <mergeCell ref="D63:F63"/>
    <mergeCell ref="A23:J23"/>
    <mergeCell ref="A62:J62"/>
    <mergeCell ref="A81:J81"/>
    <mergeCell ref="D43:F43"/>
    <mergeCell ref="D24:F24"/>
    <mergeCell ref="A61:J61"/>
    <mergeCell ref="A58:C58"/>
    <mergeCell ref="G24:J24"/>
    <mergeCell ref="G43:J43"/>
    <mergeCell ref="G63:J63"/>
    <mergeCell ref="A22:J22"/>
    <mergeCell ref="A3:J3"/>
    <mergeCell ref="D4:F4"/>
    <mergeCell ref="A42:J42"/>
    <mergeCell ref="A19:C19"/>
    <mergeCell ref="G4:J4"/>
  </mergeCells>
  <phoneticPr fontId="6" type="noConversion"/>
  <pageMargins left="0.25" right="0.25" top="0.75" bottom="0.75" header="0.3" footer="0.3"/>
  <pageSetup paperSize="9" orientation="landscape" horizontalDpi="4294967292" verticalDpi="4294967292" r:id="rId1"/>
  <ignoredErrors>
    <ignoredError sqref="C45:C49 E65 C84:C88 E108:E114 H109:H114 H11:H16 H31:H36 E69:E75 H70:H75 F69:F75 B105:B114 F108:F114 C104 C106:C114 C89:C94 C50:C55" calculatedColumn="1"/>
  </ignoredErrors>
  <tableParts count="6">
    <tablePart r:id="rId2"/>
    <tablePart r:id="rId3"/>
    <tablePart r:id="rId4"/>
    <tablePart r:id="rId5"/>
    <tablePart r:id="rId6"/>
    <tablePart r:id="rId7"/>
  </tableParts>
  <extLst>
    <ext xmlns:mx="http://schemas.microsoft.com/office/mac/excel/2008/main" uri="{64002731-A6B0-56B0-2670-7721B7C09600}">
      <mx:PLV Mode="0" OnePage="0" WScale="0"/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A7" sqref="A7"/>
    </sheetView>
  </sheetViews>
  <sheetFormatPr defaultRowHeight="15" x14ac:dyDescent="0.25"/>
  <cols>
    <col min="1" max="1" width="59.5703125" customWidth="1"/>
    <col min="3" max="3" width="17.85546875" customWidth="1"/>
  </cols>
  <sheetData>
    <row r="1" spans="1:1" ht="15.75" x14ac:dyDescent="0.25">
      <c r="A1" s="4" t="s">
        <v>7</v>
      </c>
    </row>
    <row r="2" spans="1:1" x14ac:dyDescent="0.25">
      <c r="A2" s="3">
        <v>0.41666666666666669</v>
      </c>
    </row>
    <row r="4" spans="1:1" ht="15.75" x14ac:dyDescent="0.25">
      <c r="A4" s="4" t="s">
        <v>9</v>
      </c>
    </row>
    <row r="5" spans="1:1" x14ac:dyDescent="0.25">
      <c r="A5" s="3">
        <v>0.375</v>
      </c>
    </row>
    <row r="6" spans="1:1" x14ac:dyDescent="0.25">
      <c r="A6" s="3"/>
    </row>
    <row r="7" spans="1:1" ht="15.75" x14ac:dyDescent="0.25">
      <c r="A7" s="4" t="s">
        <v>47</v>
      </c>
    </row>
    <row r="8" spans="1:1" x14ac:dyDescent="0.25">
      <c r="A8" s="3">
        <f>Начало_рабочего_дня[Начало рабочего дня]+Продолжительность_рабочего_дня[Продолжительность рабочего дня]</f>
        <v>0.79166666666666674</v>
      </c>
    </row>
    <row r="9" spans="1:1" x14ac:dyDescent="0.25">
      <c r="A9" s="3"/>
    </row>
    <row r="11" spans="1:1" x14ac:dyDescent="0.25">
      <c r="A11" t="s">
        <v>8</v>
      </c>
    </row>
    <row r="12" spans="1:1" x14ac:dyDescent="0.25">
      <c r="A12" s="2">
        <v>42005</v>
      </c>
    </row>
    <row r="13" spans="1:1" x14ac:dyDescent="0.25">
      <c r="A13" s="2">
        <v>42006</v>
      </c>
    </row>
    <row r="14" spans="1:1" x14ac:dyDescent="0.25">
      <c r="A14" s="2">
        <v>42007</v>
      </c>
    </row>
    <row r="15" spans="1:1" x14ac:dyDescent="0.25">
      <c r="A15" s="2">
        <v>42008</v>
      </c>
    </row>
    <row r="16" spans="1:1" x14ac:dyDescent="0.25">
      <c r="A16" s="2">
        <v>42009</v>
      </c>
    </row>
    <row r="17" spans="1:1" x14ac:dyDescent="0.25">
      <c r="A17" s="2">
        <v>42010</v>
      </c>
    </row>
    <row r="18" spans="1:1" x14ac:dyDescent="0.25">
      <c r="A18" s="2">
        <v>42011</v>
      </c>
    </row>
    <row r="19" spans="1:1" x14ac:dyDescent="0.25">
      <c r="A19" s="2">
        <v>42012</v>
      </c>
    </row>
    <row r="20" spans="1:1" x14ac:dyDescent="0.25">
      <c r="A20" s="2">
        <v>42013</v>
      </c>
    </row>
    <row r="21" spans="1:1" x14ac:dyDescent="0.25">
      <c r="A21" s="2">
        <v>42014</v>
      </c>
    </row>
    <row r="22" spans="1:1" x14ac:dyDescent="0.25">
      <c r="A22" s="2">
        <v>42015</v>
      </c>
    </row>
    <row r="23" spans="1:1" x14ac:dyDescent="0.25">
      <c r="A23" s="2">
        <v>42058</v>
      </c>
    </row>
    <row r="24" spans="1:1" x14ac:dyDescent="0.25">
      <c r="A24" s="2">
        <v>42072</v>
      </c>
    </row>
    <row r="25" spans="1:1" x14ac:dyDescent="0.25">
      <c r="A25" s="2">
        <v>42125</v>
      </c>
    </row>
    <row r="26" spans="1:1" x14ac:dyDescent="0.25">
      <c r="A26" s="2">
        <v>42128</v>
      </c>
    </row>
    <row r="27" spans="1:1" x14ac:dyDescent="0.25">
      <c r="A27" s="2">
        <v>42135</v>
      </c>
    </row>
    <row r="28" spans="1:1" x14ac:dyDescent="0.25">
      <c r="A28" s="2">
        <v>42167</v>
      </c>
    </row>
    <row r="29" spans="1:1" x14ac:dyDescent="0.25">
      <c r="A29" s="2">
        <v>42312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zoomScale="55" zoomScaleNormal="55" workbookViewId="0">
      <selection activeCell="K29" sqref="K29"/>
    </sheetView>
  </sheetViews>
  <sheetFormatPr defaultColWidth="10.85546875" defaultRowHeight="15" x14ac:dyDescent="0.25"/>
  <cols>
    <col min="1" max="1" width="4.85546875" style="44" customWidth="1"/>
    <col min="2" max="4" width="18.7109375" style="44" customWidth="1"/>
    <col min="5" max="5" width="4.42578125" style="44" customWidth="1"/>
    <col min="6" max="9" width="14.7109375" style="44" customWidth="1"/>
    <col min="10" max="10" width="5" style="44" customWidth="1"/>
    <col min="11" max="11" width="24.42578125" style="44" customWidth="1"/>
    <col min="12" max="12" width="4.140625" style="78" customWidth="1"/>
    <col min="13" max="13" width="32.28515625" style="44" customWidth="1"/>
    <col min="14" max="14" width="4" style="78" customWidth="1"/>
    <col min="15" max="15" width="22.85546875" style="44" customWidth="1"/>
    <col min="16" max="16" width="4.5703125" style="44" customWidth="1"/>
    <col min="17" max="20" width="14.7109375" style="44" customWidth="1"/>
    <col min="21" max="21" width="5.140625" style="44" customWidth="1"/>
    <col min="22" max="24" width="18.7109375" style="44" customWidth="1"/>
    <col min="25" max="25" width="15" style="44" bestFit="1" customWidth="1"/>
    <col min="26" max="16384" width="10.85546875" style="44"/>
  </cols>
  <sheetData>
    <row r="1" spans="1:24" ht="15.75" thickBot="1" x14ac:dyDescent="0.3">
      <c r="E1" s="45"/>
      <c r="F1" s="45"/>
    </row>
    <row r="2" spans="1:24" ht="17.25" customHeight="1" thickTop="1" x14ac:dyDescent="0.25">
      <c r="C2" s="46"/>
      <c r="E2" s="47"/>
      <c r="F2" s="113" t="s">
        <v>29</v>
      </c>
      <c r="G2" s="114"/>
      <c r="H2" s="115"/>
    </row>
    <row r="3" spans="1:24" ht="15.75" thickBot="1" x14ac:dyDescent="0.3">
      <c r="C3" s="48"/>
      <c r="E3" s="49"/>
      <c r="F3" s="116"/>
      <c r="G3" s="117"/>
      <c r="H3" s="118"/>
    </row>
    <row r="4" spans="1:24" ht="30.75" thickTop="1" x14ac:dyDescent="0.25">
      <c r="B4" s="53"/>
      <c r="C4" s="53"/>
      <c r="D4" s="53"/>
      <c r="E4" s="54"/>
      <c r="F4" s="50" t="s">
        <v>1</v>
      </c>
      <c r="G4" s="51" t="s">
        <v>22</v>
      </c>
      <c r="H4" s="52" t="s">
        <v>23</v>
      </c>
    </row>
    <row r="5" spans="1:24" ht="30" x14ac:dyDescent="0.25">
      <c r="B5" s="53"/>
      <c r="D5" s="53"/>
      <c r="F5" s="55" t="s">
        <v>24</v>
      </c>
      <c r="G5" s="43">
        <v>3</v>
      </c>
      <c r="H5" s="43">
        <v>0</v>
      </c>
      <c r="I5" s="75">
        <f>SUM(Расчет_сроков[[#This Row],[Стандартных единиц]],Расчет_сроков[[#This Row],[Сложных единиц]]*'Дополнительные данные'!D19)</f>
        <v>3</v>
      </c>
    </row>
    <row r="6" spans="1:24" ht="30" x14ac:dyDescent="0.25">
      <c r="B6" s="53"/>
      <c r="D6" s="53"/>
      <c r="F6" s="55" t="s">
        <v>25</v>
      </c>
      <c r="G6" s="43">
        <v>10</v>
      </c>
      <c r="H6" s="43">
        <v>0</v>
      </c>
      <c r="I6" s="75">
        <f>SUM(Расчет_сроков[[#This Row],[Стандартных единиц]],Расчет_сроков[[#This Row],[Сложных единиц]]*'Дополнительные данные'!D58)</f>
        <v>10</v>
      </c>
    </row>
    <row r="7" spans="1:24" ht="30" x14ac:dyDescent="0.25">
      <c r="B7" s="53"/>
      <c r="D7" s="53"/>
      <c r="F7" s="55" t="s">
        <v>26</v>
      </c>
      <c r="G7" s="43">
        <v>1</v>
      </c>
      <c r="H7" s="43">
        <v>0</v>
      </c>
      <c r="I7" s="75">
        <f>SUM(Расчет_сроков[[#This Row],[Стандартных единиц]],Расчет_сроков[[#This Row],[Сложных единиц]]*'Дополнительные данные'!D97)</f>
        <v>1</v>
      </c>
    </row>
    <row r="8" spans="1:24" ht="19.5" x14ac:dyDescent="0.25">
      <c r="B8" s="76"/>
      <c r="C8" s="53"/>
      <c r="D8" s="53"/>
    </row>
    <row r="10" spans="1:24" ht="45.75" customHeight="1" thickBot="1" x14ac:dyDescent="0.3">
      <c r="A10" s="77"/>
      <c r="B10" s="77"/>
      <c r="C10" s="77"/>
      <c r="D10" s="71"/>
      <c r="E10" s="72"/>
      <c r="F10" s="71"/>
      <c r="G10" s="71"/>
      <c r="H10" s="71"/>
      <c r="I10" s="71"/>
    </row>
    <row r="11" spans="1:24" ht="25.5" customHeight="1" thickTop="1" x14ac:dyDescent="0.25">
      <c r="A11" s="91"/>
      <c r="B11" s="104" t="s">
        <v>43</v>
      </c>
      <c r="C11" s="105"/>
      <c r="D11" s="106"/>
      <c r="F11" s="107" t="s">
        <v>19</v>
      </c>
      <c r="G11" s="108"/>
      <c r="H11" s="109" t="s">
        <v>20</v>
      </c>
      <c r="I11" s="110"/>
      <c r="K11" s="111" t="s">
        <v>45</v>
      </c>
      <c r="M11" s="111" t="s">
        <v>1</v>
      </c>
      <c r="O11" s="111" t="s">
        <v>41</v>
      </c>
      <c r="Q11" s="107" t="s">
        <v>19</v>
      </c>
      <c r="R11" s="108"/>
      <c r="S11" s="109" t="s">
        <v>20</v>
      </c>
      <c r="T11" s="110"/>
      <c r="V11" s="104" t="s">
        <v>44</v>
      </c>
      <c r="W11" s="105"/>
      <c r="X11" s="106"/>
    </row>
    <row r="12" spans="1:24" ht="36" customHeight="1" thickBot="1" x14ac:dyDescent="0.3">
      <c r="B12" s="59" t="s">
        <v>27</v>
      </c>
      <c r="C12" s="93" t="s">
        <v>20</v>
      </c>
      <c r="D12" s="94" t="s">
        <v>19</v>
      </c>
      <c r="F12" s="56" t="s">
        <v>2</v>
      </c>
      <c r="G12" s="57" t="s">
        <v>3</v>
      </c>
      <c r="H12" s="57" t="s">
        <v>2</v>
      </c>
      <c r="I12" s="58" t="s">
        <v>3</v>
      </c>
      <c r="K12" s="112"/>
      <c r="M12" s="112"/>
      <c r="O12" s="112"/>
      <c r="Q12" s="56" t="s">
        <v>2</v>
      </c>
      <c r="R12" s="57" t="s">
        <v>3</v>
      </c>
      <c r="S12" s="57" t="s">
        <v>2</v>
      </c>
      <c r="T12" s="58" t="s">
        <v>3</v>
      </c>
      <c r="V12" s="92" t="s">
        <v>19</v>
      </c>
      <c r="W12" s="93" t="s">
        <v>20</v>
      </c>
      <c r="X12" s="94" t="s">
        <v>27</v>
      </c>
    </row>
    <row r="13" spans="1:24" ht="30" customHeight="1" thickTop="1" x14ac:dyDescent="0.25">
      <c r="B13" s="128">
        <f>IFERROR(IF(I5=0,"-",IF(AND(I5&gt;'Дополнительные данные'!B6,I5&lt;'Дополнительные данные'!C6),'Дополнительные данные'!J6,IF(AND(I5&gt;'Дополнительные данные'!B7,I5&lt;'Дополнительные данные'!C7),'Дополнительные данные'!J7,IF(AND(I5&gt;'Дополнительные данные'!B8,I5&lt;'Дополнительные данные'!C8),'Дополнительные данные'!J8,IF(AND(I5&gt;'Дополнительные данные'!B9,I5&lt;'Дополнительные данные'!C9),'Дополнительные данные'!J9,IF(AND(I5&gt;'Дополнительные данные'!B10,I5&lt;'Дополнительные данные'!C10),'Дополнительные данные'!J10,IF(AND(I5&gt;'Дополнительные данные'!B11,I5&lt;'Дополнительные данные'!C11),'Дополнительные данные'!J11,IF(AND(I5&gt;'Дополнительные данные'!B12,I5&lt;'Дополнительные данные'!C12),'Дополнительные данные'!J12,IF(AND(I5&gt;'Дополнительные данные'!B13,I5&lt;'Дополнительные данные'!C13),'Дополнительные данные'!J13,IF(AND(I5&gt;'Дополнительные данные'!B14,I5&lt;'Дополнительные данные'!C14),'Дополнительные данные'!J14,IF(AND(I5&gt;'Дополнительные данные'!B15,I5&lt;'Дополнительные данные'!C15),'Дополнительные данные'!J15,IF(AND(I5&gt;'Дополнительные данные'!B16,I5&lt;'Дополнительные данные'!C16),'Дополнительные данные'!J16,"по запросу")))))))))))),"по запросу")</f>
        <v>1</v>
      </c>
      <c r="C13" s="135">
        <f>IF(I5=0,"-",IF(IFERROR(WORKDAY(K13,(MOD(K13,1)-Начало_рабочего_дня[Начало рабочего дня]+I13)/Продолжительность_рабочего_дня[Продолжительность рабочего дня],Праздничные_дни[Праздничные дни])+Начало_рабочего_дня[Начало рабочего дня]+MOD(MOD(K13,1)-Начало_рабочего_дня[Начало рабочего дня]+I13,Продолжительность_рабочего_дня[Продолжительность рабочего дня])+IF(Начало_рабочего_дня[Начало рабочего дня]-MOD(K13,1)&gt;0,Начало_рабочего_дня[Начало рабочего дня]-MOD(K13,1),0),"по запросу")=K13,"-",IFERROR(WORKDAY(K13,(MOD(K13,1)-Начало_рабочего_дня[Начало рабочего дня]+I13)/Продолжительность_рабочего_дня[Продолжительность рабочего дня],Праздничные_дни[Праздничные дни])+Начало_рабочего_дня[Начало рабочего дня]+MOD(MOD(K13,1)-Начало_рабочего_дня[Начало рабочего дня]+I13,Продолжительность_рабочего_дня[Продолжительность рабочего дня])+IF(Начало_рабочего_дня[Начало рабочего дня]-MOD(K13,1)&gt;0,Начало_рабочего_дня[Начало рабочего дня]-MOD(K13,1),0),"по запросу")))</f>
        <v>42108.583333333336</v>
      </c>
      <c r="D13" s="136">
        <f>IF(I5=0,"-",IF(IFERROR(WORKDAY(K13,(MOD(K13,1)-Начало_рабочего_дня[Начало рабочего дня]+G13)/Продолжительность_рабочего_дня[Продолжительность рабочего дня],Праздничные_дни[Праздничные дни])+Начало_рабочего_дня[Начало рабочего дня]+MOD(MOD(K13,1)-Начало_рабочего_дня[Начало рабочего дня]+G13,Продолжительность_рабочего_дня[Продолжительность рабочего дня])+IF(Начало_рабочего_дня[Начало рабочего дня]-MOD(K13,1)&gt;0,Начало_рабочего_дня[Начало рабочего дня]-MOD(K13,1),0),"по запросу")=K13,"-",IFERROR(WORKDAY(K13,(MOD(K13,1)-Начало_рабочего_дня[Начало рабочего дня]+G13)/Продолжительность_рабочего_дня[Продолжительность рабочего дня],Праздничные_дни[Праздничные дни])+Начало_рабочего_дня[Начало рабочего дня]+MOD(MOD(K13,1)-Начало_рабочего_дня[Начало рабочего дня]+G13,Продолжительность_рабочего_дня[Продолжительность рабочего дня])+IF(Начало_рабочего_дня[Начало рабочего дня]-MOD(K13,1)&gt;0,Начало_рабочего_дня[Начало рабочего дня]-MOD(K13,1),0),"по запросу")))</f>
        <v>42108.708333333336</v>
      </c>
      <c r="E13" s="74" t="s">
        <v>40</v>
      </c>
      <c r="F13" s="60">
        <f>IF(I5=0,"-",IF(AND(I5&gt;'Дополнительные данные'!B6,I5&lt;'Дополнительные данные'!C6),'Дополнительные данные'!E6,IF(AND(I5&gt;'Дополнительные данные'!B7,I5&lt;'Дополнительные данные'!C7),'Дополнительные данные'!E7,IF(AND(I5&gt;'Дополнительные данные'!B8,I5&lt;'Дополнительные данные'!C8),'Дополнительные данные'!E8,IF(AND(I5&gt;'Дополнительные данные'!B9,I5&lt;'Дополнительные данные'!C9),'Дополнительные данные'!E9,IF(AND(I5&gt;'Дополнительные данные'!B10,I5&lt;'Дополнительные данные'!C10),I5/'Дополнительные данные'!F10,IF(AND(I5&gt;'Дополнительные данные'!B11,I5&lt;'Дополнительные данные'!C11),I5/'Дополнительные данные'!F11,IF(AND(I5&gt;'Дополнительные данные'!B12,I5&lt;'Дополнительные данные'!C12),I5/'Дополнительные данные'!F12,IF(AND(I5&gt;'Дополнительные данные'!B13,I5&lt;'Дополнительные данные'!C13),I5/'Дополнительные данные'!F13,IF(AND(I5&gt;'Дополнительные данные'!B14,I5&lt;'Дополнительные данные'!C14),I5/'Дополнительные данные'!F14,IF(AND(I5&gt;'Дополнительные данные'!B15,I5&lt;'Дополнительные данные'!C15),I5/'Дополнительные данные'!F15,IF(AND(I5&gt;'Дополнительные данные'!B16,I5&lt;'Дополнительные данные'!C16),I5/'Дополнительные данные'!F16,"по запросу"))))))))))))</f>
        <v>0.66666666666666663</v>
      </c>
      <c r="G13" s="61">
        <f>IF(I5=0,"-",IFERROR(MROUND(F13*9,0.5)/24,"по запросу"))</f>
        <v>0.25</v>
      </c>
      <c r="H13" s="62">
        <f>IF(I5=0,"-",IF(AND(I5&gt;'Дополнительные данные'!B6,I5&lt;'Дополнительные данные'!C6),'Дополнительные данные'!H6,IF(AND(I5&gt;'Дополнительные данные'!B7,I5&lt;'Дополнительные данные'!C7),'Дополнительные данные'!H7,IF(AND(I5&gt;'Дополнительные данные'!B8,I5&lt;'Дополнительные данные'!C8),'Дополнительные данные'!H8,IF(AND(I5&gt;'Дополнительные данные'!B9,I5&lt;'Дополнительные данные'!C9),'Дополнительные данные'!H9,IF(AND(I5&gt;'Дополнительные данные'!B10,I5&lt;'Дополнительные данные'!C10),'Дополнительные данные'!H10,IF(AND(I5&gt;'Дополнительные данные'!B11,I5&lt;'Дополнительные данные'!C11),I5/'Дополнительные данные'!I11,IF(AND(I5&gt;'Дополнительные данные'!B12,I5&lt;'Дополнительные данные'!C12),I5/'Дополнительные данные'!I12,IF(AND(I5&gt;'Дополнительные данные'!B13,I5&lt;'Дополнительные данные'!C13),I5/'Дополнительные данные'!I13,IF(AND(I5&gt;'Дополнительные данные'!B14,I5&lt;'Дополнительные данные'!C14),I5/'Дополнительные данные'!I14,IF(AND(I5&gt;'Дополнительные данные'!B15,I5&lt;'Дополнительные данные'!C15),I5/'Дополнительные данные'!I15,IF(AND(I5&gt;'Дополнительные данные'!B16,I5&lt;'Дополнительные данные'!C16),I5/'Дополнительные данные'!I16,"по запросу"))))))))))))</f>
        <v>0.33333333333333331</v>
      </c>
      <c r="I13" s="63">
        <f>IF(I5=0,"-",IFERROR(MROUND(H13*9,0.5)/24,"по запросу"))</f>
        <v>0.125</v>
      </c>
      <c r="J13" s="74" t="s">
        <v>39</v>
      </c>
      <c r="K13" s="80">
        <v>42107.833333333336</v>
      </c>
      <c r="L13" s="73" t="s">
        <v>38</v>
      </c>
      <c r="M13" s="87" t="s">
        <v>24</v>
      </c>
      <c r="N13" s="73" t="s">
        <v>4</v>
      </c>
      <c r="O13" s="80">
        <v>42104.5</v>
      </c>
      <c r="P13" s="74" t="s">
        <v>42</v>
      </c>
      <c r="Q13" s="60">
        <f>IF(I5=0,"-",IF(AND(I5&gt;'Дополнительные данные'!B6,I5&lt;'Дополнительные данные'!C6),'Дополнительные данные'!E6,IF(AND(I5&gt;'Дополнительные данные'!B7,I5&lt;'Дополнительные данные'!C7),'Дополнительные данные'!E7,IF(AND(I5&gt;'Дополнительные данные'!B8,I5&lt;'Дополнительные данные'!C8),'Дополнительные данные'!E8,IF(AND(I5&gt;'Дополнительные данные'!B9,I5&lt;'Дополнительные данные'!C9),'Дополнительные данные'!E9,IF(AND(I5&gt;'Дополнительные данные'!B10,I5&lt;'Дополнительные данные'!C10),I5/'Дополнительные данные'!F10,IF(AND(I5&gt;'Дополнительные данные'!B11,I5&lt;'Дополнительные данные'!C11),I5/'Дополнительные данные'!F11,IF(AND(I5&gt;'Дополнительные данные'!B12,I5&lt;'Дополнительные данные'!C12),I5/'Дополнительные данные'!F12,IF(AND(I5&gt;'Дополнительные данные'!B13,I5&lt;'Дополнительные данные'!C13),I5/'Дополнительные данные'!F13,IF(AND(I5&gt;'Дополнительные данные'!B14,I5&lt;'Дополнительные данные'!C14),I5/'Дополнительные данные'!F14,IF(AND(I5&gt;'Дополнительные данные'!B15,I5&lt;'Дополнительные данные'!C15),I5/'Дополнительные данные'!F15,IF(AND(I5&gt;'Дополнительные данные'!B16,I5&lt;'Дополнительные данные'!C16),I5/'Дополнительные данные'!F16,"по запросу"))))))))))))</f>
        <v>0.66666666666666663</v>
      </c>
      <c r="R13" s="61">
        <f>IF(I5=0,"-",IFERROR(MROUND(F13*9,0.5)/24,"по запросу"))</f>
        <v>0.25</v>
      </c>
      <c r="S13" s="62">
        <f>IF(I5=0,"-",IF(AND(I5&gt;'Дополнительные данные'!B6,I5&lt;'Дополнительные данные'!C6),'Дополнительные данные'!H6,IF(AND(I5&gt;'Дополнительные данные'!B7,I5&lt;'Дополнительные данные'!C7),'Дополнительные данные'!H7,IF(AND(I5&gt;'Дополнительные данные'!B8,I5&lt;'Дополнительные данные'!C8),'Дополнительные данные'!H8,IF(AND(I5&gt;'Дополнительные данные'!B9,I5&lt;'Дополнительные данные'!C9),'Дополнительные данные'!H9,IF(AND(I5&gt;'Дополнительные данные'!B10,I5&lt;'Дополнительные данные'!C10),'Дополнительные данные'!H10,IF(AND(I5&gt;'Дополнительные данные'!B11,I5&lt;'Дополнительные данные'!C11),I5/'Дополнительные данные'!I11,IF(AND(I5&gt;'Дополнительные данные'!B12,I5&lt;'Дополнительные данные'!C12),I5/'Дополнительные данные'!I12,IF(AND(I5&gt;'Дополнительные данные'!B13,I5&lt;'Дополнительные данные'!C13),I5/'Дополнительные данные'!I13,IF(AND(I5&gt;'Дополнительные данные'!B14,I5&lt;'Дополнительные данные'!C14),I5/'Дополнительные данные'!I14,IF(AND(I5&gt;'Дополнительные данные'!B15,I5&lt;'Дополнительные данные'!C15),I5/'Дополнительные данные'!I15,IF(AND(I5&gt;'Дополнительные данные'!B16,I5&lt;'Дополнительные данные'!C16),I5/'Дополнительные данные'!I16,"по запросу"))))))))))))</f>
        <v>0.33333333333333331</v>
      </c>
      <c r="T13" s="63">
        <f>IF(I5=0,"-",IFERROR(MROUND(H13*9,0.5)/24,"по запросу"))</f>
        <v>0.125</v>
      </c>
      <c r="U13" s="74" t="s">
        <v>40</v>
      </c>
      <c r="V13" s="144">
        <f>IF(I5=0,"-",IF(IFERROR(WORKDAY(O13,(MOD(O13,1)-Начало_рабочего_дня[Начало рабочего дня]-G13)/Продолжительность_рабочего_дня[Продолжительность рабочего дня],Праздничные_дни[Праздничные дни])+Начало_рабочего_дня[Начало рабочего дня]+MOD(MOD(O13,1)-Начало_рабочего_дня[Начало рабочего дня]-G13,Продолжительность_рабочего_дня[Продолжительность рабочего дня])+IF(Начало_рабочего_дня[Начало рабочего дня]-MOD(O13,1)&gt;0,Начало_рабочего_дня[Начало рабочего дня]-MOD(O13,1),0),"по запросу")=O13,"-",IFERROR(WORKDAY(O13,(MOD(O13,1)-Начало_рабочего_дня[Начало рабочего дня]-G13)/Продолжительность_рабочего_дня[Продолжительность рабочего дня],Праздничные_дни[Праздничные дни])+Начало_рабочего_дня[Начало рабочего дня]+MOD(MOD(O13,1)-Начало_рабочего_дня[Начало рабочего дня]-G13,Продолжительность_рабочего_дня[Продолжительность рабочего дня])+IF(Начало_рабочего_дня[Начало рабочего дня]-MOD(O13,1)&gt;0,Начало_рабочего_дня[Начало рабочего дня]-MOD(O13,1),0),"по запросу")))</f>
        <v>42103.625</v>
      </c>
      <c r="W13" s="145">
        <f>IF(I5=0,"-",IF(IFERROR(WORKDAY(O13,(MOD(O13,1)-Начало_рабочего_дня[Начало рабочего дня]-I13)/Продолжительность_рабочего_дня[Продолжительность рабочего дня],Праздничные_дни[Праздничные дни])+Начало_рабочего_дня[Начало рабочего дня]+MOD(MOD(O13,1)-Начало_рабочего_дня[Начало рабочего дня]-I13,Продолжительность_рабочего_дня[Продолжительность рабочего дня])+IF(Начало_рабочего_дня[Начало рабочего дня]-MOD(O13,1)&gt;0,Начало_рабочего_дня[Начало рабочего дня]-MOD(O13,1),0),"по запросу")=O13,"-",IFERROR(WORKDAY(O13,(MOD(O13,1)-Начало_рабочего_дня[Начало рабочего дня]-I13)/Продолжительность_рабочего_дня[Продолжительность рабочего дня],Праздничные_дни[Праздничные дни])+Начало_рабочего_дня[Начало рабочего дня]+MOD(MOD(O13,1)-Начало_рабочего_дня[Начало рабочего дня]-I13,Продолжительность_рабочего_дня[Продолжительность рабочего дня])+IF(Начало_рабочего_дня[Начало рабочего дня]-MOD(O13,1)&gt;0,Начало_рабочего_дня[Начало рабочего дня]-MOD(O13,1),0),"по запросу")))</f>
        <v>42103.75</v>
      </c>
      <c r="X13" s="131">
        <f>IFERROR(IF(I5=0,"-",IF(AND(I5&gt;'Дополнительные данные'!B6,I5&lt;'Дополнительные данные'!C6),'Дополнительные данные'!J6,IF(AND(I5&gt;'Дополнительные данные'!B7,I5&lt;'Дополнительные данные'!C7),'Дополнительные данные'!J7,IF(AND(I5&gt;'Дополнительные данные'!B8,I5&lt;'Дополнительные данные'!C8),'Дополнительные данные'!J8,IF(AND(I5&gt;'Дополнительные данные'!B9,I5&lt;'Дополнительные данные'!C9),'Дополнительные данные'!J9,IF(AND(I5&gt;'Дополнительные данные'!B10,I5&lt;'Дополнительные данные'!C10),'Дополнительные данные'!J10,IF(AND(I5&gt;'Дополнительные данные'!B11,I5&lt;'Дополнительные данные'!C11),'Дополнительные данные'!J11,IF(AND(I5&gt;'Дополнительные данные'!B12,I5&lt;'Дополнительные данные'!C12),'Дополнительные данные'!J12,IF(AND(I5&gt;'Дополнительные данные'!B13,I5&lt;'Дополнительные данные'!C13),'Дополнительные данные'!J13,IF(AND(I5&gt;'Дополнительные данные'!B14,I5&lt;'Дополнительные данные'!C14),'Дополнительные данные'!J14,IF(AND(I5&gt;'Дополнительные данные'!B15,I5&lt;'Дополнительные данные'!C15),'Дополнительные данные'!J15,IF(AND(I5&gt;'Дополнительные данные'!B16,I5&lt;'Дополнительные данные'!C16),'Дополнительные данные'!J16,"по запросу")))))))))))),"по запросу")</f>
        <v>1</v>
      </c>
    </row>
    <row r="14" spans="1:24" ht="30" customHeight="1" x14ac:dyDescent="0.25">
      <c r="B14" s="129">
        <f>IFERROR(IF(I6=0,"-",IF(AND(I6&gt;'Дополнительные данные'!B45,I6&lt;'Дополнительные данные'!C45),'Дополнительные данные'!J45,IF(AND(I6&gt;'Дополнительные данные'!B46,I6&lt;'Дополнительные данные'!C46),'Дополнительные данные'!J46,IF(AND(I6&gt;'Дополнительные данные'!B47,I6&lt;'Дополнительные данные'!C47),'Дополнительные данные'!J47,IF(AND(I6&gt;'Дополнительные данные'!B48,I6&lt;'Дополнительные данные'!C48),'Дополнительные данные'!J48,IF(AND(I6&gt;'Дополнительные данные'!B49,I6&lt;'Дополнительные данные'!C49),'Дополнительные данные'!J49,IF(AND(I6&gt;'Дополнительные данные'!B50,I6&lt;'Дополнительные данные'!C50),'Дополнительные данные'!J50,IF(AND(I6&gt;'Дополнительные данные'!B51,I6&lt;'Дополнительные данные'!C51),'Дополнительные данные'!J51,IF(AND(I6&gt;'Дополнительные данные'!B52,I6&lt;'Дополнительные данные'!C52),'Дополнительные данные'!J52,IF(AND(I6&gt;'Дополнительные данные'!B53,I6&lt;'Дополнительные данные'!C53),'Дополнительные данные'!J53,IF(AND(I6&gt;'Дополнительные данные'!B54,I6&lt;'Дополнительные данные'!C54),'Дополнительные данные'!J54,IF(AND(I6&gt;'Дополнительные данные'!B55,I6&lt;'Дополнительные данные'!C55),'Дополнительные данные'!J55,"по запросу")))))))))))),"по запросу")</f>
        <v>0.5</v>
      </c>
      <c r="C14" s="137">
        <f>IF(I6=0,"-",IF(IFERROR(WORKDAY(K14,(MOD(K14,1)-Начало_рабочего_дня[Начало рабочего дня]+I14)/Продолжительность_рабочего_дня[Продолжительность рабочего дня],Праздничные_дни[Праздничные дни])+Начало_рабочего_дня[Начало рабочего дня]+MOD(MOD(K14,1)-Начало_рабочего_дня[Начало рабочего дня]+I14,Продолжительность_рабочего_дня[Продолжительность рабочего дня])+IF(Начало_рабочего_дня[Начало рабочего дня]-MOD(K14,1)&gt;0,Начало_рабочего_дня[Начало рабочего дня]-MOD(K14,1),0),"по запросу")=K14,"-",IFERROR(WORKDAY(K14,(MOD(K14,1)-Начало_рабочего_дня[Начало рабочего дня]+I14)/Продолжительность_рабочего_дня[Продолжительность рабочего дня],Праздничные_дни[Праздничные дни])+Начало_рабочего_дня[Начало рабочего дня]+MOD(MOD(K14,1)-Начало_рабочего_дня[Начало рабочего дня]+I14,Продолжительность_рабочего_дня[Продолжительность рабочего дня])+IF(Начало_рабочего_дня[Начало рабочего дня]-MOD(K14,1)&gt;0,Начало_рабочего_дня[Начало рабочего дня]-MOD(K14,1),0),"по запросу")))</f>
        <v>42104.625</v>
      </c>
      <c r="D14" s="138">
        <f>IF(I6=0,"-",IF(IFERROR(WORKDAY(K14,(MOD(K14,1)-Начало_рабочего_дня[Начало рабочего дня]+G14)/Продолжительность_рабочего_дня[Продолжительность рабочего дня],Праздничные_дни[Праздничные дни])+Начало_рабочего_дня[Начало рабочего дня]+MOD(MOD(K14,1)-Начало_рабочего_дня[Начало рабочего дня]+G14,Продолжительность_рабочего_дня[Продолжительность рабочего дня])+IF(Начало_рабочего_дня[Начало рабочего дня]-MOD(K14,1)&gt;0,Начало_рабочего_дня[Начало рабочего дня]-MOD(K14,1),0),"по запросу")=K14,"-",IFERROR(WORKDAY(K14,(MOD(K14,1)-Начало_рабочего_дня[Начало рабочего дня]+G14)/Продолжительность_рабочего_дня[Продолжительность рабочего дня],Праздничные_дни[Праздничные дни])+Начало_рабочего_дня[Начало рабочего дня]+MOD(MOD(K14,1)-Начало_рабочего_дня[Начало рабочего дня]+G14,Продолжительность_рабочего_дня[Продолжительность рабочего дня])+IF(Начало_рабочего_дня[Начало рабочего дня]-MOD(K14,1)&gt;0,Начало_рабочего_дня[Начало рабочего дня]-MOD(K14,1),0),"по запросу")))</f>
        <v>42104.708333333328</v>
      </c>
      <c r="E14" s="74" t="s">
        <v>40</v>
      </c>
      <c r="F14" s="64">
        <f>IF(I6=0,"-",IF(AND(I6&gt;'Дополнительные данные'!B45,I6&lt;'Дополнительные данные'!C45),'Дополнительные данные'!E45,IF(AND(I6&gt;'Дополнительные данные'!B46,I6&lt;'Дополнительные данные'!C46),'Дополнительные данные'!E46,IF(AND(I6&gt;'Дополнительные данные'!B47,I6&lt;'Дополнительные данные'!C47),'Дополнительные данные'!E47,IF(AND(I6&gt;'Дополнительные данные'!B48,I6&lt;'Дополнительные данные'!C48),'Дополнительные данные'!E48,IF(AND(I6&gt;'Дополнительные данные'!B49,I6&lt;'Дополнительные данные'!C49),I6/'Дополнительные данные'!F49,IF(AND(I6&gt;'Дополнительные данные'!B50,I6&lt;'Дополнительные данные'!C50),I6/'Дополнительные данные'!F50,IF(AND(I6&gt;'Дополнительные данные'!B51,I6&lt;'Дополнительные данные'!C51),I6/'Дополнительные данные'!F51,IF(AND(I6&gt;'Дополнительные данные'!B52,I6&lt;'Дополнительные данные'!C52),I6/'Дополнительные данные'!F52,IF(AND(I6&gt;'Дополнительные данные'!B53,I6&lt;'Дополнительные данные'!C53),I6/'Дополнительные данные'!F53,IF(AND(I6&gt;'Дополнительные данные'!B54,I6&lt;'Дополнительные данные'!C54),I6/'Дополнительные данные'!F54,IF(AND(I6&gt;'Дополнительные данные'!B55,I6&lt;'Дополнительные данные'!C55),I6/'Дополнительные данные'!F55,"по запросу"))))))))))))</f>
        <v>0.55555555555555558</v>
      </c>
      <c r="G14" s="70">
        <f>IF(I6=0,"-",IFERROR(MROUND(F14*9,0.5)/24,"по запросу"))</f>
        <v>0.20833333333333334</v>
      </c>
      <c r="H14" s="65">
        <f>IF(I6=0,"-",IF(AND(I6&gt;'Дополнительные данные'!B45,I6&lt;'Дополнительные данные'!C45),'Дополнительные данные'!H45,IF(AND(I6&gt;'Дополнительные данные'!B46,I6&lt;'Дополнительные данные'!C46),'Дополнительные данные'!H46,IF(AND(I6&gt;'Дополнительные данные'!B47,I6&lt;'Дополнительные данные'!C47),'Дополнительные данные'!H47,IF(AND(I6&gt;'Дополнительные данные'!B48,I6&lt;'Дополнительные данные'!C48),'Дополнительные данные'!H48,IF(AND(I6&gt;'Дополнительные данные'!B49,I6&lt;'Дополнительные данные'!C49),'Дополнительные данные'!H49,IF(AND(I6&gt;'Дополнительные данные'!B50,I6&lt;'Дополнительные данные'!C50),I6/'Дополнительные данные'!I50,IF(AND(I6&gt;'Дополнительные данные'!B51,I6&lt;'Дополнительные данные'!C51),I6/'Дополнительные данные'!I51,IF(AND(I6&gt;'Дополнительные данные'!B52,I6&lt;'Дополнительные данные'!C52),I6/'Дополнительные данные'!I52,IF(AND(I6&gt;'Дополнительные данные'!B53,I6&lt;'Дополнительные данные'!C53),I6/'Дополнительные данные'!I53,IF(AND(I6&gt;'Дополнительные данные'!B54,I6&lt;'Дополнительные данные'!C54),I6/'Дополнительные данные'!I54,IF(AND(I6&gt;'Дополнительные данные'!B55,I6&lt;'Дополнительные данные'!C55),I6/'Дополнительные данные'!I55,"по запросу"))))))))))))</f>
        <v>0.33333333333333331</v>
      </c>
      <c r="I14" s="66">
        <f>IF(I6=0,"-",IFERROR(MROUND(H14*9,0.5)/24,"по запросу"))</f>
        <v>0.125</v>
      </c>
      <c r="J14" s="74" t="s">
        <v>39</v>
      </c>
      <c r="K14" s="81">
        <v>42104.5</v>
      </c>
      <c r="L14" s="73" t="s">
        <v>38</v>
      </c>
      <c r="M14" s="88" t="s">
        <v>25</v>
      </c>
      <c r="N14" s="73" t="s">
        <v>4</v>
      </c>
      <c r="O14" s="81">
        <v>42104.5</v>
      </c>
      <c r="P14" s="74" t="s">
        <v>42</v>
      </c>
      <c r="Q14" s="64">
        <f>IF(I6=0,"-",IF(AND(I6&gt;'Дополнительные данные'!B45,I6&lt;'Дополнительные данные'!C45),'Дополнительные данные'!E45,IF(AND(I6&gt;'Дополнительные данные'!B46,I6&lt;'Дополнительные данные'!C46),'Дополнительные данные'!E46,IF(AND(I6&gt;'Дополнительные данные'!B47,I6&lt;'Дополнительные данные'!C47),'Дополнительные данные'!E47,IF(AND(I6&gt;'Дополнительные данные'!B48,I6&lt;'Дополнительные данные'!C48),'Дополнительные данные'!E48,IF(AND(I6&gt;'Дополнительные данные'!B49,I6&lt;'Дополнительные данные'!C49),I6/'Дополнительные данные'!F49,IF(AND(I6&gt;'Дополнительные данные'!B50,I6&lt;'Дополнительные данные'!C50),I6/'Дополнительные данные'!F50,IF(AND(I6&gt;'Дополнительные данные'!B51,I6&lt;'Дополнительные данные'!C51),I6/'Дополнительные данные'!F51,IF(AND(I6&gt;'Дополнительные данные'!B52,I6&lt;'Дополнительные данные'!C52),I6/'Дополнительные данные'!F52,IF(AND(I6&gt;'Дополнительные данные'!B53,I6&lt;'Дополнительные данные'!C53),I6/'Дополнительные данные'!F53,IF(AND(I6&gt;'Дополнительные данные'!B54,I6&lt;'Дополнительные данные'!C54),I6/'Дополнительные данные'!F54,IF(AND(I6&gt;'Дополнительные данные'!B55,I6&lt;'Дополнительные данные'!C55),I6/'Дополнительные данные'!F55,"по запросу"))))))))))))</f>
        <v>0.55555555555555558</v>
      </c>
      <c r="R14" s="70">
        <f>IF(I6=0,"-",IFERROR(MROUND(F14*9,0.5)/24,"по запросу"))</f>
        <v>0.20833333333333334</v>
      </c>
      <c r="S14" s="65">
        <f>IF(I6=0,"-",IF(AND(I6&gt;'Дополнительные данные'!B45,I6&lt;'Дополнительные данные'!C45),'Дополнительные данные'!H45,IF(AND(I6&gt;'Дополнительные данные'!B46,I6&lt;'Дополнительные данные'!C46),'Дополнительные данные'!H46,IF(AND(I6&gt;'Дополнительные данные'!B47,I6&lt;'Дополнительные данные'!C47),'Дополнительные данные'!H47,IF(AND(I6&gt;'Дополнительные данные'!B48,I6&lt;'Дополнительные данные'!C48),'Дополнительные данные'!H48,IF(AND(I6&gt;'Дополнительные данные'!B49,I6&lt;'Дополнительные данные'!C49),'Дополнительные данные'!H49,IF(AND(I6&gt;'Дополнительные данные'!B50,I6&lt;'Дополнительные данные'!C50),I6/'Дополнительные данные'!I50,IF(AND(I6&gt;'Дополнительные данные'!B51,I6&lt;'Дополнительные данные'!C51),I6/'Дополнительные данные'!I51,IF(AND(I6&gt;'Дополнительные данные'!B52,I6&lt;'Дополнительные данные'!C52),I6/'Дополнительные данные'!I52,IF(AND(I6&gt;'Дополнительные данные'!B53,I6&lt;'Дополнительные данные'!C53),I6/'Дополнительные данные'!I53,IF(AND(I6&gt;'Дополнительные данные'!B54,I6&lt;'Дополнительные данные'!C54),I6/'Дополнительные данные'!I54,IF(AND(I6&gt;'Дополнительные данные'!B55,I6&lt;'Дополнительные данные'!C55),I6/'Дополнительные данные'!I55,"по запросу"))))))))))))</f>
        <v>0.33333333333333331</v>
      </c>
      <c r="T14" s="66">
        <f>IF(I6=0,"-",IFERROR(MROUND(H14*9,0.5)/24,"по запросу"))</f>
        <v>0.125</v>
      </c>
      <c r="U14" s="74" t="s">
        <v>40</v>
      </c>
      <c r="V14" s="146">
        <f>IF(I6=0,"-",IF(IFERROR(WORKDAY(O14,(MOD(O14,1)-Начало_рабочего_дня[Начало рабочего дня]-G14)/Продолжительность_рабочего_дня[Продолжительность рабочего дня],Праздничные_дни[Праздничные дни])+Начало_рабочего_дня[Начало рабочего дня]+MOD(MOD(O14,1)-Начало_рабочего_дня[Начало рабочего дня]-G14,Продолжительность_рабочего_дня[Продолжительность рабочего дня])+IF(Начало_рабочего_дня[Начало рабочего дня]-MOD(O14,1)&gt;0,Начало_рабочего_дня[Начало рабочего дня]-MOD(O14,1),0),"по запросу")=O14,"-",IFERROR(WORKDAY(O14,(MOD(O14,1)-Начало_рабочего_дня[Начало рабочего дня]-G14)/Продолжительность_рабочего_дня[Продолжительность рабочего дня],Праздничные_дни[Праздничные дни])+Начало_рабочего_дня[Начало рабочего дня]+MOD(MOD(O14,1)-Начало_рабочего_дня[Начало рабочего дня]-G14,Продолжительность_рабочего_дня[Продолжительность рабочего дня])+IF(Начало_рабочего_дня[Начало рабочего дня]-MOD(O14,1)&gt;0,Начало_рабочего_дня[Начало рабочего дня]-MOD(O14,1),0),"по запросу")))</f>
        <v>42103.666666666664</v>
      </c>
      <c r="W14" s="147">
        <f>IF(I6=0,"-",IF(IFERROR(WORKDAY(O14,(MOD(O14,1)-Начало_рабочего_дня[Начало рабочего дня]-I14)/Продолжительность_рабочего_дня[Продолжительность рабочего дня],Праздничные_дни[Праздничные дни])+Начало_рабочего_дня[Начало рабочего дня]+MOD(MOD(O14,1)-Начало_рабочего_дня[Начало рабочего дня]-I14,Продолжительность_рабочего_дня[Продолжительность рабочего дня])+IF(Начало_рабочего_дня[Начало рабочего дня]-MOD(O14,1)&gt;0,Начало_рабочего_дня[Начало рабочего дня]-MOD(O14,1),0),"по запросу")=O14,"-",IFERROR(WORKDAY(O14,(MOD(O14,1)-Начало_рабочего_дня[Начало рабочего дня]-I14)/Продолжительность_рабочего_дня[Продолжительность рабочего дня],Праздничные_дни[Праздничные дни])+Начало_рабочего_дня[Начало рабочего дня]+MOD(MOD(O14,1)-Начало_рабочего_дня[Начало рабочего дня]-I14,Продолжительность_рабочего_дня[Продолжительность рабочего дня])+IF(Начало_рабочего_дня[Начало рабочего дня]-MOD(O14,1)&gt;0,Начало_рабочего_дня[Начало рабочего дня]-MOD(O14,1),0),"по запросу")))</f>
        <v>42103.75</v>
      </c>
      <c r="X14" s="132">
        <f>IFERROR(IF(I6=0,"-",IF(AND(I6&gt;'Дополнительные данные'!B45,I6&lt;'Дополнительные данные'!C45),'Дополнительные данные'!J45,IF(AND(I6&gt;'Дополнительные данные'!B46,I6&lt;'Дополнительные данные'!C46),'Дополнительные данные'!J46,IF(AND(I6&gt;'Дополнительные данные'!B47,I6&lt;'Дополнительные данные'!C47),'Дополнительные данные'!J47,IF(AND(I6&gt;'Дополнительные данные'!B48,I6&lt;'Дополнительные данные'!C48),'Дополнительные данные'!J48,IF(AND(I6&gt;'Дополнительные данные'!B49,I6&lt;'Дополнительные данные'!C49),'Дополнительные данные'!J49,IF(AND(I6&gt;'Дополнительные данные'!B50,I6&lt;'Дополнительные данные'!C50),'Дополнительные данные'!J50,IF(AND(I6&gt;'Дополнительные данные'!B51,I6&lt;'Дополнительные данные'!C51),'Дополнительные данные'!J51,IF(AND(I6&gt;'Дополнительные данные'!B52,I6&lt;'Дополнительные данные'!C52),'Дополнительные данные'!J52,IF(AND(I6&gt;'Дополнительные данные'!B53,I6&lt;'Дополнительные данные'!C53),'Дополнительные данные'!J53,IF(AND(I6&gt;'Дополнительные данные'!B54,I6&lt;'Дополнительные данные'!C54),'Дополнительные данные'!J54,IF(AND(I6&gt;'Дополнительные данные'!B55,I6&lt;'Дополнительные данные'!C55),'Дополнительные данные'!J55,"по запросу")))))))))))),"по запросу")</f>
        <v>0.5</v>
      </c>
    </row>
    <row r="15" spans="1:24" ht="30" customHeight="1" x14ac:dyDescent="0.25">
      <c r="B15" s="130">
        <f>IFERROR(IF(I7=0,"-",IF(AND(I7&gt;'Дополнительные данные'!B84,I7&lt;'Дополнительные данные'!C84),'Дополнительные данные'!J84,IF(AND(I7&gt;'Дополнительные данные'!B85,I7&lt;'Дополнительные данные'!C85),'Дополнительные данные'!J85,IF(AND(I7&gt;'Дополнительные данные'!B86,I7&lt;'Дополнительные данные'!C86),'Дополнительные данные'!J86,IF(AND(I7&gt;'Дополнительные данные'!B87,I7&lt;'Дополнительные данные'!C87),'Дополнительные данные'!J87,IF(AND(I7&gt;'Дополнительные данные'!B88,I7&lt;'Дополнительные данные'!C88),'Дополнительные данные'!J88,IF(AND(I7&gt;'Дополнительные данные'!B89,I7&lt;'Дополнительные данные'!C89),'Дополнительные данные'!J89,IF(AND(I7&gt;'Дополнительные данные'!B90,I7&lt;'Дополнительные данные'!C90),'Дополнительные данные'!J90,IF(AND(I7&gt;'Дополнительные данные'!B91,I7&lt;'Дополнительные данные'!C91),'Дополнительные данные'!J91,IF(AND(I7&gt;'Дополнительные данные'!B92,I7&lt;'Дополнительные данные'!C92),'Дополнительные данные'!J92,IF(AND(I7&gt;'Дополнительные данные'!B93,I7&lt;'Дополнительные данные'!C93),'Дополнительные данные'!J93,IF(AND(I7&gt;'Дополнительные данные'!B94,I7&lt;'Дополнительные данные'!C94),'Дополнительные данные'!J94,"по запросу")))))))))))),"по запросу")</f>
        <v>1</v>
      </c>
      <c r="C15" s="139">
        <f>IF(I7=0,"-",IF(IFERROR(WORKDAY(K15,(MOD(K15,1)-Начало_рабочего_дня[Начало рабочего дня]+I15)/Продолжительность_рабочего_дня[Продолжительность рабочего дня],Праздничные_дни[Праздничные дни])+Начало_рабочего_дня[Начало рабочего дня]+MOD(MOD(K15,1)-Начало_рабочего_дня[Начало рабочего дня]+I15,Продолжительность_рабочего_дня[Продолжительность рабочего дня])+IF(Начало_рабочего_дня[Начало рабочего дня]-MOD(K15,1)&gt;0,Начало_рабочего_дня[Начало рабочего дня]-MOD(K15,1),0),"по запросу")=K15,"-",IFERROR(WORKDAY(K15,(MOD(K15,1)-Начало_рабочего_дня[Начало рабочего дня]+I15)/Продолжительность_рабочего_дня[Продолжительность рабочего дня],Праздничные_дни[Праздничные дни])+Начало_рабочего_дня[Начало рабочего дня]+MOD(MOD(K15,1)-Начало_рабочего_дня[Начало рабочего дня]+I15,Продолжительность_рабочего_дня[Продолжительность рабочего дня])+IF(Начало_рабочего_дня[Начало рабочего дня]-MOD(K15,1)&gt;0,Начало_рабочего_дня[Начало рабочего дня]-MOD(K15,1),0),"по запросу")))</f>
        <v>42104.541666666664</v>
      </c>
      <c r="D15" s="140">
        <f>IF(I7=0,"-",IF(IFERROR(WORKDAY(K15,(MOD(K15,1)-Начало_рабочего_дня[Начало рабочего дня]+G15)/Продолжительность_рабочего_дня[Продолжительность рабочего дня],Праздничные_дни[Праздничные дни])+Начало_рабочего_дня[Начало рабочего дня]+MOD(MOD(K15,1)-Начало_рабочего_дня[Начало рабочего дня]+G15,Продолжительность_рабочего_дня[Продолжительность рабочего дня])+IF(Начало_рабочего_дня[Начало рабочего дня]-MOD(K15,1)&gt;0,Начало_рабочего_дня[Начало рабочего дня]-MOD(K15,1),0),"по запросу")=K15,"-",IFERROR(WORKDAY(K15,(MOD(K15,1)-Начало_рабочего_дня[Начало рабочего дня]+G15)/Продолжительность_рабочего_дня[Продолжительность рабочего дня],Праздничные_дни[Праздничные дни])+Начало_рабочего_дня[Начало рабочего дня]+MOD(MOD(K15,1)-Начало_рабочего_дня[Начало рабочего дня]+G15,Продолжительность_рабочего_дня[Продолжительность рабочего дня])+IF(Начало_рабочего_дня[Начало рабочего дня]-MOD(K15,1)&gt;0,Начало_рабочего_дня[Начало рабочего дня]-MOD(K15,1),0),"по запросу")))</f>
        <v>42104.583333333328</v>
      </c>
      <c r="E15" s="74" t="s">
        <v>40</v>
      </c>
      <c r="F15" s="67">
        <f>IF(I7=0,"-",IF(AND(I7&gt;'Дополнительные данные'!B84,I7&lt;'Дополнительные данные'!C84),'Дополнительные данные'!E84,IF(AND(I7&gt;'Дополнительные данные'!B85,I7&lt;'Дополнительные данные'!C85),'Дополнительные данные'!E85,IF(AND(I7&gt;'Дополнительные данные'!B86,I7&lt;'Дополнительные данные'!C86),'Дополнительные данные'!E86,IF(AND(I7&gt;'Дополнительные данные'!B87,I7&lt;'Дополнительные данные'!C87),'Дополнительные данные'!E87,IF(AND(I7&gt;'Дополнительные данные'!B88,I7&lt;'Дополнительные данные'!C88),I7/'Дополнительные данные'!F88,IF(AND(I7&gt;'Дополнительные данные'!B89,I7&lt;'Дополнительные данные'!C89),I7/'Дополнительные данные'!F89,IF(AND(I7&gt;'Дополнительные данные'!B90,I7&lt;'Дополнительные данные'!C90),I7/'Дополнительные данные'!F90,IF(AND(I7&gt;'Дополнительные данные'!B91,I7&lt;'Дополнительные данные'!C91),I7/'Дополнительные данные'!F91,IF(AND(I7&gt;'Дополнительные данные'!B92,I7&lt;'Дополнительные данные'!C92),I7/'Дополнительные данные'!F92,IF(AND(I7&gt;'Дополнительные данные'!B93,I7&lt;'Дополнительные данные'!C93),I7/'Дополнительные данные'!F93,IF(AND(I7&gt;'Дополнительные данные'!B94,I7&lt;'Дополнительные данные'!C94),I7/'Дополнительные данные'!F94,"по запросу"))))))))))))</f>
        <v>0.22222222222222221</v>
      </c>
      <c r="G15" s="79">
        <f>IF(I7=0,"-",IFERROR(MROUND(F15*9,0.5)/24,"по запросу"))</f>
        <v>8.3333333333333329E-2</v>
      </c>
      <c r="H15" s="68">
        <f>IF(I7=0,"-",IF(AND(I7&gt;'Дополнительные данные'!B84,I7&lt;'Дополнительные данные'!C84),'Дополнительные данные'!H84,IF(AND(I7&gt;'Дополнительные данные'!B85,I7&lt;'Дополнительные данные'!C85),'Дополнительные данные'!H85,IF(AND(I7&gt;'Дополнительные данные'!B86,I7&lt;'Дополнительные данные'!C86),'Дополнительные данные'!H86,IF(AND(I7&gt;'Дополнительные данные'!B87,I7&lt;'Дополнительные данные'!C87),'Дополнительные данные'!H87,IF(AND(I7&gt;'Дополнительные данные'!B88,I7&lt;'Дополнительные данные'!C88),'Дополнительные данные'!H88,IF(AND(I7&gt;'Дополнительные данные'!B89,I7&lt;'Дополнительные данные'!C89),I7/'Дополнительные данные'!I89,IF(AND(I7&gt;'Дополнительные данные'!B90,I7&lt;'Дополнительные данные'!C90),I7/'Дополнительные данные'!I90,IF(AND(I7&gt;'Дополнительные данные'!B91,I7&lt;'Дополнительные данные'!C91),I7/'Дополнительные данные'!I91,IF(AND(I7&gt;'Дополнительные данные'!B92,I7&lt;'Дополнительные данные'!C92),I7/'Дополнительные данные'!I92,IF(AND(I7&gt;'Дополнительные данные'!B93,I7&lt;'Дополнительные данные'!C93),I7/'Дополнительные данные'!I93,IF(AND(I7&gt;'Дополнительные данные'!B94,I7&lt;'Дополнительные данные'!C94),I7/'Дополнительные данные'!I94,"по запросу"))))))))))))</f>
        <v>0.1111111111111111</v>
      </c>
      <c r="I15" s="69">
        <f>IF(I7=0,"-",IFERROR(MROUND(H15*9,0.5)/24,"по запросу"))</f>
        <v>4.1666666666666664E-2</v>
      </c>
      <c r="J15" s="74" t="s">
        <v>39</v>
      </c>
      <c r="K15" s="81">
        <v>42104.5</v>
      </c>
      <c r="L15" s="73" t="s">
        <v>38</v>
      </c>
      <c r="M15" s="89" t="s">
        <v>26</v>
      </c>
      <c r="N15" s="73" t="s">
        <v>4</v>
      </c>
      <c r="O15" s="81">
        <v>42104.5</v>
      </c>
      <c r="P15" s="74" t="s">
        <v>42</v>
      </c>
      <c r="Q15" s="67">
        <f>IF(I7=0,"-",IF(AND(I7&gt;'Дополнительные данные'!B84,I7&lt;'Дополнительные данные'!C84),'Дополнительные данные'!E84,IF(AND(I7&gt;'Дополнительные данные'!B85,I7&lt;'Дополнительные данные'!C85),'Дополнительные данные'!E85,IF(AND(I7&gt;'Дополнительные данные'!B86,I7&lt;'Дополнительные данные'!C86),'Дополнительные данные'!E86,IF(AND(I7&gt;'Дополнительные данные'!B87,I7&lt;'Дополнительные данные'!C87),'Дополнительные данные'!E87,IF(AND(I7&gt;'Дополнительные данные'!B88,I7&lt;'Дополнительные данные'!C88),I7/'Дополнительные данные'!F88,IF(AND(I7&gt;'Дополнительные данные'!B89,I7&lt;'Дополнительные данные'!C89),I7/'Дополнительные данные'!F89,IF(AND(I7&gt;'Дополнительные данные'!B90,I7&lt;'Дополнительные данные'!C90),I7/'Дополнительные данные'!F90,IF(AND(I7&gt;'Дополнительные данные'!B91,I7&lt;'Дополнительные данные'!C91),I7/'Дополнительные данные'!F91,IF(AND(I7&gt;'Дополнительные данные'!B92,I7&lt;'Дополнительные данные'!C92),I7/'Дополнительные данные'!F92,IF(AND(I7&gt;'Дополнительные данные'!B93,I7&lt;'Дополнительные данные'!C93),I7/'Дополнительные данные'!F93,IF(AND(I7&gt;'Дополнительные данные'!B94,I7&lt;'Дополнительные данные'!C94),I7/'Дополнительные данные'!F94,"по запросу"))))))))))))</f>
        <v>0.22222222222222221</v>
      </c>
      <c r="R15" s="79">
        <f>IF(I7=0,"-",IFERROR(MROUND(F15*9,0.5)/24,"по запросу"))</f>
        <v>8.3333333333333329E-2</v>
      </c>
      <c r="S15" s="68">
        <f>IF(I7=0,"-",IF(AND(I7&gt;'Дополнительные данные'!B84,I7&lt;'Дополнительные данные'!C84),'Дополнительные данные'!H84,IF(AND(I7&gt;'Дополнительные данные'!B85,I7&lt;'Дополнительные данные'!C85),'Дополнительные данные'!H85,IF(AND(I7&gt;'Дополнительные данные'!B86,I7&lt;'Дополнительные данные'!C86),'Дополнительные данные'!H86,IF(AND(I7&gt;'Дополнительные данные'!B87,I7&lt;'Дополнительные данные'!C87),'Дополнительные данные'!H87,IF(AND(I7&gt;'Дополнительные данные'!B88,I7&lt;'Дополнительные данные'!C88),'Дополнительные данные'!H88,IF(AND(I7&gt;'Дополнительные данные'!B89,I7&lt;'Дополнительные данные'!C89),I7/'Дополнительные данные'!I89,IF(AND(I7&gt;'Дополнительные данные'!B90,I7&lt;'Дополнительные данные'!C90),I7/'Дополнительные данные'!I90,IF(AND(I7&gt;'Дополнительные данные'!B91,I7&lt;'Дополнительные данные'!C91),I7/'Дополнительные данные'!I91,IF(AND(I7&gt;'Дополнительные данные'!B92,I7&lt;'Дополнительные данные'!C92),I7/'Дополнительные данные'!I92,IF(AND(I7&gt;'Дополнительные данные'!B93,I7&lt;'Дополнительные данные'!C93),I7/'Дополнительные данные'!I93,IF(AND(I7&gt;'Дополнительные данные'!B94,I7&lt;'Дополнительные данные'!C94),I7/'Дополнительные данные'!I94,"по запросу"))))))))))))</f>
        <v>0.1111111111111111</v>
      </c>
      <c r="T15" s="69">
        <f>IF(I7=0,"-",IFERROR(MROUND(H15*9,0.5)/24,"по запросу"))</f>
        <v>4.1666666666666664E-2</v>
      </c>
      <c r="U15" s="74" t="s">
        <v>40</v>
      </c>
      <c r="V15" s="146">
        <f>IF(I7=0,"-",IF(IFERROR(WORKDAY(O15,(MOD(O15,1)-Начало_рабочего_дня[Начало рабочего дня]-G15)/Продолжительность_рабочего_дня[Продолжительность рабочего дня],Праздничные_дни[Праздничные дни])+Начало_рабочего_дня[Начало рабочего дня]+MOD(MOD(O15,1)-Начало_рабочего_дня[Начало рабочего дня]-G15,Продолжительность_рабочего_дня[Продолжительность рабочего дня])+IF(Начало_рабочего_дня[Начало рабочего дня]-MOD(O15,1)&gt;0,Начало_рабочего_дня[Начало рабочего дня]-MOD(O15,1),0),"по запросу")=O15,"-",IFERROR(WORKDAY(O15,(MOD(O15,1)-Начало_рабочего_дня[Начало рабочего дня]-G15)/Продолжительность_рабочего_дня[Продолжительность рабочего дня],Праздничные_дни[Праздничные дни])+Начало_рабочего_дня[Начало рабочего дня]+MOD(MOD(O15,1)-Начало_рабочего_дня[Начало рабочего дня]-G15,Продолжительность_рабочего_дня[Продолжительность рабочего дня])+IF(Начало_рабочего_дня[Начало рабочего дня]-MOD(O15,1)&gt;0,Начало_рабочего_дня[Начало рабочего дня]-MOD(O15,1),0),"по запросу")))</f>
        <v>42103.416666666664</v>
      </c>
      <c r="W15" s="148">
        <f>IF(I7=0,"-",IF(IFERROR(WORKDAY(O15,(MOD(O15,1)-Начало_рабочего_дня[Начало рабочего дня]-I15)/Продолжительность_рабочего_дня[Продолжительность рабочего дня],Праздничные_дни[Праздничные дни])+Начало_рабочего_дня[Начало рабочего дня]+MOD(MOD(O15,1)-Начало_рабочего_дня[Начало рабочего дня]-I15,Продолжительность_рабочего_дня[Продолжительность рабочего дня])+IF(Начало_рабочего_дня[Начало рабочего дня]-MOD(O15,1)&gt;0,Начало_рабочего_дня[Начало рабочего дня]-MOD(O15,1),0),"по запросу")=O15,"-",IFERROR(WORKDAY(O15,(MOD(O15,1)-Начало_рабочего_дня[Начало рабочего дня]-I15)/Продолжительность_рабочего_дня[Продолжительность рабочего дня],Праздничные_дни[Праздничные дни])+Начало_рабочего_дня[Начало рабочего дня]+MOD(MOD(O15,1)-Начало_рабочего_дня[Начало рабочего дня]-I15,Продолжительность_рабочего_дня[Продолжительность рабочего дня])+IF(Начало_рабочего_дня[Начало рабочего дня]-MOD(O15,1)&gt;0,Начало_рабочего_дня[Начало рабочего дня]-MOD(O15,1),0),"по запросу")))</f>
        <v>42104.458333333328</v>
      </c>
      <c r="X15" s="133">
        <f>IFERROR(IF(I7=0,"-",IF(AND(I7&gt;'Дополнительные данные'!B84,I7&lt;'Дополнительные данные'!C84),'Дополнительные данные'!J84,IF(AND(I7&gt;'Дополнительные данные'!B85,I7&lt;'Дополнительные данные'!C85),'Дополнительные данные'!J85,IF(AND(I7&gt;'Дополнительные данные'!B86,I7&lt;'Дополнительные данные'!C86),'Дополнительные данные'!J86,IF(AND(I7&gt;'Дополнительные данные'!B87,I7&lt;'Дополнительные данные'!C87),'Дополнительные данные'!J87,IF(AND(I7&gt;'Дополнительные данные'!B88,I7&lt;'Дополнительные данные'!C88),'Дополнительные данные'!J88,IF(AND(I7&gt;'Дополнительные данные'!B89,I7&lt;'Дополнительные данные'!C89),'Дополнительные данные'!J89,IF(AND(I7&gt;'Дополнительные данные'!B90,I7&lt;'Дополнительные данные'!C90),'Дополнительные данные'!J90,IF(AND(I7&gt;'Дополнительные данные'!B91,I7&lt;'Дополнительные данные'!C91),'Дополнительные данные'!J91,IF(AND(I7&gt;'Дополнительные данные'!B92,I7&lt;'Дополнительные данные'!C92),'Дополнительные данные'!J92,IF(AND(I7&gt;'Дополнительные данные'!B93,I7&lt;'Дополнительные данные'!C93),'Дополнительные данные'!J93,IF(AND(I7&gt;'Дополнительные данные'!B94,I7&lt;'Дополнительные данные'!C94),'Дополнительные данные'!J94,"по запросу")))))))))))),"по запросу")</f>
        <v>1</v>
      </c>
    </row>
    <row r="16" spans="1:24" ht="30" customHeight="1" x14ac:dyDescent="0.25">
      <c r="B16" s="129" t="str">
        <f>IF(OR(I6=0,I7=0),"-",IF(OR(B14="по запросу",B15="по запросу"),"по запросу",IF(LARGE(I14:I15,1)=I14,"+"&amp;B14*100&amp;"% к услуге обработки",IF(LARGE(I14:I15,1)=I15,"+"&amp;B15*100&amp;"% к услуге вставки"," "))))</f>
        <v>+50% к услуге обработки</v>
      </c>
      <c r="C16" s="137">
        <f>IF(OR(I6=0,I7=0),"-",IF(IFERROR(WORKDAY(K16,(MOD(K16,1)-Начало_рабочего_дня[Начало рабочего дня]+I16)/Продолжительность_рабочего_дня[Продолжительность рабочего дня],Праздничные_дни[Праздничные дни])+Начало_рабочего_дня[Начало рабочего дня]+MOD(MOD(K16,1)-Начало_рабочего_дня[Начало рабочего дня]+I16,Продолжительность_рабочего_дня[Продолжительность рабочего дня])+IF(Начало_рабочего_дня[Начало рабочего дня]-MOD(K16,1)&gt;0,Начало_рабочего_дня[Начало рабочего дня]-MOD(K16,1),0),"по запросу")=K16,"-",IFERROR(WORKDAY(K16,(MOD(K16,1)-Начало_рабочего_дня[Начало рабочего дня]+I16)/Продолжительность_рабочего_дня[Продолжительность рабочего дня],Праздничные_дни[Праздничные дни])+Начало_рабочего_дня[Начало рабочего дня]+MOD(MOD(K16,1)-Начало_рабочего_дня[Начало рабочего дня]+I16,Продолжительность_рабочего_дня[Продолжительность рабочего дня])+IF(Начало_рабочего_дня[Начало рабочего дня]-MOD(K16,1)&gt;0,Начало_рабочего_дня[Начало рабочего дня]-MOD(K16,1),0),"по запросу")))</f>
        <v>42104.625</v>
      </c>
      <c r="D16" s="138">
        <f>IF(OR(I6=0,I7=0),"-",IF(IFERROR(WORKDAY(K16,(MOD(K16,1)-Начало_рабочего_дня[Начало рабочего дня]+G16)/Продолжительность_рабочего_дня[Продолжительность рабочего дня],Праздничные_дни[Праздничные дни])+Начало_рабочего_дня[Начало рабочего дня]+MOD(MOD(K16,1)-Начало_рабочего_дня[Начало рабочего дня]+G16,Продолжительность_рабочего_дня[Продолжительность рабочего дня])+IF(Начало_рабочего_дня[Начало рабочего дня]-MOD(K16,1)&gt;0,Начало_рабочего_дня[Начало рабочего дня]-MOD(K16,1),0),"по запросу")=K16,"-",IFERROR(WORKDAY(K16,(MOD(K16,1)-Начало_рабочего_дня[Начало рабочего дня]+G16)/Продолжительность_рабочего_дня[Продолжительность рабочего дня],Праздничные_дни[Праздничные дни])+Начало_рабочего_дня[Начало рабочего дня]+MOD(MOD(K16,1)-Начало_рабочего_дня[Начало рабочего дня]+G16,Продолжительность_рабочего_дня[Продолжительность рабочего дня])+IF(Начало_рабочего_дня[Начало рабочего дня]-MOD(K16,1)&gt;0,Начало_рабочего_дня[Начало рабочего дня]-MOD(K16,1),0),"по запросу")))</f>
        <v>42104.708333333328</v>
      </c>
      <c r="E16" s="74" t="s">
        <v>40</v>
      </c>
      <c r="F16" s="64">
        <f>IF(OR(I6=0,I7=0),"-",IF(OR(F14="по запросу",F15="по запросу"),"по запросу",SUM(F14,IF(I7=0,"-",IF(AND(I7&gt;'Дополнительные данные'!B84,I7&lt;'Дополнительные данные'!C84),I7/'Дополнительные данные'!I89,IF(AND(I7&gt;'Дополнительные данные'!B85,I7&lt;'Дополнительные данные'!C85),I7/'Дополнительные данные'!I89,IF(AND(I7&gt;'Дополнительные данные'!B86,I7&lt;'Дополнительные данные'!C86),I7/'Дополнительные данные'!I89,IF(AND(I7&gt;'Дополнительные данные'!B87,I7&lt;'Дополнительные данные'!C87),I7/'Дополнительные данные'!I89,IF(AND(I7&gt;'Дополнительные данные'!B88,I7&lt;'Дополнительные данные'!C88),I7/'Дополнительные данные'!I89,IF(AND(I7&gt;'Дополнительные данные'!B89,I7&lt;'Дополнительные данные'!C89),I7/'Дополнительные данные'!I89,IF(AND(I7&gt;'Дополнительные данные'!B90,I7&lt;'Дополнительные данные'!C90),I7/'Дополнительные данные'!I90,IF(AND(I7&gt;'Дополнительные данные'!B91,I7&lt;'Дополнительные данные'!C91),I7/'Дополнительные данные'!I91,IF(AND(I7&gt;'Дополнительные данные'!B92,I7&lt;'Дополнительные данные'!C92),I7/'Дополнительные данные'!I92,IF(AND(I7&gt;'Дополнительные данные'!B93,I7&lt;'Дополнительные данные'!C93),I7/'Дополнительные данные'!I93,IF(AND(I7&gt;'Дополнительные данные'!B94,I7&lt;'Дополнительные данные'!C94),I7/'Дополнительные данные'!I94,"по запросу")))))))))))))))</f>
        <v>0.56388888888888888</v>
      </c>
      <c r="G16" s="70">
        <f>IF(OR(I6=0,I7=0),"-",IF(OR(G14="по запросу",G15="по запросу"),"по запросу",MROUND(F16*9,0.5)/24))</f>
        <v>0.20833333333333334</v>
      </c>
      <c r="H16" s="65">
        <f>IF(OR(I6=0,I7=0),"-",IF(OR(H14="по запросу",H15="по запросу",),"по запросу",SUM(H14,IF(I7=0,"-",IF(AND(I7&gt;'Дополнительные данные'!B84,I7&lt;'Дополнительные данные'!C84),I7/'Дополнительные данные'!I89,IF(AND(I7&gt;'Дополнительные данные'!B85,I7&lt;'Дополнительные данные'!C85),I7/'Дополнительные данные'!I89,IF(AND(I7&gt;'Дополнительные данные'!B86,I7&lt;'Дополнительные данные'!C86),I7/'Дополнительные данные'!I89,IF(AND(I7&gt;'Дополнительные данные'!B87,I7&lt;'Дополнительные данные'!C87),I7/'Дополнительные данные'!I89,IF(AND(I7&gt;'Дополнительные данные'!B88,I7&lt;'Дополнительные данные'!C88),I7/'Дополнительные данные'!I89,IF(AND(I7&gt;'Дополнительные данные'!B89,I7&lt;'Дополнительные данные'!C89),I7/'Дополнительные данные'!I89,IF(AND(I7&gt;'Дополнительные данные'!B90,I7&lt;'Дополнительные данные'!C90),I7/'Дополнительные данные'!I90,IF(AND(I7&gt;'Дополнительные данные'!B91,I7&lt;'Дополнительные данные'!C91),I7/'Дополнительные данные'!I91,IF(AND(I7&gt;'Дополнительные данные'!B92,I7&lt;'Дополнительные данные'!C92),I7/'Дополнительные данные'!I92,IF(AND(I7&gt;'Дополнительные данные'!B93,I7&lt;'Дополнительные данные'!C93),I7/'Дополнительные данные'!I93,IF(AND(I7&gt;'Дополнительные данные'!B94,I7&lt;'Дополнительные данные'!C94),I7/'Дополнительные данные'!I94,"по запросу")))))))))))))))</f>
        <v>0.34166666666666667</v>
      </c>
      <c r="I16" s="66">
        <f>IF(OR(I6=0,I7=0),"-",IF(OR(I14="по запросу",I15="по запросу",),"по запросу",MROUND(H16*9,0.5)/24))</f>
        <v>0.125</v>
      </c>
      <c r="J16" s="74" t="s">
        <v>39</v>
      </c>
      <c r="K16" s="81">
        <v>42104.5</v>
      </c>
      <c r="L16" s="73" t="s">
        <v>38</v>
      </c>
      <c r="M16" s="88" t="s">
        <v>28</v>
      </c>
      <c r="N16" s="73" t="s">
        <v>4</v>
      </c>
      <c r="O16" s="81">
        <v>42104.5</v>
      </c>
      <c r="P16" s="74" t="s">
        <v>42</v>
      </c>
      <c r="Q16" s="64">
        <f>IF(OR(I6=0,I7=0),"-",IF(OR(F14="по запросу",F15="по запросу"),"по запросу",SUM(F14,IF(I7=0,"-",IF(AND(I7&gt;'Дополнительные данные'!B84,I7&lt;'Дополнительные данные'!C84),I7/'Дополнительные данные'!I89,IF(AND(I7&gt;'Дополнительные данные'!B85,I7&lt;'Дополнительные данные'!C85),I7/'Дополнительные данные'!I89,IF(AND(I7&gt;'Дополнительные данные'!B86,I7&lt;'Дополнительные данные'!C86),I7/'Дополнительные данные'!I89,IF(AND(I7&gt;'Дополнительные данные'!B87,I7&lt;'Дополнительные данные'!C87),I7/'Дополнительные данные'!I89,IF(AND(I7&gt;'Дополнительные данные'!B88,I7&lt;'Дополнительные данные'!C88),I7/'Дополнительные данные'!I89,IF(AND(I7&gt;'Дополнительные данные'!B89,I7&lt;'Дополнительные данные'!C89),I7/'Дополнительные данные'!I89,IF(AND(I7&gt;'Дополнительные данные'!B90,I7&lt;'Дополнительные данные'!C90),I7/'Дополнительные данные'!I90,IF(AND(I7&gt;'Дополнительные данные'!B91,I7&lt;'Дополнительные данные'!C91),I7/'Дополнительные данные'!I91,IF(AND(I7&gt;'Дополнительные данные'!B92,I7&lt;'Дополнительные данные'!C92),I7/'Дополнительные данные'!I92,IF(AND(I7&gt;'Дополнительные данные'!B93,I7&lt;'Дополнительные данные'!C93),I7/'Дополнительные данные'!I93,IF(AND(I7&gt;'Дополнительные данные'!B94,I7&lt;'Дополнительные данные'!C94),I7/'Дополнительные данные'!I94,"по запросу")))))))))))))))</f>
        <v>0.56388888888888888</v>
      </c>
      <c r="R16" s="70">
        <f>IF(OR(I6=0,I7=0),"-",IF(OR(G14="по запросу",G15="по запросу"),"по запросу",MROUND(F16*9,0.5)/24))</f>
        <v>0.20833333333333334</v>
      </c>
      <c r="S16" s="65">
        <f>IF(OR(I6=0,I7=0),"-",IF(OR(H14="по запросу",H15="по запросу",),"по запросу",SUM(H14,IF(I7=0,"-",IF(AND(I7&gt;'Дополнительные данные'!B84,I7&lt;'Дополнительные данные'!C84),I7/'Дополнительные данные'!I89,IF(AND(I7&gt;'Дополнительные данные'!B85,I7&lt;'Дополнительные данные'!C85),I7/'Дополнительные данные'!I89,IF(AND(I7&gt;'Дополнительные данные'!B86,I7&lt;'Дополнительные данные'!C86),I7/'Дополнительные данные'!I89,IF(AND(I7&gt;'Дополнительные данные'!B87,I7&lt;'Дополнительные данные'!C87),I7/'Дополнительные данные'!I89,IF(AND(I7&gt;'Дополнительные данные'!B88,I7&lt;'Дополнительные данные'!C88),I7/'Дополнительные данные'!I89,IF(AND(I7&gt;'Дополнительные данные'!B89,I7&lt;'Дополнительные данные'!C89),I7/'Дополнительные данные'!I89,IF(AND(I7&gt;'Дополнительные данные'!B90,I7&lt;'Дополнительные данные'!C90),I7/'Дополнительные данные'!I90,IF(AND(I7&gt;'Дополнительные данные'!B91,I7&lt;'Дополнительные данные'!C91),I7/'Дополнительные данные'!I91,IF(AND(I7&gt;'Дополнительные данные'!B92,I7&lt;'Дополнительные данные'!C92),I7/'Дополнительные данные'!I92,IF(AND(I7&gt;'Дополнительные данные'!B93,I7&lt;'Дополнительные данные'!C93),I7/'Дополнительные данные'!I93,IF(AND(I7&gt;'Дополнительные данные'!B94,I7&lt;'Дополнительные данные'!C94),I7/'Дополнительные данные'!I94,"по запросу")))))))))))))))</f>
        <v>0.34166666666666667</v>
      </c>
      <c r="T16" s="66">
        <f>IF(OR(I6=0,I7=0),"-",IF(OR(I14="по запросу",I15="по запросу",),"по запросу",MROUND(H16*9,0.5)/24))</f>
        <v>0.125</v>
      </c>
      <c r="U16" s="74" t="s">
        <v>40</v>
      </c>
      <c r="V16" s="146">
        <f>IF(OR(I6=0,I7=0),"-",IF(IFERROR(WORKDAY(K16,(MOD(K16,1)-Начало_рабочего_дня[Начало рабочего дня]+G16)/Продолжительность_рабочего_дня[Продолжительность рабочего дня],Праздничные_дни[Праздничные дни])+Начало_рабочего_дня[Начало рабочего дня]+MOD(MOD(K16,1)-Начало_рабочего_дня[Начало рабочего дня]+G16,Продолжительность_рабочего_дня[Продолжительность рабочего дня])+IF(Начало_рабочего_дня[Начало рабочего дня]-MOD(K16,1)&gt;0,Начало_рабочего_дня[Начало рабочего дня]-MOD(K16,1),0),"по запросу")=K16,"-",IFERROR(WORKDAY(K16,(MOD(K16,1)-Начало_рабочего_дня[Начало рабочего дня]+G16)/Продолжительность_рабочего_дня[Продолжительность рабочего дня],Праздничные_дни[Праздничные дни])+Начало_рабочего_дня[Начало рабочего дня]+MOD(MOD(K16,1)-Начало_рабочего_дня[Начало рабочего дня]+G16,Продолжительность_рабочего_дня[Продолжительность рабочего дня])+IF(Начало_рабочего_дня[Начало рабочего дня]-MOD(K16,1)&gt;0,Начало_рабочего_дня[Начало рабочего дня]-MOD(K16,1),0),"по запросу")))</f>
        <v>42104.708333333328</v>
      </c>
      <c r="W16" s="147">
        <f>IF(OR(I6=0,I7=0),"-",IF(IFERROR(WORKDAY(K16,(MOD(K16,1)-Начало_рабочего_дня[Начало рабочего дня]+I16)/Продолжительность_рабочего_дня[Продолжительность рабочего дня],Праздничные_дни[Праздничные дни])+Начало_рабочего_дня[Начало рабочего дня]+MOD(MOD(K16,1)-Начало_рабочего_дня[Начало рабочего дня]+I16,Продолжительность_рабочего_дня[Продолжительность рабочего дня])+IF(Начало_рабочего_дня[Начало рабочего дня]-MOD(K16,1)&gt;0,Начало_рабочего_дня[Начало рабочего дня]-MOD(K16,1),0),"по запросу")=K16,"-",IFERROR(WORKDAY(K16,(MOD(K16,1)-Начало_рабочего_дня[Начало рабочего дня]+I16)/Продолжительность_рабочего_дня[Продолжительность рабочего дня],Праздничные_дни[Праздничные дни])+Начало_рабочего_дня[Начало рабочего дня]+MOD(MOD(K16,1)-Начало_рабочего_дня[Начало рабочего дня]+I16,Продолжительность_рабочего_дня[Продолжительность рабочего дня])+IF(Начало_рабочего_дня[Начало рабочего дня]-MOD(K16,1)&gt;0,Начало_рабочего_дня[Начало рабочего дня]-MOD(K16,1),0),"по запросу")))</f>
        <v>42104.625</v>
      </c>
      <c r="X16" s="132" t="str">
        <f>IF(OR(I6=0,I7=0),"-",IF(OR(B14="по запросу",B15="по запросу"),"по запросу",IF(LARGE(I14:I15,1)=I14,"+"&amp;B14*100&amp;"% к услуге обработки",IF(LARGE(I14:I15,1)=I15,"+"&amp;B15*100&amp;"% к услуге вставки"," "))))</f>
        <v>+50% к услуге обработки</v>
      </c>
    </row>
    <row r="17" spans="2:25" ht="48.75" customHeight="1" thickBot="1" x14ac:dyDescent="0.3">
      <c r="B17" s="134" t="str">
        <f>IF(AND(I5=0,I6=0,I7=0),"-",IF(OR(B13="по запросу",B14="по запросу",B15="по запросу"),"по запросу",IF(LARGE(I13:I15,1)=I13,"+"&amp;B13*100&amp;"% к услуге верстки",IF(LARGE(I13:I15,1)=I14,"+"&amp;B14*100&amp;"% к услуге обработки",IF(LARGE(I13:I15,1)=I15,"+"&amp;B15*100&amp;"% к услуге вставки"," ")))))</f>
        <v>+100% к услуге верстки</v>
      </c>
      <c r="C17" s="141">
        <f>IF(AND(I5=0,I6=0,I7=0),"-",IF(IFERROR(WORKDAY(K17,(MOD(K17,1)-Начало_рабочего_дня[Начало рабочего дня]+I17)/Продолжительность_рабочего_дня[Продолжительность рабочего дня],Праздничные_дни[Праздничные дни])+Начало_рабочего_дня[Начало рабочего дня]+MOD(MOD(K17,1)-Начало_рабочего_дня[Начало рабочего дня]+I17,Продолжительность_рабочего_дня[Продолжительность рабочего дня])+IF(Начало_рабочего_дня[Начало рабочего дня]-MOD(K17,1)&gt;0,Начало_рабочего_дня[Начало рабочего дня]-MOD(K17,1),0),"по запросу")=K17,"-",IFERROR(WORKDAY(K17,(MOD(K17,1)-Начало_рабочего_дня[Начало рабочего дня]+I17)/Продолжительность_рабочего_дня[Продолжительность рабочего дня],Праздничные_дни[Праздничные дни])+Начало_рабочего_дня[Начало рабочего дня]+MOD(MOD(K17,1)-Начало_рабочего_дня[Начало рабочего дня]+I17,Продолжительность_рабочего_дня[Продолжительность рабочего дня])+IF(Начало_рабочего_дня[Начало рабочего дня]-MOD(K17,1)&gt;0,Начало_рабочего_дня[Начало рабочего дня]-MOD(K17,1),0),"по запросу")))</f>
        <v>42104.625</v>
      </c>
      <c r="D17" s="142">
        <f>IF(AND(I5=0,I6=0,I7=0),"-",IF(IFERROR(WORKDAY(K17,(MOD(K17,1)-Начало_рабочего_дня[Начало рабочего дня]+G17)/Продолжительность_рабочего_дня[Продолжительность рабочего дня],Праздничные_дни[Праздничные дни])+Начало_рабочего_дня[Начало рабочего дня]+MOD(MOD(K17,1)-Начало_рабочего_дня[Начало рабочего дня]+G17,Продолжительность_рабочего_дня[Продолжительность рабочего дня])+IF(Начало_рабочего_дня[Начало рабочего дня]-MOD(K17,1)&gt;0,Начало_рабочего_дня[Начало рабочего дня]-MOD(K17,1),0),"по запросу")=K17,"-",IFERROR(WORKDAY(K17,(MOD(K17,1)-Начало_рабочего_дня[Начало рабочего дня]+G17)/Продолжительность_рабочего_дня[Продолжительность рабочего дня],Праздничные_дни[Праздничные дни])+Начало_рабочего_дня[Начало рабочего дня]+MOD(MOD(K17,1)-Начало_рабочего_дня[Начало рабочего дня]+G17,Продолжительность_рабочего_дня[Продолжительность рабочего дня])+IF(Начало_рабочего_дня[Начало рабочего дня]-MOD(K17,1)&gt;0,Начало_рабочего_дня[Начало рабочего дня]-MOD(K17,1),0),"по запросу")))</f>
        <v>42104.75</v>
      </c>
      <c r="E17" s="74" t="s">
        <v>40</v>
      </c>
      <c r="F17" s="82">
        <f>IF(AND(I5=0,I6=0,I7=0),"-",IF(OR(F13="по запросу",F14="по запросу",F15="по запросу",F16="по запросу"),"по запросу",LARGE(F13:F16,1)))</f>
        <v>0.66666666666666663</v>
      </c>
      <c r="G17" s="83">
        <f>IF(AND(I5=0,I6=0,I7=0),"-",IF(OR(G13="по запросу",G14="по запросу",G15="по запросу",G16="по запросу"),"по запросу",LARGE(G13:G16,1)))</f>
        <v>0.25</v>
      </c>
      <c r="H17" s="84">
        <f>IF(AND(I5=0,I6=0,I7=0),"-",IF(OR(H13="по запросу",H14="по запросу",H15="по запросу",H16="по запросу"),"по запросу",LARGE(H13:H16,1)))</f>
        <v>0.34166666666666667</v>
      </c>
      <c r="I17" s="85">
        <f>IF(AND(I5=0,I6=0,I7=0),"-",IF(OR(I13="по запросу",I14="по запросу",I15="по запросу",I16="по запросу"),"по запросу",LARGE(I13:I16,1)))</f>
        <v>0.125</v>
      </c>
      <c r="J17" s="74" t="s">
        <v>39</v>
      </c>
      <c r="K17" s="86">
        <v>42104.5</v>
      </c>
      <c r="L17" s="73" t="s">
        <v>38</v>
      </c>
      <c r="M17" s="90" t="s">
        <v>46</v>
      </c>
      <c r="N17" s="73" t="s">
        <v>4</v>
      </c>
      <c r="O17" s="86">
        <v>42104.5</v>
      </c>
      <c r="P17" s="74" t="s">
        <v>42</v>
      </c>
      <c r="Q17" s="82">
        <f>IF(AND(I5=0,I6=0,I7=0),"-",IF(OR(F13="по запросу",F14="по запросу",F15="по запросу",F16="по запросу"),"по запросу",LARGE(F13:F16,1)))</f>
        <v>0.66666666666666663</v>
      </c>
      <c r="R17" s="83">
        <f>IF(AND(I5=0,I6=0,I7=0),"-",IF(OR(G13="по запросу",G14="по запросу",G15="по запросу",G16="по запросу"),"по запросу",LARGE(G13:G16,1)))</f>
        <v>0.25</v>
      </c>
      <c r="S17" s="84">
        <f>IF(AND(I5=0,I6=0,I7=0),"-",IF(OR(H13="по запросу",H14="по запросу",H15="по запросу",H16="по запросу"),"по запросу",LARGE(H13:H16,1)))</f>
        <v>0.34166666666666667</v>
      </c>
      <c r="T17" s="85">
        <f>IF(AND(I5=0,I6=0,I7=0),"-",IF(OR(I13="по запросу",I14="по запросу",I15="по запросу",I16="по запросу"),"по запросу",LARGE(I13:I16,1)))</f>
        <v>0.125</v>
      </c>
      <c r="U17" s="74" t="s">
        <v>40</v>
      </c>
      <c r="V17" s="149">
        <f>IF(AND(I5=0,I6=0,I7=0),"-",IF(IFERROR(WORKDAY(K17,(MOD(K17,1)-Начало_рабочего_дня[Начало рабочего дня]+G17)/Продолжительность_рабочего_дня[Продолжительность рабочего дня],Праздничные_дни[Праздничные дни])+Начало_рабочего_дня[Начало рабочего дня]+MOD(MOD(K17,1)-Начало_рабочего_дня[Начало рабочего дня]+G17,Продолжительность_рабочего_дня[Продолжительность рабочего дня])+IF(Начало_рабочего_дня[Начало рабочего дня]-MOD(K17,1)&gt;0,Начало_рабочего_дня[Начало рабочего дня]-MOD(K17,1),0),"по запросу")=K17,"-",IFERROR(WORKDAY(K17,(MOD(K17,1)-Начало_рабочего_дня[Начало рабочего дня]+G17)/Продолжительность_рабочего_дня[Продолжительность рабочего дня],Праздничные_дни[Праздничные дни])+Начало_рабочего_дня[Начало рабочего дня]+MOD(MOD(K17,1)-Начало_рабочего_дня[Начало рабочего дня]+G17,Продолжительность_рабочего_дня[Продолжительность рабочего дня])+IF(Начало_рабочего_дня[Начало рабочего дня]-MOD(K17,1)&gt;0,Начало_рабочего_дня[Начало рабочего дня]-MOD(K17,1),0),"по запросу")))</f>
        <v>42104.75</v>
      </c>
      <c r="W17" s="150">
        <f>IF(AND(I5=0,I6=0,I7=0),"-",IF(IFERROR(WORKDAY(K17,(MOD(K17,1)-Начало_рабочего_дня[Начало рабочего дня]+I17)/Продолжительность_рабочего_дня[Продолжительность рабочего дня],Праздничные_дни[Праздничные дни])+Начало_рабочего_дня[Начало рабочего дня]+MOD(MOD(K17,1)-Начало_рабочего_дня[Начало рабочего дня]+I17,Продолжительность_рабочего_дня[Продолжительность рабочего дня])+IF(Начало_рабочего_дня[Начало рабочего дня]-MOD(K17,1)&gt;0,Начало_рабочего_дня[Начало рабочего дня]-MOD(K17,1),0),"по запросу")=K17,"-",IFERROR(WORKDAY(K17,(MOD(K17,1)-Начало_рабочего_дня[Начало рабочего дня]+I17)/Продолжительность_рабочего_дня[Продолжительность рабочего дня],Праздничные_дни[Праздничные дни])+Начало_рабочего_дня[Начало рабочего дня]+MOD(MOD(K17,1)-Начало_рабочего_дня[Начало рабочего дня]+I17,Продолжительность_рабочего_дня[Продолжительность рабочего дня])+IF(Начало_рабочего_дня[Начало рабочего дня]-MOD(K17,1)&gt;0,Начало_рабочего_дня[Начало рабочего дня]-MOD(K17,1),0),"по запросу")))</f>
        <v>42104.625</v>
      </c>
      <c r="X17" s="143" t="str">
        <f>IF(AND(I5=0,I6=0,I7=0),"-",IF(OR(B13="по запросу",B14="по запросу",B15="по запросу"),"по запросу",IF(LARGE(I13:I15,1)=I13,"+"&amp;B13*100&amp;"% к услуге верстки",IF(LARGE(I13:I15,1)=I14,"+"&amp;B14*100&amp;"% к услуге обработки",IF(LARGE(I13:I15,1)=I15,"+"&amp;B15*100&amp;"% к услуге вставки"," ")))))</f>
        <v>+100% к услуге верстки</v>
      </c>
    </row>
    <row r="18" spans="2:25" ht="15.75" thickTop="1" x14ac:dyDescent="0.25"/>
    <row r="21" spans="2:25" ht="48.75" customHeight="1" x14ac:dyDescent="0.25">
      <c r="C21" s="45"/>
      <c r="D21" s="119"/>
      <c r="E21" s="45"/>
      <c r="F21" s="45"/>
      <c r="G21" s="45"/>
      <c r="H21" s="45"/>
      <c r="I21" s="45"/>
      <c r="J21" s="45"/>
      <c r="K21" s="95"/>
      <c r="L21" s="120"/>
      <c r="M21" s="45"/>
      <c r="N21" s="120"/>
      <c r="O21" s="45"/>
      <c r="P21" s="45"/>
      <c r="Q21" s="45"/>
      <c r="R21" s="45"/>
      <c r="S21" s="121"/>
      <c r="T21" s="45"/>
      <c r="U21" s="45"/>
      <c r="V21" s="119"/>
      <c r="W21" s="122"/>
      <c r="X21" s="45"/>
      <c r="Y21" s="123"/>
    </row>
    <row r="22" spans="2:25" x14ac:dyDescent="0.25">
      <c r="C22" s="45"/>
      <c r="D22" s="45"/>
      <c r="E22" s="45"/>
      <c r="F22" s="45"/>
      <c r="G22" s="45"/>
      <c r="H22" s="45"/>
      <c r="I22" s="45"/>
      <c r="J22" s="45"/>
      <c r="K22" s="45"/>
      <c r="L22" s="120"/>
      <c r="M22" s="45"/>
      <c r="N22" s="120"/>
      <c r="O22" s="45"/>
      <c r="P22" s="45"/>
      <c r="Q22" s="45"/>
      <c r="R22" s="45"/>
      <c r="S22" s="45"/>
      <c r="T22" s="45"/>
      <c r="U22" s="45"/>
      <c r="V22" s="119"/>
      <c r="W22" s="45"/>
      <c r="X22" s="45"/>
      <c r="Y22" s="45"/>
    </row>
    <row r="23" spans="2:25" ht="30" customHeight="1" x14ac:dyDescent="0.25">
      <c r="C23" s="45"/>
      <c r="D23" s="45"/>
      <c r="E23" s="124"/>
      <c r="F23" s="45"/>
      <c r="G23" s="45"/>
      <c r="H23" s="45"/>
      <c r="I23" s="45"/>
      <c r="J23" s="45"/>
      <c r="K23" s="45"/>
      <c r="L23" s="120"/>
      <c r="M23" s="45"/>
      <c r="N23" s="120"/>
      <c r="O23" s="45"/>
      <c r="P23" s="45"/>
      <c r="Q23" s="45"/>
      <c r="R23" s="45"/>
      <c r="S23" s="121"/>
      <c r="T23" s="121"/>
      <c r="U23" s="45"/>
      <c r="V23" s="121"/>
      <c r="W23" s="125"/>
      <c r="X23" s="125"/>
      <c r="Y23" s="45"/>
    </row>
    <row r="24" spans="2:25" ht="30" customHeight="1" x14ac:dyDescent="0.25">
      <c r="C24" s="45"/>
      <c r="D24" s="45"/>
      <c r="E24" s="124"/>
      <c r="F24" s="45"/>
      <c r="G24" s="45"/>
      <c r="H24" s="45"/>
      <c r="I24" s="45"/>
      <c r="J24" s="45"/>
      <c r="K24" s="45"/>
      <c r="L24" s="120"/>
      <c r="M24" s="45"/>
      <c r="N24" s="120"/>
      <c r="O24" s="45"/>
      <c r="P24" s="45"/>
      <c r="Q24" s="45"/>
      <c r="R24" s="45"/>
      <c r="S24" s="123"/>
      <c r="T24" s="45"/>
      <c r="U24" s="45"/>
      <c r="V24" s="119"/>
      <c r="W24" s="45"/>
      <c r="X24" s="45"/>
      <c r="Y24" s="45"/>
    </row>
    <row r="25" spans="2:25" ht="30" customHeight="1" x14ac:dyDescent="0.25">
      <c r="C25" s="45"/>
      <c r="D25" s="122"/>
      <c r="E25" s="124"/>
      <c r="F25" s="45"/>
      <c r="G25" s="45"/>
      <c r="H25" s="45"/>
      <c r="I25" s="45"/>
      <c r="J25" s="45"/>
      <c r="K25" s="45"/>
      <c r="L25" s="120"/>
      <c r="M25" s="45"/>
      <c r="N25" s="120"/>
      <c r="O25" s="45"/>
      <c r="P25" s="45"/>
      <c r="Q25" s="45"/>
      <c r="R25" s="45"/>
      <c r="S25" s="45"/>
      <c r="T25" s="45"/>
      <c r="U25" s="45"/>
      <c r="V25" s="126"/>
      <c r="W25" s="122"/>
      <c r="X25" s="45"/>
      <c r="Y25" s="45"/>
    </row>
    <row r="26" spans="2:25" ht="30" customHeight="1" x14ac:dyDescent="0.25">
      <c r="C26" s="45"/>
      <c r="D26" s="45"/>
      <c r="E26" s="124"/>
      <c r="F26" s="45"/>
      <c r="G26" s="45"/>
      <c r="H26" s="45"/>
      <c r="I26" s="45"/>
      <c r="J26" s="45"/>
      <c r="K26" s="45"/>
      <c r="L26" s="120"/>
      <c r="M26" s="45"/>
      <c r="N26" s="120"/>
      <c r="O26" s="45"/>
      <c r="P26" s="45"/>
      <c r="Q26" s="45"/>
      <c r="R26" s="45"/>
      <c r="S26" s="45"/>
      <c r="T26" s="45"/>
      <c r="U26" s="45"/>
      <c r="V26" s="119"/>
      <c r="W26" s="45"/>
      <c r="X26" s="45"/>
      <c r="Y26" s="45"/>
    </row>
    <row r="27" spans="2:25" ht="18.75" x14ac:dyDescent="0.25">
      <c r="C27" s="45"/>
      <c r="D27" s="119"/>
      <c r="E27" s="127"/>
      <c r="F27" s="121"/>
      <c r="G27" s="45"/>
      <c r="H27" s="45"/>
      <c r="I27" s="45"/>
      <c r="J27" s="45"/>
      <c r="K27" s="45"/>
      <c r="L27" s="120"/>
      <c r="M27" s="45"/>
      <c r="N27" s="120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</row>
    <row r="28" spans="2:25" x14ac:dyDescent="0.25">
      <c r="C28" s="45"/>
      <c r="D28" s="45"/>
      <c r="E28" s="45"/>
      <c r="F28" s="45"/>
      <c r="G28" s="45"/>
      <c r="H28" s="45"/>
      <c r="I28" s="45"/>
      <c r="J28" s="45"/>
      <c r="K28" s="45"/>
      <c r="L28" s="120"/>
      <c r="M28" s="45"/>
      <c r="N28" s="120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</row>
  </sheetData>
  <mergeCells count="10">
    <mergeCell ref="F2:H3"/>
    <mergeCell ref="M11:M12"/>
    <mergeCell ref="F11:G11"/>
    <mergeCell ref="K11:K12"/>
    <mergeCell ref="H11:I11"/>
    <mergeCell ref="B11:D11"/>
    <mergeCell ref="V11:X11"/>
    <mergeCell ref="Q11:R11"/>
    <mergeCell ref="S11:T11"/>
    <mergeCell ref="O11:O12"/>
  </mergeCells>
  <pageMargins left="0.75" right="0.75" top="1" bottom="1" header="0.5" footer="0.5"/>
  <pageSetup paperSize="9" orientation="portrait" horizontalDpi="4294967292" verticalDpi="4294967292" r:id="rId1"/>
  <tableParts count="1">
    <tablePart r:id="rId2"/>
  </tableParts>
  <extLst>
    <ext xmlns:mx="http://schemas.microsoft.com/office/mac/excel/2008/main" uri="{64002731-A6B0-56B0-2670-7721B7C09600}">
      <mx:PLV Mode="0" OnePage="0" WScale="0"/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Дополнительные данные</vt:lpstr>
      <vt:lpstr>Производственный график</vt:lpstr>
      <vt:lpstr>Расчет срока готовности заказа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Гостев</dc:creator>
  <cp:lastModifiedBy>Юрий Гостев</cp:lastModifiedBy>
  <cp:lastPrinted>2015-04-09T08:00:46Z</cp:lastPrinted>
  <dcterms:created xsi:type="dcterms:W3CDTF">2015-03-26T16:35:15Z</dcterms:created>
  <dcterms:modified xsi:type="dcterms:W3CDTF">2015-04-14T19:09:47Z</dcterms:modified>
</cp:coreProperties>
</file>