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36" i="1" l="1"/>
  <c r="L36" i="1" s="1"/>
  <c r="H40" i="1" s="1"/>
  <c r="A36" i="1"/>
  <c r="L35" i="1"/>
  <c r="A35" i="1"/>
  <c r="L34" i="1"/>
  <c r="A34" i="1"/>
  <c r="A33" i="1"/>
  <c r="J32" i="1"/>
  <c r="A32" i="1"/>
  <c r="K31" i="1"/>
  <c r="G38" i="1" s="1"/>
  <c r="A31" i="1"/>
  <c r="K30" i="1"/>
  <c r="I46" i="1" s="1"/>
  <c r="A30" i="1"/>
  <c r="L29" i="1"/>
  <c r="A29" i="1"/>
  <c r="L28" i="1"/>
  <c r="A28" i="1"/>
  <c r="I19" i="1"/>
  <c r="H19" i="1"/>
  <c r="J19" i="1" s="1"/>
  <c r="F19" i="1"/>
  <c r="E19" i="1"/>
  <c r="G19" i="1" s="1"/>
  <c r="D19" i="1"/>
  <c r="C19" i="1"/>
  <c r="B19" i="1"/>
  <c r="I18" i="1"/>
  <c r="J18" i="1" s="1"/>
  <c r="H18" i="1"/>
  <c r="F18" i="1"/>
  <c r="E18" i="1"/>
  <c r="G18" i="1" s="1"/>
  <c r="C18" i="1"/>
  <c r="B18" i="1"/>
  <c r="D18" i="1" s="1"/>
  <c r="J17" i="1"/>
  <c r="I17" i="1"/>
  <c r="H17" i="1"/>
  <c r="F17" i="1"/>
  <c r="G17" i="1" s="1"/>
  <c r="E17" i="1"/>
  <c r="C17" i="1"/>
  <c r="B17" i="1"/>
  <c r="D17" i="1" s="1"/>
  <c r="I16" i="1"/>
  <c r="H16" i="1"/>
  <c r="J16" i="1" s="1"/>
  <c r="G16" i="1"/>
  <c r="F16" i="1"/>
  <c r="E16" i="1"/>
  <c r="C16" i="1"/>
  <c r="D16" i="1" s="1"/>
  <c r="B16" i="1"/>
  <c r="I15" i="1"/>
  <c r="H15" i="1"/>
  <c r="J15" i="1" s="1"/>
  <c r="F15" i="1"/>
  <c r="E15" i="1"/>
  <c r="G15" i="1" s="1"/>
  <c r="D15" i="1"/>
  <c r="C15" i="1"/>
  <c r="B15" i="1"/>
  <c r="I14" i="1"/>
  <c r="J14" i="1" s="1"/>
  <c r="H14" i="1"/>
  <c r="F14" i="1"/>
  <c r="E14" i="1"/>
  <c r="G14" i="1" s="1"/>
  <c r="C14" i="1"/>
  <c r="B14" i="1"/>
  <c r="D14" i="1" s="1"/>
  <c r="J13" i="1"/>
  <c r="I13" i="1"/>
  <c r="H13" i="1"/>
  <c r="F13" i="1"/>
  <c r="G13" i="1" s="1"/>
  <c r="E13" i="1"/>
  <c r="C13" i="1"/>
  <c r="B13" i="1"/>
  <c r="D13" i="1" s="1"/>
  <c r="I12" i="1"/>
  <c r="H12" i="1"/>
  <c r="J12" i="1" s="1"/>
  <c r="G12" i="1"/>
  <c r="F12" i="1"/>
  <c r="E12" i="1"/>
  <c r="C12" i="1"/>
  <c r="D12" i="1" s="1"/>
  <c r="B12" i="1"/>
  <c r="I11" i="1"/>
  <c r="H11" i="1"/>
  <c r="J11" i="1" s="1"/>
  <c r="F11" i="1"/>
  <c r="E11" i="1"/>
  <c r="G11" i="1" s="1"/>
  <c r="D11" i="1"/>
  <c r="C11" i="1"/>
  <c r="B11" i="1"/>
  <c r="I10" i="1"/>
  <c r="J10" i="1" s="1"/>
  <c r="H10" i="1"/>
  <c r="F10" i="1"/>
  <c r="E10" i="1"/>
  <c r="G10" i="1" s="1"/>
  <c r="C10" i="1"/>
  <c r="B10" i="1"/>
  <c r="D10" i="1" s="1"/>
  <c r="J9" i="1"/>
  <c r="I9" i="1"/>
  <c r="H9" i="1"/>
  <c r="F9" i="1"/>
  <c r="G9" i="1" s="1"/>
  <c r="E9" i="1"/>
  <c r="C9" i="1"/>
  <c r="B9" i="1"/>
  <c r="D9" i="1" s="1"/>
  <c r="I8" i="1"/>
  <c r="I20" i="1" s="1"/>
  <c r="H8" i="1"/>
  <c r="J8" i="1" s="1"/>
  <c r="G8" i="1"/>
  <c r="F8" i="1"/>
  <c r="F20" i="1" s="1"/>
  <c r="E8" i="1"/>
  <c r="E20" i="1" s="1"/>
  <c r="C8" i="1"/>
  <c r="C20" i="1" s="1"/>
  <c r="B8" i="1"/>
  <c r="B20" i="1" s="1"/>
  <c r="J20" i="1" l="1"/>
  <c r="M22" i="1" s="1"/>
  <c r="B40" i="1" s="1"/>
  <c r="J40" i="1"/>
  <c r="L40" i="1" s="1"/>
  <c r="G20" i="1"/>
  <c r="M24" i="1" s="1"/>
  <c r="B39" i="1" s="1"/>
  <c r="D8" i="1"/>
  <c r="D20" i="1" s="1"/>
  <c r="L30" i="1"/>
  <c r="G40" i="1"/>
  <c r="I40" i="1" s="1"/>
  <c r="H20" i="1"/>
  <c r="L31" i="1"/>
  <c r="H38" i="1" s="1"/>
  <c r="M23" i="1" l="1"/>
  <c r="K42" i="1" s="1"/>
  <c r="K32" i="1" s="1"/>
  <c r="K33" i="1" s="1"/>
  <c r="G39" i="1" s="1"/>
  <c r="I39" i="1" s="1"/>
  <c r="K40" i="1"/>
  <c r="B38" i="1"/>
  <c r="E38" i="1" s="1"/>
  <c r="I38" i="1" s="1"/>
  <c r="K38" i="1" s="1"/>
  <c r="K39" i="1" l="1"/>
  <c r="L44" i="1"/>
  <c r="K44" i="1"/>
  <c r="F38" i="1"/>
  <c r="J38" i="1" s="1"/>
  <c r="L38" i="1" s="1"/>
  <c r="E47" i="1" l="1"/>
  <c r="I47" i="1" s="1"/>
  <c r="I48" i="1" s="1"/>
  <c r="M26" i="1"/>
  <c r="L42" i="1"/>
  <c r="L32" i="1" s="1"/>
  <c r="L33" i="1" s="1"/>
  <c r="H39" i="1" s="1"/>
  <c r="J39" i="1" s="1"/>
  <c r="L39" i="1" s="1"/>
  <c r="P42" i="1" l="1"/>
  <c r="T5" i="1"/>
  <c r="T4" i="1"/>
  <c r="T3" i="1"/>
  <c r="Q39" i="1"/>
</calcChain>
</file>

<file path=xl/sharedStrings.xml><?xml version="1.0" encoding="utf-8"?>
<sst xmlns="http://schemas.openxmlformats.org/spreadsheetml/2006/main" count="66" uniqueCount="62">
  <si>
    <t>Необходимо заполнить только ячейки с фиолетовой заливкой</t>
  </si>
  <si>
    <t>Данные красным шрифтом несут информативную функцию</t>
  </si>
  <si>
    <r>
      <t xml:space="preserve">Если у вас есть аргументированные замечания к расчету, направляйте их на </t>
    </r>
    <r>
      <rPr>
        <u/>
        <sz val="11"/>
        <color theme="0"/>
        <rFont val="Calibri"/>
        <family val="2"/>
        <charset val="204"/>
        <scheme val="minor"/>
      </rPr>
      <t>tax@mhp.com.ua</t>
    </r>
  </si>
  <si>
    <t>ЦБ-0000011</t>
  </si>
  <si>
    <t>укажите код ЦБ Организации</t>
  </si>
  <si>
    <t>Дані із Звіту про нарахованої з/п та суми нарахованого ЄСВ за 2014 рік</t>
  </si>
  <si>
    <t>укажите код ОКПО Организации / ОП / филиала</t>
  </si>
  <si>
    <t>Місяці 2014р.</t>
  </si>
  <si>
    <t>Загальна база нарахування ЄСВ за 2014р. (Номер рядка звіту 2)</t>
  </si>
  <si>
    <t>База нарахування ЄСВ інвалідам 8,41% за 2014р. (Номер рядка звіту 2.1.4 +  2.3.2)</t>
  </si>
  <si>
    <t>База нарахування ЄСВ за 2014р. для розрахунку понижуючого коеф-ту (Номер рядка звіту 
2 - 2.1.4 - 2.3.2)</t>
  </si>
  <si>
    <t>Загальна сума нарахованого ЄСВ за 2014р. (Номер рядка звіту 8.1 +  8.4 + 8.5 + 8.7 + 8.8)</t>
  </si>
  <si>
    <t>Сума нарахованого ЄСВ на з/п інвалідів за 2014р. (Номер рядка звіту 8.4)</t>
  </si>
  <si>
    <t>Сума нарахованого ЄСВ для розрахунку понижуючого коеф-ту (Номер рядка звіту 
8.1 + 8.5 + 8.7 + 8.8)</t>
  </si>
  <si>
    <t>Кількість застрахованих осіб у 2014р.</t>
  </si>
  <si>
    <t>В т.ч осіб які мають інвалідність у 2014р.</t>
  </si>
  <si>
    <t>Кількість застрахованих осіб у 2014р. для розрахунку понижуючого коеф-ту</t>
  </si>
  <si>
    <t>указывается ставка на 01.04.2015. 
Если ставка в 2014 году была другая, сообщите об этом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</si>
  <si>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</si>
  <si>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</si>
  <si>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</si>
  <si>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</si>
  <si>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</si>
  <si>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</si>
  <si>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</si>
  <si>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</si>
  <si>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</si>
  <si>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</si>
  <si>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</si>
  <si>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</si>
  <si>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Всього:</t>
  </si>
  <si>
    <t>Середньомісячна кількість застрахованих осіб у 2014р. для розрахунку понижуючого к-ту ЄСВ (без інвалідів) ,чол</t>
  </si>
  <si>
    <t>4696/12=391</t>
  </si>
  <si>
    <t>Середньомісячна база ЄСВ на 1 особу у 2014р. для розрахунку понижуючого к-ту ЄСВ, грн</t>
  </si>
  <si>
    <t>14347930,21/12/391=3057,96</t>
  </si>
  <si>
    <t>Середньомісячний платіж на 1 застраховану особу у 2014р. для розрахунку понижуючого к-ту ЄСВ, грн</t>
  </si>
  <si>
    <t>4823853,98/12/391=1028,10</t>
  </si>
  <si>
    <t>Розрахунок</t>
  </si>
  <si>
    <t>за квітень 2015 р</t>
  </si>
  <si>
    <t>Первірка лише по 1 та 3 умові</t>
  </si>
  <si>
    <t>Первірка по всім 3-м умовам</t>
  </si>
  <si>
    <t>Червоні стрічки для заповнення</t>
  </si>
  <si>
    <t>2002211,95/387=5173,67</t>
  </si>
  <si>
    <t>744622,62/387=1924,09</t>
  </si>
  <si>
    <t>2014рік</t>
  </si>
  <si>
    <t>Квітень 2015рік (1 та 3 Умови)</t>
  </si>
  <si>
    <t>Квітень 2015рік (всі 3 Умови)</t>
  </si>
  <si>
    <t>збільшення на
 (1 та 3 Умови)</t>
  </si>
  <si>
    <t>збільшення на 
(всі 3 Умови)</t>
  </si>
  <si>
    <t>1 Умова</t>
  </si>
  <si>
    <t xml:space="preserve"> (база + 20%)</t>
  </si>
  <si>
    <t>2 Умова</t>
  </si>
  <si>
    <t xml:space="preserve"> (сума ЄСВ не зменшилась)</t>
  </si>
  <si>
    <t>виконується</t>
  </si>
  <si>
    <t>3 Умова</t>
  </si>
  <si>
    <t xml:space="preserve"> (кількіть працюючих не збільшилася більше ніж на 200%</t>
  </si>
  <si>
    <t>Коефіцієнт для зниження ставки нарахування ЄСВ</t>
  </si>
  <si>
    <t>3057,96/5173,67=0,591</t>
  </si>
  <si>
    <t>Ставка ЄСВ</t>
  </si>
  <si>
    <t>37,19*0,591=21,979</t>
  </si>
  <si>
    <t>Сума до сплати ЄСВ</t>
  </si>
  <si>
    <t>Дельта/ економія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</si>
</sst>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0.000"/>
    <numFmt numFmtId="165" formatCode="_-* #,##0.00_р_._-;\-* #,##0.00_р_._-;_-* &quot;-&quot;??_р_._-;_-@_-"/>
    <numFmt numFmtId="166" formatCode="_-* #,##0_₴_-;\-* #,##0_₴_-;_-* &quot;-&quot;??_₴_-;_-@_-"/>
    <numFmt numFmtId="167" formatCode="_-* #,##0.000_₴_-;\-* #,##0.000_₴_-;_-* &quot;-&quot;??_₴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u/>
      <sz val="11"/>
      <color theme="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64" fontId="3" fillId="0" borderId="0" xfId="0" applyNumberFormat="1" applyFont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4" fontId="11" fillId="3" borderId="2" xfId="0" applyNumberFormat="1" applyFont="1" applyFill="1" applyBorder="1" applyAlignment="1" applyProtection="1">
      <alignment vertical="center"/>
    </xf>
    <xf numFmtId="3" fontId="11" fillId="3" borderId="2" xfId="0" applyNumberFormat="1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43" fontId="9" fillId="3" borderId="2" xfId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right" vertical="center"/>
    </xf>
    <xf numFmtId="43" fontId="4" fillId="3" borderId="0" xfId="1" applyFont="1" applyFill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right" vertical="center"/>
    </xf>
    <xf numFmtId="43" fontId="4" fillId="3" borderId="0" xfId="1" applyFont="1" applyFill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2" fontId="4" fillId="0" borderId="0" xfId="0" applyNumberFormat="1" applyFont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 wrapText="1"/>
    </xf>
    <xf numFmtId="43" fontId="12" fillId="6" borderId="3" xfId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 vertical="center"/>
    </xf>
    <xf numFmtId="43" fontId="1" fillId="6" borderId="3" xfId="1" applyFont="1" applyFill="1" applyBorder="1" applyAlignment="1" applyProtection="1">
      <alignment horizontal="left" vertical="center"/>
    </xf>
    <xf numFmtId="165" fontId="4" fillId="3" borderId="5" xfId="0" applyNumberFormat="1" applyFont="1" applyFill="1" applyBorder="1" applyAlignment="1" applyProtection="1">
      <alignment horizontal="right" vertical="center"/>
    </xf>
    <xf numFmtId="165" fontId="4" fillId="7" borderId="1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165" fontId="4" fillId="3" borderId="1" xfId="0" applyNumberFormat="1" applyFont="1" applyFill="1" applyBorder="1" applyAlignment="1" applyProtection="1">
      <alignment horizontal="right" vertical="center"/>
    </xf>
    <xf numFmtId="43" fontId="1" fillId="0" borderId="0" xfId="0" applyNumberFormat="1" applyFont="1" applyAlignment="1" applyProtection="1">
      <alignment vertical="center"/>
    </xf>
    <xf numFmtId="165" fontId="4" fillId="3" borderId="6" xfId="0" applyNumberFormat="1" applyFont="1" applyFill="1" applyBorder="1" applyAlignment="1" applyProtection="1">
      <alignment horizontal="right" vertical="center"/>
    </xf>
    <xf numFmtId="166" fontId="12" fillId="0" borderId="0" xfId="0" applyNumberFormat="1" applyFont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43" fontId="13" fillId="3" borderId="0" xfId="1" applyFont="1" applyFill="1" applyAlignment="1" applyProtection="1">
      <alignment vertical="center"/>
    </xf>
    <xf numFmtId="43" fontId="14" fillId="3" borderId="0" xfId="0" applyNumberFormat="1" applyFont="1" applyFill="1" applyAlignment="1" applyProtection="1">
      <alignment horizontal="center" vertical="center"/>
    </xf>
    <xf numFmtId="43" fontId="13" fillId="3" borderId="0" xfId="1" applyFont="1" applyFill="1" applyAlignment="1" applyProtection="1">
      <alignment horizontal="center" vertical="center"/>
    </xf>
    <xf numFmtId="2" fontId="14" fillId="3" borderId="0" xfId="0" applyNumberFormat="1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4" fontId="13" fillId="3" borderId="0" xfId="1" applyNumberFormat="1" applyFont="1" applyFill="1" applyAlignment="1" applyProtection="1">
      <alignment horizontal="center" vertical="center"/>
    </xf>
    <xf numFmtId="43" fontId="13" fillId="3" borderId="0" xfId="1" applyFont="1" applyFill="1" applyAlignment="1" applyProtection="1">
      <alignment horizontal="right" vertical="center"/>
    </xf>
    <xf numFmtId="4" fontId="13" fillId="3" borderId="0" xfId="1" applyNumberFormat="1" applyFont="1" applyFill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right" vertical="center"/>
    </xf>
    <xf numFmtId="164" fontId="4" fillId="7" borderId="1" xfId="0" applyNumberFormat="1" applyFont="1" applyFill="1" applyBorder="1" applyAlignment="1" applyProtection="1">
      <alignment horizontal="right" vertical="center"/>
    </xf>
    <xf numFmtId="0" fontId="1" fillId="8" borderId="0" xfId="0" applyFont="1" applyFill="1" applyAlignment="1" applyProtection="1">
      <alignment vertical="center"/>
    </xf>
    <xf numFmtId="0" fontId="4" fillId="7" borderId="1" xfId="0" applyFont="1" applyFill="1" applyBorder="1" applyAlignment="1" applyProtection="1">
      <alignment horizontal="right" vertical="center"/>
    </xf>
    <xf numFmtId="167" fontId="1" fillId="3" borderId="2" xfId="1" applyNumberFormat="1" applyFont="1" applyFill="1" applyBorder="1" applyAlignment="1" applyProtection="1">
      <alignment vertical="center"/>
    </xf>
    <xf numFmtId="43" fontId="1" fillId="3" borderId="2" xfId="1" applyFont="1" applyFill="1" applyBorder="1" applyAlignment="1" applyProtection="1">
      <alignment vertical="center"/>
    </xf>
    <xf numFmtId="43" fontId="16" fillId="3" borderId="2" xfId="1" applyFont="1" applyFill="1" applyBorder="1" applyAlignment="1" applyProtection="1">
      <alignment horizontal="right" vertical="center"/>
    </xf>
    <xf numFmtId="0" fontId="15" fillId="2" borderId="0" xfId="0" applyFont="1" applyFill="1" applyAlignment="1" applyProtection="1">
      <alignment vertical="center"/>
    </xf>
    <xf numFmtId="164" fontId="4" fillId="2" borderId="1" xfId="0" applyNumberFormat="1" applyFont="1" applyFill="1" applyBorder="1" applyAlignment="1" applyProtection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42</xdr:row>
      <xdr:rowOff>76200</xdr:rowOff>
    </xdr:from>
    <xdr:to>
      <xdr:col>12</xdr:col>
      <xdr:colOff>200025</xdr:colOff>
      <xdr:row>44</xdr:row>
      <xdr:rowOff>76200</xdr:rowOff>
    </xdr:to>
    <xdr:sp macro="" textlink="">
      <xdr:nvSpPr>
        <xdr:cNvPr id="2" name="Овал 1"/>
        <xdr:cNvSpPr/>
      </xdr:nvSpPr>
      <xdr:spPr>
        <a:xfrm>
          <a:off x="12030075" y="9696450"/>
          <a:ext cx="1085850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10</xdr:col>
      <xdr:colOff>981075</xdr:colOff>
      <xdr:row>36</xdr:row>
      <xdr:rowOff>485775</xdr:rowOff>
    </xdr:from>
    <xdr:to>
      <xdr:col>12</xdr:col>
      <xdr:colOff>133350</xdr:colOff>
      <xdr:row>40</xdr:row>
      <xdr:rowOff>19050</xdr:rowOff>
    </xdr:to>
    <xdr:sp macro="" textlink="">
      <xdr:nvSpPr>
        <xdr:cNvPr id="3" name="Овал 2"/>
        <xdr:cNvSpPr/>
      </xdr:nvSpPr>
      <xdr:spPr>
        <a:xfrm>
          <a:off x="11706225" y="4086225"/>
          <a:ext cx="1343025" cy="866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.pugach/AppData/Local/Microsoft/Windows/Temporary%20Internet%20Files/Content.Outlook/LSKM0I9O/&#1060;&#1086;&#1088;&#1084;&#1072;%20&#1088;&#1086;&#1079;&#1088;&#1072;&#1093;&#1091;&#1085;&#1082;&#1091;%20&#1028;&#1057;&#1042;%20(&#1062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О"/>
      <sheetName val="Звіт ЄСВ"/>
      <sheetName val="1"/>
      <sheetName val="6"/>
      <sheetName val="Лист1"/>
    </sheetNames>
    <sheetDataSet>
      <sheetData sheetId="0"/>
      <sheetData sheetId="1">
        <row r="4">
          <cell r="C4">
            <v>82</v>
          </cell>
          <cell r="D4">
            <v>4</v>
          </cell>
          <cell r="M4">
            <v>741835.75</v>
          </cell>
          <cell r="R4">
            <v>36355.21</v>
          </cell>
          <cell r="AF4">
            <v>262368.21000000002</v>
          </cell>
          <cell r="AG4">
            <v>3057.47</v>
          </cell>
        </row>
        <row r="5">
          <cell r="C5">
            <v>84</v>
          </cell>
          <cell r="D5">
            <v>4</v>
          </cell>
          <cell r="M5">
            <v>562796.02</v>
          </cell>
          <cell r="R5">
            <v>27275.040000000001</v>
          </cell>
          <cell r="AF5">
            <v>198785.1</v>
          </cell>
          <cell r="AG5">
            <v>2293.84</v>
          </cell>
          <cell r="AK5">
            <v>334.91</v>
          </cell>
        </row>
        <row r="6">
          <cell r="C6">
            <v>90</v>
          </cell>
          <cell r="D6">
            <v>4</v>
          </cell>
          <cell r="M6">
            <v>642871.81999999995</v>
          </cell>
          <cell r="R6">
            <v>31950.1</v>
          </cell>
          <cell r="AF6">
            <v>226199</v>
          </cell>
          <cell r="AG6">
            <v>2687</v>
          </cell>
          <cell r="AK6">
            <v>895.2</v>
          </cell>
        </row>
        <row r="7">
          <cell r="C7">
            <v>88</v>
          </cell>
          <cell r="D7">
            <v>4</v>
          </cell>
          <cell r="M7">
            <v>632125.6</v>
          </cell>
          <cell r="R7">
            <v>31899.19</v>
          </cell>
          <cell r="AF7">
            <v>223224.2</v>
          </cell>
          <cell r="AG7">
            <v>2682.72</v>
          </cell>
        </row>
        <row r="8">
          <cell r="C8">
            <v>90</v>
          </cell>
          <cell r="D8">
            <v>5</v>
          </cell>
          <cell r="M8">
            <v>1098669.1599999999</v>
          </cell>
          <cell r="R8">
            <v>58534.78</v>
          </cell>
          <cell r="AF8">
            <v>380436.1</v>
          </cell>
          <cell r="AG8">
            <v>4922.7700000000004</v>
          </cell>
          <cell r="AK8">
            <v>5704.33</v>
          </cell>
        </row>
        <row r="9">
          <cell r="C9">
            <v>86</v>
          </cell>
          <cell r="D9">
            <v>5</v>
          </cell>
          <cell r="M9">
            <v>653910.4</v>
          </cell>
          <cell r="R9">
            <v>37191.360000000001</v>
          </cell>
          <cell r="AF9">
            <v>229357.81</v>
          </cell>
          <cell r="AG9">
            <v>3127.79</v>
          </cell>
        </row>
        <row r="10">
          <cell r="C10">
            <v>92</v>
          </cell>
          <cell r="D10">
            <v>5</v>
          </cell>
          <cell r="M10">
            <v>695948.34</v>
          </cell>
          <cell r="R10">
            <v>48460.07</v>
          </cell>
          <cell r="AF10">
            <v>240800.89</v>
          </cell>
          <cell r="AG10">
            <v>4075.49</v>
          </cell>
        </row>
        <row r="11">
          <cell r="C11">
            <v>93</v>
          </cell>
          <cell r="D11">
            <v>6</v>
          </cell>
          <cell r="M11">
            <v>633785.03</v>
          </cell>
          <cell r="R11">
            <v>37151.69</v>
          </cell>
          <cell r="AF11">
            <v>221162.4</v>
          </cell>
          <cell r="AG11">
            <v>3124.46</v>
          </cell>
          <cell r="AK11">
            <v>647.70000000000005</v>
          </cell>
        </row>
        <row r="12">
          <cell r="C12">
            <v>94</v>
          </cell>
          <cell r="D12">
            <v>6</v>
          </cell>
          <cell r="M12">
            <v>687490.52</v>
          </cell>
          <cell r="R12">
            <v>45827.14</v>
          </cell>
          <cell r="AF12">
            <v>232101</v>
          </cell>
          <cell r="AG12">
            <v>3854.06</v>
          </cell>
          <cell r="AK12">
            <v>5832.64</v>
          </cell>
        </row>
        <row r="13">
          <cell r="C13">
            <v>94</v>
          </cell>
          <cell r="D13">
            <v>4</v>
          </cell>
          <cell r="M13">
            <v>653515.32999999996</v>
          </cell>
          <cell r="R13">
            <v>34979.21</v>
          </cell>
          <cell r="AF13">
            <v>229469.13</v>
          </cell>
          <cell r="AG13">
            <v>2941.75</v>
          </cell>
          <cell r="AK13">
            <v>503.9</v>
          </cell>
        </row>
        <row r="14">
          <cell r="C14">
            <v>94</v>
          </cell>
          <cell r="D14">
            <v>4</v>
          </cell>
          <cell r="M14">
            <v>692476.73</v>
          </cell>
          <cell r="R14">
            <v>32691.119999999999</v>
          </cell>
          <cell r="AF14">
            <v>245145.74</v>
          </cell>
          <cell r="AG14">
            <v>2749.32</v>
          </cell>
          <cell r="AK14">
            <v>204.01</v>
          </cell>
        </row>
        <row r="15">
          <cell r="C15">
            <v>96</v>
          </cell>
          <cell r="D15">
            <v>4</v>
          </cell>
          <cell r="M15">
            <v>687269.93</v>
          </cell>
          <cell r="R15">
            <v>32112.31</v>
          </cell>
          <cell r="AF15">
            <v>247382.19</v>
          </cell>
          <cell r="AG15">
            <v>911.14</v>
          </cell>
          <cell r="AK15">
            <v>3735.37</v>
          </cell>
        </row>
      </sheetData>
      <sheetData sheetId="2">
        <row r="148">
          <cell r="AS148">
            <v>535334.82999999996</v>
          </cell>
        </row>
        <row r="155">
          <cell r="AS155">
            <v>5116.26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1" workbookViewId="0">
      <selection activeCell="L42" sqref="L42"/>
    </sheetView>
  </sheetViews>
  <sheetFormatPr defaultRowHeight="15" outlineLevelRow="1" x14ac:dyDescent="0.25"/>
  <cols>
    <col min="1" max="1" width="14.42578125" style="8" customWidth="1"/>
    <col min="2" max="2" width="16.42578125" style="8" customWidth="1"/>
    <col min="3" max="3" width="17.42578125" style="8" customWidth="1"/>
    <col min="4" max="4" width="18.28515625" style="8" customWidth="1"/>
    <col min="5" max="6" width="16.42578125" style="8" customWidth="1"/>
    <col min="7" max="7" width="18.85546875" style="8" customWidth="1"/>
    <col min="8" max="8" width="15" style="8" customWidth="1"/>
    <col min="9" max="9" width="12.85546875" style="8" customWidth="1"/>
    <col min="10" max="10" width="14.7109375" style="8" customWidth="1"/>
    <col min="11" max="13" width="16.42578125" style="8" customWidth="1"/>
    <col min="14" max="14" width="50.5703125" style="3" customWidth="1"/>
    <col min="15" max="15" width="11.42578125" style="8" bestFit="1" customWidth="1"/>
    <col min="16" max="16" width="16.85546875" style="8" hidden="1" customWidth="1"/>
    <col min="17" max="17" width="20.42578125" style="8" hidden="1" customWidth="1"/>
    <col min="18" max="18" width="18.140625" style="8" customWidth="1"/>
    <col min="19" max="16384" width="9.140625" style="8"/>
  </cols>
  <sheetData>
    <row r="1" spans="1:20" s="1" customFormat="1" hidden="1" x14ac:dyDescent="0.25">
      <c r="E1" s="2" t="s">
        <v>0</v>
      </c>
      <c r="N1" s="3"/>
    </row>
    <row r="2" spans="1:20" s="1" customFormat="1" hidden="1" x14ac:dyDescent="0.25">
      <c r="E2" s="2" t="s">
        <v>1</v>
      </c>
      <c r="N2" s="3"/>
    </row>
    <row r="3" spans="1:20" s="1" customFormat="1" ht="15.75" hidden="1" thickBot="1" x14ac:dyDescent="0.3">
      <c r="E3" s="2" t="s">
        <v>2</v>
      </c>
      <c r="N3" s="3"/>
      <c r="R3" s="4">
        <v>1E-3</v>
      </c>
      <c r="T3" s="1">
        <f>IF($L$39="не виконується",$L$42+R3,3)</f>
        <v>0.47</v>
      </c>
    </row>
    <row r="4" spans="1:20" ht="15.75" hidden="1" thickBo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s">
        <v>3</v>
      </c>
      <c r="N4" s="3" t="s">
        <v>4</v>
      </c>
      <c r="R4" s="9">
        <v>2E-3</v>
      </c>
      <c r="T4" s="1">
        <f>IF($L$39="не виконується",$L$42+R4,3)</f>
        <v>0.47099999999999997</v>
      </c>
    </row>
    <row r="5" spans="1:20" ht="15.75" hidden="1" thickBot="1" x14ac:dyDescent="0.3">
      <c r="A5" s="10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>
        <v>33958640</v>
      </c>
      <c r="N5" s="3" t="s">
        <v>6</v>
      </c>
      <c r="R5" s="9">
        <v>3.0000000000000001E-3</v>
      </c>
      <c r="T5" s="1">
        <f>IF($L$39="не виконується",$L$42+R5,3)</f>
        <v>0.47199999999999998</v>
      </c>
    </row>
    <row r="6" spans="1:20" ht="15.75" hidden="1" thickBot="1" x14ac:dyDescent="0.3">
      <c r="R6" s="9">
        <v>4.0000000000000001E-3</v>
      </c>
    </row>
    <row r="7" spans="1:20" ht="105.75" hidden="1" thickBot="1" x14ac:dyDescent="0.3">
      <c r="A7" s="13" t="s">
        <v>7</v>
      </c>
      <c r="B7" s="13" t="s">
        <v>8</v>
      </c>
      <c r="C7" s="13" t="s">
        <v>9</v>
      </c>
      <c r="D7" s="13" t="s">
        <v>10</v>
      </c>
      <c r="E7" s="13" t="s">
        <v>11</v>
      </c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4"/>
      <c r="L7" s="15"/>
      <c r="M7" s="16">
        <v>37.19</v>
      </c>
      <c r="N7" s="3" t="s">
        <v>17</v>
      </c>
    </row>
    <row r="8" spans="1:20" hidden="1" outlineLevel="1" x14ac:dyDescent="0.25">
      <c r="A8" s="17" t="s">
        <v>18</v>
      </c>
      <c r="B8" s="18">
        <f>'[1]Звіт ЄСВ'!M4</f>
        <v>741835.75</v>
      </c>
      <c r="C8" s="18">
        <f>'[1]Звіт ЄСВ'!R4+'[1]Звіт ЄСВ'!X4</f>
        <v>36355.21</v>
      </c>
      <c r="D8" s="18">
        <f>B8-C8</f>
        <v>705480.54</v>
      </c>
      <c r="E8" s="18">
        <f>'[1]Звіт ЄСВ'!AF4+'[1]Звіт ЄСВ'!AG4+'[1]Звіт ЄСВ'!AI4+'[1]Звіт ЄСВ'!AJ4+'[1]Звіт ЄСВ'!AK4</f>
        <v>265425.68</v>
      </c>
      <c r="F8" s="18">
        <f>'[1]Звіт ЄСВ'!AG4</f>
        <v>3057.47</v>
      </c>
      <c r="G8" s="18">
        <f>E8-F8</f>
        <v>262368.21000000002</v>
      </c>
      <c r="H8" s="19">
        <f>'[1]Звіт ЄСВ'!C4</f>
        <v>82</v>
      </c>
      <c r="I8" s="19">
        <f>'[1]Звіт ЄСВ'!D4</f>
        <v>4</v>
      </c>
      <c r="J8" s="19">
        <f>H8-I8</f>
        <v>78</v>
      </c>
    </row>
    <row r="9" spans="1:20" hidden="1" outlineLevel="1" x14ac:dyDescent="0.25">
      <c r="A9" s="17" t="s">
        <v>19</v>
      </c>
      <c r="B9" s="18">
        <f>'[1]Звіт ЄСВ'!M5</f>
        <v>562796.02</v>
      </c>
      <c r="C9" s="18">
        <f>'[1]Звіт ЄСВ'!R5+'[1]Звіт ЄСВ'!X5</f>
        <v>27275.040000000001</v>
      </c>
      <c r="D9" s="18">
        <f t="shared" ref="D9:D19" si="0">B9-C9</f>
        <v>535520.98</v>
      </c>
      <c r="E9" s="18">
        <f>'[1]Звіт ЄСВ'!AF5+'[1]Звіт ЄСВ'!AG5+'[1]Звіт ЄСВ'!AI5+'[1]Звіт ЄСВ'!AJ5+'[1]Звіт ЄСВ'!AK5</f>
        <v>201413.85</v>
      </c>
      <c r="F9" s="18">
        <f>'[1]Звіт ЄСВ'!AG5</f>
        <v>2293.84</v>
      </c>
      <c r="G9" s="18">
        <f t="shared" ref="G9:G19" si="1">E9-F9</f>
        <v>199120.01</v>
      </c>
      <c r="H9" s="19">
        <f>'[1]Звіт ЄСВ'!C5</f>
        <v>84</v>
      </c>
      <c r="I9" s="19">
        <f>'[1]Звіт ЄСВ'!D5</f>
        <v>4</v>
      </c>
      <c r="J9" s="19">
        <f t="shared" ref="J9:J19" si="2">H9-I9</f>
        <v>80</v>
      </c>
    </row>
    <row r="10" spans="1:20" hidden="1" outlineLevel="1" x14ac:dyDescent="0.25">
      <c r="A10" s="17" t="s">
        <v>20</v>
      </c>
      <c r="B10" s="18">
        <f>'[1]Звіт ЄСВ'!M6</f>
        <v>642871.81999999995</v>
      </c>
      <c r="C10" s="18">
        <f>'[1]Звіт ЄСВ'!R6+'[1]Звіт ЄСВ'!X6</f>
        <v>31950.1</v>
      </c>
      <c r="D10" s="18">
        <f t="shared" si="0"/>
        <v>610921.72</v>
      </c>
      <c r="E10" s="18">
        <f>'[1]Звіт ЄСВ'!AF6+'[1]Звіт ЄСВ'!AG6+'[1]Звіт ЄСВ'!AI6+'[1]Звіт ЄСВ'!AJ6+'[1]Звіт ЄСВ'!AK6</f>
        <v>229781.2</v>
      </c>
      <c r="F10" s="18">
        <f>'[1]Звіт ЄСВ'!AG6</f>
        <v>2687</v>
      </c>
      <c r="G10" s="18">
        <f t="shared" si="1"/>
        <v>227094.2</v>
      </c>
      <c r="H10" s="19">
        <f>'[1]Звіт ЄСВ'!C6</f>
        <v>90</v>
      </c>
      <c r="I10" s="19">
        <f>'[1]Звіт ЄСВ'!D6</f>
        <v>4</v>
      </c>
      <c r="J10" s="19">
        <f t="shared" si="2"/>
        <v>86</v>
      </c>
    </row>
    <row r="11" spans="1:20" hidden="1" outlineLevel="1" x14ac:dyDescent="0.25">
      <c r="A11" s="17" t="s">
        <v>21</v>
      </c>
      <c r="B11" s="18">
        <f>'[1]Звіт ЄСВ'!M7</f>
        <v>632125.6</v>
      </c>
      <c r="C11" s="18">
        <f>'[1]Звіт ЄСВ'!R7+'[1]Звіт ЄСВ'!X7</f>
        <v>31899.19</v>
      </c>
      <c r="D11" s="18">
        <f t="shared" si="0"/>
        <v>600226.41</v>
      </c>
      <c r="E11" s="18">
        <f>'[1]Звіт ЄСВ'!AF7+'[1]Звіт ЄСВ'!AG7+'[1]Звіт ЄСВ'!AI7+'[1]Звіт ЄСВ'!AJ7+'[1]Звіт ЄСВ'!AK7</f>
        <v>225906.92</v>
      </c>
      <c r="F11" s="18">
        <f>'[1]Звіт ЄСВ'!AG7</f>
        <v>2682.72</v>
      </c>
      <c r="G11" s="18">
        <f t="shared" si="1"/>
        <v>223224.2</v>
      </c>
      <c r="H11" s="19">
        <f>'[1]Звіт ЄСВ'!C7</f>
        <v>88</v>
      </c>
      <c r="I11" s="19">
        <f>'[1]Звіт ЄСВ'!D7</f>
        <v>4</v>
      </c>
      <c r="J11" s="19">
        <f t="shared" si="2"/>
        <v>84</v>
      </c>
    </row>
    <row r="12" spans="1:20" hidden="1" outlineLevel="1" x14ac:dyDescent="0.25">
      <c r="A12" s="17" t="s">
        <v>22</v>
      </c>
      <c r="B12" s="18">
        <f>'[1]Звіт ЄСВ'!M8</f>
        <v>1098669.1599999999</v>
      </c>
      <c r="C12" s="18">
        <f>'[1]Звіт ЄСВ'!R8+'[1]Звіт ЄСВ'!X8</f>
        <v>58534.78</v>
      </c>
      <c r="D12" s="18">
        <f t="shared" si="0"/>
        <v>1040134.3799999999</v>
      </c>
      <c r="E12" s="18">
        <f>'[1]Звіт ЄСВ'!AF8+'[1]Звіт ЄСВ'!AG8+'[1]Звіт ЄСВ'!AI8+'[1]Звіт ЄСВ'!AJ8+'[1]Звіт ЄСВ'!AK8</f>
        <v>391063.2</v>
      </c>
      <c r="F12" s="18">
        <f>'[1]Звіт ЄСВ'!AG8</f>
        <v>4922.7700000000004</v>
      </c>
      <c r="G12" s="18">
        <f t="shared" si="1"/>
        <v>386140.43</v>
      </c>
      <c r="H12" s="19">
        <f>'[1]Звіт ЄСВ'!C8</f>
        <v>90</v>
      </c>
      <c r="I12" s="19">
        <f>'[1]Звіт ЄСВ'!D8</f>
        <v>5</v>
      </c>
      <c r="J12" s="19">
        <f t="shared" si="2"/>
        <v>85</v>
      </c>
    </row>
    <row r="13" spans="1:20" hidden="1" outlineLevel="1" x14ac:dyDescent="0.25">
      <c r="A13" s="17" t="s">
        <v>23</v>
      </c>
      <c r="B13" s="18">
        <f>'[1]Звіт ЄСВ'!M9</f>
        <v>653910.4</v>
      </c>
      <c r="C13" s="18">
        <f>'[1]Звіт ЄСВ'!R9+'[1]Звіт ЄСВ'!X9</f>
        <v>37191.360000000001</v>
      </c>
      <c r="D13" s="18">
        <f t="shared" si="0"/>
        <v>616719.04</v>
      </c>
      <c r="E13" s="18">
        <f>'[1]Звіт ЄСВ'!AF9+'[1]Звіт ЄСВ'!AG9+'[1]Звіт ЄСВ'!AI9+'[1]Звіт ЄСВ'!AJ9+'[1]Звіт ЄСВ'!AK9</f>
        <v>232485.6</v>
      </c>
      <c r="F13" s="18">
        <f>'[1]Звіт ЄСВ'!AG9</f>
        <v>3127.79</v>
      </c>
      <c r="G13" s="18">
        <f t="shared" si="1"/>
        <v>229357.81</v>
      </c>
      <c r="H13" s="19">
        <f>'[1]Звіт ЄСВ'!C9</f>
        <v>86</v>
      </c>
      <c r="I13" s="19">
        <f>'[1]Звіт ЄСВ'!D9</f>
        <v>5</v>
      </c>
      <c r="J13" s="19">
        <f t="shared" si="2"/>
        <v>81</v>
      </c>
    </row>
    <row r="14" spans="1:20" hidden="1" outlineLevel="1" x14ac:dyDescent="0.25">
      <c r="A14" s="17" t="s">
        <v>24</v>
      </c>
      <c r="B14" s="18">
        <f>'[1]Звіт ЄСВ'!M10</f>
        <v>695948.34</v>
      </c>
      <c r="C14" s="18">
        <f>'[1]Звіт ЄСВ'!R10+'[1]Звіт ЄСВ'!X10</f>
        <v>48460.07</v>
      </c>
      <c r="D14" s="18">
        <f t="shared" si="0"/>
        <v>647488.27</v>
      </c>
      <c r="E14" s="18">
        <f>'[1]Звіт ЄСВ'!AF10+'[1]Звіт ЄСВ'!AG10+'[1]Звіт ЄСВ'!AI10+'[1]Звіт ЄСВ'!AJ10+'[1]Звіт ЄСВ'!AK10</f>
        <v>244876.38</v>
      </c>
      <c r="F14" s="18">
        <f>'[1]Звіт ЄСВ'!AG10</f>
        <v>4075.49</v>
      </c>
      <c r="G14" s="18">
        <f t="shared" si="1"/>
        <v>240800.89</v>
      </c>
      <c r="H14" s="19">
        <f>'[1]Звіт ЄСВ'!C10</f>
        <v>92</v>
      </c>
      <c r="I14" s="19">
        <f>'[1]Звіт ЄСВ'!D10</f>
        <v>5</v>
      </c>
      <c r="J14" s="19">
        <f t="shared" si="2"/>
        <v>87</v>
      </c>
    </row>
    <row r="15" spans="1:20" hidden="1" outlineLevel="1" x14ac:dyDescent="0.25">
      <c r="A15" s="17" t="s">
        <v>25</v>
      </c>
      <c r="B15" s="18">
        <f>'[1]Звіт ЄСВ'!M11</f>
        <v>633785.03</v>
      </c>
      <c r="C15" s="18">
        <f>'[1]Звіт ЄСВ'!R11+'[1]Звіт ЄСВ'!X11</f>
        <v>37151.69</v>
      </c>
      <c r="D15" s="18">
        <f t="shared" si="0"/>
        <v>596633.34000000008</v>
      </c>
      <c r="E15" s="18">
        <f>'[1]Звіт ЄСВ'!AF11+'[1]Звіт ЄСВ'!AG11+'[1]Звіт ЄСВ'!AI11+'[1]Звіт ЄСВ'!AJ11+'[1]Звіт ЄСВ'!AK11</f>
        <v>224934.56</v>
      </c>
      <c r="F15" s="18">
        <f>'[1]Звіт ЄСВ'!AG11</f>
        <v>3124.46</v>
      </c>
      <c r="G15" s="18">
        <f t="shared" si="1"/>
        <v>221810.1</v>
      </c>
      <c r="H15" s="19">
        <f>'[1]Звіт ЄСВ'!C11</f>
        <v>93</v>
      </c>
      <c r="I15" s="19">
        <f>'[1]Звіт ЄСВ'!D11</f>
        <v>6</v>
      </c>
      <c r="J15" s="19">
        <f t="shared" si="2"/>
        <v>87</v>
      </c>
    </row>
    <row r="16" spans="1:20" hidden="1" outlineLevel="1" x14ac:dyDescent="0.25">
      <c r="A16" s="17" t="s">
        <v>26</v>
      </c>
      <c r="B16" s="18">
        <f>'[1]Звіт ЄСВ'!M12</f>
        <v>687490.52</v>
      </c>
      <c r="C16" s="18">
        <f>'[1]Звіт ЄСВ'!R12+'[1]Звіт ЄСВ'!X12</f>
        <v>45827.14</v>
      </c>
      <c r="D16" s="18">
        <f t="shared" si="0"/>
        <v>641663.38</v>
      </c>
      <c r="E16" s="18">
        <f>'[1]Звіт ЄСВ'!AF12+'[1]Звіт ЄСВ'!AG12+'[1]Звіт ЄСВ'!AI12+'[1]Звіт ЄСВ'!AJ12+'[1]Звіт ЄСВ'!AK12</f>
        <v>241787.7</v>
      </c>
      <c r="F16" s="18">
        <f>'[1]Звіт ЄСВ'!AG12</f>
        <v>3854.06</v>
      </c>
      <c r="G16" s="18">
        <f t="shared" si="1"/>
        <v>237933.64</v>
      </c>
      <c r="H16" s="19">
        <f>'[1]Звіт ЄСВ'!C12</f>
        <v>94</v>
      </c>
      <c r="I16" s="19">
        <f>'[1]Звіт ЄСВ'!D12</f>
        <v>6</v>
      </c>
      <c r="J16" s="19">
        <f t="shared" si="2"/>
        <v>88</v>
      </c>
    </row>
    <row r="17" spans="1:15" hidden="1" x14ac:dyDescent="0.25">
      <c r="A17" s="17" t="s">
        <v>27</v>
      </c>
      <c r="B17" s="18">
        <f>'[1]Звіт ЄСВ'!M13</f>
        <v>653515.32999999996</v>
      </c>
      <c r="C17" s="18">
        <f>'[1]Звіт ЄСВ'!R13+'[1]Звіт ЄСВ'!X13</f>
        <v>34979.21</v>
      </c>
      <c r="D17" s="18">
        <f t="shared" si="0"/>
        <v>618536.12</v>
      </c>
      <c r="E17" s="18">
        <f>'[1]Звіт ЄСВ'!AF13+'[1]Звіт ЄСВ'!AG13+'[1]Звіт ЄСВ'!AI13+'[1]Звіт ЄСВ'!AJ13+'[1]Звіт ЄСВ'!AK13</f>
        <v>232914.78</v>
      </c>
      <c r="F17" s="18">
        <f>'[1]Звіт ЄСВ'!AG13</f>
        <v>2941.75</v>
      </c>
      <c r="G17" s="18">
        <f t="shared" si="1"/>
        <v>229973.03</v>
      </c>
      <c r="H17" s="19">
        <f>'[1]Звіт ЄСВ'!C13</f>
        <v>94</v>
      </c>
      <c r="I17" s="19">
        <f>'[1]Звіт ЄСВ'!D13</f>
        <v>4</v>
      </c>
      <c r="J17" s="19">
        <f t="shared" si="2"/>
        <v>90</v>
      </c>
    </row>
    <row r="18" spans="1:15" hidden="1" x14ac:dyDescent="0.25">
      <c r="A18" s="17" t="s">
        <v>28</v>
      </c>
      <c r="B18" s="18">
        <f>'[1]Звіт ЄСВ'!M14</f>
        <v>692476.73</v>
      </c>
      <c r="C18" s="18">
        <f>'[1]Звіт ЄСВ'!R14+'[1]Звіт ЄСВ'!X14</f>
        <v>32691.119999999999</v>
      </c>
      <c r="D18" s="18">
        <f t="shared" si="0"/>
        <v>659785.61</v>
      </c>
      <c r="E18" s="18">
        <f>'[1]Звіт ЄСВ'!AF14+'[1]Звіт ЄСВ'!AG14+'[1]Звіт ЄСВ'!AI14+'[1]Звіт ЄСВ'!AJ14+'[1]Звіт ЄСВ'!AK14</f>
        <v>248099.07</v>
      </c>
      <c r="F18" s="18">
        <f>'[1]Звіт ЄСВ'!AG14</f>
        <v>2749.32</v>
      </c>
      <c r="G18" s="18">
        <f t="shared" si="1"/>
        <v>245349.75</v>
      </c>
      <c r="H18" s="19">
        <f>'[1]Звіт ЄСВ'!C14</f>
        <v>94</v>
      </c>
      <c r="I18" s="19">
        <f>'[1]Звіт ЄСВ'!D14</f>
        <v>4</v>
      </c>
      <c r="J18" s="19">
        <f t="shared" si="2"/>
        <v>90</v>
      </c>
    </row>
    <row r="19" spans="1:15" hidden="1" x14ac:dyDescent="0.25">
      <c r="A19" s="17" t="s">
        <v>29</v>
      </c>
      <c r="B19" s="18">
        <f>'[1]Звіт ЄСВ'!M15</f>
        <v>687269.93</v>
      </c>
      <c r="C19" s="18">
        <f>'[1]Звіт ЄСВ'!R15+'[1]Звіт ЄСВ'!X15</f>
        <v>32112.31</v>
      </c>
      <c r="D19" s="18">
        <f t="shared" si="0"/>
        <v>655157.62</v>
      </c>
      <c r="E19" s="18">
        <f>'[1]Звіт ЄСВ'!AF15+'[1]Звіт ЄСВ'!AG15+'[1]Звіт ЄСВ'!AI15+'[1]Звіт ЄСВ'!AJ15+'[1]Звіт ЄСВ'!AK15</f>
        <v>252028.7</v>
      </c>
      <c r="F19" s="18">
        <f>'[1]Звіт ЄСВ'!AG15</f>
        <v>911.14</v>
      </c>
      <c r="G19" s="18">
        <f t="shared" si="1"/>
        <v>251117.56</v>
      </c>
      <c r="H19" s="19">
        <f>'[1]Звіт ЄСВ'!C15</f>
        <v>96</v>
      </c>
      <c r="I19" s="19">
        <f>'[1]Звіт ЄСВ'!D15</f>
        <v>4</v>
      </c>
      <c r="J19" s="19">
        <f t="shared" si="2"/>
        <v>92</v>
      </c>
    </row>
    <row r="20" spans="1:15" hidden="1" x14ac:dyDescent="0.25">
      <c r="A20" s="20" t="s">
        <v>30</v>
      </c>
      <c r="B20" s="21">
        <f>SUM(B8:B19)</f>
        <v>8382694.6300000008</v>
      </c>
      <c r="C20" s="21">
        <f t="shared" ref="C20:G20" si="3">SUM(C8:C19)</f>
        <v>454427.22000000003</v>
      </c>
      <c r="D20" s="21">
        <f>SUM(D8:D19)</f>
        <v>7928267.4100000001</v>
      </c>
      <c r="E20" s="21">
        <f t="shared" si="3"/>
        <v>2990717.64</v>
      </c>
      <c r="F20" s="21">
        <f t="shared" si="3"/>
        <v>36427.810000000005</v>
      </c>
      <c r="G20" s="21">
        <f t="shared" si="3"/>
        <v>2954289.83</v>
      </c>
      <c r="H20" s="22">
        <f>SUM(H8:H19)</f>
        <v>1083</v>
      </c>
      <c r="I20" s="22">
        <f>SUM(I8:I19)</f>
        <v>55</v>
      </c>
      <c r="J20" s="22">
        <f>SUM(J8:J19)</f>
        <v>1028</v>
      </c>
    </row>
    <row r="21" spans="1:15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</row>
    <row r="22" spans="1:15" x14ac:dyDescent="0.25">
      <c r="A22" s="25" t="s">
        <v>31</v>
      </c>
      <c r="B22" s="26"/>
      <c r="C22" s="26"/>
      <c r="D22" s="26"/>
      <c r="E22" s="26"/>
      <c r="F22" s="26"/>
      <c r="G22" s="26"/>
      <c r="H22" s="26"/>
      <c r="I22" s="26"/>
      <c r="J22" s="27"/>
      <c r="K22" s="28" t="s">
        <v>32</v>
      </c>
      <c r="L22" s="26"/>
      <c r="M22" s="29">
        <f>ROUND(J20/12,0)</f>
        <v>86</v>
      </c>
    </row>
    <row r="23" spans="1:15" x14ac:dyDescent="0.25">
      <c r="A23" s="26" t="s">
        <v>33</v>
      </c>
      <c r="B23" s="26"/>
      <c r="C23" s="26"/>
      <c r="D23" s="26"/>
      <c r="E23" s="26"/>
      <c r="F23" s="26"/>
      <c r="G23" s="26"/>
      <c r="H23" s="26"/>
      <c r="I23" s="26"/>
      <c r="J23" s="27"/>
      <c r="K23" s="30" t="s">
        <v>34</v>
      </c>
      <c r="L23" s="26"/>
      <c r="M23" s="31">
        <f>ROUND(D20/12/M22,2)</f>
        <v>7682.43</v>
      </c>
    </row>
    <row r="24" spans="1:15" x14ac:dyDescent="0.25">
      <c r="A24" s="26" t="s">
        <v>35</v>
      </c>
      <c r="B24" s="26"/>
      <c r="C24" s="26"/>
      <c r="D24" s="26"/>
      <c r="E24" s="26"/>
      <c r="F24" s="26"/>
      <c r="G24" s="26"/>
      <c r="H24" s="26"/>
      <c r="I24" s="26"/>
      <c r="J24" s="27"/>
      <c r="K24" s="32" t="s">
        <v>36</v>
      </c>
      <c r="L24" s="26"/>
      <c r="M24" s="31">
        <f>ROUND(G20/12/M22,2)</f>
        <v>2862.68</v>
      </c>
    </row>
    <row r="25" spans="1:1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3"/>
    </row>
    <row r="26" spans="1:15" ht="45" x14ac:dyDescent="0.25">
      <c r="A26" s="34" t="s">
        <v>37</v>
      </c>
      <c r="B26" s="35" t="s">
        <v>38</v>
      </c>
      <c r="C26" s="35"/>
      <c r="D26" s="35"/>
      <c r="E26" s="34"/>
      <c r="F26" s="34"/>
      <c r="G26" s="34"/>
      <c r="H26" s="34"/>
      <c r="I26" s="34"/>
      <c r="J26" s="34"/>
      <c r="K26" s="36" t="s">
        <v>39</v>
      </c>
      <c r="L26" s="36" t="s">
        <v>40</v>
      </c>
      <c r="M26" s="34">
        <f>L44</f>
        <v>17.482000000000003</v>
      </c>
    </row>
    <row r="27" spans="1:15" ht="15.75" thickBot="1" x14ac:dyDescent="0.3"/>
    <row r="28" spans="1:15" ht="16.5" thickTop="1" thickBot="1" x14ac:dyDescent="0.3">
      <c r="A28" s="26" t="str">
        <f>CONCATENATE("Загальна база нарахування ЄСВ(Номер рядка звіту 2) ",B26,", грн")</f>
        <v>Загальна база нарахування ЄСВ(Номер рядка звіту 2) за квітень 2015 р, грн</v>
      </c>
      <c r="K28" s="37">
        <v>1501058.35</v>
      </c>
      <c r="L28" s="38">
        <f>K28</f>
        <v>1501058.35</v>
      </c>
      <c r="N28" s="39" t="s">
        <v>41</v>
      </c>
    </row>
    <row r="29" spans="1:15" ht="16.5" thickTop="1" thickBot="1" x14ac:dyDescent="0.3">
      <c r="A29" s="26" t="str">
        <f>CONCATENATE("База нарахування ЄСВ інвалідам 8,41% (Номер рядка звіту 2.1.4 +  2.3.2) ",B26,", грн")</f>
        <v>База нарахування ЄСВ інвалідам 8,41% (Номер рядка звіту 2.1.4 +  2.3.2) за квітень 2015 р, грн</v>
      </c>
      <c r="K29" s="37">
        <v>43619.24</v>
      </c>
      <c r="L29" s="38">
        <f>K29</f>
        <v>43619.24</v>
      </c>
      <c r="N29" s="39" t="s">
        <v>41</v>
      </c>
    </row>
    <row r="30" spans="1:15" ht="16.5" thickTop="1" thickBot="1" x14ac:dyDescent="0.3">
      <c r="A30" s="26" t="str">
        <f>CONCATENATE("База нарахування ЄСВ для розрахунку понижуючого коеф-ту (Номер рядка звіту 
2 - 2.1.4 - 2.3.2) ",B26,", грн")</f>
        <v>База нарахування ЄСВ для розрахунку понижуючого коеф-ту (Номер рядка звіту 
2 - 2.1.4 - 2.3.2) за квітень 2015 р, грн</v>
      </c>
      <c r="K30" s="40">
        <f>K28-K29</f>
        <v>1457439.11</v>
      </c>
      <c r="L30" s="41">
        <f>K30</f>
        <v>1457439.11</v>
      </c>
      <c r="M30" s="42"/>
    </row>
    <row r="31" spans="1:15" ht="15.75" thickBot="1" x14ac:dyDescent="0.3">
      <c r="A31" s="26" t="str">
        <f>CONCATENATE("База нарахування ЄСВ ",B26," на 1 особу, грн")</f>
        <v>База нарахування ЄСВ за квітень 2015 р на 1 особу, грн</v>
      </c>
      <c r="I31" s="2" t="s">
        <v>42</v>
      </c>
      <c r="K31" s="43">
        <f>K30/K36</f>
        <v>16375.720337078652</v>
      </c>
      <c r="L31" s="41">
        <f>K31</f>
        <v>16375.720337078652</v>
      </c>
      <c r="O31" s="44"/>
    </row>
    <row r="32" spans="1:15" ht="16.5" thickTop="1" thickBot="1" x14ac:dyDescent="0.3">
      <c r="A32" s="26" t="str">
        <f>CONCATENATE("Сума нарахованого ЄСВ ",B26)</f>
        <v>Сума нарахованого ЄСВ за квітень 2015 р</v>
      </c>
      <c r="I32" s="2"/>
      <c r="J32" s="37">
        <f>'[1]1'!AS148+'[1]1'!AS155</f>
        <v>540451.09</v>
      </c>
      <c r="K32" s="43">
        <f>J32*K42</f>
        <v>253471.56120999996</v>
      </c>
      <c r="L32" s="41">
        <f>J32*L42</f>
        <v>253471.56120999996</v>
      </c>
      <c r="M32" s="42"/>
      <c r="N32" s="39" t="s">
        <v>41</v>
      </c>
    </row>
    <row r="33" spans="1:17" ht="16.5" thickTop="1" thickBot="1" x14ac:dyDescent="0.3">
      <c r="A33" s="26" t="str">
        <f>CONCATENATE("Середньомісячний платіж на 1 застраховану особу ",B26,", грн.")</f>
        <v>Середньомісячний платіж на 1 застраховану особу за квітень 2015 р, грн.</v>
      </c>
      <c r="I33" s="2" t="s">
        <v>43</v>
      </c>
      <c r="K33" s="45">
        <f>K32/K36</f>
        <v>2847.9950697752806</v>
      </c>
      <c r="L33" s="41">
        <f>L32/L36</f>
        <v>2847.9950697752806</v>
      </c>
    </row>
    <row r="34" spans="1:17" ht="16.5" thickTop="1" thickBot="1" x14ac:dyDescent="0.3">
      <c r="A34" s="26" t="str">
        <f>CONCATENATE("Кількість застрахованих за звітом ",B26,", чол")</f>
        <v>Кількість застрахованих за звітом за квітень 2015 р, чол</v>
      </c>
      <c r="K34" s="37">
        <v>92</v>
      </c>
      <c r="L34" s="38">
        <f>K34</f>
        <v>92</v>
      </c>
      <c r="M34" s="46"/>
      <c r="N34" s="39" t="s">
        <v>41</v>
      </c>
    </row>
    <row r="35" spans="1:17" ht="16.5" thickTop="1" thickBot="1" x14ac:dyDescent="0.3">
      <c r="A35" s="26" t="str">
        <f>CONCATENATE("В т.ч осіб які мають інвалідність  ",B26,", чол")</f>
        <v>В т.ч осіб які мають інвалідність  за квітень 2015 р, чол</v>
      </c>
      <c r="K35" s="37">
        <v>3</v>
      </c>
      <c r="L35" s="38">
        <f>K35</f>
        <v>3</v>
      </c>
      <c r="M35" s="46"/>
      <c r="N35" s="39" t="s">
        <v>41</v>
      </c>
    </row>
    <row r="36" spans="1:17" ht="16.5" thickTop="1" thickBot="1" x14ac:dyDescent="0.3">
      <c r="A36" s="26" t="str">
        <f>CONCATENATE("Кількість застрахованих осіб для розрахунку понижуючого коеф-ту ",B26,", чол")</f>
        <v>Кількість застрахованих осіб для розрахунку понижуючого коеф-ту за квітень 2015 р, чол</v>
      </c>
      <c r="K36" s="40">
        <f>K34-K35</f>
        <v>89</v>
      </c>
      <c r="L36" s="41">
        <f>K36</f>
        <v>89</v>
      </c>
      <c r="M36" s="46"/>
    </row>
    <row r="37" spans="1:17" ht="45" x14ac:dyDescent="0.25">
      <c r="A37" s="47"/>
      <c r="B37" s="48" t="s">
        <v>44</v>
      </c>
      <c r="C37" s="48"/>
      <c r="D37" s="48"/>
      <c r="E37" s="48"/>
      <c r="F37" s="48"/>
      <c r="G37" s="49" t="s">
        <v>45</v>
      </c>
      <c r="H37" s="49" t="s">
        <v>46</v>
      </c>
      <c r="I37" s="50" t="s">
        <v>47</v>
      </c>
      <c r="J37" s="50" t="s">
        <v>48</v>
      </c>
      <c r="K37" s="47"/>
      <c r="L37" s="47"/>
    </row>
    <row r="38" spans="1:17" x14ac:dyDescent="0.25">
      <c r="A38" s="11" t="s">
        <v>49</v>
      </c>
      <c r="B38" s="51">
        <f>M23</f>
        <v>7682.43</v>
      </c>
      <c r="C38" s="51"/>
      <c r="D38" s="51"/>
      <c r="E38" s="52">
        <f>G38-B38</f>
        <v>8693.2903370786516</v>
      </c>
      <c r="F38" s="52">
        <f>H38-B38</f>
        <v>8693.2903370786516</v>
      </c>
      <c r="G38" s="53">
        <f>K31</f>
        <v>16375.720337078652</v>
      </c>
      <c r="H38" s="53">
        <f>L31</f>
        <v>16375.720337078652</v>
      </c>
      <c r="I38" s="54">
        <f>E38/B38*100</f>
        <v>113.1580806734152</v>
      </c>
      <c r="J38" s="54">
        <f>F38/B38*100</f>
        <v>113.1580806734152</v>
      </c>
      <c r="K38" s="55" t="str">
        <f>IF(I38&lt;20,"не виконується","виконується")</f>
        <v>виконується</v>
      </c>
      <c r="L38" s="55" t="str">
        <f>IF(J38&lt;20,"не виконується","виконується")</f>
        <v>виконується</v>
      </c>
      <c r="N38" s="3" t="s">
        <v>50</v>
      </c>
    </row>
    <row r="39" spans="1:17" x14ac:dyDescent="0.25">
      <c r="A39" s="11" t="s">
        <v>51</v>
      </c>
      <c r="B39" s="53">
        <f>M24</f>
        <v>2862.68</v>
      </c>
      <c r="C39" s="53"/>
      <c r="D39" s="53"/>
      <c r="E39" s="56"/>
      <c r="F39" s="56"/>
      <c r="G39" s="53">
        <f>K33</f>
        <v>2847.9950697752806</v>
      </c>
      <c r="H39" s="53">
        <f>L33</f>
        <v>2847.9950697752806</v>
      </c>
      <c r="I39" s="54">
        <f>G39-B39</f>
        <v>-14.68493022471921</v>
      </c>
      <c r="J39" s="54">
        <f>H39-B39</f>
        <v>-14.68493022471921</v>
      </c>
      <c r="K39" s="66" t="str">
        <f>IF(I39&lt;0,"не виконується","виконується")</f>
        <v>не виконується</v>
      </c>
      <c r="L39" s="66" t="str">
        <f>IF(J39&lt;0,"не виконується","виконується")</f>
        <v>не виконується</v>
      </c>
      <c r="N39" s="3" t="s">
        <v>52</v>
      </c>
      <c r="P39" s="3" t="s">
        <v>53</v>
      </c>
      <c r="Q39" s="8">
        <f>IF(P39=L39,1,0)</f>
        <v>0</v>
      </c>
    </row>
    <row r="40" spans="1:17" ht="30" x14ac:dyDescent="0.25">
      <c r="A40" s="11" t="s">
        <v>54</v>
      </c>
      <c r="B40" s="57">
        <f>M22</f>
        <v>86</v>
      </c>
      <c r="C40" s="57"/>
      <c r="D40" s="57"/>
      <c r="E40" s="58"/>
      <c r="F40" s="58"/>
      <c r="G40" s="57">
        <f>K36</f>
        <v>89</v>
      </c>
      <c r="H40" s="57">
        <f>L36</f>
        <v>89</v>
      </c>
      <c r="I40" s="54">
        <f>G40/B40</f>
        <v>1.0348837209302326</v>
      </c>
      <c r="J40" s="54">
        <f>H40/B40</f>
        <v>1.0348837209302326</v>
      </c>
      <c r="K40" s="55" t="str">
        <f>IF(I40&lt;2,"виконується","не виконується")</f>
        <v>виконується</v>
      </c>
      <c r="L40" s="55" t="str">
        <f>IF(J40&lt;2,"виконується","не виконується")</f>
        <v>виконується</v>
      </c>
      <c r="N40" s="3" t="s">
        <v>55</v>
      </c>
    </row>
    <row r="41" spans="1:17" ht="15.75" thickBot="1" x14ac:dyDescent="0.3"/>
    <row r="42" spans="1:17" ht="15.75" thickBot="1" x14ac:dyDescent="0.3">
      <c r="A42" s="26" t="s">
        <v>56</v>
      </c>
      <c r="I42" s="32" t="s">
        <v>57</v>
      </c>
      <c r="K42" s="59">
        <f>ROUND(M23/G38,3)</f>
        <v>0.46899999999999997</v>
      </c>
      <c r="L42" s="67">
        <f>IF($K$39="не виконується",$K$42,0)</f>
        <v>0.46899999999999997</v>
      </c>
      <c r="N42" s="60"/>
      <c r="P42" s="61" t="b">
        <f>IF(L39="не виконується",OR(L42+R3,L42+R5),0)</f>
        <v>1</v>
      </c>
    </row>
    <row r="43" spans="1:17" s="3" customFormat="1" ht="15.75" thickBot="1" x14ac:dyDescent="0.3">
      <c r="A43" s="8"/>
      <c r="B43" s="8"/>
      <c r="C43" s="8"/>
      <c r="D43" s="8"/>
      <c r="E43" s="8"/>
      <c r="F43" s="8"/>
      <c r="G43" s="8"/>
      <c r="H43" s="8"/>
      <c r="I43" s="2"/>
      <c r="J43" s="8"/>
      <c r="K43" s="15"/>
      <c r="L43" s="15"/>
      <c r="O43" s="8"/>
    </row>
    <row r="44" spans="1:17" s="3" customFormat="1" ht="15.75" thickBot="1" x14ac:dyDescent="0.3">
      <c r="A44" s="26" t="s">
        <v>58</v>
      </c>
      <c r="B44" s="8"/>
      <c r="C44" s="8"/>
      <c r="D44" s="8"/>
      <c r="E44" s="8"/>
      <c r="F44" s="8"/>
      <c r="G44" s="8"/>
      <c r="H44" s="8"/>
      <c r="I44" s="32" t="s">
        <v>59</v>
      </c>
      <c r="J44" s="8"/>
      <c r="K44" s="59">
        <f>ROUND(IF(I40&gt;=2,M7,IF(K42&gt;0.833,M7,IF(K42&lt;0.4,M7*0.4,M7*K42))),3)</f>
        <v>17.442</v>
      </c>
      <c r="L44" s="62">
        <f>IF(AND(I39&lt;0,I38&gt;=20),ROUNDUP(M24/K31*100,3),K44)</f>
        <v>17.482000000000003</v>
      </c>
      <c r="O44" s="8"/>
    </row>
    <row r="46" spans="1:17" s="3" customFormat="1" x14ac:dyDescent="0.25">
      <c r="A46" s="26" t="s">
        <v>60</v>
      </c>
      <c r="B46" s="8"/>
      <c r="C46" s="8"/>
      <c r="D46" s="8"/>
      <c r="E46" s="63">
        <v>37.19</v>
      </c>
      <c r="F46" s="63"/>
      <c r="G46" s="63"/>
      <c r="H46" s="63"/>
      <c r="I46" s="64">
        <f>K30*E46/100</f>
        <v>542021.60500900005</v>
      </c>
      <c r="J46" s="8"/>
      <c r="K46" s="8"/>
      <c r="L46" s="8"/>
      <c r="M46" s="8"/>
      <c r="O46" s="8"/>
    </row>
    <row r="47" spans="1:17" s="3" customFormat="1" x14ac:dyDescent="0.25">
      <c r="A47" s="8"/>
      <c r="B47" s="8"/>
      <c r="C47" s="8"/>
      <c r="D47" s="8"/>
      <c r="E47" s="63">
        <f>L44</f>
        <v>17.482000000000003</v>
      </c>
      <c r="F47" s="63"/>
      <c r="G47" s="63"/>
      <c r="H47" s="63"/>
      <c r="I47" s="64">
        <f>L30*E47/100</f>
        <v>254789.50521020006</v>
      </c>
      <c r="J47" s="8"/>
      <c r="K47" s="8"/>
      <c r="L47" s="8"/>
      <c r="M47" s="8"/>
      <c r="O47" s="8"/>
    </row>
    <row r="48" spans="1:17" s="3" customFormat="1" x14ac:dyDescent="0.25">
      <c r="A48" s="8"/>
      <c r="B48" s="8"/>
      <c r="C48" s="8"/>
      <c r="D48" s="8"/>
      <c r="E48" s="65" t="s">
        <v>61</v>
      </c>
      <c r="F48" s="65"/>
      <c r="G48" s="65"/>
      <c r="H48" s="65"/>
      <c r="I48" s="64">
        <f>I46-I47</f>
        <v>287232.09979879996</v>
      </c>
      <c r="J48" s="8"/>
      <c r="K48" s="8"/>
      <c r="L48" s="8"/>
      <c r="M48" s="8"/>
      <c r="O48" s="8"/>
    </row>
    <row r="49" s="8" customFormat="1" x14ac:dyDescent="0.25"/>
  </sheetData>
  <protectedRanges>
    <protectedRange sqref="K28:K29 K34:K35" name="Диапазон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 Vyacheslav</dc:creator>
  <cp:lastModifiedBy>Vikhrenko Vitaliy</cp:lastModifiedBy>
  <dcterms:created xsi:type="dcterms:W3CDTF">2015-05-08T10:03:01Z</dcterms:created>
  <dcterms:modified xsi:type="dcterms:W3CDTF">2015-05-08T10:49:44Z</dcterms:modified>
</cp:coreProperties>
</file>