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5775" yWindow="360" windowWidth="13455" windowHeight="7710" tabRatio="960" activeTab="12"/>
  </bookViews>
  <sheets>
    <sheet name="Ведомость" sheetId="1" r:id="rId1"/>
    <sheet name="Премия" sheetId="2" r:id="rId2"/>
    <sheet name="Тарановский" sheetId="11" state="hidden" r:id="rId3"/>
    <sheet name="Лобанов" sheetId="7" r:id="rId4"/>
    <sheet name="Сизоненко" sheetId="6" r:id="rId5"/>
    <sheet name="Тарановский М-р" sheetId="22" r:id="rId6"/>
    <sheet name="Епанчинцев" sheetId="17" r:id="rId7"/>
    <sheet name="Третьяков" sheetId="8" r:id="rId8"/>
    <sheet name="Флока" sheetId="14" state="hidden" r:id="rId9"/>
    <sheet name="Гребенщикова" sheetId="18" state="hidden" r:id="rId10"/>
    <sheet name="Ефанов" sheetId="13" state="hidden" r:id="rId11"/>
    <sheet name="Климас" sheetId="4" state="hidden" r:id="rId12"/>
    <sheet name="Щипун" sheetId="12" r:id="rId13"/>
    <sheet name="Войлошникова" sheetId="20" r:id="rId14"/>
    <sheet name="Сиротенко" sheetId="21" r:id="rId15"/>
    <sheet name="Категории" sheetId="3" r:id="rId16"/>
    <sheet name="Лист1" sheetId="23" r:id="rId17"/>
  </sheets>
  <calcPr calcId="125725"/>
</workbook>
</file>

<file path=xl/calcChain.xml><?xml version="1.0" encoding="utf-8"?>
<calcChain xmlns="http://schemas.openxmlformats.org/spreadsheetml/2006/main">
  <c r="D9" i="12"/>
  <c r="D7"/>
  <c r="D10" l="1"/>
  <c r="D10" i="7"/>
  <c r="D9"/>
  <c r="S10" i="1" l="1"/>
  <c r="E12"/>
  <c r="E11"/>
  <c r="E9"/>
  <c r="E8"/>
  <c r="E7"/>
  <c r="E6"/>
  <c r="D8" i="12"/>
  <c r="D8" i="8"/>
  <c r="D8" i="17"/>
  <c r="D8" i="22" l="1"/>
  <c r="D8" i="6"/>
  <c r="D8" i="7"/>
  <c r="D7"/>
  <c r="C23" l="1"/>
  <c r="C24" s="1"/>
  <c r="H12" i="1"/>
  <c r="J10"/>
  <c r="K10" s="1"/>
  <c r="C18" i="17" l="1"/>
  <c r="C8" i="3" l="1"/>
  <c r="C28" i="12" l="1"/>
  <c r="C28" i="8"/>
  <c r="C28" i="17"/>
  <c r="C28" i="22"/>
  <c r="C28" i="6"/>
  <c r="D8" i="3" l="1"/>
  <c r="D7"/>
  <c r="D12" i="1" l="1"/>
  <c r="C12"/>
  <c r="D11"/>
  <c r="C11"/>
  <c r="D9"/>
  <c r="C9"/>
  <c r="D8"/>
  <c r="C8"/>
  <c r="D7"/>
  <c r="C7"/>
  <c r="D6"/>
  <c r="C6"/>
  <c r="D6" i="12"/>
  <c r="D6" i="8"/>
  <c r="D6" i="22"/>
  <c r="D6" i="17"/>
  <c r="D6" i="6"/>
  <c r="D6" i="7"/>
  <c r="C15" i="6"/>
  <c r="C13" i="1" l="1"/>
  <c r="O12"/>
  <c r="O11"/>
  <c r="C21" i="8"/>
  <c r="C18"/>
  <c r="C17"/>
  <c r="O9" i="1"/>
  <c r="C21" i="17"/>
  <c r="C17"/>
  <c r="O6" i="1"/>
  <c r="C17" i="22"/>
  <c r="O8" i="1"/>
  <c r="C17" i="6"/>
  <c r="O7" i="1"/>
  <c r="C19" i="8" l="1"/>
  <c r="C19" i="17"/>
  <c r="C17" i="7"/>
  <c r="C17" i="12"/>
  <c r="D7" i="22" l="1"/>
  <c r="D9" s="1"/>
  <c r="D10" s="1"/>
  <c r="C23" l="1"/>
  <c r="C24" s="1"/>
  <c r="C26" s="1"/>
  <c r="L6" i="1"/>
  <c r="R18"/>
  <c r="C27" i="22" l="1"/>
  <c r="M6" i="1"/>
  <c r="N6" l="1"/>
  <c r="S6" s="1"/>
  <c r="C29" i="20"/>
  <c r="G11" i="1" l="1"/>
  <c r="G12"/>
  <c r="G9"/>
  <c r="E4" i="21"/>
  <c r="G18" i="1" l="1"/>
  <c r="C14" i="21"/>
  <c r="D4"/>
  <c r="D3"/>
  <c r="D5" l="1"/>
  <c r="D6" s="1"/>
  <c r="C16" s="1"/>
  <c r="C17" s="1"/>
  <c r="C20" s="1"/>
  <c r="C21" s="1"/>
  <c r="G6" i="3"/>
  <c r="C14" i="20"/>
  <c r="C12"/>
  <c r="E4"/>
  <c r="D4"/>
  <c r="D3"/>
  <c r="D5" l="1"/>
  <c r="D6" s="1"/>
  <c r="C16" l="1"/>
  <c r="C17" s="1"/>
  <c r="C20" s="1"/>
  <c r="C21" s="1"/>
  <c r="C22" s="1"/>
  <c r="C23" s="1"/>
  <c r="C21" i="12" l="1"/>
  <c r="C18"/>
  <c r="C19" s="1"/>
  <c r="C14" i="4" l="1"/>
  <c r="C12"/>
  <c r="E4"/>
  <c r="D4"/>
  <c r="D5" s="1"/>
  <c r="D3"/>
  <c r="C14" i="13"/>
  <c r="C12"/>
  <c r="E4"/>
  <c r="D4"/>
  <c r="D3"/>
  <c r="D5" s="1"/>
  <c r="D15" i="18"/>
  <c r="D13"/>
  <c r="D6" i="13" l="1"/>
  <c r="C16" s="1"/>
  <c r="C17" s="1"/>
  <c r="D6" i="4"/>
  <c r="C16" s="1"/>
  <c r="C23" i="12" l="1"/>
  <c r="C24" s="1"/>
  <c r="C26" s="1"/>
  <c r="F5" i="18"/>
  <c r="E5"/>
  <c r="E4"/>
  <c r="C14" i="14"/>
  <c r="C12"/>
  <c r="E6" i="18" l="1"/>
  <c r="E7" s="1"/>
  <c r="C27" i="12"/>
  <c r="C29" s="1"/>
  <c r="K11" i="14"/>
  <c r="E4" l="1"/>
  <c r="D4"/>
  <c r="D3"/>
  <c r="D5" s="1"/>
  <c r="D6" s="1"/>
  <c r="C16" s="1"/>
  <c r="D7" i="8" l="1"/>
  <c r="D9" s="1"/>
  <c r="D10" s="1"/>
  <c r="C23" l="1"/>
  <c r="C24" s="1"/>
  <c r="C26" s="1"/>
  <c r="C27" l="1"/>
  <c r="C29" s="1"/>
  <c r="M11" i="1"/>
  <c r="D7" i="17"/>
  <c r="D7" i="6"/>
  <c r="D9" s="1"/>
  <c r="D10" s="1"/>
  <c r="D9" i="17" l="1"/>
  <c r="D10" s="1"/>
  <c r="C23" s="1"/>
  <c r="C24" s="1"/>
  <c r="C26" s="1"/>
  <c r="N11" i="1"/>
  <c r="S11" s="1"/>
  <c r="C23" i="6"/>
  <c r="C24" s="1"/>
  <c r="C26" s="1"/>
  <c r="O5" i="11"/>
  <c r="C27" i="6" l="1"/>
  <c r="M8" i="1"/>
  <c r="C27" i="17"/>
  <c r="C29" s="1"/>
  <c r="M9" i="1"/>
  <c r="L4" i="11"/>
  <c r="E4"/>
  <c r="D4"/>
  <c r="D3"/>
  <c r="D5" l="1"/>
  <c r="N8" i="1"/>
  <c r="S8" s="1"/>
  <c r="N9"/>
  <c r="S9" s="1"/>
  <c r="B15" i="2"/>
  <c r="B14"/>
  <c r="B16" l="1"/>
  <c r="B18" s="1"/>
  <c r="F22" i="1"/>
  <c r="J21" l="1"/>
  <c r="J20"/>
  <c r="J19"/>
  <c r="S19" l="1"/>
  <c r="S20"/>
  <c r="S21"/>
  <c r="J16"/>
  <c r="K16" s="1"/>
  <c r="S16" s="1"/>
  <c r="J15"/>
  <c r="K15" s="1"/>
  <c r="S15" s="1"/>
  <c r="J12" l="1"/>
  <c r="L11"/>
  <c r="J11" l="1"/>
  <c r="K11" s="1"/>
  <c r="J9"/>
  <c r="K9" s="1"/>
  <c r="O18" l="1"/>
  <c r="L8"/>
  <c r="J8"/>
  <c r="J7" l="1"/>
  <c r="J6" l="1"/>
  <c r="B4" l="1"/>
  <c r="L9"/>
  <c r="L12"/>
  <c r="K12"/>
  <c r="C17" i="14"/>
  <c r="C20" s="1"/>
  <c r="C21" s="1"/>
  <c r="C17" i="4"/>
  <c r="C20" s="1"/>
  <c r="C21" s="1"/>
  <c r="C20" i="13"/>
  <c r="C21" s="1"/>
  <c r="D17" i="18"/>
  <c r="D18" s="1"/>
  <c r="D21" s="1"/>
  <c r="D22" s="1"/>
  <c r="S17" i="1" l="1"/>
  <c r="M12"/>
  <c r="C26" i="7"/>
  <c r="C27" s="1"/>
  <c r="C28" s="1"/>
  <c r="L7" i="1" l="1"/>
  <c r="M7"/>
  <c r="N12"/>
  <c r="S12" s="1"/>
  <c r="N7" l="1"/>
  <c r="S22"/>
  <c r="C29" i="22"/>
  <c r="C19" i="6"/>
  <c r="C29" s="1"/>
  <c r="K8" i="1"/>
  <c r="K6"/>
  <c r="K7"/>
  <c r="N18" l="1"/>
  <c r="N23" s="1"/>
  <c r="S7"/>
  <c r="S13"/>
  <c r="S18" s="1"/>
  <c r="S23" s="1"/>
  <c r="K18"/>
  <c r="K23" s="1"/>
  <c r="F18"/>
  <c r="F23" s="1"/>
  <c r="D6" i="11"/>
  <c r="C16"/>
  <c r="C17"/>
  <c r="C20"/>
  <c r="C21"/>
</calcChain>
</file>

<file path=xl/comments1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0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1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2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3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2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3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4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5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6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7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8.xml><?xml version="1.0" encoding="utf-8"?>
<comments xmlns="http://schemas.openxmlformats.org/spreadsheetml/2006/main">
  <authors>
    <author>alevtina</author>
  </authors>
  <commentList>
    <comment ref="C15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9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sharedStrings.xml><?xml version="1.0" encoding="utf-8"?>
<sst xmlns="http://schemas.openxmlformats.org/spreadsheetml/2006/main" count="609" uniqueCount="134">
  <si>
    <t xml:space="preserve">Месяц: </t>
  </si>
  <si>
    <t>Выполнение плана</t>
  </si>
  <si>
    <t>Ф.И.О.</t>
  </si>
  <si>
    <t>Должность</t>
  </si>
  <si>
    <t>Итого, ЗП на руки</t>
  </si>
  <si>
    <t>Лобанов Г.Д.</t>
  </si>
  <si>
    <t>Тарановский А.Н.</t>
  </si>
  <si>
    <t>Итого</t>
  </si>
  <si>
    <t>Всего</t>
  </si>
  <si>
    <t>Выручка, факт</t>
  </si>
  <si>
    <t>Надбавка</t>
  </si>
  <si>
    <t>Оклад</t>
  </si>
  <si>
    <t>Заработная плата (на руки)</t>
  </si>
  <si>
    <t>Выручка подразделения, руб.</t>
  </si>
  <si>
    <t>Размер надбавки, руб.</t>
  </si>
  <si>
    <t>Заведующий магазином</t>
  </si>
  <si>
    <t>Категории торгового персонала</t>
  </si>
  <si>
    <t>Заработная плата</t>
  </si>
  <si>
    <t>Соотношение базовой и премиальной частей к плановой зарплате</t>
  </si>
  <si>
    <t>Категория сотрудника</t>
  </si>
  <si>
    <t>Старший менеджер</t>
  </si>
  <si>
    <t>Менеджер- консультант</t>
  </si>
  <si>
    <t>Стажер</t>
  </si>
  <si>
    <t>Кассир</t>
  </si>
  <si>
    <t>Плановая Заработная Плата сотрудника</t>
  </si>
  <si>
    <t>в ден.ед.</t>
  </si>
  <si>
    <t>в процентах</t>
  </si>
  <si>
    <t>Таблица 1.1. Расчета результативности по продажам менеджеров-консультантов</t>
  </si>
  <si>
    <t>Показатели</t>
  </si>
  <si>
    <t>Эталон</t>
  </si>
  <si>
    <t>Факт</t>
  </si>
  <si>
    <t>Результ-ть = Факт/Эталон</t>
  </si>
  <si>
    <t>Вес показателя</t>
  </si>
  <si>
    <t>Оборот (выручка)</t>
  </si>
  <si>
    <t>Число розничных покупок (строк в чеках)</t>
  </si>
  <si>
    <t>Пройдена ли минимальная граница результативности?</t>
  </si>
  <si>
    <t>Результативность по продажам</t>
  </si>
  <si>
    <t>Заработная плата за месяц менеджера-консультанта:</t>
  </si>
  <si>
    <t>Месяц _____________</t>
  </si>
  <si>
    <t>Расчет фактической Базовой части</t>
  </si>
  <si>
    <t>Отработано в месяц (в рамках нормы)</t>
  </si>
  <si>
    <t>в часах</t>
  </si>
  <si>
    <t>Фактическая Базовая Часть</t>
  </si>
  <si>
    <t xml:space="preserve">Расчет фактической Переменной/премиальной части </t>
  </si>
  <si>
    <t>Расчетная переменная часть (БЧ’ расч.)</t>
  </si>
  <si>
    <t>в баллах</t>
  </si>
  <si>
    <t>Дисциплина  (наличие выговоров и замечаний)</t>
  </si>
  <si>
    <t>Фактическая переменная часть (БЧ' факт)</t>
  </si>
  <si>
    <t>Расчет итоговой Переменной/премиальной части</t>
  </si>
  <si>
    <t xml:space="preserve">Курс балла </t>
  </si>
  <si>
    <t>Итого переменная / премиальная</t>
  </si>
  <si>
    <t xml:space="preserve">Итого ЗП за месяц </t>
  </si>
  <si>
    <t>Заработная плата за месяц кассира:</t>
  </si>
  <si>
    <t>Релизация запчастей</t>
  </si>
  <si>
    <t>Доплаты/ удержания</t>
  </si>
  <si>
    <t>Реализация запчастей</t>
  </si>
  <si>
    <t>% отработанного времени к норме</t>
  </si>
  <si>
    <t>Оборот (выручка), рублей</t>
  </si>
  <si>
    <t>кассир</t>
  </si>
  <si>
    <t>План/Норма часов/дней РАБОТЫ</t>
  </si>
  <si>
    <t>Факт - часов/дней РАБОТЫ</t>
  </si>
  <si>
    <t>менеджер</t>
  </si>
  <si>
    <t>Заключение договоров с покупателями</t>
  </si>
  <si>
    <t>Примечания/ премия</t>
  </si>
  <si>
    <t xml:space="preserve"> </t>
  </si>
  <si>
    <t>Войлошникова Т.С.</t>
  </si>
  <si>
    <t>Гончар Т.Н.</t>
  </si>
  <si>
    <t>Епанчинцев С.А.</t>
  </si>
  <si>
    <t>ст.менеджер</t>
  </si>
  <si>
    <t>Сиротенко С.В.</t>
  </si>
  <si>
    <t>Третьяков А.В.</t>
  </si>
  <si>
    <t>Щипун В.В.</t>
  </si>
  <si>
    <t>Размер премии по выполнению экономических и количественных показателей</t>
  </si>
  <si>
    <t>&lt; 50%</t>
  </si>
  <si>
    <t>50-75%</t>
  </si>
  <si>
    <t>75-85%</t>
  </si>
  <si>
    <t>85-100%</t>
  </si>
  <si>
    <t>+5%</t>
  </si>
  <si>
    <t>+10%</t>
  </si>
  <si>
    <t>+15%</t>
  </si>
  <si>
    <t>Выручка план, руб.</t>
  </si>
  <si>
    <t>Выручка факт, руб.</t>
  </si>
  <si>
    <t>Выполнение, %</t>
  </si>
  <si>
    <t>Премия план, руб.</t>
  </si>
  <si>
    <t>Премия факт, руб.</t>
  </si>
  <si>
    <t>100-105%</t>
  </si>
  <si>
    <t xml:space="preserve">110-130% </t>
  </si>
  <si>
    <t>&gt; 130%</t>
  </si>
  <si>
    <t>Щипун</t>
  </si>
  <si>
    <t>Широта ассортимента</t>
  </si>
  <si>
    <t>Кассиры</t>
  </si>
  <si>
    <t>Таблица 1.1. Расчета результативности по продажам кассиров</t>
  </si>
  <si>
    <t>чеки</t>
  </si>
  <si>
    <t>сентябрь</t>
  </si>
  <si>
    <t>август</t>
  </si>
  <si>
    <t>коэфф.</t>
  </si>
  <si>
    <t>Сизоненко В.Н.</t>
  </si>
  <si>
    <t>Премиальная часть с надбавкой за перевыполнение плана</t>
  </si>
  <si>
    <t>Итого премиальная часть с корректировкой на сезонность</t>
  </si>
  <si>
    <t>Итого премиальная часть</t>
  </si>
  <si>
    <t>октябрь</t>
  </si>
  <si>
    <t>Третьяков</t>
  </si>
  <si>
    <t>Лобанов</t>
  </si>
  <si>
    <t>Сизоненко</t>
  </si>
  <si>
    <t>Епанчинцев</t>
  </si>
  <si>
    <t>Гаврилин</t>
  </si>
  <si>
    <t>Товарооборот, руб.</t>
  </si>
  <si>
    <t>Переменная часть по товарообороту</t>
  </si>
  <si>
    <t>Чеки</t>
  </si>
  <si>
    <t>соотношение</t>
  </si>
  <si>
    <t>100-110%</t>
  </si>
  <si>
    <t>Фактическая выручка</t>
  </si>
  <si>
    <t>План по выручке СМ</t>
  </si>
  <si>
    <t>Базовая Часть</t>
  </si>
  <si>
    <t>-</t>
  </si>
  <si>
    <t>Переменная часть с надбавкой за перевыполнение плана</t>
  </si>
  <si>
    <t>Широта ассортмента, поз.</t>
  </si>
  <si>
    <t>БЧ</t>
  </si>
  <si>
    <t>ПЧ</t>
  </si>
  <si>
    <t>Факт. БЧ</t>
  </si>
  <si>
    <t>Результативность, %</t>
  </si>
  <si>
    <t>ПЧ по товарообороту</t>
  </si>
  <si>
    <t>Факт. ПЧ с надбавкой за выполнение плана</t>
  </si>
  <si>
    <t>Тарановский</t>
  </si>
  <si>
    <t>Реализация з/ч</t>
  </si>
  <si>
    <t>в ден. Ед</t>
  </si>
  <si>
    <t xml:space="preserve">Епанчинцев С.А. </t>
  </si>
  <si>
    <t>мен. по закупу</t>
  </si>
  <si>
    <t>март 2015 г.</t>
  </si>
  <si>
    <t>Глубина ассортимента</t>
  </si>
  <si>
    <t>Пройдена ли минимальная граница результативности 70%?</t>
  </si>
  <si>
    <t>Глубина ассортимента, шт.</t>
  </si>
  <si>
    <t xml:space="preserve">Базовая часть (БЧ план) </t>
  </si>
  <si>
    <t xml:space="preserve">Переменная часть (БЧ' план) </t>
  </si>
</sst>
</file>

<file path=xl/styles.xml><?xml version="1.0" encoding="utf-8"?>
<styleSheet xmlns="http://schemas.openxmlformats.org/spreadsheetml/2006/main">
  <numFmts count="9">
    <numFmt numFmtId="5" formatCode="#,##0&quot;р.&quot;;\-#,##0&quot;р.&quot;"/>
    <numFmt numFmtId="41" formatCode="_-* #,##0_р_._-;\-* #,##0_р_._-;_-* &quot;-&quot;_р_._-;_-@_-"/>
    <numFmt numFmtId="164" formatCode="[$-419]d\ mmm;@"/>
    <numFmt numFmtId="165" formatCode="#,##0_р_."/>
    <numFmt numFmtId="166" formatCode="#,##0_ ;\-#,##0\ "/>
    <numFmt numFmtId="167" formatCode="[$$-409]#,##0_ ;\-[$$-409]#,##0\ "/>
    <numFmt numFmtId="168" formatCode="0.000000000000"/>
    <numFmt numFmtId="169" formatCode="#,##0_ ;[Red]\-#,##0\ "/>
    <numFmt numFmtId="170" formatCode="#,##0.00_ ;\-#,##0.00\ 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8"/>
      <color indexed="53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color indexed="62"/>
      <name val="Arial Cyr"/>
      <charset val="204"/>
    </font>
    <font>
      <b/>
      <sz val="12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</font>
    <font>
      <i/>
      <sz val="8"/>
      <name val="Arial"/>
      <family val="2"/>
      <charset val="204"/>
    </font>
    <font>
      <b/>
      <sz val="10"/>
      <name val="Arial"/>
      <family val="2"/>
    </font>
    <font>
      <i/>
      <sz val="10"/>
      <color indexed="18"/>
      <name val="Arial"/>
      <family val="2"/>
      <charset val="204"/>
    </font>
    <font>
      <i/>
      <sz val="10"/>
      <color indexed="18"/>
      <name val="Arial Cyr"/>
      <charset val="204"/>
    </font>
    <font>
      <b/>
      <sz val="12"/>
      <name val="Arial"/>
      <family val="2"/>
      <charset val="204"/>
    </font>
    <font>
      <i/>
      <sz val="10"/>
      <color indexed="10"/>
      <name val="Arial Cyr"/>
      <charset val="204"/>
    </font>
    <font>
      <sz val="10"/>
      <color indexed="18"/>
      <name val="Arial Cyr"/>
      <charset val="204"/>
    </font>
    <font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  <charset val="204"/>
    </font>
    <font>
      <sz val="8"/>
      <color indexed="81"/>
      <name val="Tahoma"/>
      <family val="2"/>
      <charset val="204"/>
    </font>
    <font>
      <u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0" fontId="2" fillId="0" borderId="0">
      <alignment horizontal="left"/>
    </xf>
  </cellStyleXfs>
  <cellXfs count="232">
    <xf numFmtId="0" fontId="0" fillId="0" borderId="0" xfId="0"/>
    <xf numFmtId="0" fontId="2" fillId="0" borderId="0" xfId="0" applyFont="1" applyFill="1" applyAlignment="1">
      <alignment horizontal="center"/>
    </xf>
    <xf numFmtId="0" fontId="4" fillId="0" borderId="0" xfId="0" applyFont="1"/>
    <xf numFmtId="4" fontId="5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7" xfId="0" applyNumberFormat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horizontal="right"/>
    </xf>
    <xf numFmtId="0" fontId="2" fillId="6" borderId="7" xfId="0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5" fillId="7" borderId="7" xfId="0" applyNumberFormat="1" applyFont="1" applyFill="1" applyBorder="1" applyAlignment="1">
      <alignment vertical="center"/>
    </xf>
    <xf numFmtId="0" fontId="2" fillId="7" borderId="7" xfId="0" applyFont="1" applyFill="1" applyBorder="1"/>
    <xf numFmtId="4" fontId="2" fillId="7" borderId="7" xfId="0" applyNumberFormat="1" applyFont="1" applyFill="1" applyBorder="1" applyAlignment="1">
      <alignment horizontal="right"/>
    </xf>
    <xf numFmtId="0" fontId="4" fillId="0" borderId="7" xfId="0" applyFont="1" applyBorder="1"/>
    <xf numFmtId="3" fontId="7" fillId="0" borderId="7" xfId="0" applyNumberFormat="1" applyFont="1" applyBorder="1" applyAlignment="1">
      <alignment horizontal="center" vertical="top" wrapText="1"/>
    </xf>
    <xf numFmtId="3" fontId="7" fillId="0" borderId="7" xfId="0" applyNumberFormat="1" applyFont="1" applyBorder="1" applyAlignment="1">
      <alignment horizontal="right" vertical="center" wrapText="1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 wrapText="1"/>
    </xf>
    <xf numFmtId="0" fontId="0" fillId="0" borderId="0" xfId="2" applyFont="1" applyFill="1" applyBorder="1" applyAlignment="1">
      <alignment vertical="top"/>
    </xf>
    <xf numFmtId="0" fontId="0" fillId="0" borderId="0" xfId="2" applyFont="1" applyFill="1" applyBorder="1"/>
    <xf numFmtId="0" fontId="0" fillId="0" borderId="0" xfId="0" applyFill="1"/>
    <xf numFmtId="0" fontId="14" fillId="0" borderId="7" xfId="2" applyFont="1" applyFill="1" applyBorder="1" applyAlignment="1">
      <alignment horizontal="center" vertical="top" wrapText="1"/>
    </xf>
    <xf numFmtId="9" fontId="14" fillId="0" borderId="7" xfId="2" applyNumberFormat="1" applyFont="1" applyFill="1" applyBorder="1" applyAlignment="1">
      <alignment horizontal="center" vertical="top" wrapText="1"/>
    </xf>
    <xf numFmtId="165" fontId="11" fillId="0" borderId="7" xfId="2" applyNumberFormat="1" applyFont="1" applyFill="1" applyBorder="1" applyAlignment="1">
      <alignment horizontal="center" vertical="top" wrapText="1"/>
    </xf>
    <xf numFmtId="9" fontId="11" fillId="0" borderId="7" xfId="2" applyNumberFormat="1" applyFont="1" applyFill="1" applyBorder="1" applyAlignment="1">
      <alignment horizontal="center" vertical="top" wrapText="1"/>
    </xf>
    <xf numFmtId="5" fontId="17" fillId="0" borderId="7" xfId="2" applyNumberFormat="1" applyFont="1" applyFill="1" applyBorder="1" applyAlignment="1">
      <alignment vertical="top" wrapText="1"/>
    </xf>
    <xf numFmtId="0" fontId="18" fillId="0" borderId="5" xfId="2" applyFont="1" applyFill="1" applyBorder="1" applyAlignment="1">
      <alignment horizontal="center" vertical="top" wrapText="1"/>
    </xf>
    <xf numFmtId="0" fontId="18" fillId="0" borderId="19" xfId="2" applyFont="1" applyFill="1" applyBorder="1" applyAlignment="1">
      <alignment horizontal="center" vertical="top" wrapText="1"/>
    </xf>
    <xf numFmtId="0" fontId="18" fillId="0" borderId="6" xfId="2" applyFont="1" applyFill="1" applyBorder="1" applyAlignment="1">
      <alignment horizontal="center" vertical="top" wrapText="1"/>
    </xf>
    <xf numFmtId="0" fontId="16" fillId="0" borderId="3" xfId="2" applyFont="1" applyFill="1" applyBorder="1" applyAlignment="1">
      <alignment vertical="top" wrapText="1"/>
    </xf>
    <xf numFmtId="9" fontId="11" fillId="0" borderId="7" xfId="2" applyNumberFormat="1" applyFont="1" applyFill="1" applyBorder="1" applyAlignment="1">
      <alignment horizontal="center" vertical="top"/>
    </xf>
    <xf numFmtId="9" fontId="11" fillId="0" borderId="4" xfId="1" applyFont="1" applyFill="1" applyBorder="1" applyAlignment="1">
      <alignment horizontal="center" vertical="top"/>
    </xf>
    <xf numFmtId="9" fontId="11" fillId="0" borderId="8" xfId="2" applyNumberFormat="1" applyFont="1" applyFill="1" applyBorder="1" applyAlignment="1">
      <alignment horizontal="center" vertical="top"/>
    </xf>
    <xf numFmtId="9" fontId="11" fillId="0" borderId="10" xfId="1" applyFont="1" applyFill="1" applyBorder="1" applyAlignment="1">
      <alignment horizontal="center" vertical="top"/>
    </xf>
    <xf numFmtId="0" fontId="15" fillId="0" borderId="15" xfId="2" applyFont="1" applyFill="1" applyBorder="1" applyAlignment="1">
      <alignment vertical="top" wrapText="1"/>
    </xf>
    <xf numFmtId="0" fontId="11" fillId="0" borderId="14" xfId="2" applyNumberFormat="1" applyFont="1" applyFill="1" applyBorder="1" applyAlignment="1">
      <alignment horizontal="center" vertical="top" wrapText="1"/>
    </xf>
    <xf numFmtId="0" fontId="11" fillId="0" borderId="11" xfId="2" applyNumberFormat="1" applyFont="1" applyFill="1" applyBorder="1" applyAlignment="1">
      <alignment horizontal="center" vertical="top" wrapText="1"/>
    </xf>
    <xf numFmtId="0" fontId="19" fillId="0" borderId="11" xfId="2" applyNumberFormat="1" applyFont="1" applyFill="1" applyBorder="1" applyAlignment="1">
      <alignment horizontal="right" vertical="top"/>
    </xf>
    <xf numFmtId="9" fontId="11" fillId="0" borderId="12" xfId="1" applyFont="1" applyFill="1" applyBorder="1" applyAlignment="1">
      <alignment horizontal="center" vertical="top"/>
    </xf>
    <xf numFmtId="0" fontId="14" fillId="0" borderId="24" xfId="2" applyFont="1" applyFill="1" applyBorder="1" applyAlignment="1">
      <alignment vertical="top" wrapText="1"/>
    </xf>
    <xf numFmtId="167" fontId="11" fillId="0" borderId="25" xfId="2" applyNumberFormat="1" applyFont="1" applyFill="1" applyBorder="1" applyAlignment="1">
      <alignment horizontal="center" vertical="top" wrapText="1"/>
    </xf>
    <xf numFmtId="0" fontId="11" fillId="0" borderId="26" xfId="2" applyFont="1" applyFill="1" applyBorder="1" applyAlignment="1">
      <alignment horizontal="center" vertical="top" wrapText="1"/>
    </xf>
    <xf numFmtId="9" fontId="14" fillId="0" borderId="26" xfId="2" applyNumberFormat="1" applyFont="1" applyFill="1" applyBorder="1" applyAlignment="1">
      <alignment horizontal="right" vertical="top"/>
    </xf>
    <xf numFmtId="0" fontId="0" fillId="0" borderId="27" xfId="2" applyFont="1" applyFill="1" applyBorder="1" applyAlignment="1">
      <alignment horizontal="right" vertical="top"/>
    </xf>
    <xf numFmtId="1" fontId="11" fillId="0" borderId="0" xfId="2" applyNumberFormat="1" applyFont="1" applyFill="1" applyBorder="1" applyAlignment="1"/>
    <xf numFmtId="0" fontId="22" fillId="0" borderId="0" xfId="2" applyFont="1" applyFill="1" applyBorder="1" applyAlignment="1">
      <alignment vertical="top" wrapText="1"/>
    </xf>
    <xf numFmtId="0" fontId="11" fillId="0" borderId="3" xfId="2" applyFont="1" applyFill="1" applyBorder="1" applyAlignment="1">
      <alignment vertical="top" wrapText="1"/>
    </xf>
    <xf numFmtId="0" fontId="17" fillId="0" borderId="16" xfId="2" applyFont="1" applyFill="1" applyBorder="1" applyAlignment="1">
      <alignment vertical="top" wrapText="1"/>
    </xf>
    <xf numFmtId="0" fontId="11" fillId="0" borderId="4" xfId="2" applyFont="1" applyFill="1" applyBorder="1" applyAlignment="1">
      <alignment vertical="top" wrapText="1"/>
    </xf>
    <xf numFmtId="0" fontId="22" fillId="0" borderId="0" xfId="2" applyFont="1" applyFill="1" applyBorder="1" applyAlignment="1">
      <alignment vertical="top"/>
    </xf>
    <xf numFmtId="0" fontId="8" fillId="0" borderId="3" xfId="2" applyFont="1" applyFill="1" applyBorder="1" applyAlignment="1">
      <alignment vertical="top" wrapText="1"/>
    </xf>
    <xf numFmtId="166" fontId="11" fillId="0" borderId="4" xfId="2" applyNumberFormat="1" applyFont="1" applyFill="1" applyBorder="1" applyAlignment="1">
      <alignment vertical="top" wrapText="1"/>
    </xf>
    <xf numFmtId="0" fontId="19" fillId="0" borderId="0" xfId="2" applyFont="1" applyFill="1" applyBorder="1" applyAlignment="1">
      <alignment vertical="top"/>
    </xf>
    <xf numFmtId="0" fontId="20" fillId="0" borderId="0" xfId="2" applyFont="1" applyFill="1" applyBorder="1" applyAlignment="1">
      <alignment vertical="top"/>
    </xf>
    <xf numFmtId="166" fontId="11" fillId="0" borderId="4" xfId="2" applyNumberFormat="1" applyFont="1" applyFill="1" applyBorder="1" applyAlignment="1">
      <alignment horizontal="right" vertical="top" wrapText="1"/>
    </xf>
    <xf numFmtId="0" fontId="17" fillId="0" borderId="13" xfId="2" applyFont="1" applyFill="1" applyBorder="1" applyAlignment="1">
      <alignment vertical="top" wrapText="1"/>
    </xf>
    <xf numFmtId="9" fontId="11" fillId="0" borderId="4" xfId="1" applyNumberFormat="1" applyFont="1" applyFill="1" applyBorder="1" applyAlignment="1" applyProtection="1">
      <alignment horizontal="right" vertical="top" wrapText="1"/>
    </xf>
    <xf numFmtId="0" fontId="23" fillId="0" borderId="0" xfId="2" applyFont="1" applyFill="1" applyBorder="1" applyAlignment="1">
      <alignment vertical="top"/>
    </xf>
    <xf numFmtId="0" fontId="17" fillId="0" borderId="7" xfId="2" applyFont="1" applyFill="1" applyBorder="1" applyAlignment="1">
      <alignment vertical="top" wrapText="1"/>
    </xf>
    <xf numFmtId="0" fontId="24" fillId="0" borderId="3" xfId="2" applyFont="1" applyFill="1" applyBorder="1" applyAlignment="1">
      <alignment vertical="top" wrapText="1"/>
    </xf>
    <xf numFmtId="5" fontId="25" fillId="0" borderId="7" xfId="2" applyNumberFormat="1" applyFont="1" applyFill="1" applyBorder="1" applyAlignment="1">
      <alignment vertical="top" wrapText="1"/>
    </xf>
    <xf numFmtId="2" fontId="24" fillId="0" borderId="4" xfId="1" applyNumberFormat="1" applyFont="1" applyFill="1" applyBorder="1" applyAlignment="1" applyProtection="1">
      <alignment horizontal="right" vertical="top" wrapText="1"/>
    </xf>
    <xf numFmtId="0" fontId="14" fillId="0" borderId="3" xfId="2" applyFont="1" applyFill="1" applyBorder="1" applyAlignment="1">
      <alignment vertical="top" wrapText="1"/>
    </xf>
    <xf numFmtId="5" fontId="26" fillId="0" borderId="7" xfId="2" applyNumberFormat="1" applyFont="1" applyFill="1" applyBorder="1" applyAlignment="1">
      <alignment vertical="top" wrapText="1"/>
    </xf>
    <xf numFmtId="1" fontId="14" fillId="0" borderId="4" xfId="1" applyNumberFormat="1" applyFont="1" applyFill="1" applyBorder="1" applyAlignment="1" applyProtection="1">
      <alignment horizontal="right" vertical="top" wrapText="1"/>
    </xf>
    <xf numFmtId="0" fontId="0" fillId="0" borderId="0" xfId="2" applyFont="1" applyFill="1"/>
    <xf numFmtId="0" fontId="16" fillId="0" borderId="0" xfId="2" applyFont="1" applyFill="1" applyBorder="1" applyAlignment="1">
      <alignment horizontal="center" vertical="top" wrapText="1"/>
    </xf>
    <xf numFmtId="0" fontId="21" fillId="0" borderId="20" xfId="2" applyFont="1" applyFill="1" applyBorder="1" applyAlignment="1">
      <alignment vertical="top" wrapText="1"/>
    </xf>
    <xf numFmtId="5" fontId="26" fillId="0" borderId="28" xfId="2" applyNumberFormat="1" applyFont="1" applyFill="1" applyBorder="1" applyAlignment="1">
      <alignment vertical="top" wrapText="1"/>
    </xf>
    <xf numFmtId="1" fontId="21" fillId="0" borderId="29" xfId="2" applyNumberFormat="1" applyFont="1" applyFill="1" applyBorder="1" applyAlignment="1">
      <alignment horizontal="right" vertical="top" wrapText="1"/>
    </xf>
    <xf numFmtId="3" fontId="14" fillId="0" borderId="4" xfId="1" applyNumberFormat="1" applyFont="1" applyFill="1" applyBorder="1" applyAlignment="1" applyProtection="1">
      <alignment horizontal="right" vertical="top" wrapText="1"/>
    </xf>
    <xf numFmtId="3" fontId="21" fillId="0" borderId="29" xfId="2" applyNumberFormat="1" applyFont="1" applyFill="1" applyBorder="1" applyAlignment="1">
      <alignment horizontal="right" vertical="top" wrapText="1"/>
    </xf>
    <xf numFmtId="0" fontId="5" fillId="5" borderId="7" xfId="0" applyNumberFormat="1" applyFont="1" applyFill="1" applyBorder="1" applyAlignment="1">
      <alignment vertical="center"/>
    </xf>
    <xf numFmtId="0" fontId="2" fillId="5" borderId="7" xfId="0" applyFont="1" applyFill="1" applyBorder="1"/>
    <xf numFmtId="0" fontId="2" fillId="0" borderId="7" xfId="0" applyNumberFormat="1" applyFont="1" applyFill="1" applyBorder="1" applyAlignment="1"/>
    <xf numFmtId="165" fontId="11" fillId="3" borderId="7" xfId="2" applyNumberFormat="1" applyFont="1" applyFill="1" applyBorder="1" applyAlignment="1">
      <alignment horizontal="center" vertical="top" wrapText="1"/>
    </xf>
    <xf numFmtId="9" fontId="11" fillId="3" borderId="4" xfId="1" applyNumberFormat="1" applyFont="1" applyFill="1" applyBorder="1" applyAlignment="1" applyProtection="1">
      <alignment horizontal="right" vertical="top" wrapText="1"/>
    </xf>
    <xf numFmtId="0" fontId="0" fillId="3" borderId="0" xfId="0" applyFill="1"/>
    <xf numFmtId="0" fontId="0" fillId="0" borderId="0" xfId="0" applyFill="1" applyBorder="1"/>
    <xf numFmtId="168" fontId="29" fillId="0" borderId="0" xfId="0" applyNumberFormat="1" applyFont="1"/>
    <xf numFmtId="0" fontId="7" fillId="0" borderId="7" xfId="0" applyFont="1" applyBorder="1" applyAlignment="1">
      <alignment horizontal="center" vertical="center" wrapText="1"/>
    </xf>
    <xf numFmtId="0" fontId="30" fillId="0" borderId="0" xfId="0" applyFont="1"/>
    <xf numFmtId="0" fontId="2" fillId="8" borderId="7" xfId="0" applyNumberFormat="1" applyFont="1" applyFill="1" applyBorder="1" applyAlignment="1">
      <alignment vertical="center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/>
    </xf>
    <xf numFmtId="0" fontId="31" fillId="0" borderId="7" xfId="0" applyFont="1" applyBorder="1" applyAlignment="1">
      <alignment horizontal="center"/>
    </xf>
    <xf numFmtId="9" fontId="31" fillId="0" borderId="7" xfId="0" applyNumberFormat="1" applyFont="1" applyBorder="1" applyAlignment="1">
      <alignment horizontal="center"/>
    </xf>
    <xf numFmtId="49" fontId="31" fillId="0" borderId="7" xfId="0" applyNumberFormat="1" applyFont="1" applyBorder="1" applyAlignment="1">
      <alignment horizontal="center"/>
    </xf>
    <xf numFmtId="0" fontId="32" fillId="0" borderId="0" xfId="0" applyFont="1"/>
    <xf numFmtId="3" fontId="8" fillId="0" borderId="0" xfId="0" applyNumberFormat="1" applyFont="1"/>
    <xf numFmtId="9" fontId="8" fillId="0" borderId="0" xfId="1" applyFont="1"/>
    <xf numFmtId="3" fontId="8" fillId="0" borderId="0" xfId="1" applyNumberFormat="1" applyFont="1"/>
    <xf numFmtId="49" fontId="3" fillId="0" borderId="0" xfId="0" applyNumberFormat="1" applyFont="1" applyFill="1" applyAlignment="1">
      <alignment horizontal="center"/>
    </xf>
    <xf numFmtId="3" fontId="0" fillId="3" borderId="7" xfId="0" applyNumberFormat="1" applyFont="1" applyFill="1" applyBorder="1" applyAlignment="1">
      <alignment horizontal="center" vertical="center"/>
    </xf>
    <xf numFmtId="3" fontId="0" fillId="3" borderId="7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vertical="center"/>
    </xf>
    <xf numFmtId="4" fontId="11" fillId="0" borderId="4" xfId="2" applyNumberFormat="1" applyFont="1" applyFill="1" applyBorder="1" applyAlignment="1">
      <alignment vertical="top" wrapText="1"/>
    </xf>
    <xf numFmtId="10" fontId="14" fillId="0" borderId="26" xfId="2" applyNumberFormat="1" applyFont="1" applyFill="1" applyBorder="1" applyAlignment="1">
      <alignment horizontal="right" vertical="top"/>
    </xf>
    <xf numFmtId="0" fontId="0" fillId="0" borderId="7" xfId="0" applyBorder="1"/>
    <xf numFmtId="0" fontId="0" fillId="3" borderId="7" xfId="0" applyFill="1" applyBorder="1"/>
    <xf numFmtId="0" fontId="33" fillId="0" borderId="7" xfId="0" applyFont="1" applyBorder="1"/>
    <xf numFmtId="165" fontId="11" fillId="0" borderId="7" xfId="2" applyNumberFormat="1" applyFont="1" applyFill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top" wrapText="1"/>
    </xf>
    <xf numFmtId="5" fontId="26" fillId="0" borderId="0" xfId="2" applyNumberFormat="1" applyFont="1" applyFill="1" applyBorder="1" applyAlignment="1">
      <alignment vertical="top" wrapText="1"/>
    </xf>
    <xf numFmtId="1" fontId="21" fillId="0" borderId="0" xfId="2" applyNumberFormat="1" applyFont="1" applyFill="1" applyBorder="1" applyAlignment="1">
      <alignment horizontal="right" vertical="top" wrapText="1"/>
    </xf>
    <xf numFmtId="4" fontId="14" fillId="0" borderId="4" xfId="1" applyNumberFormat="1" applyFont="1" applyFill="1" applyBorder="1" applyAlignment="1" applyProtection="1">
      <alignment horizontal="right" vertical="top" wrapText="1"/>
    </xf>
    <xf numFmtId="4" fontId="14" fillId="0" borderId="29" xfId="2" applyNumberFormat="1" applyFont="1" applyFill="1" applyBorder="1" applyAlignment="1">
      <alignment horizontal="right" vertical="top" wrapText="1"/>
    </xf>
    <xf numFmtId="4" fontId="14" fillId="0" borderId="7" xfId="2" applyNumberFormat="1" applyFont="1" applyFill="1" applyBorder="1" applyAlignment="1">
      <alignment horizontal="right" vertical="top" wrapText="1"/>
    </xf>
    <xf numFmtId="0" fontId="14" fillId="0" borderId="20" xfId="2" applyFont="1" applyFill="1" applyBorder="1" applyAlignment="1">
      <alignment vertical="top" wrapText="1"/>
    </xf>
    <xf numFmtId="0" fontId="14" fillId="0" borderId="7" xfId="2" applyFont="1" applyFill="1" applyBorder="1" applyAlignment="1">
      <alignment vertical="top" wrapText="1"/>
    </xf>
    <xf numFmtId="5" fontId="35" fillId="0" borderId="7" xfId="2" applyNumberFormat="1" applyFont="1" applyFill="1" applyBorder="1" applyAlignment="1">
      <alignment vertical="top" wrapText="1"/>
    </xf>
    <xf numFmtId="5" fontId="35" fillId="0" borderId="28" xfId="2" applyNumberFormat="1" applyFont="1" applyFill="1" applyBorder="1" applyAlignment="1">
      <alignment vertical="top" wrapText="1"/>
    </xf>
    <xf numFmtId="2" fontId="33" fillId="0" borderId="7" xfId="0" applyNumberFormat="1" applyFont="1" applyBorder="1" applyAlignment="1">
      <alignment horizontal="right"/>
    </xf>
    <xf numFmtId="4" fontId="0" fillId="3" borderId="0" xfId="0" applyNumberFormat="1" applyFill="1"/>
    <xf numFmtId="0" fontId="14" fillId="10" borderId="20" xfId="2" applyFont="1" applyFill="1" applyBorder="1" applyAlignment="1">
      <alignment vertical="top" wrapText="1"/>
    </xf>
    <xf numFmtId="5" fontId="26" fillId="10" borderId="28" xfId="2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169" fontId="2" fillId="3" borderId="4" xfId="0" applyNumberFormat="1" applyFont="1" applyFill="1" applyBorder="1" applyAlignment="1">
      <alignment horizontal="center"/>
    </xf>
    <xf numFmtId="9" fontId="11" fillId="8" borderId="4" xfId="1" applyNumberFormat="1" applyFont="1" applyFill="1" applyBorder="1" applyAlignment="1" applyProtection="1">
      <alignment horizontal="right" vertical="top" wrapText="1"/>
    </xf>
    <xf numFmtId="0" fontId="0" fillId="8" borderId="0" xfId="2" applyFont="1" applyFill="1" applyBorder="1"/>
    <xf numFmtId="0" fontId="0" fillId="8" borderId="0" xfId="0" applyFill="1"/>
    <xf numFmtId="3" fontId="5" fillId="8" borderId="0" xfId="0" applyNumberFormat="1" applyFont="1" applyFill="1" applyBorder="1" applyAlignment="1">
      <alignment horizontal="center" vertical="center" wrapText="1"/>
    </xf>
    <xf numFmtId="169" fontId="6" fillId="8" borderId="0" xfId="0" applyNumberFormat="1" applyFont="1" applyFill="1" applyBorder="1" applyAlignment="1">
      <alignment horizontal="center"/>
    </xf>
    <xf numFmtId="10" fontId="6" fillId="8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4" fontId="0" fillId="0" borderId="0" xfId="0" applyNumberFormat="1"/>
    <xf numFmtId="1" fontId="0" fillId="0" borderId="0" xfId="0" applyNumberFormat="1"/>
    <xf numFmtId="2" fontId="11" fillId="0" borderId="4" xfId="2" applyNumberFormat="1" applyFont="1" applyFill="1" applyBorder="1" applyAlignment="1">
      <alignment vertical="top" wrapText="1"/>
    </xf>
    <xf numFmtId="170" fontId="11" fillId="0" borderId="4" xfId="2" applyNumberFormat="1" applyFont="1" applyFill="1" applyBorder="1" applyAlignment="1">
      <alignment vertical="top" wrapText="1"/>
    </xf>
    <xf numFmtId="0" fontId="32" fillId="0" borderId="3" xfId="2" applyFont="1" applyFill="1" applyBorder="1" applyAlignment="1">
      <alignment vertical="top" wrapText="1"/>
    </xf>
    <xf numFmtId="5" fontId="37" fillId="0" borderId="7" xfId="2" applyNumberFormat="1" applyFont="1" applyFill="1" applyBorder="1" applyAlignment="1">
      <alignment vertical="top" wrapText="1"/>
    </xf>
    <xf numFmtId="170" fontId="14" fillId="0" borderId="17" xfId="2" applyNumberFormat="1" applyFont="1" applyFill="1" applyBorder="1" applyAlignment="1">
      <alignment vertical="top" wrapText="1"/>
    </xf>
    <xf numFmtId="4" fontId="14" fillId="10" borderId="29" xfId="2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textRotation="90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2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2" fillId="3" borderId="7" xfId="0" applyNumberFormat="1" applyFont="1" applyFill="1" applyBorder="1"/>
    <xf numFmtId="4" fontId="2" fillId="4" borderId="7" xfId="0" applyNumberFormat="1" applyFont="1" applyFill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/>
    </xf>
    <xf numFmtId="10" fontId="2" fillId="0" borderId="7" xfId="0" applyNumberFormat="1" applyFont="1" applyBorder="1"/>
    <xf numFmtId="2" fontId="2" fillId="0" borderId="7" xfId="0" applyNumberFormat="1" applyFont="1" applyBorder="1"/>
    <xf numFmtId="2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/>
    <xf numFmtId="4" fontId="2" fillId="0" borderId="7" xfId="0" applyNumberFormat="1" applyFont="1" applyFill="1" applyBorder="1"/>
    <xf numFmtId="4" fontId="2" fillId="11" borderId="7" xfId="0" applyNumberFormat="1" applyFont="1" applyFill="1" applyBorder="1"/>
    <xf numFmtId="4" fontId="2" fillId="11" borderId="7" xfId="0" applyNumberFormat="1" applyFont="1" applyFill="1" applyBorder="1" applyAlignment="1">
      <alignment horizontal="right"/>
    </xf>
    <xf numFmtId="4" fontId="2" fillId="5" borderId="7" xfId="0" applyNumberFormat="1" applyFont="1" applyFill="1" applyBorder="1"/>
    <xf numFmtId="4" fontId="5" fillId="5" borderId="7" xfId="0" applyNumberFormat="1" applyFont="1" applyFill="1" applyBorder="1"/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/>
    </xf>
    <xf numFmtId="4" fontId="2" fillId="7" borderId="7" xfId="0" applyNumberFormat="1" applyFont="1" applyFill="1" applyBorder="1"/>
    <xf numFmtId="0" fontId="38" fillId="0" borderId="0" xfId="0" applyFont="1"/>
    <xf numFmtId="0" fontId="31" fillId="0" borderId="0" xfId="0" applyFont="1"/>
    <xf numFmtId="0" fontId="2" fillId="0" borderId="7" xfId="0" applyFont="1" applyBorder="1" applyAlignment="1">
      <alignment horizontal="center"/>
    </xf>
    <xf numFmtId="168" fontId="39" fillId="0" borderId="0" xfId="0" applyNumberFormat="1" applyFont="1"/>
    <xf numFmtId="0" fontId="2" fillId="0" borderId="7" xfId="0" applyFont="1" applyBorder="1"/>
    <xf numFmtId="0" fontId="5" fillId="11" borderId="7" xfId="0" applyFont="1" applyFill="1" applyBorder="1" applyAlignment="1">
      <alignment horizontal="center" vertical="center" wrapText="1"/>
    </xf>
    <xf numFmtId="3" fontId="2" fillId="3" borderId="7" xfId="0" applyNumberFormat="1" applyFont="1" applyFill="1" applyBorder="1"/>
    <xf numFmtId="3" fontId="2" fillId="3" borderId="2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left" wrapText="1"/>
    </xf>
    <xf numFmtId="0" fontId="2" fillId="8" borderId="18" xfId="0" applyFont="1" applyFill="1" applyBorder="1" applyAlignment="1">
      <alignment horizontal="left" vertical="center" wrapText="1"/>
    </xf>
    <xf numFmtId="10" fontId="2" fillId="8" borderId="30" xfId="0" applyNumberFormat="1" applyFont="1" applyFill="1" applyBorder="1" applyAlignment="1">
      <alignment horizontal="center"/>
    </xf>
    <xf numFmtId="3" fontId="11" fillId="3" borderId="4" xfId="2" applyNumberFormat="1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7" xfId="2" applyNumberFormat="1" applyFont="1" applyFill="1" applyBorder="1" applyAlignment="1">
      <alignment horizontal="right" vertical="top" wrapText="1"/>
    </xf>
    <xf numFmtId="9" fontId="2" fillId="0" borderId="7" xfId="0" applyNumberFormat="1" applyFont="1" applyBorder="1"/>
    <xf numFmtId="9" fontId="2" fillId="0" borderId="7" xfId="0" applyNumberFormat="1" applyFont="1" applyBorder="1" applyAlignment="1"/>
    <xf numFmtId="3" fontId="2" fillId="0" borderId="7" xfId="0" applyNumberFormat="1" applyFont="1" applyBorder="1" applyAlignment="1">
      <alignment horizontal="right"/>
    </xf>
    <xf numFmtId="165" fontId="0" fillId="0" borderId="0" xfId="0" applyNumberFormat="1" applyFill="1"/>
    <xf numFmtId="0" fontId="5" fillId="11" borderId="7" xfId="0" applyNumberFormat="1" applyFont="1" applyFill="1" applyBorder="1" applyAlignment="1">
      <alignment vertical="center"/>
    </xf>
    <xf numFmtId="4" fontId="5" fillId="11" borderId="7" xfId="0" applyNumberFormat="1" applyFont="1" applyFill="1" applyBorder="1" applyAlignment="1">
      <alignment vertical="center"/>
    </xf>
    <xf numFmtId="3" fontId="5" fillId="11" borderId="7" xfId="0" applyNumberFormat="1" applyFont="1" applyFill="1" applyBorder="1" applyAlignment="1">
      <alignment horizontal="right"/>
    </xf>
    <xf numFmtId="4" fontId="5" fillId="11" borderId="7" xfId="0" applyNumberFormat="1" applyFont="1" applyFill="1" applyBorder="1"/>
    <xf numFmtId="4" fontId="5" fillId="11" borderId="7" xfId="0" applyNumberFormat="1" applyFont="1" applyFill="1" applyBorder="1" applyAlignment="1">
      <alignment horizontal="right"/>
    </xf>
    <xf numFmtId="10" fontId="5" fillId="11" borderId="7" xfId="0" applyNumberFormat="1" applyFont="1" applyFill="1" applyBorder="1"/>
    <xf numFmtId="2" fontId="5" fillId="11" borderId="7" xfId="0" applyNumberFormat="1" applyFont="1" applyFill="1" applyBorder="1" applyAlignment="1">
      <alignment horizontal="right" vertical="center"/>
    </xf>
    <xf numFmtId="2" fontId="5" fillId="5" borderId="7" xfId="0" applyNumberFormat="1" applyFont="1" applyFill="1" applyBorder="1" applyAlignment="1">
      <alignment horizontal="right" vertical="center"/>
    </xf>
    <xf numFmtId="3" fontId="11" fillId="8" borderId="4" xfId="2" applyNumberFormat="1" applyFont="1" applyFill="1" applyBorder="1" applyAlignment="1">
      <alignment vertical="top" wrapText="1"/>
    </xf>
    <xf numFmtId="0" fontId="14" fillId="0" borderId="33" xfId="2" applyFont="1" applyFill="1" applyBorder="1" applyAlignment="1">
      <alignment vertical="top" wrapText="1"/>
    </xf>
    <xf numFmtId="5" fontId="26" fillId="0" borderId="8" xfId="2" applyNumberFormat="1" applyFont="1" applyFill="1" applyBorder="1" applyAlignment="1">
      <alignment vertical="top" wrapText="1"/>
    </xf>
    <xf numFmtId="4" fontId="14" fillId="0" borderId="14" xfId="2" applyNumberFormat="1" applyFont="1" applyFill="1" applyBorder="1" applyAlignment="1">
      <alignment horizontal="right" vertical="top" wrapText="1"/>
    </xf>
    <xf numFmtId="0" fontId="2" fillId="0" borderId="34" xfId="4" applyBorder="1" applyAlignment="1">
      <alignment vertical="top" wrapText="1"/>
    </xf>
    <xf numFmtId="0" fontId="4" fillId="8" borderId="0" xfId="0" applyFont="1" applyFill="1" applyBorder="1"/>
    <xf numFmtId="4" fontId="5" fillId="8" borderId="0" xfId="0" applyNumberFormat="1" applyFont="1" applyFill="1" applyBorder="1" applyAlignment="1">
      <alignment horizontal="center" vertical="center" wrapText="1"/>
    </xf>
    <xf numFmtId="0" fontId="31" fillId="9" borderId="31" xfId="0" applyFont="1" applyFill="1" applyBorder="1" applyAlignment="1">
      <alignment horizontal="center" vertical="center" wrapText="1"/>
    </xf>
    <xf numFmtId="0" fontId="31" fillId="9" borderId="3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center" wrapText="1"/>
    </xf>
    <xf numFmtId="0" fontId="0" fillId="0" borderId="15" xfId="2" applyFont="1" applyFill="1" applyBorder="1" applyAlignment="1">
      <alignment horizontal="center" vertical="top" wrapText="1"/>
    </xf>
    <xf numFmtId="0" fontId="0" fillId="0" borderId="16" xfId="2" applyFont="1" applyFill="1" applyBorder="1" applyAlignment="1">
      <alignment horizontal="center" vertical="top" wrapText="1"/>
    </xf>
    <xf numFmtId="0" fontId="0" fillId="0" borderId="17" xfId="2" applyFont="1" applyFill="1" applyBorder="1" applyAlignment="1">
      <alignment horizontal="center" vertical="top" wrapText="1"/>
    </xf>
    <xf numFmtId="0" fontId="21" fillId="0" borderId="21" xfId="2" applyFont="1" applyFill="1" applyBorder="1" applyAlignment="1">
      <alignment horizontal="left" vertical="top" wrapText="1"/>
    </xf>
    <xf numFmtId="0" fontId="21" fillId="0" borderId="22" xfId="2" applyFont="1" applyFill="1" applyBorder="1" applyAlignment="1">
      <alignment horizontal="left" vertical="top" wrapText="1"/>
    </xf>
    <xf numFmtId="0" fontId="21" fillId="0" borderId="23" xfId="2" applyFont="1" applyFill="1" applyBorder="1" applyAlignment="1">
      <alignment horizontal="left" vertical="top" wrapText="1"/>
    </xf>
    <xf numFmtId="0" fontId="21" fillId="0" borderId="15" xfId="2" applyFont="1" applyFill="1" applyBorder="1" applyAlignment="1">
      <alignment horizontal="center" vertical="top" wrapText="1"/>
    </xf>
    <xf numFmtId="0" fontId="21" fillId="0" borderId="16" xfId="2" applyFont="1" applyFill="1" applyBorder="1" applyAlignment="1">
      <alignment horizontal="center" vertical="top" wrapText="1"/>
    </xf>
    <xf numFmtId="0" fontId="21" fillId="0" borderId="17" xfId="2" applyFont="1" applyFill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7" xfId="2" applyFont="1" applyFill="1" applyBorder="1" applyAlignment="1">
      <alignment horizontal="left" vertical="center" wrapText="1"/>
    </xf>
    <xf numFmtId="0" fontId="8" fillId="0" borderId="7" xfId="2" applyFont="1" applyFill="1" applyBorder="1"/>
    <xf numFmtId="0" fontId="10" fillId="0" borderId="9" xfId="2" applyFont="1" applyFill="1" applyBorder="1" applyAlignment="1">
      <alignment horizontal="center" vertical="top" wrapText="1"/>
    </xf>
    <xf numFmtId="0" fontId="11" fillId="0" borderId="0" xfId="2" applyFont="1" applyFill="1" applyBorder="1" applyAlignment="1"/>
    <xf numFmtId="0" fontId="0" fillId="0" borderId="0" xfId="0" applyAlignment="1"/>
    <xf numFmtId="0" fontId="12" fillId="0" borderId="7" xfId="2" applyFont="1" applyFill="1" applyBorder="1" applyAlignment="1">
      <alignment horizontal="center" vertical="top" wrapText="1"/>
    </xf>
    <xf numFmtId="0" fontId="13" fillId="0" borderId="7" xfId="2" applyFont="1" applyFill="1" applyBorder="1" applyAlignment="1">
      <alignment horizontal="center" vertical="top" wrapText="1"/>
    </xf>
    <xf numFmtId="0" fontId="0" fillId="0" borderId="7" xfId="0" applyBorder="1" applyAlignment="1"/>
    <xf numFmtId="0" fontId="11" fillId="0" borderId="7" xfId="2" applyFont="1" applyFill="1" applyBorder="1" applyAlignment="1">
      <alignment vertical="top" wrapText="1"/>
    </xf>
    <xf numFmtId="0" fontId="16" fillId="0" borderId="15" xfId="2" applyFont="1" applyFill="1" applyBorder="1" applyAlignment="1">
      <alignment vertical="top" wrapText="1"/>
    </xf>
    <xf numFmtId="9" fontId="11" fillId="0" borderId="7" xfId="1" applyFont="1" applyFill="1" applyBorder="1" applyAlignment="1">
      <alignment horizontal="center" vertical="top"/>
    </xf>
    <xf numFmtId="0" fontId="11" fillId="0" borderId="7" xfId="2" applyNumberFormat="1" applyFont="1" applyFill="1" applyBorder="1" applyAlignment="1">
      <alignment horizontal="center" vertical="top" wrapText="1"/>
    </xf>
    <xf numFmtId="0" fontId="19" fillId="0" borderId="7" xfId="2" applyNumberFormat="1" applyFont="1" applyFill="1" applyBorder="1" applyAlignment="1">
      <alignment horizontal="center" vertical="center"/>
    </xf>
    <xf numFmtId="0" fontId="19" fillId="0" borderId="11" xfId="2" applyNumberFormat="1" applyFont="1" applyFill="1" applyBorder="1" applyAlignment="1">
      <alignment horizontal="center" vertical="center"/>
    </xf>
    <xf numFmtId="9" fontId="14" fillId="0" borderId="26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0" borderId="7" xfId="2" applyFont="1" applyFill="1" applyBorder="1" applyAlignment="1">
      <alignment horizontal="left" vertical="top" wrapText="1"/>
    </xf>
    <xf numFmtId="0" fontId="32" fillId="0" borderId="7" xfId="2" applyFont="1" applyFill="1" applyBorder="1"/>
    <xf numFmtId="165" fontId="14" fillId="0" borderId="7" xfId="2" applyNumberFormat="1" applyFont="1" applyFill="1" applyBorder="1" applyAlignment="1">
      <alignment horizontal="center" vertical="top" wrapText="1"/>
    </xf>
    <xf numFmtId="3" fontId="5" fillId="5" borderId="7" xfId="0" applyNumberFormat="1" applyFont="1" applyFill="1" applyBorder="1" applyAlignment="1">
      <alignment horizontal="right"/>
    </xf>
  </cellXfs>
  <cellStyles count="5">
    <cellStyle name="0,0_x000d__x000a_NA_x000d__x000a_" xfId="2"/>
    <cellStyle name="Обычный" xfId="0" builtinId="0"/>
    <cellStyle name="Обычный_Лист1" xfId="4"/>
    <cellStyle name="Процентный" xfId="1" builtinId="5"/>
    <cellStyle name="Финансовый [0] 2" xfId="3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  <pageSetUpPr fitToPage="1"/>
  </sheetPr>
  <dimension ref="A1:V31"/>
  <sheetViews>
    <sheetView workbookViewId="0">
      <selection activeCell="D6" sqref="D6:D12"/>
    </sheetView>
  </sheetViews>
  <sheetFormatPr defaultColWidth="9.140625" defaultRowHeight="11.25"/>
  <cols>
    <col min="1" max="1" width="17.42578125" style="140" customWidth="1"/>
    <col min="2" max="2" width="12.85546875" style="140" customWidth="1"/>
    <col min="3" max="3" width="11.42578125" style="140" customWidth="1"/>
    <col min="4" max="5" width="6.140625" style="140" customWidth="1"/>
    <col min="6" max="7" width="8" style="140" customWidth="1"/>
    <col min="8" max="9" width="10.140625" style="140" customWidth="1"/>
    <col min="10" max="10" width="8.28515625" style="140" customWidth="1"/>
    <col min="11" max="11" width="8.7109375" style="140" customWidth="1"/>
    <col min="12" max="12" width="5.5703125" style="140" customWidth="1"/>
    <col min="13" max="13" width="8.85546875" style="140" customWidth="1"/>
    <col min="14" max="14" width="11.28515625" style="140" customWidth="1"/>
    <col min="15" max="15" width="9.140625" style="140" customWidth="1"/>
    <col min="16" max="16" width="11.140625" style="140" hidden="1" customWidth="1"/>
    <col min="17" max="17" width="9.85546875" style="140" customWidth="1"/>
    <col min="18" max="18" width="10.5703125" style="140" customWidth="1"/>
    <col min="19" max="19" width="9.28515625" style="140" customWidth="1"/>
    <col min="20" max="16384" width="9.140625" style="140"/>
  </cols>
  <sheetData>
    <row r="1" spans="1:19" ht="12" thickBot="1">
      <c r="A1" s="1" t="s">
        <v>0</v>
      </c>
      <c r="B1" s="128" t="s">
        <v>128</v>
      </c>
      <c r="C1" s="95"/>
      <c r="D1" s="95"/>
      <c r="E1" s="95"/>
    </row>
    <row r="2" spans="1:19" ht="16.5" customHeight="1">
      <c r="A2" s="170" t="s">
        <v>111</v>
      </c>
      <c r="B2" s="169">
        <v>2562212</v>
      </c>
      <c r="C2" s="125"/>
      <c r="D2" s="125"/>
      <c r="E2" s="125"/>
      <c r="G2" s="141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>
      <c r="A3" s="171" t="s">
        <v>112</v>
      </c>
      <c r="B3" s="121">
        <v>3924000</v>
      </c>
      <c r="C3" s="126"/>
      <c r="D3" s="126"/>
      <c r="E3" s="126"/>
      <c r="G3" s="143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>
      <c r="A4" s="172" t="s">
        <v>1</v>
      </c>
      <c r="B4" s="173">
        <f>B2/B3</f>
        <v>0.65295922528032624</v>
      </c>
      <c r="C4" s="127"/>
      <c r="D4" s="127"/>
      <c r="E4" s="127"/>
    </row>
    <row r="5" spans="1:19" ht="81" customHeight="1">
      <c r="A5" s="137" t="s">
        <v>2</v>
      </c>
      <c r="B5" s="137" t="s">
        <v>3</v>
      </c>
      <c r="C5" s="138" t="s">
        <v>106</v>
      </c>
      <c r="D5" s="138" t="s">
        <v>116</v>
      </c>
      <c r="E5" s="138" t="s">
        <v>131</v>
      </c>
      <c r="F5" s="137" t="s">
        <v>117</v>
      </c>
      <c r="G5" s="137" t="s">
        <v>118</v>
      </c>
      <c r="H5" s="139" t="s">
        <v>59</v>
      </c>
      <c r="I5" s="139" t="s">
        <v>60</v>
      </c>
      <c r="J5" s="139" t="s">
        <v>56</v>
      </c>
      <c r="K5" s="137" t="s">
        <v>119</v>
      </c>
      <c r="L5" s="138" t="s">
        <v>120</v>
      </c>
      <c r="M5" s="138" t="s">
        <v>121</v>
      </c>
      <c r="N5" s="145" t="s">
        <v>122</v>
      </c>
      <c r="O5" s="145" t="s">
        <v>53</v>
      </c>
      <c r="P5" s="145" t="s">
        <v>62</v>
      </c>
      <c r="Q5" s="145" t="s">
        <v>54</v>
      </c>
      <c r="R5" s="145" t="s">
        <v>63</v>
      </c>
      <c r="S5" s="167" t="s">
        <v>4</v>
      </c>
    </row>
    <row r="6" spans="1:19">
      <c r="A6" s="81" t="s">
        <v>6</v>
      </c>
      <c r="B6" s="5" t="s">
        <v>61</v>
      </c>
      <c r="C6" s="175">
        <f>'Тарановский М-р'!C6</f>
        <v>587617</v>
      </c>
      <c r="D6" s="5">
        <f>'Тарановский М-р'!C7</f>
        <v>336</v>
      </c>
      <c r="E6" s="5">
        <f>'Тарановский М-р'!C8</f>
        <v>663</v>
      </c>
      <c r="F6" s="87">
        <v>18000</v>
      </c>
      <c r="G6" s="87">
        <v>27000</v>
      </c>
      <c r="H6" s="168">
        <v>183</v>
      </c>
      <c r="I6" s="168">
        <v>183</v>
      </c>
      <c r="J6" s="148">
        <f t="shared" ref="J6:J12" si="0">I6/H6</f>
        <v>1</v>
      </c>
      <c r="K6" s="179">
        <f>F6*J6</f>
        <v>18000</v>
      </c>
      <c r="L6" s="177">
        <f>'Тарановский М-р'!D10</f>
        <v>0.42</v>
      </c>
      <c r="M6" s="151">
        <f>'Тарановский М-р'!C26</f>
        <v>11340</v>
      </c>
      <c r="N6" s="148">
        <f>'Тарановский М-р'!C27</f>
        <v>11340</v>
      </c>
      <c r="O6" s="148">
        <f>8%*'Тарановский М-р'!B31</f>
        <v>680</v>
      </c>
      <c r="P6" s="148"/>
      <c r="Q6" s="148">
        <v>1</v>
      </c>
      <c r="R6" s="152"/>
      <c r="S6" s="156">
        <f>N6+K6+O6</f>
        <v>30020</v>
      </c>
    </row>
    <row r="7" spans="1:19">
      <c r="A7" s="73" t="s">
        <v>5</v>
      </c>
      <c r="B7" s="5" t="s">
        <v>61</v>
      </c>
      <c r="C7" s="176">
        <f>Лобанов!C6</f>
        <v>328188</v>
      </c>
      <c r="D7" s="5">
        <f>Лобанов!C7</f>
        <v>277</v>
      </c>
      <c r="E7" s="5">
        <f>Лобанов!C8</f>
        <v>501</v>
      </c>
      <c r="F7" s="87">
        <v>18000</v>
      </c>
      <c r="G7" s="87">
        <v>27000</v>
      </c>
      <c r="H7" s="168">
        <v>179</v>
      </c>
      <c r="I7" s="168">
        <v>179</v>
      </c>
      <c r="J7" s="148">
        <f t="shared" si="0"/>
        <v>1</v>
      </c>
      <c r="K7" s="179">
        <f>F7*J7</f>
        <v>18000</v>
      </c>
      <c r="L7" s="178">
        <f>Лобанов!D10</f>
        <v>0.34625</v>
      </c>
      <c r="M7" s="153">
        <f>Лобанов!C26</f>
        <v>9348.75</v>
      </c>
      <c r="N7" s="153">
        <f>Лобанов!C27</f>
        <v>9349</v>
      </c>
      <c r="O7" s="148">
        <f>8%*Лобанов!B30</f>
        <v>0</v>
      </c>
      <c r="P7" s="148"/>
      <c r="Q7" s="148">
        <v>1</v>
      </c>
      <c r="R7" s="152"/>
      <c r="S7" s="156">
        <f t="shared" ref="S7:S12" si="1">N7+K7+O7</f>
        <v>27349</v>
      </c>
    </row>
    <row r="8" spans="1:19" ht="12.75" customHeight="1">
      <c r="A8" s="5" t="s">
        <v>96</v>
      </c>
      <c r="B8" s="5" t="s">
        <v>68</v>
      </c>
      <c r="C8" s="176">
        <f>Сизоненко!C6</f>
        <v>96569</v>
      </c>
      <c r="D8" s="5">
        <f>Сизоненко!C7</f>
        <v>55</v>
      </c>
      <c r="E8" s="5">
        <f>Сизоненко!C8</f>
        <v>93</v>
      </c>
      <c r="F8" s="87">
        <v>20000</v>
      </c>
      <c r="G8" s="87">
        <v>30000</v>
      </c>
      <c r="H8" s="168">
        <v>183</v>
      </c>
      <c r="I8" s="168">
        <v>183</v>
      </c>
      <c r="J8" s="148">
        <f t="shared" si="0"/>
        <v>1</v>
      </c>
      <c r="K8" s="179">
        <f>F8*J8</f>
        <v>20000</v>
      </c>
      <c r="L8" s="177">
        <f>Сизоненко!D10</f>
        <v>6.8750000000000006E-2</v>
      </c>
      <c r="M8" s="153">
        <f>Сизоненко!C26</f>
        <v>2062.5</v>
      </c>
      <c r="N8" s="148">
        <f>Сизоненко!C27</f>
        <v>2063</v>
      </c>
      <c r="O8" s="148">
        <f>8%*Сизоненко!B31</f>
        <v>312</v>
      </c>
      <c r="P8" s="148"/>
      <c r="Q8" s="154">
        <v>1</v>
      </c>
      <c r="R8" s="152"/>
      <c r="S8" s="156">
        <f>N8+K8+O8</f>
        <v>22375</v>
      </c>
    </row>
    <row r="9" spans="1:19">
      <c r="A9" s="5" t="s">
        <v>67</v>
      </c>
      <c r="B9" s="5" t="s">
        <v>61</v>
      </c>
      <c r="C9" s="176">
        <f>Епанчинцев!C6</f>
        <v>157215</v>
      </c>
      <c r="D9" s="5">
        <f>Епанчинцев!C7</f>
        <v>123</v>
      </c>
      <c r="E9" s="5">
        <f>Епанчинцев!C8</f>
        <v>202</v>
      </c>
      <c r="F9" s="87">
        <v>18000</v>
      </c>
      <c r="G9" s="87">
        <f>Категории!$E$8</f>
        <v>27000</v>
      </c>
      <c r="H9" s="168">
        <v>168</v>
      </c>
      <c r="I9" s="168">
        <v>37</v>
      </c>
      <c r="J9" s="148">
        <f t="shared" si="0"/>
        <v>0.22023809523809523</v>
      </c>
      <c r="K9" s="179">
        <f t="shared" ref="K9:K16" si="2">F9*J9</f>
        <v>3964.2857142857142</v>
      </c>
      <c r="L9" s="177">
        <f>Епанчинцев!D10</f>
        <v>0.15375</v>
      </c>
      <c r="M9" s="153">
        <f>Епанчинцев!C26</f>
        <v>4151.25</v>
      </c>
      <c r="N9" s="148">
        <f>Епанчинцев!C27</f>
        <v>4151</v>
      </c>
      <c r="O9" s="148">
        <f>8%*Епанчинцев!B31</f>
        <v>0</v>
      </c>
      <c r="P9" s="148"/>
      <c r="Q9" s="154">
        <v>1</v>
      </c>
      <c r="R9" s="152"/>
      <c r="S9" s="156">
        <f t="shared" si="1"/>
        <v>8115.2857142857138</v>
      </c>
    </row>
    <row r="10" spans="1:19">
      <c r="A10" s="5" t="s">
        <v>126</v>
      </c>
      <c r="B10" s="5" t="s">
        <v>127</v>
      </c>
      <c r="C10" s="176"/>
      <c r="D10" s="5"/>
      <c r="E10" s="5"/>
      <c r="F10" s="87">
        <v>40000</v>
      </c>
      <c r="G10" s="87"/>
      <c r="H10" s="168">
        <v>168</v>
      </c>
      <c r="I10" s="168">
        <v>64</v>
      </c>
      <c r="J10" s="148">
        <f t="shared" si="0"/>
        <v>0.38095238095238093</v>
      </c>
      <c r="K10" s="179">
        <f t="shared" si="2"/>
        <v>15238.095238095237</v>
      </c>
      <c r="L10" s="177"/>
      <c r="M10" s="153"/>
      <c r="N10" s="148"/>
      <c r="O10" s="148"/>
      <c r="P10" s="148"/>
      <c r="Q10" s="154"/>
      <c r="R10" s="152"/>
      <c r="S10" s="156">
        <f>N10+K10+O10</f>
        <v>15238.095238095237</v>
      </c>
    </row>
    <row r="11" spans="1:19">
      <c r="A11" s="5" t="s">
        <v>70</v>
      </c>
      <c r="B11" s="5" t="s">
        <v>61</v>
      </c>
      <c r="C11" s="176">
        <f>Третьяков!C6</f>
        <v>589770</v>
      </c>
      <c r="D11" s="5">
        <f>Третьяков!C7</f>
        <v>408</v>
      </c>
      <c r="E11" s="5">
        <f>Третьяков!C8</f>
        <v>990</v>
      </c>
      <c r="F11" s="87">
        <v>18000</v>
      </c>
      <c r="G11" s="87">
        <f>Категории!$E$8</f>
        <v>27000</v>
      </c>
      <c r="H11" s="168">
        <v>168</v>
      </c>
      <c r="I11" s="168">
        <v>168</v>
      </c>
      <c r="J11" s="148">
        <f t="shared" si="0"/>
        <v>1</v>
      </c>
      <c r="K11" s="179">
        <f>F11*J11</f>
        <v>18000</v>
      </c>
      <c r="L11" s="177">
        <f>Третьяков!D10</f>
        <v>0.51</v>
      </c>
      <c r="M11" s="153">
        <f>Третьяков!C26</f>
        <v>13770</v>
      </c>
      <c r="N11" s="148">
        <f>Третьяков!C27</f>
        <v>13770</v>
      </c>
      <c r="O11" s="148">
        <f>8%*Третьяков!B31</f>
        <v>144</v>
      </c>
      <c r="P11" s="148"/>
      <c r="Q11" s="154">
        <v>1</v>
      </c>
      <c r="R11" s="152"/>
      <c r="S11" s="156">
        <f t="shared" si="1"/>
        <v>31914</v>
      </c>
    </row>
    <row r="12" spans="1:19">
      <c r="A12" s="5" t="s">
        <v>71</v>
      </c>
      <c r="B12" s="5" t="s">
        <v>61</v>
      </c>
      <c r="C12" s="176">
        <f>Щипун!C6</f>
        <v>652288</v>
      </c>
      <c r="D12" s="5">
        <f>Щипун!C7</f>
        <v>428</v>
      </c>
      <c r="E12" s="5">
        <f>Щипун!C8</f>
        <v>999</v>
      </c>
      <c r="F12" s="87">
        <v>18000</v>
      </c>
      <c r="G12" s="87">
        <f>Категории!$E$8</f>
        <v>27000</v>
      </c>
      <c r="H12" s="168">
        <f>Щипун!C15</f>
        <v>177</v>
      </c>
      <c r="I12" s="168">
        <v>177</v>
      </c>
      <c r="J12" s="148">
        <f t="shared" si="0"/>
        <v>1</v>
      </c>
      <c r="K12" s="179">
        <f>F12*J12</f>
        <v>18000</v>
      </c>
      <c r="L12" s="177">
        <f>Щипун!D10</f>
        <v>0.53500000000000003</v>
      </c>
      <c r="M12" s="153">
        <f>Щипун!C26</f>
        <v>14445</v>
      </c>
      <c r="N12" s="148">
        <f>Щипун!C27</f>
        <v>14445</v>
      </c>
      <c r="O12" s="148">
        <f>8%*Щипун!B31</f>
        <v>157.6</v>
      </c>
      <c r="P12" s="148"/>
      <c r="Q12" s="154">
        <v>1</v>
      </c>
      <c r="R12" s="152"/>
      <c r="S12" s="156">
        <f>N12+K12+O12</f>
        <v>32602.6</v>
      </c>
    </row>
    <row r="13" spans="1:19">
      <c r="A13" s="181" t="s">
        <v>7</v>
      </c>
      <c r="B13" s="181"/>
      <c r="C13" s="182">
        <f>SUM(C6:C12)</f>
        <v>2411647</v>
      </c>
      <c r="D13" s="181"/>
      <c r="E13" s="181"/>
      <c r="F13" s="183"/>
      <c r="G13" s="183"/>
      <c r="H13" s="184"/>
      <c r="I13" s="184"/>
      <c r="J13" s="184"/>
      <c r="K13" s="185"/>
      <c r="L13" s="186"/>
      <c r="M13" s="186"/>
      <c r="N13" s="184"/>
      <c r="O13" s="184"/>
      <c r="P13" s="184"/>
      <c r="Q13" s="184"/>
      <c r="R13" s="187"/>
      <c r="S13" s="184">
        <f>SUM(S6:S12)</f>
        <v>167613.98095238095</v>
      </c>
    </row>
    <row r="14" spans="1:19">
      <c r="A14" s="98" t="s">
        <v>90</v>
      </c>
      <c r="B14" s="5"/>
      <c r="C14" s="5"/>
      <c r="D14" s="5"/>
      <c r="E14" s="5"/>
      <c r="F14" s="87"/>
      <c r="G14" s="87"/>
      <c r="H14" s="146"/>
      <c r="I14" s="146"/>
      <c r="J14" s="148"/>
      <c r="K14" s="149"/>
      <c r="L14" s="150"/>
      <c r="M14" s="150"/>
      <c r="N14" s="148"/>
      <c r="O14" s="148"/>
      <c r="P14" s="148"/>
      <c r="Q14" s="154"/>
      <c r="R14" s="152"/>
      <c r="S14" s="155"/>
    </row>
    <row r="15" spans="1:19">
      <c r="A15" s="5" t="s">
        <v>65</v>
      </c>
      <c r="B15" s="5" t="s">
        <v>58</v>
      </c>
      <c r="C15" s="120">
        <v>50000</v>
      </c>
      <c r="D15" s="5">
        <v>100</v>
      </c>
      <c r="E15" s="5"/>
      <c r="F15" s="87">
        <v>25000</v>
      </c>
      <c r="G15" s="87"/>
      <c r="H15" s="146">
        <v>157</v>
      </c>
      <c r="I15" s="146">
        <v>157</v>
      </c>
      <c r="J15" s="148">
        <f>I15/H15</f>
        <v>1</v>
      </c>
      <c r="K15" s="149">
        <f t="shared" si="2"/>
        <v>25000</v>
      </c>
      <c r="L15" s="150"/>
      <c r="M15" s="150"/>
      <c r="N15" s="148"/>
      <c r="O15" s="148"/>
      <c r="P15" s="148"/>
      <c r="Q15" s="154"/>
      <c r="R15" s="152"/>
      <c r="S15" s="155">
        <f>SUM(K15,N15)</f>
        <v>25000</v>
      </c>
    </row>
    <row r="16" spans="1:19">
      <c r="A16" s="5" t="s">
        <v>69</v>
      </c>
      <c r="B16" s="5" t="s">
        <v>58</v>
      </c>
      <c r="C16" s="120">
        <v>50000</v>
      </c>
      <c r="D16" s="5">
        <v>100</v>
      </c>
      <c r="E16" s="5"/>
      <c r="F16" s="87">
        <v>25000</v>
      </c>
      <c r="G16" s="87"/>
      <c r="H16" s="146">
        <v>157</v>
      </c>
      <c r="I16" s="146">
        <v>157</v>
      </c>
      <c r="J16" s="148">
        <f>I16/H16</f>
        <v>1</v>
      </c>
      <c r="K16" s="149">
        <f t="shared" si="2"/>
        <v>25000</v>
      </c>
      <c r="L16" s="150"/>
      <c r="M16" s="150"/>
      <c r="N16" s="148"/>
      <c r="O16" s="148"/>
      <c r="P16" s="148"/>
      <c r="Q16" s="154"/>
      <c r="R16" s="152"/>
      <c r="S16" s="155">
        <f>SUM(K16,N16)</f>
        <v>25000</v>
      </c>
    </row>
    <row r="17" spans="1:22">
      <c r="A17" s="181" t="s">
        <v>7</v>
      </c>
      <c r="B17" s="181"/>
      <c r="C17" s="181"/>
      <c r="D17" s="181"/>
      <c r="E17" s="181"/>
      <c r="F17" s="183"/>
      <c r="G17" s="183"/>
      <c r="H17" s="184"/>
      <c r="I17" s="184"/>
      <c r="J17" s="184"/>
      <c r="K17" s="185"/>
      <c r="L17" s="186"/>
      <c r="M17" s="186"/>
      <c r="N17" s="184"/>
      <c r="O17" s="184"/>
      <c r="P17" s="184"/>
      <c r="Q17" s="184"/>
      <c r="R17" s="187"/>
      <c r="S17" s="184">
        <f>SUM(S15:S16)</f>
        <v>50000</v>
      </c>
    </row>
    <row r="18" spans="1:22" s="159" customFormat="1">
      <c r="A18" s="71" t="s">
        <v>7</v>
      </c>
      <c r="B18" s="71"/>
      <c r="C18" s="71"/>
      <c r="D18" s="71"/>
      <c r="E18" s="71"/>
      <c r="F18" s="231">
        <f>SUM(F6:F16)</f>
        <v>200000</v>
      </c>
      <c r="G18" s="231">
        <f>SUM(G6:G16)</f>
        <v>165000</v>
      </c>
      <c r="H18" s="158"/>
      <c r="I18" s="158"/>
      <c r="J18" s="158"/>
      <c r="K18" s="158">
        <f>SUM(K6:K16)</f>
        <v>161202.38095238095</v>
      </c>
      <c r="L18" s="158"/>
      <c r="M18" s="158"/>
      <c r="N18" s="158">
        <f>SUM(N6:N12)</f>
        <v>55118</v>
      </c>
      <c r="O18" s="158">
        <f>SUM(O6:O12)</f>
        <v>1293.5999999999999</v>
      </c>
      <c r="P18" s="158"/>
      <c r="Q18" s="158"/>
      <c r="R18" s="188">
        <f>SUM(R6:R16)</f>
        <v>0</v>
      </c>
      <c r="S18" s="158">
        <f>SUM(S13,S17)</f>
        <v>217613.98095238095</v>
      </c>
    </row>
    <row r="19" spans="1:22" hidden="1">
      <c r="A19" s="7" t="s">
        <v>66</v>
      </c>
      <c r="B19" s="7" t="s">
        <v>58</v>
      </c>
      <c r="C19" s="7"/>
      <c r="D19" s="7"/>
      <c r="E19" s="7"/>
      <c r="F19" s="8">
        <v>25000</v>
      </c>
      <c r="G19" s="8"/>
      <c r="H19" s="146">
        <v>158</v>
      </c>
      <c r="I19" s="147">
        <v>158</v>
      </c>
      <c r="J19" s="148">
        <f>I19/H19</f>
        <v>1</v>
      </c>
      <c r="K19" s="148"/>
      <c r="L19" s="150"/>
      <c r="M19" s="150"/>
      <c r="N19" s="148"/>
      <c r="O19" s="148"/>
      <c r="P19" s="148"/>
      <c r="Q19" s="148">
        <v>1</v>
      </c>
      <c r="R19" s="160"/>
      <c r="S19" s="148">
        <f>F19*J19</f>
        <v>25000</v>
      </c>
    </row>
    <row r="20" spans="1:22" hidden="1">
      <c r="A20" s="7" t="s">
        <v>69</v>
      </c>
      <c r="B20" s="7" t="s">
        <v>58</v>
      </c>
      <c r="C20" s="7"/>
      <c r="D20" s="7"/>
      <c r="E20" s="7"/>
      <c r="F20" s="8">
        <v>25000</v>
      </c>
      <c r="G20" s="8"/>
      <c r="H20" s="146">
        <v>144</v>
      </c>
      <c r="I20" s="147">
        <v>144</v>
      </c>
      <c r="J20" s="148">
        <f>I20/H20</f>
        <v>1</v>
      </c>
      <c r="K20" s="148"/>
      <c r="L20" s="150"/>
      <c r="M20" s="150"/>
      <c r="N20" s="148"/>
      <c r="O20" s="148"/>
      <c r="P20" s="148"/>
      <c r="Q20" s="148">
        <v>1</v>
      </c>
      <c r="R20" s="160"/>
      <c r="S20" s="148">
        <f>F20*J20</f>
        <v>25000</v>
      </c>
    </row>
    <row r="21" spans="1:22" hidden="1">
      <c r="A21" s="7" t="s">
        <v>65</v>
      </c>
      <c r="B21" s="7" t="s">
        <v>58</v>
      </c>
      <c r="C21" s="7"/>
      <c r="D21" s="7"/>
      <c r="E21" s="7"/>
      <c r="F21" s="8">
        <v>25000</v>
      </c>
      <c r="G21" s="8"/>
      <c r="H21" s="146">
        <v>152</v>
      </c>
      <c r="I21" s="147">
        <v>64</v>
      </c>
      <c r="J21" s="148">
        <f>I21/H21</f>
        <v>0.42105263157894735</v>
      </c>
      <c r="K21" s="148"/>
      <c r="L21" s="150"/>
      <c r="M21" s="150"/>
      <c r="N21" s="148"/>
      <c r="O21" s="148"/>
      <c r="P21" s="148"/>
      <c r="Q21" s="148">
        <v>1.1000000000000001</v>
      </c>
      <c r="R21" s="160"/>
      <c r="S21" s="148">
        <f>F21*J21*Q21</f>
        <v>11578.947368421053</v>
      </c>
    </row>
    <row r="22" spans="1:22" s="159" customFormat="1" hidden="1">
      <c r="A22" s="71" t="s">
        <v>7</v>
      </c>
      <c r="B22" s="72"/>
      <c r="C22" s="72"/>
      <c r="D22" s="72"/>
      <c r="E22" s="72"/>
      <c r="F22" s="6">
        <f>SUM(F19:F21)</f>
        <v>75000</v>
      </c>
      <c r="G22" s="6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>
        <f>SUM(S19:S21)</f>
        <v>61578.947368421053</v>
      </c>
    </row>
    <row r="23" spans="1:22" s="159" customFormat="1" ht="15" hidden="1" customHeight="1">
      <c r="A23" s="9" t="s">
        <v>8</v>
      </c>
      <c r="B23" s="10"/>
      <c r="C23" s="10"/>
      <c r="D23" s="10"/>
      <c r="E23" s="10"/>
      <c r="F23" s="11">
        <f>F18+F22</f>
        <v>275000</v>
      </c>
      <c r="G23" s="11"/>
      <c r="H23" s="161"/>
      <c r="I23" s="161"/>
      <c r="J23" s="161"/>
      <c r="K23" s="161">
        <f>K18+K22</f>
        <v>161202.38095238095</v>
      </c>
      <c r="L23" s="161"/>
      <c r="M23" s="161"/>
      <c r="N23" s="161">
        <f>N18+N22</f>
        <v>55118</v>
      </c>
      <c r="O23" s="161"/>
      <c r="P23" s="161"/>
      <c r="Q23" s="161"/>
      <c r="R23" s="161"/>
      <c r="S23" s="161">
        <f>S18+S22</f>
        <v>279192.92832080199</v>
      </c>
    </row>
    <row r="24" spans="1:22" ht="14.25" customHeight="1"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</row>
    <row r="25" spans="1:22" ht="14.25" hidden="1">
      <c r="A25" s="164" t="s">
        <v>108</v>
      </c>
      <c r="B25" s="164" t="s">
        <v>93</v>
      </c>
      <c r="C25" s="164" t="s">
        <v>100</v>
      </c>
      <c r="D25" s="164" t="s">
        <v>109</v>
      </c>
      <c r="E25" s="227"/>
      <c r="L25" s="165"/>
      <c r="M25" s="165"/>
    </row>
    <row r="26" spans="1:22" hidden="1">
      <c r="A26" s="166" t="s">
        <v>102</v>
      </c>
      <c r="B26" s="166">
        <v>268</v>
      </c>
      <c r="C26" s="166">
        <v>285</v>
      </c>
      <c r="D26" s="166">
        <v>1.06</v>
      </c>
      <c r="E26" s="141"/>
    </row>
    <row r="27" spans="1:22" hidden="1">
      <c r="A27" s="166" t="s">
        <v>103</v>
      </c>
      <c r="B27" s="166">
        <v>550</v>
      </c>
      <c r="C27" s="166">
        <v>473</v>
      </c>
      <c r="D27" s="166">
        <v>0.86</v>
      </c>
      <c r="E27" s="141"/>
    </row>
    <row r="28" spans="1:22" hidden="1">
      <c r="A28" s="166" t="s">
        <v>104</v>
      </c>
      <c r="B28" s="166">
        <v>543</v>
      </c>
      <c r="C28" s="166">
        <v>714</v>
      </c>
      <c r="D28" s="166">
        <v>1.31</v>
      </c>
      <c r="E28" s="141"/>
    </row>
    <row r="29" spans="1:22" hidden="1">
      <c r="A29" s="166" t="s">
        <v>101</v>
      </c>
      <c r="B29" s="166">
        <v>614</v>
      </c>
      <c r="C29" s="166">
        <v>984</v>
      </c>
      <c r="D29" s="166">
        <v>1.6</v>
      </c>
      <c r="E29" s="141"/>
    </row>
    <row r="30" spans="1:22" hidden="1">
      <c r="A30" s="166" t="s">
        <v>88</v>
      </c>
      <c r="B30" s="166">
        <v>736</v>
      </c>
      <c r="C30" s="166">
        <v>759</v>
      </c>
      <c r="D30" s="166">
        <v>1.03</v>
      </c>
      <c r="E30" s="141"/>
    </row>
    <row r="31" spans="1:22" hidden="1">
      <c r="A31" s="166" t="s">
        <v>105</v>
      </c>
      <c r="B31" s="166">
        <v>876</v>
      </c>
      <c r="C31" s="166">
        <v>909</v>
      </c>
      <c r="D31" s="166">
        <v>1.04</v>
      </c>
      <c r="E31" s="141"/>
    </row>
  </sheetData>
  <pageMargins left="0" right="0" top="0" bottom="0" header="0.51181102362204722" footer="0.51181102362204722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>
    <tabColor rgb="FFFF0000"/>
  </sheetPr>
  <dimension ref="B1:F22"/>
  <sheetViews>
    <sheetView workbookViewId="0">
      <selection activeCell="C28" sqref="C28"/>
    </sheetView>
  </sheetViews>
  <sheetFormatPr defaultRowHeight="15"/>
  <cols>
    <col min="2" max="2" width="50.28515625" customWidth="1"/>
    <col min="3" max="3" width="14.140625" customWidth="1"/>
    <col min="4" max="4" width="13.140625" customWidth="1"/>
    <col min="5" max="5" width="14.7109375" customWidth="1"/>
    <col min="6" max="6" width="19.28515625" customWidth="1"/>
  </cols>
  <sheetData>
    <row r="1" spans="2:6" ht="15.75" thickBot="1"/>
    <row r="2" spans="2:6" ht="15.75">
      <c r="B2" s="203"/>
      <c r="C2" s="204"/>
      <c r="D2" s="204"/>
      <c r="E2" s="204"/>
      <c r="F2" s="205"/>
    </row>
    <row r="3" spans="2:6" ht="32.25" customHeight="1">
      <c r="B3" s="25" t="s">
        <v>28</v>
      </c>
      <c r="C3" s="26" t="s">
        <v>29</v>
      </c>
      <c r="D3" s="26" t="s">
        <v>30</v>
      </c>
      <c r="E3" s="26" t="s">
        <v>31</v>
      </c>
      <c r="F3" s="27" t="s">
        <v>32</v>
      </c>
    </row>
    <row r="4" spans="2:6" ht="21.75" customHeight="1">
      <c r="B4" s="28" t="s">
        <v>33</v>
      </c>
      <c r="C4" s="22">
        <v>60000</v>
      </c>
      <c r="D4" s="74">
        <v>95865</v>
      </c>
      <c r="E4" s="29">
        <f>D4/C4</f>
        <v>1.59775</v>
      </c>
      <c r="F4" s="30">
        <v>0.6</v>
      </c>
    </row>
    <row r="5" spans="2:6" ht="15" customHeight="1">
      <c r="B5" s="28" t="s">
        <v>34</v>
      </c>
      <c r="C5" s="22">
        <v>150</v>
      </c>
      <c r="D5" s="74">
        <v>932</v>
      </c>
      <c r="E5" s="31">
        <f>D5/C5</f>
        <v>6.2133333333333329</v>
      </c>
      <c r="F5" s="32">
        <f>100%-F4</f>
        <v>0.4</v>
      </c>
    </row>
    <row r="6" spans="2:6" ht="27.75" customHeight="1">
      <c r="B6" s="33" t="s">
        <v>35</v>
      </c>
      <c r="C6" s="34"/>
      <c r="D6" s="35"/>
      <c r="E6" s="36" t="str">
        <f>IF(OR(E4&lt;70%,E5&lt;70%),"Нет","Да")</f>
        <v>Да</v>
      </c>
      <c r="F6" s="37"/>
    </row>
    <row r="7" spans="2:6" ht="18" customHeight="1" thickBot="1">
      <c r="B7" s="38" t="s">
        <v>36</v>
      </c>
      <c r="C7" s="39"/>
      <c r="D7" s="40"/>
      <c r="E7" s="41">
        <f>IF(E6="Да",E4*F4+E5*F5,MIN(E4:E5))</f>
        <v>3.4439833333333332</v>
      </c>
      <c r="F7" s="42"/>
    </row>
    <row r="8" spans="2:6" ht="15.75" thickBot="1">
      <c r="B8" s="19"/>
      <c r="C8" s="19"/>
      <c r="D8" s="19"/>
      <c r="E8" s="19"/>
      <c r="F8" s="19"/>
    </row>
    <row r="9" spans="2:6" ht="15.75">
      <c r="B9" s="203" t="s">
        <v>52</v>
      </c>
      <c r="C9" s="204"/>
      <c r="D9" s="205"/>
      <c r="E9" s="19"/>
      <c r="F9" s="19"/>
    </row>
    <row r="10" spans="2:6" ht="15.75">
      <c r="B10" s="206" t="s">
        <v>38</v>
      </c>
      <c r="C10" s="207"/>
      <c r="D10" s="208"/>
      <c r="E10" s="19"/>
      <c r="F10" s="19"/>
    </row>
    <row r="11" spans="2:6">
      <c r="B11" s="200" t="s">
        <v>39</v>
      </c>
      <c r="C11" s="201"/>
      <c r="D11" s="202"/>
      <c r="E11" s="19"/>
      <c r="F11" s="19"/>
    </row>
    <row r="12" spans="2:6" ht="17.25" customHeight="1">
      <c r="B12" s="45" t="s">
        <v>40</v>
      </c>
      <c r="C12" s="46" t="s">
        <v>41</v>
      </c>
      <c r="D12" s="47">
        <v>168</v>
      </c>
      <c r="E12" s="19"/>
      <c r="F12" s="19"/>
    </row>
    <row r="13" spans="2:6" ht="16.5" customHeight="1">
      <c r="B13" s="49" t="s">
        <v>42</v>
      </c>
      <c r="C13" s="24" t="s">
        <v>25</v>
      </c>
      <c r="D13" s="50">
        <f>Категории!G7</f>
        <v>25000</v>
      </c>
      <c r="E13" s="19"/>
      <c r="F13" s="19"/>
    </row>
    <row r="14" spans="2:6">
      <c r="B14" s="200" t="s">
        <v>43</v>
      </c>
      <c r="C14" s="201"/>
      <c r="D14" s="202"/>
      <c r="E14" s="19"/>
      <c r="F14" s="19"/>
    </row>
    <row r="15" spans="2:6" ht="12" customHeight="1">
      <c r="B15" s="28" t="s">
        <v>44</v>
      </c>
      <c r="C15" s="24" t="s">
        <v>45</v>
      </c>
      <c r="D15" s="53">
        <f>Категории!G8</f>
        <v>0</v>
      </c>
      <c r="E15" s="19"/>
      <c r="F15" s="19"/>
    </row>
    <row r="16" spans="2:6" ht="13.5" customHeight="1">
      <c r="B16" s="28" t="s">
        <v>46</v>
      </c>
      <c r="C16" s="54" t="s">
        <v>26</v>
      </c>
      <c r="D16" s="75">
        <v>1</v>
      </c>
      <c r="E16" s="19"/>
      <c r="F16" s="19"/>
    </row>
    <row r="17" spans="2:6" ht="16.5" customHeight="1">
      <c r="B17" s="28" t="s">
        <v>36</v>
      </c>
      <c r="C17" s="57" t="s">
        <v>26</v>
      </c>
      <c r="D17" s="55">
        <f>E7</f>
        <v>3.4439833333333332</v>
      </c>
      <c r="E17" s="19"/>
      <c r="F17" s="19"/>
    </row>
    <row r="18" spans="2:6" ht="18" customHeight="1">
      <c r="B18" s="28" t="s">
        <v>47</v>
      </c>
      <c r="C18" s="24" t="s">
        <v>45</v>
      </c>
      <c r="D18" s="53">
        <f>IF((D15*D16*D17)&gt;0,D15*D16*D17,0)</f>
        <v>0</v>
      </c>
      <c r="E18" s="19"/>
      <c r="F18" s="19"/>
    </row>
    <row r="19" spans="2:6">
      <c r="B19" s="200" t="s">
        <v>48</v>
      </c>
      <c r="C19" s="201"/>
      <c r="D19" s="202"/>
      <c r="E19" s="19"/>
      <c r="F19" s="19"/>
    </row>
    <row r="20" spans="2:6" ht="12.75" customHeight="1">
      <c r="B20" s="58" t="s">
        <v>49</v>
      </c>
      <c r="C20" s="59" t="s">
        <v>25</v>
      </c>
      <c r="D20" s="60">
        <v>1</v>
      </c>
      <c r="E20" s="19"/>
      <c r="F20" s="19"/>
    </row>
    <row r="21" spans="2:6" ht="12.75" customHeight="1">
      <c r="B21" s="61" t="s">
        <v>50</v>
      </c>
      <c r="C21" s="62" t="s">
        <v>25</v>
      </c>
      <c r="D21" s="69">
        <f>D20*D18</f>
        <v>0</v>
      </c>
      <c r="E21" s="19"/>
      <c r="F21" s="19"/>
    </row>
    <row r="22" spans="2:6" ht="21" customHeight="1" thickBot="1">
      <c r="B22" s="66" t="s">
        <v>51</v>
      </c>
      <c r="C22" s="67" t="s">
        <v>25</v>
      </c>
      <c r="D22" s="70">
        <f>D13+D21</f>
        <v>25000</v>
      </c>
      <c r="E22" s="19"/>
      <c r="F22" s="19"/>
    </row>
  </sheetData>
  <mergeCells count="6">
    <mergeCell ref="B19:D19"/>
    <mergeCell ref="B2:F2"/>
    <mergeCell ref="B9:D9"/>
    <mergeCell ref="B10:D10"/>
    <mergeCell ref="B11:D11"/>
    <mergeCell ref="B14:D1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>
    <tabColor rgb="FF0070C0"/>
  </sheetPr>
  <dimension ref="A1:E23"/>
  <sheetViews>
    <sheetView workbookViewId="0">
      <selection activeCell="C25" sqref="C25"/>
    </sheetView>
  </sheetViews>
  <sheetFormatPr defaultRowHeight="15"/>
  <cols>
    <col min="1" max="1" width="36.28515625" customWidth="1"/>
    <col min="2" max="2" width="14.7109375" customWidth="1"/>
    <col min="3" max="3" width="13.85546875" customWidth="1"/>
    <col min="4" max="4" width="15.28515625" customWidth="1"/>
    <col min="5" max="5" width="21.140625" customWidth="1"/>
  </cols>
  <sheetData>
    <row r="1" spans="1:5" ht="15.75">
      <c r="A1" s="203" t="s">
        <v>27</v>
      </c>
      <c r="B1" s="204"/>
      <c r="C1" s="204"/>
      <c r="D1" s="204"/>
      <c r="E1" s="205"/>
    </row>
    <row r="2" spans="1:5" ht="31.9" customHeight="1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 ht="18" customHeight="1">
      <c r="A3" s="28" t="s">
        <v>33</v>
      </c>
      <c r="B3" s="22">
        <v>400000</v>
      </c>
      <c r="C3" s="74">
        <v>645062</v>
      </c>
      <c r="D3" s="29">
        <f>C3/B3</f>
        <v>1.6126549999999999</v>
      </c>
      <c r="E3" s="30">
        <v>0.6</v>
      </c>
    </row>
    <row r="4" spans="1:5" ht="16.899999999999999" customHeight="1">
      <c r="A4" s="28" t="s">
        <v>34</v>
      </c>
      <c r="B4" s="22">
        <v>400</v>
      </c>
      <c r="C4" s="74">
        <v>1125</v>
      </c>
      <c r="D4" s="31">
        <f>C4/B4</f>
        <v>2.8125</v>
      </c>
      <c r="E4" s="32">
        <f>100%-E3</f>
        <v>0.4</v>
      </c>
    </row>
    <row r="5" spans="1:5" ht="15" customHeight="1">
      <c r="A5" s="33" t="s">
        <v>35</v>
      </c>
      <c r="B5" s="34"/>
      <c r="C5" s="35"/>
      <c r="D5" s="36" t="str">
        <f>IF(OR(D3&lt;70%,D4&lt;70%),"Нет","Да")</f>
        <v>Да</v>
      </c>
      <c r="E5" s="37"/>
    </row>
    <row r="6" spans="1:5" ht="22.9" customHeight="1" thickBot="1">
      <c r="A6" s="38" t="s">
        <v>36</v>
      </c>
      <c r="B6" s="39"/>
      <c r="C6" s="40"/>
      <c r="D6" s="41">
        <f>IF(D5="Да",D3*E3+D4*E4,MIN(D3:D4))</f>
        <v>2.0925929999999999</v>
      </c>
      <c r="E6" s="42"/>
    </row>
    <row r="7" spans="1:5" ht="15.75" thickBot="1">
      <c r="A7" s="43"/>
      <c r="B7" s="43"/>
      <c r="C7" s="18"/>
      <c r="D7" s="18"/>
      <c r="E7" s="18"/>
    </row>
    <row r="8" spans="1:5" ht="15.75">
      <c r="A8" s="203" t="s">
        <v>37</v>
      </c>
      <c r="B8" s="204"/>
      <c r="C8" s="205"/>
      <c r="D8" s="18"/>
      <c r="E8" s="18"/>
    </row>
    <row r="9" spans="1:5" ht="15.75">
      <c r="A9" s="206" t="s">
        <v>38</v>
      </c>
      <c r="B9" s="207"/>
      <c r="C9" s="208"/>
      <c r="D9" s="18"/>
      <c r="E9" s="18"/>
    </row>
    <row r="10" spans="1:5">
      <c r="A10" s="200" t="s">
        <v>39</v>
      </c>
      <c r="B10" s="201"/>
      <c r="C10" s="202"/>
      <c r="D10" s="44"/>
      <c r="E10" s="18"/>
    </row>
    <row r="11" spans="1:5" ht="19.149999999999999" customHeight="1">
      <c r="A11" s="45" t="s">
        <v>40</v>
      </c>
      <c r="B11" s="46" t="s">
        <v>41</v>
      </c>
      <c r="C11" s="47">
        <v>168</v>
      </c>
      <c r="D11" s="48"/>
      <c r="E11" s="48"/>
    </row>
    <row r="12" spans="1:5" ht="16.899999999999999" customHeight="1">
      <c r="A12" s="49" t="s">
        <v>42</v>
      </c>
      <c r="B12" s="24" t="s">
        <v>25</v>
      </c>
      <c r="C12" s="50">
        <f>Категории!E7</f>
        <v>18000</v>
      </c>
      <c r="D12" s="51"/>
      <c r="E12" s="52"/>
    </row>
    <row r="13" spans="1:5">
      <c r="A13" s="200" t="s">
        <v>43</v>
      </c>
      <c r="B13" s="201"/>
      <c r="C13" s="202"/>
      <c r="D13" s="18"/>
      <c r="E13" s="18"/>
    </row>
    <row r="14" spans="1:5" ht="18" customHeight="1">
      <c r="A14" s="28" t="s">
        <v>44</v>
      </c>
      <c r="B14" s="24" t="s">
        <v>45</v>
      </c>
      <c r="C14" s="53">
        <f>Категории!E8</f>
        <v>27000</v>
      </c>
      <c r="D14" s="18"/>
      <c r="E14" s="18"/>
    </row>
    <row r="15" spans="1:5" ht="31.9" customHeight="1">
      <c r="A15" s="28" t="s">
        <v>46</v>
      </c>
      <c r="B15" s="54" t="s">
        <v>26</v>
      </c>
      <c r="C15" s="75">
        <v>1</v>
      </c>
      <c r="D15" s="51"/>
      <c r="E15" s="56"/>
    </row>
    <row r="16" spans="1:5" ht="18" customHeight="1">
      <c r="A16" s="28" t="s">
        <v>36</v>
      </c>
      <c r="B16" s="57" t="s">
        <v>26</v>
      </c>
      <c r="C16" s="55">
        <f>D6</f>
        <v>2.0925929999999999</v>
      </c>
      <c r="D16" s="51"/>
      <c r="E16" s="56"/>
    </row>
    <row r="17" spans="1:5" ht="27" customHeight="1">
      <c r="A17" s="28" t="s">
        <v>47</v>
      </c>
      <c r="B17" s="24" t="s">
        <v>45</v>
      </c>
      <c r="C17" s="53">
        <f>IF((C14*C15*C16)&gt;0,C14*C15*C16,0)</f>
        <v>56500.010999999999</v>
      </c>
      <c r="D17" s="51"/>
      <c r="E17" s="18"/>
    </row>
    <row r="18" spans="1:5">
      <c r="A18" s="200" t="s">
        <v>48</v>
      </c>
      <c r="B18" s="201"/>
      <c r="C18" s="202"/>
      <c r="D18" s="18"/>
      <c r="E18" s="18"/>
    </row>
    <row r="19" spans="1:5">
      <c r="A19" s="58" t="s">
        <v>49</v>
      </c>
      <c r="B19" s="59" t="s">
        <v>25</v>
      </c>
      <c r="C19" s="60">
        <v>1</v>
      </c>
      <c r="D19" s="18"/>
      <c r="E19" s="18"/>
    </row>
    <row r="20" spans="1:5" ht="19.899999999999999" customHeight="1">
      <c r="A20" s="61" t="s">
        <v>50</v>
      </c>
      <c r="B20" s="62" t="s">
        <v>25</v>
      </c>
      <c r="C20" s="63">
        <f>C19*C17</f>
        <v>56500.010999999999</v>
      </c>
      <c r="D20" s="64"/>
      <c r="E20" s="65"/>
    </row>
    <row r="21" spans="1:5" ht="23.45" customHeight="1" thickBot="1">
      <c r="A21" s="66" t="s">
        <v>51</v>
      </c>
      <c r="B21" s="67" t="s">
        <v>25</v>
      </c>
      <c r="C21" s="68">
        <f>C12+C20</f>
        <v>74500.010999999999</v>
      </c>
      <c r="D21" s="51"/>
      <c r="E21" s="56"/>
    </row>
    <row r="23" spans="1:5">
      <c r="A23" t="s">
        <v>55</v>
      </c>
      <c r="B23" s="76">
        <v>0</v>
      </c>
    </row>
  </sheetData>
  <mergeCells count="6"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tabColor rgb="FFFF0000"/>
  </sheetPr>
  <dimension ref="A1:E21"/>
  <sheetViews>
    <sheetView zoomScale="85" zoomScaleNormal="85" workbookViewId="0">
      <selection activeCell="C5" sqref="C5"/>
    </sheetView>
  </sheetViews>
  <sheetFormatPr defaultRowHeight="15"/>
  <cols>
    <col min="1" max="1" width="44.7109375" customWidth="1"/>
    <col min="2" max="5" width="16.28515625" customWidth="1"/>
  </cols>
  <sheetData>
    <row r="1" spans="1:5" ht="15.75">
      <c r="A1" s="203"/>
      <c r="B1" s="204"/>
      <c r="C1" s="204"/>
      <c r="D1" s="204"/>
      <c r="E1" s="205"/>
    </row>
    <row r="2" spans="1:5" ht="25.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>
      <c r="A3" s="28" t="s">
        <v>33</v>
      </c>
      <c r="B3" s="22">
        <v>60000</v>
      </c>
      <c r="C3" s="74">
        <v>8854.7000000000007</v>
      </c>
      <c r="D3" s="29">
        <f>C3/B3</f>
        <v>0.14757833333333334</v>
      </c>
      <c r="E3" s="30">
        <v>0.6</v>
      </c>
    </row>
    <row r="4" spans="1:5">
      <c r="A4" s="28" t="s">
        <v>34</v>
      </c>
      <c r="B4" s="22">
        <v>150</v>
      </c>
      <c r="C4" s="74">
        <v>79</v>
      </c>
      <c r="D4" s="31">
        <f>C4/B4</f>
        <v>0.52666666666666662</v>
      </c>
      <c r="E4" s="32">
        <f>100%-E3</f>
        <v>0.4</v>
      </c>
    </row>
    <row r="5" spans="1:5" ht="25.5">
      <c r="A5" s="33" t="s">
        <v>35</v>
      </c>
      <c r="B5" s="34"/>
      <c r="C5" s="35"/>
      <c r="D5" s="36" t="str">
        <f>IF(OR(D3&lt;70%,D4&lt;70%),"Нет","Да")</f>
        <v>Нет</v>
      </c>
      <c r="E5" s="37"/>
    </row>
    <row r="6" spans="1:5" ht="15.75" thickBot="1">
      <c r="A6" s="38" t="s">
        <v>36</v>
      </c>
      <c r="B6" s="39"/>
      <c r="C6" s="40"/>
      <c r="D6" s="41">
        <f>IF(D5="Да",D3*E3+D4*E4,MIN(D3:D4))</f>
        <v>0.14757833333333334</v>
      </c>
      <c r="E6" s="42"/>
    </row>
    <row r="7" spans="1:5" ht="15.75" thickBot="1">
      <c r="A7" s="19"/>
      <c r="B7" s="19"/>
      <c r="C7" s="19"/>
      <c r="D7" s="19"/>
      <c r="E7" s="19"/>
    </row>
    <row r="8" spans="1:5" ht="15.75">
      <c r="A8" s="203" t="s">
        <v>52</v>
      </c>
      <c r="B8" s="204"/>
      <c r="C8" s="205"/>
      <c r="D8" s="19"/>
      <c r="E8" s="19"/>
    </row>
    <row r="9" spans="1:5" ht="15.75">
      <c r="A9" s="206" t="s">
        <v>38</v>
      </c>
      <c r="B9" s="207"/>
      <c r="C9" s="208"/>
      <c r="D9" s="19"/>
      <c r="E9" s="19"/>
    </row>
    <row r="10" spans="1:5">
      <c r="A10" s="200" t="s">
        <v>39</v>
      </c>
      <c r="B10" s="201"/>
      <c r="C10" s="202"/>
      <c r="D10" s="19"/>
      <c r="E10" s="19"/>
    </row>
    <row r="11" spans="1:5" ht="16.5" customHeight="1">
      <c r="A11" s="45" t="s">
        <v>40</v>
      </c>
      <c r="B11" s="46" t="s">
        <v>41</v>
      </c>
      <c r="C11" s="47">
        <v>168</v>
      </c>
      <c r="D11" s="19"/>
      <c r="E11" s="19"/>
    </row>
    <row r="12" spans="1:5" ht="16.5" customHeight="1">
      <c r="A12" s="49" t="s">
        <v>42</v>
      </c>
      <c r="B12" s="24" t="s">
        <v>25</v>
      </c>
      <c r="C12" s="50">
        <f>Категории!G7</f>
        <v>25000</v>
      </c>
      <c r="D12" s="19"/>
      <c r="E12" s="19"/>
    </row>
    <row r="13" spans="1:5" ht="16.5" customHeight="1">
      <c r="A13" s="200" t="s">
        <v>43</v>
      </c>
      <c r="B13" s="201"/>
      <c r="C13" s="202"/>
      <c r="D13" s="19"/>
      <c r="E13" s="19"/>
    </row>
    <row r="14" spans="1:5" ht="16.5" customHeight="1">
      <c r="A14" s="28" t="s">
        <v>44</v>
      </c>
      <c r="B14" s="24" t="s">
        <v>45</v>
      </c>
      <c r="C14" s="53">
        <f>Категории!G8</f>
        <v>0</v>
      </c>
      <c r="D14" s="19"/>
      <c r="E14" s="19"/>
    </row>
    <row r="15" spans="1:5" ht="16.5" customHeight="1">
      <c r="A15" s="28" t="s">
        <v>46</v>
      </c>
      <c r="B15" s="54" t="s">
        <v>26</v>
      </c>
      <c r="C15" s="75">
        <v>1</v>
      </c>
      <c r="D15" s="19"/>
      <c r="E15" s="19"/>
    </row>
    <row r="16" spans="1:5" ht="16.5" customHeight="1">
      <c r="A16" s="28" t="s">
        <v>36</v>
      </c>
      <c r="B16" s="57" t="s">
        <v>26</v>
      </c>
      <c r="C16" s="55">
        <f>D6</f>
        <v>0.14757833333333334</v>
      </c>
      <c r="D16" s="19"/>
      <c r="E16" s="19"/>
    </row>
    <row r="17" spans="1:5" ht="16.5" customHeight="1">
      <c r="A17" s="28" t="s">
        <v>47</v>
      </c>
      <c r="B17" s="24" t="s">
        <v>45</v>
      </c>
      <c r="C17" s="53">
        <f>IF((C14*C15*C16)&gt;0,C14*C15*C16,0)</f>
        <v>0</v>
      </c>
      <c r="D17" s="19"/>
      <c r="E17" s="19"/>
    </row>
    <row r="18" spans="1:5" ht="16.5" customHeight="1">
      <c r="A18" s="200" t="s">
        <v>48</v>
      </c>
      <c r="B18" s="201"/>
      <c r="C18" s="202"/>
      <c r="D18" s="19"/>
      <c r="E18" s="19"/>
    </row>
    <row r="19" spans="1:5" ht="16.5" customHeight="1">
      <c r="A19" s="58" t="s">
        <v>49</v>
      </c>
      <c r="B19" s="59" t="s">
        <v>25</v>
      </c>
      <c r="C19" s="60">
        <v>1</v>
      </c>
      <c r="D19" s="19"/>
      <c r="E19" s="19"/>
    </row>
    <row r="20" spans="1:5" ht="16.5" customHeight="1">
      <c r="A20" s="61" t="s">
        <v>50</v>
      </c>
      <c r="B20" s="62" t="s">
        <v>25</v>
      </c>
      <c r="C20" s="69">
        <f>C19*C17</f>
        <v>0</v>
      </c>
      <c r="D20" s="19"/>
      <c r="E20" s="19"/>
    </row>
    <row r="21" spans="1:5" ht="16.5" customHeight="1" thickBot="1">
      <c r="A21" s="66" t="s">
        <v>51</v>
      </c>
      <c r="B21" s="67" t="s">
        <v>25</v>
      </c>
      <c r="C21" s="70">
        <f>C12+C20</f>
        <v>25000</v>
      </c>
      <c r="D21" s="19"/>
      <c r="E21" s="19"/>
    </row>
  </sheetData>
  <mergeCells count="6"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>
    <tabColor rgb="FF0070C0"/>
    <pageSetUpPr fitToPage="1"/>
  </sheetPr>
  <dimension ref="A2:G42"/>
  <sheetViews>
    <sheetView tabSelected="1" workbookViewId="0">
      <selection activeCell="D9" sqref="D9"/>
    </sheetView>
  </sheetViews>
  <sheetFormatPr defaultRowHeight="15"/>
  <cols>
    <col min="1" max="1" width="42.42578125" customWidth="1"/>
    <col min="2" max="4" width="16.7109375" customWidth="1"/>
    <col min="5" max="5" width="11.5703125" customWidth="1"/>
    <col min="7" max="7" width="11.42578125" bestFit="1" customWidth="1"/>
  </cols>
  <sheetData>
    <row r="2" spans="1:7" ht="15.75">
      <c r="A2" s="209" t="s">
        <v>88</v>
      </c>
      <c r="B2" s="209"/>
      <c r="C2" s="209"/>
      <c r="D2" s="209"/>
      <c r="E2" s="209"/>
    </row>
    <row r="3" spans="1:7" ht="15.75" thickBot="1"/>
    <row r="4" spans="1:7" ht="15.75">
      <c r="A4" s="203" t="s">
        <v>27</v>
      </c>
      <c r="B4" s="204"/>
      <c r="C4" s="204"/>
      <c r="D4" s="204"/>
      <c r="E4" s="205"/>
    </row>
    <row r="5" spans="1:7" ht="38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7">
      <c r="A6" s="28" t="s">
        <v>57</v>
      </c>
      <c r="B6" s="22">
        <v>654000</v>
      </c>
      <c r="C6" s="74">
        <v>652288</v>
      </c>
      <c r="D6" s="29">
        <f>C6/B6</f>
        <v>0.99738226299694188</v>
      </c>
      <c r="E6" s="30">
        <v>0.6</v>
      </c>
      <c r="G6" s="129"/>
    </row>
    <row r="7" spans="1:7" ht="16.5" customHeight="1">
      <c r="A7" s="28" t="s">
        <v>89</v>
      </c>
      <c r="B7" s="22">
        <v>800</v>
      </c>
      <c r="C7" s="74">
        <v>428</v>
      </c>
      <c r="D7" s="31">
        <f>C7/B7</f>
        <v>0.53500000000000003</v>
      </c>
      <c r="E7" s="32">
        <v>0.3</v>
      </c>
      <c r="G7" s="130"/>
    </row>
    <row r="8" spans="1:7" ht="16.5" customHeight="1">
      <c r="A8" s="221" t="s">
        <v>129</v>
      </c>
      <c r="B8" s="22">
        <v>999</v>
      </c>
      <c r="C8" s="74">
        <v>999</v>
      </c>
      <c r="D8" s="29">
        <f>C8/B8</f>
        <v>1</v>
      </c>
      <c r="E8" s="222">
        <v>0.1</v>
      </c>
      <c r="G8" s="130"/>
    </row>
    <row r="9" spans="1:7" ht="25.5">
      <c r="A9" s="33" t="s">
        <v>130</v>
      </c>
      <c r="B9" s="34"/>
      <c r="C9" s="35"/>
      <c r="D9" s="225" t="str">
        <f>IF(OR(D6&lt;70%,D7&lt;70%,D8&lt;70%),"Нет","Да")</f>
        <v>Нет</v>
      </c>
      <c r="E9" s="37"/>
    </row>
    <row r="10" spans="1:7" ht="15.75" thickBot="1">
      <c r="A10" s="38" t="s">
        <v>36</v>
      </c>
      <c r="B10" s="39"/>
      <c r="C10" s="40"/>
      <c r="D10" s="226">
        <f>IF(D9="Да",D6*E6+D7*E7+D8*E8,MIN(D6:D8))</f>
        <v>0.53500000000000003</v>
      </c>
      <c r="E10" s="42"/>
    </row>
    <row r="11" spans="1:7" ht="15.75" thickBot="1">
      <c r="A11" s="43"/>
      <c r="B11" s="43"/>
      <c r="C11" s="18"/>
      <c r="D11" s="18"/>
      <c r="E11" s="18"/>
    </row>
    <row r="12" spans="1:7" ht="15.75">
      <c r="A12" s="203" t="s">
        <v>37</v>
      </c>
      <c r="B12" s="204"/>
      <c r="C12" s="205"/>
      <c r="D12" s="18"/>
      <c r="E12" s="18"/>
    </row>
    <row r="13" spans="1:7" ht="15.75">
      <c r="A13" s="206" t="s">
        <v>38</v>
      </c>
      <c r="B13" s="207"/>
      <c r="C13" s="208"/>
      <c r="D13" s="18"/>
      <c r="E13" s="18"/>
    </row>
    <row r="14" spans="1:7">
      <c r="A14" s="200" t="s">
        <v>39</v>
      </c>
      <c r="B14" s="201"/>
      <c r="C14" s="202"/>
      <c r="D14" s="44"/>
      <c r="E14" s="18"/>
    </row>
    <row r="15" spans="1:7">
      <c r="A15" s="45" t="s">
        <v>59</v>
      </c>
      <c r="B15" s="46" t="s">
        <v>41</v>
      </c>
      <c r="C15" s="174">
        <v>177</v>
      </c>
      <c r="D15" s="48"/>
      <c r="E15" s="48"/>
    </row>
    <row r="16" spans="1:7">
      <c r="A16" s="45" t="s">
        <v>60</v>
      </c>
      <c r="B16" s="46" t="s">
        <v>41</v>
      </c>
      <c r="C16" s="174">
        <v>177</v>
      </c>
      <c r="D16" s="48"/>
      <c r="E16" s="48"/>
    </row>
    <row r="17" spans="1:5">
      <c r="A17" s="45" t="s">
        <v>56</v>
      </c>
      <c r="B17" s="46" t="s">
        <v>114</v>
      </c>
      <c r="C17" s="131">
        <f>C16/C15</f>
        <v>1</v>
      </c>
      <c r="D17" s="48"/>
      <c r="E17" s="48"/>
    </row>
    <row r="18" spans="1:5">
      <c r="A18" s="49" t="s">
        <v>113</v>
      </c>
      <c r="B18" s="24" t="s">
        <v>25</v>
      </c>
      <c r="C18" s="132">
        <f>Категории!E7</f>
        <v>18000</v>
      </c>
      <c r="D18" s="51"/>
      <c r="E18" s="52"/>
    </row>
    <row r="19" spans="1:5">
      <c r="A19" s="133" t="s">
        <v>42</v>
      </c>
      <c r="B19" s="134" t="s">
        <v>25</v>
      </c>
      <c r="C19" s="135">
        <f>C18*C17</f>
        <v>18000</v>
      </c>
      <c r="D19" s="51"/>
      <c r="E19" s="52"/>
    </row>
    <row r="20" spans="1:5">
      <c r="A20" s="200" t="s">
        <v>43</v>
      </c>
      <c r="B20" s="201"/>
      <c r="C20" s="202"/>
      <c r="D20" s="18"/>
      <c r="E20" s="18"/>
    </row>
    <row r="21" spans="1:5">
      <c r="A21" s="28" t="s">
        <v>44</v>
      </c>
      <c r="B21" s="24" t="s">
        <v>45</v>
      </c>
      <c r="C21" s="53">
        <f>Категории!E8</f>
        <v>27000</v>
      </c>
      <c r="D21" s="18"/>
      <c r="E21" s="18"/>
    </row>
    <row r="22" spans="1:5" ht="25.5">
      <c r="A22" s="28" t="s">
        <v>46</v>
      </c>
      <c r="B22" s="54" t="s">
        <v>26</v>
      </c>
      <c r="C22" s="122">
        <v>1</v>
      </c>
      <c r="D22" s="51"/>
      <c r="E22" s="56"/>
    </row>
    <row r="23" spans="1:5">
      <c r="A23" s="28" t="s">
        <v>36</v>
      </c>
      <c r="B23" s="57" t="s">
        <v>26</v>
      </c>
      <c r="C23" s="55">
        <f>D10</f>
        <v>0.53500000000000003</v>
      </c>
      <c r="D23" s="51"/>
      <c r="E23" s="56"/>
    </row>
    <row r="24" spans="1:5">
      <c r="A24" s="28" t="s">
        <v>47</v>
      </c>
      <c r="B24" s="24" t="s">
        <v>45</v>
      </c>
      <c r="C24" s="53">
        <f>IF((C21*C22*C23)&gt;0,C21*C22*C23,0)</f>
        <v>14445</v>
      </c>
      <c r="D24" s="51"/>
      <c r="E24" s="18"/>
    </row>
    <row r="25" spans="1:5">
      <c r="A25" s="58" t="s">
        <v>49</v>
      </c>
      <c r="B25" s="59" t="s">
        <v>25</v>
      </c>
      <c r="C25" s="60">
        <v>1</v>
      </c>
      <c r="D25" s="18"/>
      <c r="E25" s="18"/>
    </row>
    <row r="26" spans="1:5">
      <c r="A26" s="61" t="s">
        <v>107</v>
      </c>
      <c r="B26" s="62" t="s">
        <v>25</v>
      </c>
      <c r="C26" s="109">
        <f>C25*C24</f>
        <v>14445</v>
      </c>
      <c r="D26" s="64"/>
      <c r="E26" s="65"/>
    </row>
    <row r="27" spans="1:5" ht="25.5">
      <c r="A27" s="113" t="s">
        <v>115</v>
      </c>
      <c r="B27" s="62" t="s">
        <v>25</v>
      </c>
      <c r="C27" s="111">
        <f>ROUND(LOOKUP(D10,{0,1,1.1001,1.3001},{1,1.05,1.1,1.15})*C26,)</f>
        <v>14445</v>
      </c>
      <c r="D27" s="51"/>
      <c r="E27" s="56"/>
    </row>
    <row r="28" spans="1:5">
      <c r="A28" s="190" t="s">
        <v>124</v>
      </c>
      <c r="B28" s="191" t="s">
        <v>25</v>
      </c>
      <c r="C28" s="192">
        <f>B31*8%</f>
        <v>157.6</v>
      </c>
      <c r="D28" s="51"/>
      <c r="E28" s="56"/>
    </row>
    <row r="29" spans="1:5" ht="15.75" thickBot="1">
      <c r="A29" s="118" t="s">
        <v>51</v>
      </c>
      <c r="B29" s="119" t="s">
        <v>25</v>
      </c>
      <c r="C29" s="136">
        <f>C27+C19+C28</f>
        <v>32602.6</v>
      </c>
      <c r="D29" s="51"/>
      <c r="E29" s="56"/>
    </row>
    <row r="30" spans="1:5" ht="15.75">
      <c r="A30" s="106"/>
      <c r="B30" s="107"/>
      <c r="C30" s="108"/>
      <c r="D30" s="51"/>
      <c r="E30" s="56"/>
    </row>
    <row r="31" spans="1:5">
      <c r="A31" t="s">
        <v>55</v>
      </c>
      <c r="B31" s="117">
        <v>1970</v>
      </c>
    </row>
    <row r="42" spans="3:3">
      <c r="C42" s="78"/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scale="97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E29"/>
  <sheetViews>
    <sheetView workbookViewId="0">
      <selection activeCell="C3" sqref="C3"/>
    </sheetView>
  </sheetViews>
  <sheetFormatPr defaultRowHeight="15"/>
  <cols>
    <col min="1" max="1" width="32.140625" customWidth="1"/>
    <col min="2" max="2" width="14.28515625" customWidth="1"/>
    <col min="3" max="3" width="14.140625" customWidth="1"/>
    <col min="4" max="4" width="17.42578125" customWidth="1"/>
  </cols>
  <sheetData>
    <row r="1" spans="1:5" ht="15.75">
      <c r="A1" s="203" t="s">
        <v>91</v>
      </c>
      <c r="B1" s="204"/>
      <c r="C1" s="204"/>
      <c r="D1" s="204"/>
      <c r="E1" s="205"/>
    </row>
    <row r="2" spans="1:5" ht="38.2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>
      <c r="A3" s="28" t="s">
        <v>33</v>
      </c>
      <c r="B3" s="22">
        <v>50000</v>
      </c>
      <c r="C3" s="97">
        <v>50000</v>
      </c>
      <c r="D3" s="29">
        <f>C3/B3</f>
        <v>1</v>
      </c>
      <c r="E3" s="30">
        <v>0.6</v>
      </c>
    </row>
    <row r="4" spans="1:5">
      <c r="A4" s="28" t="s">
        <v>89</v>
      </c>
      <c r="B4" s="22">
        <v>100</v>
      </c>
      <c r="C4" s="97">
        <v>100</v>
      </c>
      <c r="D4" s="31">
        <f>C4/B4</f>
        <v>1</v>
      </c>
      <c r="E4" s="32">
        <f>100%-E3</f>
        <v>0.4</v>
      </c>
    </row>
    <row r="5" spans="1:5" ht="25.5">
      <c r="A5" s="33" t="s">
        <v>35</v>
      </c>
      <c r="B5" s="34"/>
      <c r="C5" s="35"/>
      <c r="D5" s="36" t="str">
        <f>IF(OR(D3&lt;70%,D4&lt;70%),"Нет","Да")</f>
        <v>Да</v>
      </c>
      <c r="E5" s="37"/>
    </row>
    <row r="6" spans="1:5" ht="15.75" thickBot="1">
      <c r="A6" s="38" t="s">
        <v>36</v>
      </c>
      <c r="B6" s="39"/>
      <c r="C6" s="40"/>
      <c r="D6" s="41">
        <f>IF(D5="Да",D3*E3+D4*E4,MIN(D3:D4))</f>
        <v>1</v>
      </c>
      <c r="E6" s="42"/>
    </row>
    <row r="7" spans="1:5" ht="15.75" thickBot="1">
      <c r="A7" s="43"/>
      <c r="B7" s="43"/>
      <c r="C7" s="18"/>
      <c r="D7" s="18"/>
      <c r="E7" s="18"/>
    </row>
    <row r="8" spans="1:5" ht="15.75">
      <c r="A8" s="203" t="s">
        <v>52</v>
      </c>
      <c r="B8" s="204"/>
      <c r="C8" s="205"/>
      <c r="D8" s="18"/>
      <c r="E8" s="18"/>
    </row>
    <row r="9" spans="1:5" ht="15.75">
      <c r="A9" s="206" t="s">
        <v>38</v>
      </c>
      <c r="B9" s="207"/>
      <c r="C9" s="208"/>
      <c r="D9" s="18"/>
      <c r="E9" s="18"/>
    </row>
    <row r="10" spans="1:5">
      <c r="A10" s="200" t="s">
        <v>39</v>
      </c>
      <c r="B10" s="201"/>
      <c r="C10" s="202"/>
      <c r="D10" s="44"/>
      <c r="E10" s="18"/>
    </row>
    <row r="11" spans="1:5" ht="25.5">
      <c r="A11" s="45" t="s">
        <v>40</v>
      </c>
      <c r="B11" s="46" t="s">
        <v>41</v>
      </c>
      <c r="C11" s="99">
        <v>152</v>
      </c>
      <c r="D11" s="48"/>
      <c r="E11" s="48"/>
    </row>
    <row r="12" spans="1:5">
      <c r="A12" s="49" t="s">
        <v>42</v>
      </c>
      <c r="B12" s="24" t="s">
        <v>25</v>
      </c>
      <c r="C12" s="50">
        <f>Категории!G7</f>
        <v>25000</v>
      </c>
      <c r="D12" s="51"/>
      <c r="E12" s="52"/>
    </row>
    <row r="13" spans="1:5">
      <c r="A13" s="200" t="s">
        <v>43</v>
      </c>
      <c r="B13" s="201"/>
      <c r="C13" s="202"/>
      <c r="D13" s="18"/>
      <c r="E13" s="18"/>
    </row>
    <row r="14" spans="1:5" ht="25.5">
      <c r="A14" s="28" t="s">
        <v>44</v>
      </c>
      <c r="B14" s="24" t="s">
        <v>45</v>
      </c>
      <c r="C14" s="53">
        <f>Категории!G8</f>
        <v>0</v>
      </c>
      <c r="D14" s="18"/>
      <c r="E14" s="18"/>
    </row>
    <row r="15" spans="1:5" ht="25.5">
      <c r="A15" s="28" t="s">
        <v>46</v>
      </c>
      <c r="B15" s="54" t="s">
        <v>26</v>
      </c>
      <c r="C15" s="75">
        <v>1</v>
      </c>
      <c r="D15" s="51"/>
      <c r="E15" s="56"/>
    </row>
    <row r="16" spans="1:5">
      <c r="A16" s="28" t="s">
        <v>36</v>
      </c>
      <c r="B16" s="57" t="s">
        <v>26</v>
      </c>
      <c r="C16" s="55">
        <f>D6</f>
        <v>1</v>
      </c>
      <c r="D16" s="51"/>
      <c r="E16" s="56"/>
    </row>
    <row r="17" spans="1:5" ht="25.5">
      <c r="A17" s="28" t="s">
        <v>47</v>
      </c>
      <c r="B17" s="24" t="s">
        <v>45</v>
      </c>
      <c r="C17" s="53">
        <f>IF((C14*C15*C16)&gt;0,C14*C15*C16,0)</f>
        <v>0</v>
      </c>
      <c r="D17" s="51"/>
      <c r="E17" s="18"/>
    </row>
    <row r="18" spans="1:5">
      <c r="A18" s="200" t="s">
        <v>48</v>
      </c>
      <c r="B18" s="201"/>
      <c r="C18" s="202"/>
      <c r="D18" s="18"/>
      <c r="E18" s="18"/>
    </row>
    <row r="19" spans="1:5">
      <c r="A19" s="58" t="s">
        <v>49</v>
      </c>
      <c r="B19" s="59" t="s">
        <v>25</v>
      </c>
      <c r="C19" s="60">
        <v>1</v>
      </c>
      <c r="D19" s="18"/>
      <c r="E19" s="18"/>
    </row>
    <row r="20" spans="1:5">
      <c r="A20" s="61" t="s">
        <v>99</v>
      </c>
      <c r="B20" s="114" t="s">
        <v>25</v>
      </c>
      <c r="C20" s="109">
        <f>C19*C17</f>
        <v>0</v>
      </c>
      <c r="D20" s="64"/>
      <c r="E20" s="65"/>
    </row>
    <row r="21" spans="1:5" ht="28.5" customHeight="1">
      <c r="A21" s="113" t="s">
        <v>98</v>
      </c>
      <c r="B21" s="114" t="s">
        <v>25</v>
      </c>
      <c r="C21" s="109">
        <f>IF(C29&gt;1,C20*C29,C20)</f>
        <v>0</v>
      </c>
      <c r="D21" s="64"/>
      <c r="E21" s="65"/>
    </row>
    <row r="22" spans="1:5" ht="28.5" customHeight="1">
      <c r="A22" s="113" t="s">
        <v>97</v>
      </c>
      <c r="B22" s="114" t="s">
        <v>25</v>
      </c>
      <c r="C22" s="109">
        <f>ROUND(LOOKUP(D6,{0,0.5001,0.7501,0.8501,1,1.0501,1.1001,1.3001},{0,0.85,0.9,0.95,1,1.05,1.1,1.15})*C21,)</f>
        <v>0</v>
      </c>
      <c r="D22" s="64"/>
      <c r="E22" s="65"/>
    </row>
    <row r="23" spans="1:5" ht="15.75" thickBot="1">
      <c r="A23" s="112" t="s">
        <v>51</v>
      </c>
      <c r="B23" s="115" t="s">
        <v>25</v>
      </c>
      <c r="C23" s="110">
        <f>C12+C22</f>
        <v>25000</v>
      </c>
      <c r="D23" s="51"/>
      <c r="E23" s="56"/>
    </row>
    <row r="27" spans="1:5">
      <c r="A27" s="101" t="s">
        <v>92</v>
      </c>
      <c r="B27" s="102" t="s">
        <v>94</v>
      </c>
      <c r="C27" s="102">
        <v>200</v>
      </c>
    </row>
    <row r="28" spans="1:5">
      <c r="A28" s="101"/>
      <c r="B28" s="102" t="s">
        <v>93</v>
      </c>
      <c r="C28" s="102">
        <v>210</v>
      </c>
    </row>
    <row r="29" spans="1:5">
      <c r="A29" s="103" t="s">
        <v>95</v>
      </c>
      <c r="B29" s="103"/>
      <c r="C29" s="116">
        <f>C28/C27</f>
        <v>1.05</v>
      </c>
    </row>
  </sheetData>
  <mergeCells count="6">
    <mergeCell ref="A18:C18"/>
    <mergeCell ref="A1:E1"/>
    <mergeCell ref="A8:C8"/>
    <mergeCell ref="A9:C9"/>
    <mergeCell ref="A10:C10"/>
    <mergeCell ref="A13:C13"/>
  </mergeCells>
  <pageMargins left="0" right="0" top="0" bottom="0" header="0.51181102362204722" footer="0.51181102362204722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6"/>
  <dimension ref="A1:E21"/>
  <sheetViews>
    <sheetView topLeftCell="A10" workbookViewId="0">
      <selection activeCell="D15" sqref="D15"/>
    </sheetView>
  </sheetViews>
  <sheetFormatPr defaultRowHeight="15"/>
  <cols>
    <col min="1" max="1" width="26.28515625" customWidth="1"/>
    <col min="2" max="2" width="14.28515625" customWidth="1"/>
    <col min="3" max="3" width="11.7109375" customWidth="1"/>
    <col min="4" max="4" width="17.42578125" customWidth="1"/>
  </cols>
  <sheetData>
    <row r="1" spans="1:5" ht="15.75">
      <c r="A1" s="203" t="s">
        <v>91</v>
      </c>
      <c r="B1" s="204"/>
      <c r="C1" s="204"/>
      <c r="D1" s="204"/>
      <c r="E1" s="205"/>
    </row>
    <row r="2" spans="1:5" ht="38.2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>
      <c r="A3" s="28" t="s">
        <v>33</v>
      </c>
      <c r="B3" s="104">
        <v>50000</v>
      </c>
      <c r="C3" s="96">
        <v>50000</v>
      </c>
      <c r="D3" s="29">
        <f>C3/B3</f>
        <v>1</v>
      </c>
      <c r="E3" s="30">
        <v>0.6</v>
      </c>
    </row>
    <row r="4" spans="1:5">
      <c r="A4" s="28" t="s">
        <v>89</v>
      </c>
      <c r="B4" s="104">
        <v>100</v>
      </c>
      <c r="C4" s="105">
        <v>100</v>
      </c>
      <c r="D4" s="31">
        <f>C4/B4</f>
        <v>1</v>
      </c>
      <c r="E4" s="32">
        <f>100%-E3</f>
        <v>0.4</v>
      </c>
    </row>
    <row r="5" spans="1:5" ht="38.25">
      <c r="A5" s="33" t="s">
        <v>35</v>
      </c>
      <c r="B5" s="34"/>
      <c r="C5" s="35"/>
      <c r="D5" s="36" t="str">
        <f>IF(OR(D3&lt;70%,D4&lt;70%),"Нет","Да")</f>
        <v>Да</v>
      </c>
      <c r="E5" s="37"/>
    </row>
    <row r="6" spans="1:5" ht="26.25" thickBot="1">
      <c r="A6" s="38" t="s">
        <v>36</v>
      </c>
      <c r="B6" s="39"/>
      <c r="C6" s="40"/>
      <c r="D6" s="100">
        <f>IF(D5="Да",D3*E3+D4*E4,MIN(D3:D4))</f>
        <v>1</v>
      </c>
      <c r="E6" s="42"/>
    </row>
    <row r="7" spans="1:5" ht="15.75" thickBot="1">
      <c r="A7" s="43"/>
      <c r="B7" s="43"/>
      <c r="C7" s="18"/>
      <c r="D7" s="18"/>
      <c r="E7" s="18"/>
    </row>
    <row r="8" spans="1:5" ht="15.75">
      <c r="A8" s="203" t="s">
        <v>52</v>
      </c>
      <c r="B8" s="204"/>
      <c r="C8" s="205"/>
      <c r="D8" s="18"/>
      <c r="E8" s="18"/>
    </row>
    <row r="9" spans="1:5" ht="15.75">
      <c r="A9" s="206" t="s">
        <v>38</v>
      </c>
      <c r="B9" s="207"/>
      <c r="C9" s="208"/>
      <c r="D9" s="18"/>
      <c r="E9" s="18"/>
    </row>
    <row r="10" spans="1:5">
      <c r="A10" s="200" t="s">
        <v>39</v>
      </c>
      <c r="B10" s="201"/>
      <c r="C10" s="202"/>
      <c r="D10" s="44"/>
      <c r="E10" s="18"/>
    </row>
    <row r="11" spans="1:5" ht="25.5">
      <c r="A11" s="45" t="s">
        <v>40</v>
      </c>
      <c r="B11" s="46" t="s">
        <v>41</v>
      </c>
      <c r="C11" s="99">
        <v>182</v>
      </c>
      <c r="D11" s="48"/>
      <c r="E11" s="48"/>
    </row>
    <row r="12" spans="1:5">
      <c r="A12" s="49" t="s">
        <v>42</v>
      </c>
      <c r="B12" s="24" t="s">
        <v>25</v>
      </c>
      <c r="C12" s="50">
        <v>118</v>
      </c>
      <c r="D12" s="51"/>
      <c r="E12" s="52"/>
    </row>
    <row r="13" spans="1:5">
      <c r="A13" s="200" t="s">
        <v>43</v>
      </c>
      <c r="B13" s="201"/>
      <c r="C13" s="202"/>
      <c r="D13" s="18"/>
      <c r="E13" s="18"/>
    </row>
    <row r="14" spans="1:5" ht="25.5">
      <c r="A14" s="28" t="s">
        <v>44</v>
      </c>
      <c r="B14" s="24" t="s">
        <v>45</v>
      </c>
      <c r="C14" s="53">
        <f>Категории!G8</f>
        <v>0</v>
      </c>
      <c r="D14" s="18"/>
      <c r="E14" s="18"/>
    </row>
    <row r="15" spans="1:5" ht="25.5">
      <c r="A15" s="28" t="s">
        <v>46</v>
      </c>
      <c r="B15" s="54" t="s">
        <v>26</v>
      </c>
      <c r="C15" s="75">
        <v>1</v>
      </c>
      <c r="D15" s="51"/>
      <c r="E15" s="56"/>
    </row>
    <row r="16" spans="1:5" ht="25.5">
      <c r="A16" s="28" t="s">
        <v>36</v>
      </c>
      <c r="B16" s="57" t="s">
        <v>26</v>
      </c>
      <c r="C16" s="55">
        <f>D6</f>
        <v>1</v>
      </c>
      <c r="D16" s="51"/>
      <c r="E16" s="56"/>
    </row>
    <row r="17" spans="1:5" ht="25.5">
      <c r="A17" s="28" t="s">
        <v>47</v>
      </c>
      <c r="B17" s="24" t="s">
        <v>45</v>
      </c>
      <c r="C17" s="53">
        <f>IF((C14*C15*C16)&gt;0,C14*C15*C16,0)</f>
        <v>0</v>
      </c>
      <c r="D17" s="51"/>
      <c r="E17" s="18"/>
    </row>
    <row r="18" spans="1:5">
      <c r="A18" s="200" t="s">
        <v>48</v>
      </c>
      <c r="B18" s="201"/>
      <c r="C18" s="202"/>
      <c r="D18" s="18"/>
      <c r="E18" s="18"/>
    </row>
    <row r="19" spans="1:5">
      <c r="A19" s="58" t="s">
        <v>49</v>
      </c>
      <c r="B19" s="59" t="s">
        <v>25</v>
      </c>
      <c r="C19" s="60">
        <v>1</v>
      </c>
      <c r="D19" s="18"/>
      <c r="E19" s="18"/>
    </row>
    <row r="20" spans="1:5" ht="25.5">
      <c r="A20" s="61" t="s">
        <v>50</v>
      </c>
      <c r="B20" s="62" t="s">
        <v>25</v>
      </c>
      <c r="C20" s="63">
        <f>C19*C17</f>
        <v>0</v>
      </c>
      <c r="D20" s="64"/>
      <c r="E20" s="65"/>
    </row>
    <row r="21" spans="1:5" ht="16.5" thickBot="1">
      <c r="A21" s="66" t="s">
        <v>51</v>
      </c>
      <c r="B21" s="67" t="s">
        <v>25</v>
      </c>
      <c r="C21" s="68">
        <f>C12+C20</f>
        <v>118</v>
      </c>
      <c r="D21" s="51"/>
      <c r="E21" s="56"/>
    </row>
  </sheetData>
  <mergeCells count="6"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7">
    <tabColor rgb="FFFFFF00"/>
    <pageSetUpPr fitToPage="1"/>
  </sheetPr>
  <dimension ref="A1:I10"/>
  <sheetViews>
    <sheetView workbookViewId="0">
      <selection activeCell="E8" sqref="E8"/>
    </sheetView>
  </sheetViews>
  <sheetFormatPr defaultColWidth="9.140625" defaultRowHeight="15"/>
  <cols>
    <col min="1" max="1" width="40.7109375" style="19" customWidth="1"/>
    <col min="2" max="2" width="13" style="19" customWidth="1"/>
    <col min="3" max="3" width="14.28515625" style="19" customWidth="1"/>
    <col min="4" max="7" width="13.5703125" style="19" customWidth="1"/>
    <col min="8" max="16384" width="9.140625" style="19"/>
  </cols>
  <sheetData>
    <row r="1" spans="1:9">
      <c r="A1" s="15"/>
      <c r="B1" s="15"/>
      <c r="C1" s="16"/>
      <c r="D1" s="17"/>
      <c r="E1" s="17"/>
      <c r="F1" s="18"/>
      <c r="G1" s="18"/>
      <c r="H1" s="18"/>
      <c r="I1" s="77"/>
    </row>
    <row r="2" spans="1:9" ht="20.25" customHeight="1">
      <c r="A2" s="214" t="s">
        <v>16</v>
      </c>
      <c r="B2" s="215"/>
      <c r="C2" s="215"/>
      <c r="D2" s="215"/>
      <c r="E2" s="215"/>
      <c r="F2" s="215"/>
      <c r="G2" s="216"/>
      <c r="H2" s="18"/>
      <c r="I2" s="77"/>
    </row>
    <row r="3" spans="1:9" ht="16.5" customHeight="1">
      <c r="A3" s="217" t="s">
        <v>17</v>
      </c>
      <c r="B3" s="217"/>
      <c r="C3" s="218" t="s">
        <v>18</v>
      </c>
      <c r="D3" s="217" t="s">
        <v>19</v>
      </c>
      <c r="E3" s="217"/>
      <c r="F3" s="217"/>
      <c r="G3" s="219"/>
      <c r="H3" s="18"/>
      <c r="I3" s="77"/>
    </row>
    <row r="4" spans="1:9" ht="16.5" customHeight="1">
      <c r="A4" s="217"/>
      <c r="B4" s="217"/>
      <c r="C4" s="218"/>
      <c r="D4" s="20">
        <v>1</v>
      </c>
      <c r="E4" s="20">
        <v>2</v>
      </c>
      <c r="F4" s="20">
        <v>3</v>
      </c>
      <c r="G4" s="20">
        <v>4</v>
      </c>
      <c r="H4" s="18"/>
      <c r="I4" s="77"/>
    </row>
    <row r="5" spans="1:9" ht="33.75" customHeight="1">
      <c r="A5" s="217"/>
      <c r="B5" s="217"/>
      <c r="C5" s="218"/>
      <c r="D5" s="20" t="s">
        <v>20</v>
      </c>
      <c r="E5" s="20" t="s">
        <v>21</v>
      </c>
      <c r="F5" s="20" t="s">
        <v>22</v>
      </c>
      <c r="G5" s="20" t="s">
        <v>23</v>
      </c>
      <c r="H5" s="18"/>
      <c r="I5" s="77"/>
    </row>
    <row r="6" spans="1:9" ht="16.5" customHeight="1">
      <c r="A6" s="228" t="s">
        <v>24</v>
      </c>
      <c r="B6" s="229"/>
      <c r="C6" s="21"/>
      <c r="D6" s="230">
        <v>50000</v>
      </c>
      <c r="E6" s="230">
        <v>45000</v>
      </c>
      <c r="F6" s="230">
        <v>15000</v>
      </c>
      <c r="G6" s="230">
        <f>SUM(G7:G8)</f>
        <v>25000</v>
      </c>
      <c r="H6" s="18"/>
      <c r="I6" s="77"/>
    </row>
    <row r="7" spans="1:9" ht="16.5" customHeight="1">
      <c r="A7" s="220" t="s">
        <v>132</v>
      </c>
      <c r="B7" s="213"/>
      <c r="C7" s="23">
        <v>0.4</v>
      </c>
      <c r="D7" s="22">
        <f>D6*0.6</f>
        <v>30000</v>
      </c>
      <c r="E7" s="22">
        <v>18000</v>
      </c>
      <c r="F7" s="22">
        <v>15000</v>
      </c>
      <c r="G7" s="22">
        <v>25000</v>
      </c>
      <c r="H7" s="18"/>
      <c r="I7" s="77"/>
    </row>
    <row r="8" spans="1:9" ht="16.5" customHeight="1">
      <c r="A8" s="212" t="s">
        <v>133</v>
      </c>
      <c r="B8" s="213"/>
      <c r="C8" s="23">
        <f>100%-C7</f>
        <v>0.6</v>
      </c>
      <c r="D8" s="22">
        <f>D6*0.4</f>
        <v>20000</v>
      </c>
      <c r="E8" s="22">
        <v>27000</v>
      </c>
      <c r="F8" s="22">
        <v>0</v>
      </c>
      <c r="G8" s="22">
        <v>0</v>
      </c>
      <c r="H8" s="18"/>
      <c r="I8" s="77"/>
    </row>
    <row r="10" spans="1:9">
      <c r="E10" s="180"/>
    </row>
  </sheetData>
  <mergeCells count="7">
    <mergeCell ref="A8:B8"/>
    <mergeCell ref="A2:G2"/>
    <mergeCell ref="A3:B5"/>
    <mergeCell ref="C3:C5"/>
    <mergeCell ref="D3:G3"/>
    <mergeCell ref="A6:B6"/>
    <mergeCell ref="A7:B7"/>
  </mergeCells>
  <pageMargins left="0" right="0" top="0" bottom="0" header="0.51181102362204722" footer="0.51181102362204722"/>
  <pageSetup paperSize="9" scale="8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436"/>
  <sheetViews>
    <sheetView workbookViewId="0">
      <selection sqref="A1:A436"/>
    </sheetView>
  </sheetViews>
  <sheetFormatPr defaultRowHeight="15"/>
  <sheetData>
    <row r="1" spans="1:1">
      <c r="A1" s="193"/>
    </row>
    <row r="2" spans="1:1">
      <c r="A2" s="193"/>
    </row>
    <row r="3" spans="1:1">
      <c r="A3" s="193"/>
    </row>
    <row r="4" spans="1:1">
      <c r="A4" s="193"/>
    </row>
    <row r="5" spans="1:1">
      <c r="A5" s="193"/>
    </row>
    <row r="6" spans="1:1">
      <c r="A6" s="193"/>
    </row>
    <row r="7" spans="1:1">
      <c r="A7" s="193"/>
    </row>
    <row r="8" spans="1:1">
      <c r="A8" s="193"/>
    </row>
    <row r="9" spans="1:1">
      <c r="A9" s="193"/>
    </row>
    <row r="10" spans="1:1">
      <c r="A10" s="193"/>
    </row>
    <row r="11" spans="1:1">
      <c r="A11" s="193"/>
    </row>
    <row r="12" spans="1:1">
      <c r="A12" s="193"/>
    </row>
    <row r="13" spans="1:1">
      <c r="A13" s="193"/>
    </row>
    <row r="14" spans="1:1">
      <c r="A14" s="193"/>
    </row>
    <row r="15" spans="1:1">
      <c r="A15" s="193"/>
    </row>
    <row r="16" spans="1:1">
      <c r="A16" s="193"/>
    </row>
    <row r="17" spans="1:1">
      <c r="A17" s="193"/>
    </row>
    <row r="18" spans="1:1">
      <c r="A18" s="193"/>
    </row>
    <row r="19" spans="1:1">
      <c r="A19" s="193"/>
    </row>
    <row r="20" spans="1:1">
      <c r="A20" s="193"/>
    </row>
    <row r="21" spans="1:1">
      <c r="A21" s="193"/>
    </row>
    <row r="22" spans="1:1">
      <c r="A22" s="193"/>
    </row>
    <row r="23" spans="1:1">
      <c r="A23" s="193"/>
    </row>
    <row r="24" spans="1:1">
      <c r="A24" s="193"/>
    </row>
    <row r="25" spans="1:1">
      <c r="A25" s="193"/>
    </row>
    <row r="26" spans="1:1">
      <c r="A26" s="193"/>
    </row>
    <row r="27" spans="1:1">
      <c r="A27" s="193"/>
    </row>
    <row r="28" spans="1:1">
      <c r="A28" s="193"/>
    </row>
    <row r="29" spans="1:1">
      <c r="A29" s="193"/>
    </row>
    <row r="30" spans="1:1">
      <c r="A30" s="193"/>
    </row>
    <row r="31" spans="1:1">
      <c r="A31" s="193"/>
    </row>
    <row r="32" spans="1:1">
      <c r="A32" s="193"/>
    </row>
    <row r="33" spans="1:1">
      <c r="A33" s="193"/>
    </row>
    <row r="34" spans="1:1">
      <c r="A34" s="193"/>
    </row>
    <row r="35" spans="1:1">
      <c r="A35" s="193"/>
    </row>
    <row r="36" spans="1:1">
      <c r="A36" s="193"/>
    </row>
    <row r="37" spans="1:1">
      <c r="A37" s="193"/>
    </row>
    <row r="38" spans="1:1">
      <c r="A38" s="193"/>
    </row>
    <row r="39" spans="1:1">
      <c r="A39" s="193"/>
    </row>
    <row r="40" spans="1:1">
      <c r="A40" s="193"/>
    </row>
    <row r="41" spans="1:1">
      <c r="A41" s="193"/>
    </row>
    <row r="42" spans="1:1">
      <c r="A42" s="193"/>
    </row>
    <row r="43" spans="1:1">
      <c r="A43" s="193"/>
    </row>
    <row r="44" spans="1:1">
      <c r="A44" s="193"/>
    </row>
    <row r="45" spans="1:1">
      <c r="A45" s="193"/>
    </row>
    <row r="46" spans="1:1">
      <c r="A46" s="193"/>
    </row>
    <row r="47" spans="1:1">
      <c r="A47" s="193"/>
    </row>
    <row r="48" spans="1:1">
      <c r="A48" s="193"/>
    </row>
    <row r="49" spans="1:1">
      <c r="A49" s="193"/>
    </row>
    <row r="50" spans="1:1">
      <c r="A50" s="193"/>
    </row>
    <row r="51" spans="1:1">
      <c r="A51" s="193"/>
    </row>
    <row r="52" spans="1:1">
      <c r="A52" s="193"/>
    </row>
    <row r="53" spans="1:1">
      <c r="A53" s="193"/>
    </row>
    <row r="54" spans="1:1">
      <c r="A54" s="193"/>
    </row>
    <row r="55" spans="1:1">
      <c r="A55" s="193"/>
    </row>
    <row r="56" spans="1:1">
      <c r="A56" s="193"/>
    </row>
    <row r="57" spans="1:1">
      <c r="A57" s="193"/>
    </row>
    <row r="58" spans="1:1">
      <c r="A58" s="193"/>
    </row>
    <row r="59" spans="1:1">
      <c r="A59" s="193"/>
    </row>
    <row r="60" spans="1:1">
      <c r="A60" s="193"/>
    </row>
    <row r="61" spans="1:1">
      <c r="A61" s="193"/>
    </row>
    <row r="62" spans="1:1">
      <c r="A62" s="193"/>
    </row>
    <row r="63" spans="1:1">
      <c r="A63" s="193"/>
    </row>
    <row r="64" spans="1:1">
      <c r="A64" s="193"/>
    </row>
    <row r="65" spans="1:1">
      <c r="A65" s="193"/>
    </row>
    <row r="66" spans="1:1">
      <c r="A66" s="193"/>
    </row>
    <row r="67" spans="1:1">
      <c r="A67" s="193"/>
    </row>
    <row r="68" spans="1:1">
      <c r="A68" s="193"/>
    </row>
    <row r="69" spans="1:1">
      <c r="A69" s="193"/>
    </row>
    <row r="70" spans="1:1">
      <c r="A70" s="193"/>
    </row>
    <row r="71" spans="1:1">
      <c r="A71" s="193"/>
    </row>
    <row r="72" spans="1:1">
      <c r="A72" s="193"/>
    </row>
    <row r="73" spans="1:1">
      <c r="A73" s="193"/>
    </row>
    <row r="74" spans="1:1">
      <c r="A74" s="193"/>
    </row>
    <row r="75" spans="1:1">
      <c r="A75" s="193"/>
    </row>
    <row r="76" spans="1:1">
      <c r="A76" s="193"/>
    </row>
    <row r="77" spans="1:1">
      <c r="A77" s="193"/>
    </row>
    <row r="78" spans="1:1">
      <c r="A78" s="193"/>
    </row>
    <row r="79" spans="1:1">
      <c r="A79" s="193"/>
    </row>
    <row r="80" spans="1:1">
      <c r="A80" s="193"/>
    </row>
    <row r="81" spans="1:1">
      <c r="A81" s="193"/>
    </row>
    <row r="82" spans="1:1">
      <c r="A82" s="193"/>
    </row>
    <row r="83" spans="1:1">
      <c r="A83" s="193"/>
    </row>
    <row r="84" spans="1:1">
      <c r="A84" s="193"/>
    </row>
    <row r="85" spans="1:1">
      <c r="A85" s="193"/>
    </row>
    <row r="86" spans="1:1">
      <c r="A86" s="193"/>
    </row>
    <row r="87" spans="1:1">
      <c r="A87" s="193"/>
    </row>
    <row r="88" spans="1:1">
      <c r="A88" s="193"/>
    </row>
    <row r="89" spans="1:1">
      <c r="A89" s="193"/>
    </row>
    <row r="90" spans="1:1">
      <c r="A90" s="193"/>
    </row>
    <row r="91" spans="1:1">
      <c r="A91" s="193"/>
    </row>
    <row r="92" spans="1:1">
      <c r="A92" s="193"/>
    </row>
    <row r="93" spans="1:1">
      <c r="A93" s="193"/>
    </row>
    <row r="94" spans="1:1">
      <c r="A94" s="193"/>
    </row>
    <row r="95" spans="1:1">
      <c r="A95" s="193"/>
    </row>
    <row r="96" spans="1:1">
      <c r="A96" s="193"/>
    </row>
    <row r="97" spans="1:1">
      <c r="A97" s="193"/>
    </row>
    <row r="98" spans="1:1">
      <c r="A98" s="193"/>
    </row>
    <row r="99" spans="1:1">
      <c r="A99" s="193"/>
    </row>
    <row r="100" spans="1:1">
      <c r="A100" s="193"/>
    </row>
    <row r="101" spans="1:1">
      <c r="A101" s="193"/>
    </row>
    <row r="102" spans="1:1">
      <c r="A102" s="193"/>
    </row>
    <row r="103" spans="1:1">
      <c r="A103" s="193"/>
    </row>
    <row r="104" spans="1:1">
      <c r="A104" s="193"/>
    </row>
    <row r="105" spans="1:1">
      <c r="A105" s="193"/>
    </row>
    <row r="106" spans="1:1">
      <c r="A106" s="193"/>
    </row>
    <row r="107" spans="1:1">
      <c r="A107" s="193"/>
    </row>
    <row r="108" spans="1:1">
      <c r="A108" s="193"/>
    </row>
    <row r="109" spans="1:1">
      <c r="A109" s="193"/>
    </row>
    <row r="110" spans="1:1">
      <c r="A110" s="193"/>
    </row>
    <row r="111" spans="1:1">
      <c r="A111" s="193"/>
    </row>
    <row r="112" spans="1:1">
      <c r="A112" s="193"/>
    </row>
    <row r="113" spans="1:1">
      <c r="A113" s="193"/>
    </row>
    <row r="114" spans="1:1">
      <c r="A114" s="193"/>
    </row>
    <row r="115" spans="1:1">
      <c r="A115" s="193"/>
    </row>
    <row r="116" spans="1:1">
      <c r="A116" s="193"/>
    </row>
    <row r="117" spans="1:1">
      <c r="A117" s="193"/>
    </row>
    <row r="118" spans="1:1">
      <c r="A118" s="193"/>
    </row>
    <row r="119" spans="1:1">
      <c r="A119" s="193"/>
    </row>
    <row r="120" spans="1:1">
      <c r="A120" s="193"/>
    </row>
    <row r="121" spans="1:1">
      <c r="A121" s="193"/>
    </row>
    <row r="122" spans="1:1">
      <c r="A122" s="193"/>
    </row>
    <row r="123" spans="1:1">
      <c r="A123" s="193"/>
    </row>
    <row r="124" spans="1:1">
      <c r="A124" s="193"/>
    </row>
    <row r="125" spans="1:1">
      <c r="A125" s="193"/>
    </row>
    <row r="126" spans="1:1">
      <c r="A126" s="193"/>
    </row>
    <row r="127" spans="1:1">
      <c r="A127" s="193"/>
    </row>
    <row r="128" spans="1:1">
      <c r="A128" s="193"/>
    </row>
    <row r="129" spans="1:1">
      <c r="A129" s="193"/>
    </row>
    <row r="130" spans="1:1">
      <c r="A130" s="193"/>
    </row>
    <row r="131" spans="1:1">
      <c r="A131" s="193"/>
    </row>
    <row r="132" spans="1:1">
      <c r="A132" s="193"/>
    </row>
    <row r="133" spans="1:1">
      <c r="A133" s="193"/>
    </row>
    <row r="134" spans="1:1">
      <c r="A134" s="193"/>
    </row>
    <row r="135" spans="1:1">
      <c r="A135" s="193"/>
    </row>
    <row r="136" spans="1:1">
      <c r="A136" s="193"/>
    </row>
    <row r="137" spans="1:1">
      <c r="A137" s="193"/>
    </row>
    <row r="138" spans="1:1">
      <c r="A138" s="193"/>
    </row>
    <row r="139" spans="1:1">
      <c r="A139" s="193"/>
    </row>
    <row r="140" spans="1:1">
      <c r="A140" s="193"/>
    </row>
    <row r="141" spans="1:1">
      <c r="A141" s="193"/>
    </row>
    <row r="142" spans="1:1">
      <c r="A142" s="193"/>
    </row>
    <row r="143" spans="1:1">
      <c r="A143" s="193"/>
    </row>
    <row r="144" spans="1:1">
      <c r="A144" s="193"/>
    </row>
    <row r="145" spans="1:1">
      <c r="A145" s="193"/>
    </row>
    <row r="146" spans="1:1">
      <c r="A146" s="193"/>
    </row>
    <row r="147" spans="1:1">
      <c r="A147" s="193"/>
    </row>
    <row r="148" spans="1:1">
      <c r="A148" s="193"/>
    </row>
    <row r="149" spans="1:1">
      <c r="A149" s="193"/>
    </row>
    <row r="150" spans="1:1">
      <c r="A150" s="193"/>
    </row>
    <row r="151" spans="1:1">
      <c r="A151" s="193"/>
    </row>
    <row r="152" spans="1:1">
      <c r="A152" s="193"/>
    </row>
    <row r="153" spans="1:1">
      <c r="A153" s="193"/>
    </row>
    <row r="154" spans="1:1">
      <c r="A154" s="193"/>
    </row>
    <row r="155" spans="1:1">
      <c r="A155" s="193"/>
    </row>
    <row r="156" spans="1:1">
      <c r="A156" s="193"/>
    </row>
    <row r="157" spans="1:1">
      <c r="A157" s="193"/>
    </row>
    <row r="158" spans="1:1">
      <c r="A158" s="193"/>
    </row>
    <row r="159" spans="1:1">
      <c r="A159" s="193"/>
    </row>
    <row r="160" spans="1:1">
      <c r="A160" s="193"/>
    </row>
    <row r="161" spans="1:1">
      <c r="A161" s="193"/>
    </row>
    <row r="162" spans="1:1">
      <c r="A162" s="193"/>
    </row>
    <row r="163" spans="1:1">
      <c r="A163" s="193"/>
    </row>
    <row r="164" spans="1:1">
      <c r="A164" s="193"/>
    </row>
    <row r="165" spans="1:1">
      <c r="A165" s="193"/>
    </row>
    <row r="166" spans="1:1">
      <c r="A166" s="193"/>
    </row>
    <row r="167" spans="1:1">
      <c r="A167" s="193"/>
    </row>
    <row r="168" spans="1:1">
      <c r="A168" s="193"/>
    </row>
    <row r="169" spans="1:1">
      <c r="A169" s="193"/>
    </row>
    <row r="170" spans="1:1">
      <c r="A170" s="193"/>
    </row>
    <row r="171" spans="1:1">
      <c r="A171" s="193"/>
    </row>
    <row r="172" spans="1:1">
      <c r="A172" s="193"/>
    </row>
    <row r="173" spans="1:1">
      <c r="A173" s="193"/>
    </row>
    <row r="174" spans="1:1">
      <c r="A174" s="193"/>
    </row>
    <row r="175" spans="1:1">
      <c r="A175" s="193"/>
    </row>
    <row r="176" spans="1:1">
      <c r="A176" s="193"/>
    </row>
    <row r="177" spans="1:1">
      <c r="A177" s="193"/>
    </row>
    <row r="178" spans="1:1">
      <c r="A178" s="193"/>
    </row>
    <row r="179" spans="1:1">
      <c r="A179" s="193"/>
    </row>
    <row r="180" spans="1:1">
      <c r="A180" s="193"/>
    </row>
    <row r="181" spans="1:1">
      <c r="A181" s="193"/>
    </row>
    <row r="182" spans="1:1">
      <c r="A182" s="193"/>
    </row>
    <row r="183" spans="1:1">
      <c r="A183" s="193"/>
    </row>
    <row r="184" spans="1:1">
      <c r="A184" s="193"/>
    </row>
    <row r="185" spans="1:1">
      <c r="A185" s="193"/>
    </row>
    <row r="186" spans="1:1">
      <c r="A186" s="193"/>
    </row>
    <row r="187" spans="1:1">
      <c r="A187" s="193"/>
    </row>
    <row r="188" spans="1:1">
      <c r="A188" s="193"/>
    </row>
    <row r="189" spans="1:1">
      <c r="A189" s="193"/>
    </row>
    <row r="190" spans="1:1">
      <c r="A190" s="193"/>
    </row>
    <row r="191" spans="1:1">
      <c r="A191" s="193"/>
    </row>
    <row r="192" spans="1:1">
      <c r="A192" s="193"/>
    </row>
    <row r="193" spans="1:1">
      <c r="A193" s="193"/>
    </row>
    <row r="194" spans="1:1">
      <c r="A194" s="193"/>
    </row>
    <row r="195" spans="1:1">
      <c r="A195" s="193"/>
    </row>
    <row r="196" spans="1:1">
      <c r="A196" s="193"/>
    </row>
    <row r="197" spans="1:1">
      <c r="A197" s="193"/>
    </row>
    <row r="198" spans="1:1">
      <c r="A198" s="193"/>
    </row>
    <row r="199" spans="1:1">
      <c r="A199" s="193"/>
    </row>
    <row r="200" spans="1:1">
      <c r="A200" s="193"/>
    </row>
    <row r="201" spans="1:1">
      <c r="A201" s="193"/>
    </row>
    <row r="202" spans="1:1">
      <c r="A202" s="193"/>
    </row>
    <row r="203" spans="1:1">
      <c r="A203" s="193"/>
    </row>
    <row r="204" spans="1:1">
      <c r="A204" s="193"/>
    </row>
    <row r="205" spans="1:1">
      <c r="A205" s="193"/>
    </row>
    <row r="206" spans="1:1">
      <c r="A206" s="193"/>
    </row>
    <row r="207" spans="1:1">
      <c r="A207" s="193"/>
    </row>
    <row r="208" spans="1:1">
      <c r="A208" s="193"/>
    </row>
    <row r="209" spans="1:1">
      <c r="A209" s="193"/>
    </row>
    <row r="210" spans="1:1">
      <c r="A210" s="193"/>
    </row>
    <row r="211" spans="1:1">
      <c r="A211" s="193"/>
    </row>
    <row r="212" spans="1:1">
      <c r="A212" s="193"/>
    </row>
    <row r="213" spans="1:1">
      <c r="A213" s="193"/>
    </row>
    <row r="214" spans="1:1">
      <c r="A214" s="193"/>
    </row>
    <row r="215" spans="1:1">
      <c r="A215" s="193"/>
    </row>
    <row r="216" spans="1:1">
      <c r="A216" s="193"/>
    </row>
    <row r="217" spans="1:1">
      <c r="A217" s="193"/>
    </row>
    <row r="218" spans="1:1">
      <c r="A218" s="193"/>
    </row>
    <row r="219" spans="1:1">
      <c r="A219" s="193"/>
    </row>
    <row r="220" spans="1:1">
      <c r="A220" s="193"/>
    </row>
    <row r="221" spans="1:1">
      <c r="A221" s="193"/>
    </row>
    <row r="222" spans="1:1">
      <c r="A222" s="193"/>
    </row>
    <row r="223" spans="1:1">
      <c r="A223" s="193"/>
    </row>
    <row r="224" spans="1:1">
      <c r="A224" s="193"/>
    </row>
    <row r="225" spans="1:1">
      <c r="A225" s="193"/>
    </row>
    <row r="226" spans="1:1">
      <c r="A226" s="193"/>
    </row>
    <row r="227" spans="1:1">
      <c r="A227" s="193"/>
    </row>
    <row r="228" spans="1:1">
      <c r="A228" s="193"/>
    </row>
    <row r="229" spans="1:1">
      <c r="A229" s="193"/>
    </row>
    <row r="230" spans="1:1">
      <c r="A230" s="193"/>
    </row>
    <row r="231" spans="1:1">
      <c r="A231" s="193"/>
    </row>
    <row r="232" spans="1:1">
      <c r="A232" s="193"/>
    </row>
    <row r="233" spans="1:1">
      <c r="A233" s="193"/>
    </row>
    <row r="234" spans="1:1">
      <c r="A234" s="193"/>
    </row>
    <row r="235" spans="1:1">
      <c r="A235" s="193"/>
    </row>
    <row r="236" spans="1:1">
      <c r="A236" s="193"/>
    </row>
    <row r="237" spans="1:1">
      <c r="A237" s="193"/>
    </row>
    <row r="238" spans="1:1">
      <c r="A238" s="193"/>
    </row>
    <row r="239" spans="1:1">
      <c r="A239" s="193"/>
    </row>
    <row r="240" spans="1:1">
      <c r="A240" s="193"/>
    </row>
    <row r="241" spans="1:1">
      <c r="A241" s="193"/>
    </row>
    <row r="242" spans="1:1">
      <c r="A242" s="193"/>
    </row>
    <row r="243" spans="1:1">
      <c r="A243" s="193"/>
    </row>
    <row r="244" spans="1:1">
      <c r="A244" s="193"/>
    </row>
    <row r="245" spans="1:1">
      <c r="A245" s="193"/>
    </row>
    <row r="246" spans="1:1">
      <c r="A246" s="193"/>
    </row>
    <row r="247" spans="1:1">
      <c r="A247" s="193"/>
    </row>
    <row r="248" spans="1:1">
      <c r="A248" s="193"/>
    </row>
    <row r="249" spans="1:1">
      <c r="A249" s="193"/>
    </row>
    <row r="250" spans="1:1">
      <c r="A250" s="193"/>
    </row>
    <row r="251" spans="1:1">
      <c r="A251" s="193"/>
    </row>
    <row r="252" spans="1:1">
      <c r="A252" s="193"/>
    </row>
    <row r="253" spans="1:1">
      <c r="A253" s="193"/>
    </row>
    <row r="254" spans="1:1">
      <c r="A254" s="193"/>
    </row>
    <row r="255" spans="1:1">
      <c r="A255" s="193"/>
    </row>
    <row r="256" spans="1:1">
      <c r="A256" s="193"/>
    </row>
    <row r="257" spans="1:1">
      <c r="A257" s="193"/>
    </row>
    <row r="258" spans="1:1">
      <c r="A258" s="193"/>
    </row>
    <row r="259" spans="1:1">
      <c r="A259" s="193"/>
    </row>
    <row r="260" spans="1:1">
      <c r="A260" s="193"/>
    </row>
    <row r="261" spans="1:1">
      <c r="A261" s="193"/>
    </row>
    <row r="262" spans="1:1">
      <c r="A262" s="193"/>
    </row>
    <row r="263" spans="1:1">
      <c r="A263" s="193"/>
    </row>
    <row r="264" spans="1:1">
      <c r="A264" s="193"/>
    </row>
    <row r="265" spans="1:1">
      <c r="A265" s="193"/>
    </row>
    <row r="266" spans="1:1">
      <c r="A266" s="193"/>
    </row>
    <row r="267" spans="1:1">
      <c r="A267" s="193"/>
    </row>
    <row r="268" spans="1:1">
      <c r="A268" s="193"/>
    </row>
    <row r="269" spans="1:1">
      <c r="A269" s="193"/>
    </row>
    <row r="270" spans="1:1">
      <c r="A270" s="193"/>
    </row>
    <row r="271" spans="1:1">
      <c r="A271" s="193"/>
    </row>
    <row r="272" spans="1:1">
      <c r="A272" s="193"/>
    </row>
    <row r="273" spans="1:1">
      <c r="A273" s="193"/>
    </row>
    <row r="274" spans="1:1">
      <c r="A274" s="193"/>
    </row>
    <row r="275" spans="1:1">
      <c r="A275" s="193"/>
    </row>
    <row r="276" spans="1:1">
      <c r="A276" s="193"/>
    </row>
    <row r="277" spans="1:1">
      <c r="A277" s="193"/>
    </row>
    <row r="278" spans="1:1">
      <c r="A278" s="193"/>
    </row>
    <row r="279" spans="1:1">
      <c r="A279" s="193"/>
    </row>
    <row r="280" spans="1:1">
      <c r="A280" s="193"/>
    </row>
    <row r="281" spans="1:1">
      <c r="A281" s="193"/>
    </row>
    <row r="282" spans="1:1">
      <c r="A282" s="193"/>
    </row>
    <row r="283" spans="1:1">
      <c r="A283" s="193"/>
    </row>
    <row r="284" spans="1:1">
      <c r="A284" s="193"/>
    </row>
    <row r="285" spans="1:1">
      <c r="A285" s="193"/>
    </row>
    <row r="286" spans="1:1">
      <c r="A286" s="193"/>
    </row>
    <row r="287" spans="1:1">
      <c r="A287" s="193"/>
    </row>
    <row r="288" spans="1:1">
      <c r="A288" s="193"/>
    </row>
    <row r="289" spans="1:1">
      <c r="A289" s="193"/>
    </row>
    <row r="290" spans="1:1">
      <c r="A290" s="193"/>
    </row>
    <row r="291" spans="1:1">
      <c r="A291" s="193"/>
    </row>
    <row r="292" spans="1:1">
      <c r="A292" s="193"/>
    </row>
    <row r="293" spans="1:1">
      <c r="A293" s="193"/>
    </row>
    <row r="294" spans="1:1">
      <c r="A294" s="193"/>
    </row>
    <row r="295" spans="1:1">
      <c r="A295" s="193"/>
    </row>
    <row r="296" spans="1:1">
      <c r="A296" s="193"/>
    </row>
    <row r="297" spans="1:1">
      <c r="A297" s="193"/>
    </row>
    <row r="298" spans="1:1">
      <c r="A298" s="193"/>
    </row>
    <row r="299" spans="1:1">
      <c r="A299" s="193"/>
    </row>
    <row r="300" spans="1:1">
      <c r="A300" s="193"/>
    </row>
    <row r="301" spans="1:1">
      <c r="A301" s="193"/>
    </row>
    <row r="302" spans="1:1">
      <c r="A302" s="193"/>
    </row>
    <row r="303" spans="1:1">
      <c r="A303" s="193"/>
    </row>
    <row r="304" spans="1:1">
      <c r="A304" s="193"/>
    </row>
    <row r="305" spans="1:1">
      <c r="A305" s="193"/>
    </row>
    <row r="306" spans="1:1">
      <c r="A306" s="193"/>
    </row>
    <row r="307" spans="1:1">
      <c r="A307" s="193"/>
    </row>
    <row r="308" spans="1:1">
      <c r="A308" s="193"/>
    </row>
    <row r="309" spans="1:1">
      <c r="A309" s="193"/>
    </row>
    <row r="310" spans="1:1">
      <c r="A310" s="193"/>
    </row>
    <row r="311" spans="1:1">
      <c r="A311" s="193"/>
    </row>
    <row r="312" spans="1:1">
      <c r="A312" s="193"/>
    </row>
    <row r="313" spans="1:1">
      <c r="A313" s="193"/>
    </row>
    <row r="314" spans="1:1">
      <c r="A314" s="193"/>
    </row>
    <row r="315" spans="1:1">
      <c r="A315" s="193"/>
    </row>
    <row r="316" spans="1:1">
      <c r="A316" s="193"/>
    </row>
    <row r="317" spans="1:1">
      <c r="A317" s="193"/>
    </row>
    <row r="318" spans="1:1">
      <c r="A318" s="193"/>
    </row>
    <row r="319" spans="1:1">
      <c r="A319" s="193"/>
    </row>
    <row r="320" spans="1:1">
      <c r="A320" s="193"/>
    </row>
    <row r="321" spans="1:1">
      <c r="A321" s="193"/>
    </row>
    <row r="322" spans="1:1">
      <c r="A322" s="193"/>
    </row>
    <row r="323" spans="1:1">
      <c r="A323" s="193"/>
    </row>
    <row r="324" spans="1:1">
      <c r="A324" s="193"/>
    </row>
    <row r="325" spans="1:1">
      <c r="A325" s="193"/>
    </row>
    <row r="326" spans="1:1">
      <c r="A326" s="193"/>
    </row>
    <row r="327" spans="1:1">
      <c r="A327" s="193"/>
    </row>
    <row r="328" spans="1:1">
      <c r="A328" s="193"/>
    </row>
    <row r="329" spans="1:1">
      <c r="A329" s="193"/>
    </row>
    <row r="330" spans="1:1">
      <c r="A330" s="193"/>
    </row>
    <row r="331" spans="1:1">
      <c r="A331" s="193"/>
    </row>
    <row r="332" spans="1:1">
      <c r="A332" s="193"/>
    </row>
    <row r="333" spans="1:1">
      <c r="A333" s="193"/>
    </row>
    <row r="334" spans="1:1">
      <c r="A334" s="193"/>
    </row>
    <row r="335" spans="1:1">
      <c r="A335" s="193"/>
    </row>
    <row r="336" spans="1:1">
      <c r="A336" s="193"/>
    </row>
    <row r="337" spans="1:1">
      <c r="A337" s="193"/>
    </row>
    <row r="338" spans="1:1">
      <c r="A338" s="193"/>
    </row>
    <row r="339" spans="1:1">
      <c r="A339" s="193"/>
    </row>
    <row r="340" spans="1:1">
      <c r="A340" s="193"/>
    </row>
    <row r="341" spans="1:1">
      <c r="A341" s="193"/>
    </row>
    <row r="342" spans="1:1">
      <c r="A342" s="193"/>
    </row>
    <row r="343" spans="1:1">
      <c r="A343" s="193"/>
    </row>
    <row r="344" spans="1:1">
      <c r="A344" s="193"/>
    </row>
    <row r="345" spans="1:1">
      <c r="A345" s="193"/>
    </row>
    <row r="346" spans="1:1">
      <c r="A346" s="193"/>
    </row>
    <row r="347" spans="1:1">
      <c r="A347" s="193"/>
    </row>
    <row r="348" spans="1:1">
      <c r="A348" s="193"/>
    </row>
    <row r="349" spans="1:1">
      <c r="A349" s="193"/>
    </row>
    <row r="350" spans="1:1">
      <c r="A350" s="193"/>
    </row>
    <row r="351" spans="1:1">
      <c r="A351" s="193"/>
    </row>
    <row r="352" spans="1:1">
      <c r="A352" s="193"/>
    </row>
    <row r="353" spans="1:1">
      <c r="A353" s="193"/>
    </row>
    <row r="354" spans="1:1">
      <c r="A354" s="193"/>
    </row>
    <row r="355" spans="1:1">
      <c r="A355" s="193"/>
    </row>
    <row r="356" spans="1:1">
      <c r="A356" s="193"/>
    </row>
    <row r="357" spans="1:1">
      <c r="A357" s="193"/>
    </row>
    <row r="358" spans="1:1">
      <c r="A358" s="193"/>
    </row>
    <row r="359" spans="1:1">
      <c r="A359" s="193"/>
    </row>
    <row r="360" spans="1:1">
      <c r="A360" s="193"/>
    </row>
    <row r="361" spans="1:1">
      <c r="A361" s="193"/>
    </row>
    <row r="362" spans="1:1">
      <c r="A362" s="193"/>
    </row>
    <row r="363" spans="1:1">
      <c r="A363" s="193"/>
    </row>
    <row r="364" spans="1:1">
      <c r="A364" s="193"/>
    </row>
    <row r="365" spans="1:1">
      <c r="A365" s="193"/>
    </row>
    <row r="366" spans="1:1">
      <c r="A366" s="193"/>
    </row>
    <row r="367" spans="1:1">
      <c r="A367" s="193"/>
    </row>
    <row r="368" spans="1:1">
      <c r="A368" s="193"/>
    </row>
    <row r="369" spans="1:1">
      <c r="A369" s="193"/>
    </row>
    <row r="370" spans="1:1">
      <c r="A370" s="193"/>
    </row>
    <row r="371" spans="1:1">
      <c r="A371" s="193"/>
    </row>
    <row r="372" spans="1:1">
      <c r="A372" s="193"/>
    </row>
    <row r="373" spans="1:1">
      <c r="A373" s="193"/>
    </row>
    <row r="374" spans="1:1">
      <c r="A374" s="193"/>
    </row>
    <row r="375" spans="1:1">
      <c r="A375" s="193"/>
    </row>
    <row r="376" spans="1:1">
      <c r="A376" s="193"/>
    </row>
    <row r="377" spans="1:1">
      <c r="A377" s="193"/>
    </row>
    <row r="378" spans="1:1">
      <c r="A378" s="193"/>
    </row>
    <row r="379" spans="1:1">
      <c r="A379" s="193"/>
    </row>
    <row r="380" spans="1:1">
      <c r="A380" s="193"/>
    </row>
    <row r="381" spans="1:1">
      <c r="A381" s="193"/>
    </row>
    <row r="382" spans="1:1">
      <c r="A382" s="193"/>
    </row>
    <row r="383" spans="1:1">
      <c r="A383" s="193"/>
    </row>
    <row r="384" spans="1:1">
      <c r="A384" s="193"/>
    </row>
    <row r="385" spans="1:1">
      <c r="A385" s="193"/>
    </row>
    <row r="386" spans="1:1">
      <c r="A386" s="193"/>
    </row>
    <row r="387" spans="1:1">
      <c r="A387" s="193"/>
    </row>
    <row r="388" spans="1:1">
      <c r="A388" s="193"/>
    </row>
    <row r="389" spans="1:1">
      <c r="A389" s="193"/>
    </row>
    <row r="390" spans="1:1">
      <c r="A390" s="193"/>
    </row>
    <row r="391" spans="1:1">
      <c r="A391" s="193"/>
    </row>
    <row r="392" spans="1:1">
      <c r="A392" s="193"/>
    </row>
    <row r="393" spans="1:1">
      <c r="A393" s="193"/>
    </row>
    <row r="394" spans="1:1">
      <c r="A394" s="193"/>
    </row>
    <row r="395" spans="1:1">
      <c r="A395" s="193"/>
    </row>
    <row r="396" spans="1:1">
      <c r="A396" s="193"/>
    </row>
    <row r="397" spans="1:1">
      <c r="A397" s="193"/>
    </row>
    <row r="398" spans="1:1">
      <c r="A398" s="193"/>
    </row>
    <row r="399" spans="1:1">
      <c r="A399" s="193"/>
    </row>
    <row r="400" spans="1:1">
      <c r="A400" s="193"/>
    </row>
    <row r="401" spans="1:1">
      <c r="A401" s="193"/>
    </row>
    <row r="402" spans="1:1">
      <c r="A402" s="193"/>
    </row>
    <row r="403" spans="1:1">
      <c r="A403" s="193"/>
    </row>
    <row r="404" spans="1:1">
      <c r="A404" s="193"/>
    </row>
    <row r="405" spans="1:1">
      <c r="A405" s="193"/>
    </row>
    <row r="406" spans="1:1">
      <c r="A406" s="193"/>
    </row>
    <row r="407" spans="1:1">
      <c r="A407" s="193"/>
    </row>
    <row r="408" spans="1:1">
      <c r="A408" s="193"/>
    </row>
    <row r="409" spans="1:1">
      <c r="A409" s="193"/>
    </row>
    <row r="410" spans="1:1">
      <c r="A410" s="193"/>
    </row>
    <row r="411" spans="1:1">
      <c r="A411" s="193"/>
    </row>
    <row r="412" spans="1:1">
      <c r="A412" s="193"/>
    </row>
    <row r="413" spans="1:1">
      <c r="A413" s="193"/>
    </row>
    <row r="414" spans="1:1">
      <c r="A414" s="193"/>
    </row>
    <row r="415" spans="1:1">
      <c r="A415" s="193"/>
    </row>
    <row r="416" spans="1:1">
      <c r="A416" s="193"/>
    </row>
    <row r="417" spans="1:1">
      <c r="A417" s="193"/>
    </row>
    <row r="418" spans="1:1">
      <c r="A418" s="193"/>
    </row>
    <row r="419" spans="1:1">
      <c r="A419" s="193"/>
    </row>
    <row r="420" spans="1:1">
      <c r="A420" s="193"/>
    </row>
    <row r="421" spans="1:1">
      <c r="A421" s="193"/>
    </row>
    <row r="422" spans="1:1">
      <c r="A422" s="193"/>
    </row>
    <row r="423" spans="1:1">
      <c r="A423" s="193"/>
    </row>
    <row r="424" spans="1:1">
      <c r="A424" s="193"/>
    </row>
    <row r="425" spans="1:1">
      <c r="A425" s="193"/>
    </row>
    <row r="426" spans="1:1">
      <c r="A426" s="193"/>
    </row>
    <row r="427" spans="1:1">
      <c r="A427" s="193"/>
    </row>
    <row r="428" spans="1:1">
      <c r="A428" s="193"/>
    </row>
    <row r="429" spans="1:1">
      <c r="A429" s="193"/>
    </row>
    <row r="430" spans="1:1">
      <c r="A430" s="193"/>
    </row>
    <row r="431" spans="1:1">
      <c r="A431" s="193"/>
    </row>
    <row r="432" spans="1:1">
      <c r="A432" s="193"/>
    </row>
    <row r="433" spans="1:1">
      <c r="A433" s="193"/>
    </row>
    <row r="434" spans="1:1">
      <c r="A434" s="193"/>
    </row>
    <row r="435" spans="1:1">
      <c r="A435" s="193"/>
    </row>
    <row r="436" spans="1:1">
      <c r="A436" s="19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00B050"/>
  </sheetPr>
  <dimension ref="A2:B18"/>
  <sheetViews>
    <sheetView topLeftCell="A2" workbookViewId="0">
      <selection activeCell="B9" sqref="B9"/>
    </sheetView>
  </sheetViews>
  <sheetFormatPr defaultColWidth="9.140625" defaultRowHeight="11.25"/>
  <cols>
    <col min="1" max="1" width="19.85546875" style="2" customWidth="1"/>
    <col min="2" max="2" width="18.7109375" style="2" customWidth="1"/>
    <col min="3" max="3" width="20" style="2" customWidth="1"/>
    <col min="4" max="4" width="12.5703125" style="2" customWidth="1"/>
    <col min="5" max="7" width="9.140625" style="2"/>
    <col min="8" max="8" width="7.7109375" style="2" customWidth="1"/>
    <col min="9" max="9" width="8.7109375" style="2" customWidth="1"/>
    <col min="10" max="10" width="7.7109375" style="2" customWidth="1"/>
    <col min="11" max="11" width="10.5703125" style="2" customWidth="1"/>
    <col min="12" max="12" width="8.42578125" style="2" customWidth="1"/>
    <col min="13" max="13" width="8.28515625" style="2" customWidth="1"/>
    <col min="14" max="14" width="6.85546875" style="2" customWidth="1"/>
    <col min="15" max="15" width="8.28515625" style="2" customWidth="1"/>
    <col min="16" max="16" width="7.7109375" style="2" customWidth="1"/>
    <col min="17" max="18" width="8.5703125" style="2" customWidth="1"/>
    <col min="19" max="19" width="9.42578125" style="2" customWidth="1"/>
    <col min="20" max="16384" width="9.140625" style="2"/>
  </cols>
  <sheetData>
    <row r="2" spans="1:2" ht="47.25" customHeight="1">
      <c r="A2" s="196" t="s">
        <v>72</v>
      </c>
      <c r="B2" s="197"/>
    </row>
    <row r="3" spans="1:2" ht="14.25" hidden="1">
      <c r="A3" s="88" t="s">
        <v>73</v>
      </c>
      <c r="B3" s="88">
        <v>0</v>
      </c>
    </row>
    <row r="4" spans="1:2" ht="14.25" hidden="1">
      <c r="A4" s="88" t="s">
        <v>74</v>
      </c>
      <c r="B4" s="89">
        <v>-0.15</v>
      </c>
    </row>
    <row r="5" spans="1:2" ht="14.25" hidden="1">
      <c r="A5" s="88" t="s">
        <v>75</v>
      </c>
      <c r="B5" s="89">
        <v>-0.1</v>
      </c>
    </row>
    <row r="6" spans="1:2" ht="14.25" hidden="1">
      <c r="A6" s="88" t="s">
        <v>76</v>
      </c>
      <c r="B6" s="89">
        <v>-0.05</v>
      </c>
    </row>
    <row r="7" spans="1:2" ht="14.25" hidden="1">
      <c r="A7" s="88" t="s">
        <v>85</v>
      </c>
      <c r="B7" s="89">
        <v>1</v>
      </c>
    </row>
    <row r="8" spans="1:2" ht="12.75" customHeight="1">
      <c r="A8" s="88" t="s">
        <v>110</v>
      </c>
      <c r="B8" s="90" t="s">
        <v>77</v>
      </c>
    </row>
    <row r="9" spans="1:2" ht="16.5" customHeight="1">
      <c r="A9" s="88" t="s">
        <v>86</v>
      </c>
      <c r="B9" s="90" t="s">
        <v>78</v>
      </c>
    </row>
    <row r="10" spans="1:2" ht="14.25" customHeight="1">
      <c r="A10" s="88" t="s">
        <v>87</v>
      </c>
      <c r="B10" s="90" t="s">
        <v>79</v>
      </c>
    </row>
    <row r="14" spans="1:2" ht="12.75" hidden="1">
      <c r="A14" s="91" t="s">
        <v>80</v>
      </c>
      <c r="B14" s="92">
        <f>Ведомость!B3</f>
        <v>3924000</v>
      </c>
    </row>
    <row r="15" spans="1:2" ht="12.75" hidden="1">
      <c r="A15" s="91" t="s">
        <v>81</v>
      </c>
      <c r="B15" s="92">
        <f>Ведомость!B2</f>
        <v>2562212</v>
      </c>
    </row>
    <row r="16" spans="1:2" ht="12.75" hidden="1">
      <c r="A16" s="91" t="s">
        <v>82</v>
      </c>
      <c r="B16" s="93">
        <f>IFERROR(B15/B14,0)</f>
        <v>0.65295922528032624</v>
      </c>
    </row>
    <row r="17" spans="1:2" ht="12.75" hidden="1">
      <c r="A17" s="91" t="s">
        <v>83</v>
      </c>
      <c r="B17" s="94">
        <v>25000</v>
      </c>
    </row>
    <row r="18" spans="1:2" ht="12.75" hidden="1">
      <c r="A18" s="91" t="s">
        <v>84</v>
      </c>
      <c r="B18" s="92">
        <f>ROUND(LOOKUP(B16,{0,0.5001,0.7501,0.8501,1,1.0501,1.1001,1.3001},{0,0.85,0.9,0.95,1,1.05,1.1,1.15})*B17,)</f>
        <v>21250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0070C0"/>
  </sheetPr>
  <dimension ref="A1:O23"/>
  <sheetViews>
    <sheetView workbookViewId="0">
      <selection activeCell="A4" sqref="A4"/>
    </sheetView>
  </sheetViews>
  <sheetFormatPr defaultRowHeight="15"/>
  <cols>
    <col min="1" max="1" width="37.42578125" customWidth="1"/>
    <col min="2" max="4" width="16.7109375" customWidth="1"/>
    <col min="9" max="9" width="12.5703125" customWidth="1"/>
    <col min="11" max="11" width="12" customWidth="1"/>
    <col min="12" max="12" width="10.5703125" customWidth="1"/>
    <col min="13" max="13" width="11.28515625" customWidth="1"/>
  </cols>
  <sheetData>
    <row r="1" spans="1:15" ht="15.75">
      <c r="A1" s="203" t="s">
        <v>27</v>
      </c>
      <c r="B1" s="204"/>
      <c r="C1" s="204"/>
      <c r="D1" s="204"/>
      <c r="E1" s="205"/>
    </row>
    <row r="2" spans="1:15" ht="38.2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  <c r="I2" s="2"/>
      <c r="J2" s="2"/>
      <c r="K2" s="2"/>
      <c r="L2" s="2"/>
      <c r="M2" s="2"/>
    </row>
    <row r="3" spans="1:15" ht="15.75" thickBot="1">
      <c r="A3" s="28" t="s">
        <v>33</v>
      </c>
      <c r="B3" s="22">
        <v>300000</v>
      </c>
      <c r="C3" s="74">
        <v>72799</v>
      </c>
      <c r="D3" s="29">
        <f>C3/B3</f>
        <v>0.24266333333333334</v>
      </c>
      <c r="E3" s="30">
        <v>0.6</v>
      </c>
      <c r="I3" s="2"/>
      <c r="J3" s="2"/>
      <c r="K3" s="12" t="s">
        <v>9</v>
      </c>
      <c r="L3" s="12" t="s">
        <v>10</v>
      </c>
      <c r="M3" s="2"/>
    </row>
    <row r="4" spans="1:15">
      <c r="A4" s="28" t="s">
        <v>89</v>
      </c>
      <c r="B4" s="22">
        <v>275</v>
      </c>
      <c r="C4" s="74"/>
      <c r="D4" s="31">
        <f>C4/B4</f>
        <v>0</v>
      </c>
      <c r="E4" s="32">
        <f>100%-E3</f>
        <v>0.4</v>
      </c>
      <c r="I4" s="2"/>
      <c r="J4" s="2"/>
      <c r="K4" s="3">
        <v>3999094</v>
      </c>
      <c r="L4" s="12">
        <f>LOOKUP(K4,K9:K18,L9:L18)</f>
        <v>17000</v>
      </c>
      <c r="M4" s="2"/>
    </row>
    <row r="5" spans="1:15" ht="25.5">
      <c r="A5" s="33" t="s">
        <v>35</v>
      </c>
      <c r="B5" s="34"/>
      <c r="C5" s="35"/>
      <c r="D5" s="36" t="str">
        <f>IF(OR(D3&lt;70%,D4&lt;70%),"Нет","Да")</f>
        <v>Нет</v>
      </c>
      <c r="E5" s="37"/>
      <c r="I5" s="2"/>
      <c r="J5" s="2"/>
      <c r="K5" s="2" t="s">
        <v>64</v>
      </c>
      <c r="L5" s="2"/>
      <c r="M5" s="2"/>
      <c r="O5" s="80">
        <f>300000/159*46</f>
        <v>86792.452830188675</v>
      </c>
    </row>
    <row r="6" spans="1:15" ht="15.75" thickBot="1">
      <c r="A6" s="38" t="s">
        <v>36</v>
      </c>
      <c r="B6" s="39"/>
      <c r="C6" s="40"/>
      <c r="D6" s="41">
        <f>IF(D5="Да",D3*E3+D4*E4,MIN(D3:D4))</f>
        <v>0</v>
      </c>
      <c r="E6" s="42"/>
      <c r="I6" s="2"/>
      <c r="J6" s="2"/>
      <c r="K6" s="2"/>
      <c r="L6" s="2"/>
      <c r="M6" s="2"/>
    </row>
    <row r="7" spans="1:15" ht="15.75" thickBot="1">
      <c r="A7" s="43"/>
      <c r="B7" s="43"/>
      <c r="C7" s="18"/>
      <c r="D7" s="18"/>
      <c r="E7" s="18"/>
      <c r="I7" s="198" t="s">
        <v>3</v>
      </c>
      <c r="J7" s="198" t="s">
        <v>11</v>
      </c>
      <c r="K7" s="199" t="s">
        <v>10</v>
      </c>
      <c r="L7" s="199"/>
      <c r="M7" s="199" t="s">
        <v>12</v>
      </c>
    </row>
    <row r="8" spans="1:15" ht="38.25">
      <c r="A8" s="203" t="s">
        <v>37</v>
      </c>
      <c r="B8" s="204"/>
      <c r="C8" s="205"/>
      <c r="D8" s="18"/>
      <c r="E8" s="18"/>
      <c r="I8" s="198"/>
      <c r="J8" s="198"/>
      <c r="K8" s="79" t="s">
        <v>13</v>
      </c>
      <c r="L8" s="79" t="s">
        <v>14</v>
      </c>
      <c r="M8" s="199"/>
    </row>
    <row r="9" spans="1:15" ht="15.75">
      <c r="A9" s="206" t="s">
        <v>38</v>
      </c>
      <c r="B9" s="207"/>
      <c r="C9" s="208"/>
      <c r="D9" s="18"/>
      <c r="E9" s="18"/>
      <c r="I9" s="198" t="s">
        <v>15</v>
      </c>
      <c r="J9" s="13">
        <v>25000</v>
      </c>
      <c r="K9" s="14">
        <v>1200000</v>
      </c>
      <c r="L9" s="14">
        <v>1000</v>
      </c>
      <c r="M9" s="14">
        <v>26000</v>
      </c>
    </row>
    <row r="10" spans="1:15">
      <c r="A10" s="200" t="s">
        <v>39</v>
      </c>
      <c r="B10" s="201"/>
      <c r="C10" s="202"/>
      <c r="D10" s="44"/>
      <c r="E10" s="18"/>
      <c r="I10" s="198"/>
      <c r="J10" s="13">
        <v>25000</v>
      </c>
      <c r="K10" s="14">
        <v>1400000</v>
      </c>
      <c r="L10" s="14">
        <v>2000</v>
      </c>
      <c r="M10" s="14">
        <v>27000</v>
      </c>
    </row>
    <row r="11" spans="1:15">
      <c r="A11" s="45" t="s">
        <v>40</v>
      </c>
      <c r="B11" s="46" t="s">
        <v>41</v>
      </c>
      <c r="C11" s="47">
        <v>168</v>
      </c>
      <c r="D11" s="48"/>
      <c r="E11" s="48"/>
      <c r="I11" s="198"/>
      <c r="J11" s="13">
        <v>25000</v>
      </c>
      <c r="K11" s="14">
        <v>1600000</v>
      </c>
      <c r="L11" s="14">
        <v>3000</v>
      </c>
      <c r="M11" s="14">
        <v>28000</v>
      </c>
    </row>
    <row r="12" spans="1:15">
      <c r="A12" s="49" t="s">
        <v>42</v>
      </c>
      <c r="B12" s="24" t="s">
        <v>25</v>
      </c>
      <c r="C12" s="50">
        <v>15000</v>
      </c>
      <c r="D12" s="51"/>
      <c r="E12" s="52"/>
      <c r="I12" s="198"/>
      <c r="J12" s="13">
        <v>25000</v>
      </c>
      <c r="K12" s="14">
        <v>1800000</v>
      </c>
      <c r="L12" s="14">
        <v>4000</v>
      </c>
      <c r="M12" s="14">
        <v>29000</v>
      </c>
    </row>
    <row r="13" spans="1:15">
      <c r="A13" s="200" t="s">
        <v>43</v>
      </c>
      <c r="B13" s="201"/>
      <c r="C13" s="202"/>
      <c r="D13" s="18"/>
      <c r="E13" s="18"/>
      <c r="I13" s="198"/>
      <c r="J13" s="13">
        <v>25000</v>
      </c>
      <c r="K13" s="14">
        <v>2000000</v>
      </c>
      <c r="L13" s="14">
        <v>6000</v>
      </c>
      <c r="M13" s="14">
        <v>31000</v>
      </c>
    </row>
    <row r="14" spans="1:15">
      <c r="A14" s="28" t="s">
        <v>44</v>
      </c>
      <c r="B14" s="24" t="s">
        <v>45</v>
      </c>
      <c r="C14" s="53">
        <v>10000</v>
      </c>
      <c r="D14" s="18"/>
      <c r="E14" s="18"/>
      <c r="I14" s="198"/>
      <c r="J14" s="13">
        <v>25000</v>
      </c>
      <c r="K14" s="14">
        <v>2200000</v>
      </c>
      <c r="L14" s="14">
        <v>8000</v>
      </c>
      <c r="M14" s="14">
        <v>33000</v>
      </c>
    </row>
    <row r="15" spans="1:15" ht="25.5">
      <c r="A15" s="28" t="s">
        <v>46</v>
      </c>
      <c r="B15" s="54" t="s">
        <v>26</v>
      </c>
      <c r="C15" s="75">
        <v>1</v>
      </c>
      <c r="D15" s="51"/>
      <c r="E15" s="56"/>
      <c r="I15" s="198"/>
      <c r="J15" s="13">
        <v>25000</v>
      </c>
      <c r="K15" s="14">
        <v>2400000</v>
      </c>
      <c r="L15" s="14">
        <v>10000</v>
      </c>
      <c r="M15" s="14">
        <v>35000</v>
      </c>
    </row>
    <row r="16" spans="1:15">
      <c r="A16" s="28" t="s">
        <v>36</v>
      </c>
      <c r="B16" s="57" t="s">
        <v>26</v>
      </c>
      <c r="C16" s="55">
        <f>D6</f>
        <v>0</v>
      </c>
      <c r="D16" s="51"/>
      <c r="E16" s="56"/>
      <c r="I16" s="198"/>
      <c r="J16" s="13">
        <v>25000</v>
      </c>
      <c r="K16" s="14">
        <v>2600000</v>
      </c>
      <c r="L16" s="14">
        <v>12000</v>
      </c>
      <c r="M16" s="14">
        <v>37000</v>
      </c>
    </row>
    <row r="17" spans="1:13" ht="25.5">
      <c r="A17" s="28" t="s">
        <v>47</v>
      </c>
      <c r="B17" s="24" t="s">
        <v>45</v>
      </c>
      <c r="C17" s="53">
        <f>IF((C14*C15*C16)&gt;0,C14*C15*C16,0)</f>
        <v>0</v>
      </c>
      <c r="D17" s="51"/>
      <c r="E17" s="18"/>
      <c r="I17" s="198"/>
      <c r="J17" s="13">
        <v>25000</v>
      </c>
      <c r="K17" s="14">
        <v>3000000</v>
      </c>
      <c r="L17" s="14">
        <v>15000</v>
      </c>
      <c r="M17" s="14">
        <v>40000</v>
      </c>
    </row>
    <row r="18" spans="1:13">
      <c r="A18" s="200" t="s">
        <v>48</v>
      </c>
      <c r="B18" s="201"/>
      <c r="C18" s="202"/>
      <c r="D18" s="18"/>
      <c r="E18" s="18"/>
      <c r="I18" s="198"/>
      <c r="J18" s="13">
        <v>25000</v>
      </c>
      <c r="K18" s="14">
        <v>3500000</v>
      </c>
      <c r="L18" s="14">
        <v>17000</v>
      </c>
      <c r="M18" s="14">
        <v>42000</v>
      </c>
    </row>
    <row r="19" spans="1:13">
      <c r="A19" s="58" t="s">
        <v>49</v>
      </c>
      <c r="B19" s="59" t="s">
        <v>25</v>
      </c>
      <c r="C19" s="60">
        <v>1</v>
      </c>
      <c r="D19" s="18"/>
      <c r="E19" s="18"/>
    </row>
    <row r="20" spans="1:13">
      <c r="A20" s="61" t="s">
        <v>50</v>
      </c>
      <c r="B20" s="62" t="s">
        <v>25</v>
      </c>
      <c r="C20" s="63">
        <f>C19*C17</f>
        <v>0</v>
      </c>
      <c r="D20" s="64"/>
      <c r="E20" s="65"/>
    </row>
    <row r="21" spans="1:13" ht="16.5" thickBot="1">
      <c r="A21" s="66" t="s">
        <v>51</v>
      </c>
      <c r="B21" s="67" t="s">
        <v>25</v>
      </c>
      <c r="C21" s="68">
        <f>C12+C20</f>
        <v>15000</v>
      </c>
      <c r="D21" s="51"/>
      <c r="E21" s="56"/>
    </row>
    <row r="23" spans="1:13">
      <c r="A23" t="s">
        <v>55</v>
      </c>
      <c r="B23" s="76"/>
    </row>
  </sheetData>
  <mergeCells count="11">
    <mergeCell ref="A18:C18"/>
    <mergeCell ref="A1:E1"/>
    <mergeCell ref="A8:C8"/>
    <mergeCell ref="A9:C9"/>
    <mergeCell ref="A10:C10"/>
    <mergeCell ref="A13:C13"/>
    <mergeCell ref="I7:I8"/>
    <mergeCell ref="J7:J8"/>
    <mergeCell ref="K7:L7"/>
    <mergeCell ref="M7:M8"/>
    <mergeCell ref="I9:I1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0070C0"/>
    <pageSetUpPr fitToPage="1"/>
  </sheetPr>
  <dimension ref="A2:G30"/>
  <sheetViews>
    <sheetView workbookViewId="0">
      <selection activeCell="E6" sqref="E6"/>
    </sheetView>
  </sheetViews>
  <sheetFormatPr defaultRowHeight="15"/>
  <cols>
    <col min="1" max="1" width="38.42578125" customWidth="1"/>
    <col min="2" max="3" width="15.7109375" customWidth="1"/>
    <col min="4" max="4" width="15" customWidth="1"/>
    <col min="5" max="5" width="11.5703125" customWidth="1"/>
  </cols>
  <sheetData>
    <row r="2" spans="1:5" ht="15.75">
      <c r="A2" s="209" t="s">
        <v>102</v>
      </c>
      <c r="B2" s="209"/>
      <c r="C2" s="209"/>
      <c r="D2" s="209"/>
      <c r="E2" s="209"/>
    </row>
    <row r="3" spans="1:5" ht="15.75" thickBot="1"/>
    <row r="4" spans="1:5" ht="15.75">
      <c r="A4" s="203" t="s">
        <v>27</v>
      </c>
      <c r="B4" s="204"/>
      <c r="C4" s="204"/>
      <c r="D4" s="204"/>
      <c r="E4" s="205"/>
    </row>
    <row r="5" spans="1:5" ht="38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>
      <c r="A6" s="28" t="s">
        <v>33</v>
      </c>
      <c r="B6" s="22">
        <v>654000</v>
      </c>
      <c r="C6" s="74">
        <v>328188</v>
      </c>
      <c r="D6" s="29">
        <f>C6/B6</f>
        <v>0.50181651376146785</v>
      </c>
      <c r="E6" s="30">
        <v>0.6</v>
      </c>
    </row>
    <row r="7" spans="1:5">
      <c r="A7" s="28" t="s">
        <v>89</v>
      </c>
      <c r="B7" s="22">
        <v>800</v>
      </c>
      <c r="C7" s="74">
        <v>277</v>
      </c>
      <c r="D7" s="31">
        <f>C7/B7</f>
        <v>0.34625</v>
      </c>
      <c r="E7" s="32">
        <v>0.3</v>
      </c>
    </row>
    <row r="8" spans="1:5">
      <c r="A8" s="221" t="s">
        <v>129</v>
      </c>
      <c r="B8" s="22">
        <v>999</v>
      </c>
      <c r="C8" s="74">
        <v>501</v>
      </c>
      <c r="D8" s="31">
        <f>C8/B8</f>
        <v>0.50150150150150152</v>
      </c>
      <c r="E8" s="222">
        <v>0.1</v>
      </c>
    </row>
    <row r="9" spans="1:5" ht="25.5">
      <c r="A9" s="33" t="s">
        <v>130</v>
      </c>
      <c r="B9" s="34"/>
      <c r="C9" s="35"/>
      <c r="D9" s="225" t="str">
        <f>IF(OR(D6&lt;70%,D7&lt;70%,D8&lt;70%),"Нет","Да")</f>
        <v>Нет</v>
      </c>
      <c r="E9" s="37"/>
    </row>
    <row r="10" spans="1:5" ht="15.75" thickBot="1">
      <c r="A10" s="38" t="s">
        <v>36</v>
      </c>
      <c r="B10" s="39"/>
      <c r="C10" s="40"/>
      <c r="D10" s="226">
        <f>IF(D9="Да",D6*E6+D7*E7+D8*E8,MIN(D6:D8))</f>
        <v>0.34625</v>
      </c>
      <c r="E10" s="42"/>
    </row>
    <row r="11" spans="1:5" ht="15.75" thickBot="1">
      <c r="A11" s="43"/>
      <c r="B11" s="43"/>
      <c r="C11" s="18"/>
      <c r="D11" s="18"/>
      <c r="E11" s="18"/>
    </row>
    <row r="12" spans="1:5" ht="15.75" customHeight="1">
      <c r="A12" s="203" t="s">
        <v>37</v>
      </c>
      <c r="B12" s="204"/>
      <c r="C12" s="205"/>
      <c r="D12" s="18"/>
      <c r="E12" s="18"/>
    </row>
    <row r="13" spans="1:5" ht="15.75">
      <c r="A13" s="206" t="s">
        <v>38</v>
      </c>
      <c r="B13" s="207"/>
      <c r="C13" s="208"/>
      <c r="D13" s="18"/>
      <c r="E13" s="18"/>
    </row>
    <row r="14" spans="1:5">
      <c r="A14" s="200" t="s">
        <v>39</v>
      </c>
      <c r="B14" s="201"/>
      <c r="C14" s="202"/>
      <c r="D14" s="44"/>
      <c r="E14" s="18"/>
    </row>
    <row r="15" spans="1:5">
      <c r="A15" s="45" t="s">
        <v>59</v>
      </c>
      <c r="B15" s="46" t="s">
        <v>41</v>
      </c>
      <c r="C15" s="189">
        <v>144</v>
      </c>
      <c r="D15" s="48"/>
      <c r="E15" s="48"/>
    </row>
    <row r="16" spans="1:5">
      <c r="A16" s="45" t="s">
        <v>60</v>
      </c>
      <c r="B16" s="46" t="s">
        <v>41</v>
      </c>
      <c r="C16" s="189">
        <v>144</v>
      </c>
      <c r="D16" s="51"/>
      <c r="E16" s="52"/>
    </row>
    <row r="17" spans="1:7" ht="15" customHeight="1">
      <c r="A17" s="45" t="s">
        <v>56</v>
      </c>
      <c r="B17" s="46" t="s">
        <v>114</v>
      </c>
      <c r="C17" s="131">
        <f>C16/C15</f>
        <v>1</v>
      </c>
      <c r="D17" s="18"/>
      <c r="E17" s="18"/>
    </row>
    <row r="18" spans="1:7">
      <c r="A18" s="49" t="s">
        <v>113</v>
      </c>
      <c r="B18" s="24" t="s">
        <v>25</v>
      </c>
      <c r="C18" s="132">
        <v>18000</v>
      </c>
      <c r="D18" s="18"/>
      <c r="E18" s="123"/>
      <c r="F18" s="124"/>
      <c r="G18" s="124"/>
    </row>
    <row r="19" spans="1:7">
      <c r="A19" s="133" t="s">
        <v>42</v>
      </c>
      <c r="B19" s="134" t="s">
        <v>25</v>
      </c>
      <c r="C19" s="135">
        <v>18000</v>
      </c>
      <c r="D19" s="51"/>
      <c r="E19" s="56"/>
    </row>
    <row r="20" spans="1:7">
      <c r="A20" s="200" t="s">
        <v>43</v>
      </c>
      <c r="B20" s="201"/>
      <c r="C20" s="202"/>
      <c r="D20" s="51"/>
      <c r="E20" s="56"/>
    </row>
    <row r="21" spans="1:7">
      <c r="A21" s="28" t="s">
        <v>44</v>
      </c>
      <c r="B21" s="24" t="s">
        <v>45</v>
      </c>
      <c r="C21" s="53">
        <v>27000</v>
      </c>
      <c r="D21" s="51"/>
      <c r="E21" s="18"/>
    </row>
    <row r="22" spans="1:7" ht="15" customHeight="1">
      <c r="A22" s="28" t="s">
        <v>46</v>
      </c>
      <c r="B22" s="54" t="s">
        <v>26</v>
      </c>
      <c r="C22" s="122">
        <v>1</v>
      </c>
      <c r="D22" s="18"/>
      <c r="E22" s="18"/>
    </row>
    <row r="23" spans="1:7">
      <c r="A23" s="28" t="s">
        <v>36</v>
      </c>
      <c r="B23" s="57" t="s">
        <v>26</v>
      </c>
      <c r="C23" s="55">
        <f>D10</f>
        <v>0.34625</v>
      </c>
      <c r="D23" s="18"/>
      <c r="E23" s="18"/>
    </row>
    <row r="24" spans="1:7">
      <c r="A24" s="28" t="s">
        <v>47</v>
      </c>
      <c r="B24" s="24" t="s">
        <v>45</v>
      </c>
      <c r="C24" s="53">
        <f>IF((C21*C22*C23)&gt;0,C21*C22*C23,0)</f>
        <v>9348.75</v>
      </c>
      <c r="D24" s="64"/>
      <c r="E24" s="65"/>
    </row>
    <row r="25" spans="1:7">
      <c r="A25" s="58" t="s">
        <v>49</v>
      </c>
      <c r="B25" s="59" t="s">
        <v>25</v>
      </c>
      <c r="C25" s="60">
        <v>1</v>
      </c>
      <c r="D25" s="64"/>
      <c r="E25" s="65"/>
    </row>
    <row r="26" spans="1:7">
      <c r="A26" s="61" t="s">
        <v>107</v>
      </c>
      <c r="B26" s="62" t="s">
        <v>25</v>
      </c>
      <c r="C26" s="109">
        <f>C25*C24</f>
        <v>9348.75</v>
      </c>
      <c r="D26" s="51"/>
      <c r="E26" s="56"/>
    </row>
    <row r="27" spans="1:7" ht="25.5">
      <c r="A27" s="113" t="s">
        <v>115</v>
      </c>
      <c r="B27" s="62" t="s">
        <v>25</v>
      </c>
      <c r="C27" s="111">
        <f>ROUND(LOOKUP(D10,{0,1,1.1001,1.3001},{1,1.05,1.1,1.15})*C26,)</f>
        <v>9349</v>
      </c>
    </row>
    <row r="28" spans="1:7" ht="15.75" thickBot="1">
      <c r="A28" s="118" t="s">
        <v>51</v>
      </c>
      <c r="B28" s="119" t="s">
        <v>25</v>
      </c>
      <c r="C28" s="136">
        <f>C27+C19</f>
        <v>27349</v>
      </c>
    </row>
    <row r="30" spans="1:7">
      <c r="A30" t="s">
        <v>55</v>
      </c>
      <c r="B30" s="76"/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scale="88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2:E31"/>
  <sheetViews>
    <sheetView workbookViewId="0">
      <selection activeCell="E8" sqref="E8"/>
    </sheetView>
  </sheetViews>
  <sheetFormatPr defaultRowHeight="15"/>
  <cols>
    <col min="1" max="1" width="37.42578125" customWidth="1"/>
    <col min="2" max="4" width="16.7109375" customWidth="1"/>
  </cols>
  <sheetData>
    <row r="2" spans="1:5" ht="15.75">
      <c r="A2" s="209" t="s">
        <v>103</v>
      </c>
      <c r="B2" s="209"/>
      <c r="C2" s="209"/>
      <c r="D2" s="209"/>
      <c r="E2" s="209"/>
    </row>
    <row r="3" spans="1:5" ht="15.75" thickBot="1"/>
    <row r="4" spans="1:5" ht="15.75">
      <c r="A4" s="203" t="s">
        <v>27</v>
      </c>
      <c r="B4" s="204"/>
      <c r="C4" s="204"/>
      <c r="D4" s="204"/>
      <c r="E4" s="205"/>
    </row>
    <row r="5" spans="1:5" ht="38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>
      <c r="A6" s="28" t="s">
        <v>33</v>
      </c>
      <c r="B6" s="22">
        <v>654000</v>
      </c>
      <c r="C6" s="74">
        <v>96569</v>
      </c>
      <c r="D6" s="29">
        <f>C6/B6</f>
        <v>0.14765902140672782</v>
      </c>
      <c r="E6" s="30">
        <v>0.6</v>
      </c>
    </row>
    <row r="7" spans="1:5">
      <c r="A7" s="28" t="s">
        <v>89</v>
      </c>
      <c r="B7" s="22">
        <v>800</v>
      </c>
      <c r="C7" s="74">
        <v>55</v>
      </c>
      <c r="D7" s="31">
        <f>C7/B7</f>
        <v>6.8750000000000006E-2</v>
      </c>
      <c r="E7" s="32">
        <v>0.3</v>
      </c>
    </row>
    <row r="8" spans="1:5">
      <c r="A8" s="221" t="s">
        <v>129</v>
      </c>
      <c r="B8" s="22">
        <v>999</v>
      </c>
      <c r="C8" s="74">
        <v>93</v>
      </c>
      <c r="D8" s="29">
        <f>C8/B8</f>
        <v>9.3093093093093091E-2</v>
      </c>
      <c r="E8" s="222">
        <v>0.1</v>
      </c>
    </row>
    <row r="9" spans="1:5" ht="25.5">
      <c r="A9" s="33" t="s">
        <v>130</v>
      </c>
      <c r="B9" s="223"/>
      <c r="C9" s="223"/>
      <c r="D9" s="224" t="str">
        <f>IF(OR(D6&lt;70%,D7&lt;70%,D8&lt;70%),"Нет","Да")</f>
        <v>Нет</v>
      </c>
      <c r="E9" s="222"/>
    </row>
    <row r="10" spans="1:5" ht="15.75" thickBot="1">
      <c r="A10" s="38" t="s">
        <v>36</v>
      </c>
      <c r="B10" s="39"/>
      <c r="C10" s="40"/>
      <c r="D10" s="226">
        <f>IF(D9="Да",D6*E6+D7*E7+D8*E8,MIN(D6:D8))</f>
        <v>6.8750000000000006E-2</v>
      </c>
      <c r="E10" s="42"/>
    </row>
    <row r="11" spans="1:5" ht="15.75" thickBot="1">
      <c r="A11" s="43"/>
      <c r="B11" s="43"/>
      <c r="C11" s="18"/>
      <c r="D11" s="18"/>
      <c r="E11" s="18"/>
    </row>
    <row r="12" spans="1:5" ht="15.75" customHeight="1">
      <c r="A12" s="203" t="s">
        <v>37</v>
      </c>
      <c r="B12" s="204"/>
      <c r="C12" s="205"/>
      <c r="D12" s="18"/>
      <c r="E12" s="18"/>
    </row>
    <row r="13" spans="1:5" ht="15.75">
      <c r="A13" s="206" t="s">
        <v>38</v>
      </c>
      <c r="B13" s="207"/>
      <c r="C13" s="208"/>
      <c r="D13" s="18"/>
      <c r="E13" s="18"/>
    </row>
    <row r="14" spans="1:5">
      <c r="A14" s="200" t="s">
        <v>39</v>
      </c>
      <c r="B14" s="201"/>
      <c r="C14" s="202"/>
      <c r="D14" s="44"/>
      <c r="E14" s="18"/>
    </row>
    <row r="15" spans="1:5">
      <c r="A15" s="45" t="s">
        <v>59</v>
      </c>
      <c r="B15" s="46" t="s">
        <v>41</v>
      </c>
      <c r="C15" s="174">
        <f>Ведомость!H8</f>
        <v>183</v>
      </c>
      <c r="D15" s="48"/>
      <c r="E15" s="48"/>
    </row>
    <row r="16" spans="1:5">
      <c r="A16" s="45" t="s">
        <v>60</v>
      </c>
      <c r="B16" s="46" t="s">
        <v>41</v>
      </c>
      <c r="C16" s="174">
        <v>183</v>
      </c>
      <c r="D16" s="51"/>
      <c r="E16" s="52"/>
    </row>
    <row r="17" spans="1:5" ht="15" customHeight="1">
      <c r="A17" s="45" t="s">
        <v>56</v>
      </c>
      <c r="B17" s="46" t="s">
        <v>114</v>
      </c>
      <c r="C17" s="131">
        <f>C16/C15</f>
        <v>1</v>
      </c>
      <c r="D17" s="18"/>
      <c r="E17" s="18"/>
    </row>
    <row r="18" spans="1:5">
      <c r="A18" s="49" t="s">
        <v>113</v>
      </c>
      <c r="B18" s="24" t="s">
        <v>25</v>
      </c>
      <c r="C18" s="132">
        <v>20000</v>
      </c>
      <c r="D18" s="18"/>
      <c r="E18" s="18"/>
    </row>
    <row r="19" spans="1:5">
      <c r="A19" s="133" t="s">
        <v>42</v>
      </c>
      <c r="B19" s="134" t="s">
        <v>25</v>
      </c>
      <c r="C19" s="135">
        <f>C18*C17</f>
        <v>20000</v>
      </c>
      <c r="D19" s="51"/>
      <c r="E19" s="56"/>
    </row>
    <row r="20" spans="1:5">
      <c r="A20" s="200" t="s">
        <v>43</v>
      </c>
      <c r="B20" s="201"/>
      <c r="C20" s="202"/>
      <c r="D20" s="51"/>
      <c r="E20" s="56"/>
    </row>
    <row r="21" spans="1:5">
      <c r="A21" s="28" t="s">
        <v>44</v>
      </c>
      <c r="B21" s="24" t="s">
        <v>45</v>
      </c>
      <c r="C21" s="53">
        <v>30000</v>
      </c>
      <c r="D21" s="51"/>
      <c r="E21" s="18"/>
    </row>
    <row r="22" spans="1:5" ht="15" customHeight="1">
      <c r="A22" s="28" t="s">
        <v>46</v>
      </c>
      <c r="B22" s="54" t="s">
        <v>26</v>
      </c>
      <c r="C22" s="122">
        <v>1</v>
      </c>
      <c r="D22" s="18"/>
      <c r="E22" s="18"/>
    </row>
    <row r="23" spans="1:5">
      <c r="A23" s="28" t="s">
        <v>36</v>
      </c>
      <c r="B23" s="57" t="s">
        <v>26</v>
      </c>
      <c r="C23" s="55">
        <f>D10</f>
        <v>6.8750000000000006E-2</v>
      </c>
      <c r="D23" s="18"/>
      <c r="E23" s="18"/>
    </row>
    <row r="24" spans="1:5" ht="25.5">
      <c r="A24" s="28" t="s">
        <v>47</v>
      </c>
      <c r="B24" s="24" t="s">
        <v>45</v>
      </c>
      <c r="C24" s="53">
        <f>IF((C21*C22*C23)&gt;0,C21*C22*C23,0)</f>
        <v>2062.5</v>
      </c>
      <c r="D24" s="64"/>
      <c r="E24" s="65"/>
    </row>
    <row r="25" spans="1:5">
      <c r="A25" s="58" t="s">
        <v>49</v>
      </c>
      <c r="B25" s="59" t="s">
        <v>25</v>
      </c>
      <c r="C25" s="60">
        <v>1</v>
      </c>
      <c r="D25" s="64"/>
      <c r="E25" s="65"/>
    </row>
    <row r="26" spans="1:5">
      <c r="A26" s="61" t="s">
        <v>107</v>
      </c>
      <c r="B26" s="62" t="s">
        <v>25</v>
      </c>
      <c r="C26" s="109">
        <f>C25*C24</f>
        <v>2062.5</v>
      </c>
      <c r="D26" s="51"/>
      <c r="E26" s="56"/>
    </row>
    <row r="27" spans="1:5" ht="25.5">
      <c r="A27" s="113" t="s">
        <v>115</v>
      </c>
      <c r="B27" s="62" t="s">
        <v>25</v>
      </c>
      <c r="C27" s="111">
        <f>ROUND(LOOKUP(D10,{0,1,1.1001,1.3001},{1,1.05,1.1,1.15})*C26,)</f>
        <v>2063</v>
      </c>
    </row>
    <row r="28" spans="1:5">
      <c r="A28" s="190" t="s">
        <v>124</v>
      </c>
      <c r="B28" s="191" t="s">
        <v>125</v>
      </c>
      <c r="C28" s="111">
        <f>B31*8%</f>
        <v>312</v>
      </c>
    </row>
    <row r="29" spans="1:5" ht="15.75" thickBot="1">
      <c r="A29" s="118" t="s">
        <v>51</v>
      </c>
      <c r="B29" s="119" t="s">
        <v>25</v>
      </c>
      <c r="C29" s="136">
        <f>C27+C19+C28</f>
        <v>22375</v>
      </c>
    </row>
    <row r="31" spans="1:5">
      <c r="A31" t="s">
        <v>55</v>
      </c>
      <c r="B31" s="76">
        <v>3900</v>
      </c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E31"/>
  <sheetViews>
    <sheetView workbookViewId="0">
      <selection activeCell="E8" sqref="E8"/>
    </sheetView>
  </sheetViews>
  <sheetFormatPr defaultRowHeight="15"/>
  <cols>
    <col min="1" max="1" width="37.42578125" customWidth="1"/>
    <col min="2" max="2" width="12.5703125" customWidth="1"/>
    <col min="3" max="3" width="12.7109375" customWidth="1"/>
    <col min="4" max="4" width="13.42578125" customWidth="1"/>
  </cols>
  <sheetData>
    <row r="2" spans="1:5" ht="15.75">
      <c r="A2" s="209" t="s">
        <v>123</v>
      </c>
      <c r="B2" s="209"/>
      <c r="C2" s="209"/>
      <c r="D2" s="209"/>
      <c r="E2" s="209"/>
    </row>
    <row r="3" spans="1:5" ht="15.75" thickBot="1"/>
    <row r="4" spans="1:5" ht="15.75">
      <c r="A4" s="203" t="s">
        <v>27</v>
      </c>
      <c r="B4" s="204"/>
      <c r="C4" s="204"/>
      <c r="D4" s="204"/>
      <c r="E4" s="205"/>
    </row>
    <row r="5" spans="1:5" ht="38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>
      <c r="A6" s="28" t="s">
        <v>33</v>
      </c>
      <c r="B6" s="22">
        <v>654000</v>
      </c>
      <c r="C6" s="74">
        <v>587617</v>
      </c>
      <c r="D6" s="29">
        <f>C6/B6</f>
        <v>0.89849694189602447</v>
      </c>
      <c r="E6" s="30">
        <v>0.6</v>
      </c>
    </row>
    <row r="7" spans="1:5">
      <c r="A7" s="28" t="s">
        <v>89</v>
      </c>
      <c r="B7" s="22">
        <v>800</v>
      </c>
      <c r="C7" s="74">
        <v>336</v>
      </c>
      <c r="D7" s="31">
        <f>C7/B7</f>
        <v>0.42</v>
      </c>
      <c r="E7" s="32">
        <v>0.3</v>
      </c>
    </row>
    <row r="8" spans="1:5">
      <c r="A8" s="221" t="s">
        <v>129</v>
      </c>
      <c r="B8" s="22">
        <v>999</v>
      </c>
      <c r="C8" s="74">
        <v>663</v>
      </c>
      <c r="D8" s="29">
        <f>C8/B8</f>
        <v>0.66366366366366369</v>
      </c>
      <c r="E8" s="222">
        <v>0.1</v>
      </c>
    </row>
    <row r="9" spans="1:5" ht="25.5">
      <c r="A9" s="33" t="s">
        <v>130</v>
      </c>
      <c r="B9" s="34"/>
      <c r="C9" s="35"/>
      <c r="D9" s="225" t="str">
        <f>IF(OR(D6&lt;70%,D7&lt;70%,D8&lt;70%),"Нет","Да")</f>
        <v>Нет</v>
      </c>
      <c r="E9" s="37"/>
    </row>
    <row r="10" spans="1:5" ht="15.75" thickBot="1">
      <c r="A10" s="38" t="s">
        <v>36</v>
      </c>
      <c r="B10" s="39"/>
      <c r="C10" s="40"/>
      <c r="D10" s="226">
        <f>IF(D9="Да",D6*E6+D7*E7+D8*E8,MIN(D6:D8))</f>
        <v>0.42</v>
      </c>
      <c r="E10" s="42"/>
    </row>
    <row r="11" spans="1:5" ht="15.75" thickBot="1">
      <c r="A11" s="43"/>
      <c r="B11" s="43"/>
      <c r="C11" s="18"/>
      <c r="D11" s="18"/>
      <c r="E11" s="18"/>
    </row>
    <row r="12" spans="1:5" ht="15.75" customHeight="1">
      <c r="A12" s="203" t="s">
        <v>37</v>
      </c>
      <c r="B12" s="204"/>
      <c r="C12" s="205"/>
      <c r="D12" s="18"/>
      <c r="E12" s="18"/>
    </row>
    <row r="13" spans="1:5" ht="15.75">
      <c r="A13" s="206" t="s">
        <v>38</v>
      </c>
      <c r="B13" s="207"/>
      <c r="C13" s="208"/>
      <c r="D13" s="18"/>
      <c r="E13" s="18"/>
    </row>
    <row r="14" spans="1:5">
      <c r="A14" s="200" t="s">
        <v>39</v>
      </c>
      <c r="B14" s="201"/>
      <c r="C14" s="202"/>
      <c r="D14" s="44"/>
      <c r="E14" s="18"/>
    </row>
    <row r="15" spans="1:5">
      <c r="A15" s="45" t="s">
        <v>59</v>
      </c>
      <c r="B15" s="46" t="s">
        <v>41</v>
      </c>
      <c r="C15" s="174">
        <v>143</v>
      </c>
      <c r="D15" s="48"/>
      <c r="E15" s="48"/>
    </row>
    <row r="16" spans="1:5">
      <c r="A16" s="45" t="s">
        <v>60</v>
      </c>
      <c r="B16" s="46" t="s">
        <v>41</v>
      </c>
      <c r="C16" s="174">
        <v>143</v>
      </c>
      <c r="D16" s="51"/>
      <c r="E16" s="52"/>
    </row>
    <row r="17" spans="1:5" ht="15" customHeight="1">
      <c r="A17" s="45" t="s">
        <v>56</v>
      </c>
      <c r="B17" s="46" t="s">
        <v>114</v>
      </c>
      <c r="C17" s="131">
        <f>C16/C15</f>
        <v>1</v>
      </c>
      <c r="D17" s="18"/>
      <c r="E17" s="18"/>
    </row>
    <row r="18" spans="1:5">
      <c r="A18" s="49" t="s">
        <v>113</v>
      </c>
      <c r="B18" s="24" t="s">
        <v>25</v>
      </c>
      <c r="C18" s="132">
        <v>18000</v>
      </c>
      <c r="D18" s="18"/>
      <c r="E18" s="18"/>
    </row>
    <row r="19" spans="1:5">
      <c r="A19" s="133" t="s">
        <v>42</v>
      </c>
      <c r="B19" s="134" t="s">
        <v>25</v>
      </c>
      <c r="C19" s="135">
        <v>18000</v>
      </c>
      <c r="D19" s="51"/>
      <c r="E19" s="56"/>
    </row>
    <row r="20" spans="1:5">
      <c r="A20" s="200" t="s">
        <v>43</v>
      </c>
      <c r="B20" s="201"/>
      <c r="C20" s="202"/>
      <c r="D20" s="51"/>
      <c r="E20" s="56"/>
    </row>
    <row r="21" spans="1:5">
      <c r="A21" s="28" t="s">
        <v>44</v>
      </c>
      <c r="B21" s="24" t="s">
        <v>45</v>
      </c>
      <c r="C21" s="53">
        <v>27000</v>
      </c>
      <c r="D21" s="51"/>
      <c r="E21" s="18"/>
    </row>
    <row r="22" spans="1:5" ht="15" customHeight="1">
      <c r="A22" s="28" t="s">
        <v>46</v>
      </c>
      <c r="B22" s="54" t="s">
        <v>26</v>
      </c>
      <c r="C22" s="122">
        <v>1</v>
      </c>
      <c r="D22" s="18"/>
      <c r="E22" s="18"/>
    </row>
    <row r="23" spans="1:5">
      <c r="A23" s="28" t="s">
        <v>36</v>
      </c>
      <c r="B23" s="57" t="s">
        <v>26</v>
      </c>
      <c r="C23" s="55">
        <f>D10</f>
        <v>0.42</v>
      </c>
      <c r="D23" s="18"/>
      <c r="E23" s="18"/>
    </row>
    <row r="24" spans="1:5" ht="25.5">
      <c r="A24" s="28" t="s">
        <v>47</v>
      </c>
      <c r="B24" s="24" t="s">
        <v>45</v>
      </c>
      <c r="C24" s="53">
        <f>IF((C21*C22*C23)&gt;0,C21*C22*C23,0)</f>
        <v>11340</v>
      </c>
      <c r="D24" s="64"/>
      <c r="E24" s="65"/>
    </row>
    <row r="25" spans="1:5">
      <c r="A25" s="58" t="s">
        <v>49</v>
      </c>
      <c r="B25" s="59" t="s">
        <v>25</v>
      </c>
      <c r="C25" s="60">
        <v>1</v>
      </c>
      <c r="D25" s="64"/>
      <c r="E25" s="65"/>
    </row>
    <row r="26" spans="1:5">
      <c r="A26" s="61" t="s">
        <v>107</v>
      </c>
      <c r="B26" s="62" t="s">
        <v>25</v>
      </c>
      <c r="C26" s="109">
        <f>C25*C24</f>
        <v>11340</v>
      </c>
      <c r="D26" s="51"/>
      <c r="E26" s="56"/>
    </row>
    <row r="27" spans="1:5" ht="25.5">
      <c r="A27" s="113" t="s">
        <v>115</v>
      </c>
      <c r="B27" s="62" t="s">
        <v>25</v>
      </c>
      <c r="C27" s="111">
        <f>ROUND(LOOKUP(D10,{0,1,1.1001,1.3001},{1,1.05,1.1,1.15})*C26,)</f>
        <v>11340</v>
      </c>
    </row>
    <row r="28" spans="1:5">
      <c r="A28" s="190" t="s">
        <v>124</v>
      </c>
      <c r="B28" s="191"/>
      <c r="C28" s="111">
        <f>B31*8%</f>
        <v>680</v>
      </c>
    </row>
    <row r="29" spans="1:5" ht="15.75" thickBot="1">
      <c r="A29" s="118" t="s">
        <v>51</v>
      </c>
      <c r="B29" s="119" t="s">
        <v>25</v>
      </c>
      <c r="C29" s="136">
        <f>C27+C19+C28</f>
        <v>30020</v>
      </c>
    </row>
    <row r="31" spans="1:5">
      <c r="A31" t="s">
        <v>55</v>
      </c>
      <c r="B31" s="76">
        <v>8500</v>
      </c>
    </row>
  </sheetData>
  <mergeCells count="6">
    <mergeCell ref="A20:C20"/>
    <mergeCell ref="A2:E2"/>
    <mergeCell ref="A4:E4"/>
    <mergeCell ref="A12:C12"/>
    <mergeCell ref="A13:C13"/>
    <mergeCell ref="A14:C1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2:E31"/>
  <sheetViews>
    <sheetView workbookViewId="0">
      <selection activeCell="E8" sqref="E8"/>
    </sheetView>
  </sheetViews>
  <sheetFormatPr defaultRowHeight="15"/>
  <cols>
    <col min="1" max="1" width="39.5703125" customWidth="1"/>
    <col min="2" max="2" width="11.42578125" customWidth="1"/>
    <col min="3" max="3" width="13.28515625" customWidth="1"/>
    <col min="4" max="4" width="16.28515625" customWidth="1"/>
    <col min="5" max="5" width="18.140625" customWidth="1"/>
  </cols>
  <sheetData>
    <row r="2" spans="1:5" ht="15.75">
      <c r="A2" s="209" t="s">
        <v>104</v>
      </c>
      <c r="B2" s="209"/>
      <c r="C2" s="209"/>
      <c r="D2" s="209"/>
      <c r="E2" s="209"/>
    </row>
    <row r="3" spans="1:5" ht="15.75" thickBot="1"/>
    <row r="4" spans="1:5" ht="15.75">
      <c r="A4" s="203" t="s">
        <v>27</v>
      </c>
      <c r="B4" s="204"/>
      <c r="C4" s="204"/>
      <c r="D4" s="204"/>
      <c r="E4" s="205"/>
    </row>
    <row r="5" spans="1:5" ht="28.15" customHeight="1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 ht="14.45" customHeight="1">
      <c r="A6" s="28" t="s">
        <v>33</v>
      </c>
      <c r="B6" s="22">
        <v>654000</v>
      </c>
      <c r="C6" s="74">
        <v>157215</v>
      </c>
      <c r="D6" s="29">
        <f>C6/B6</f>
        <v>0.24038990825688072</v>
      </c>
      <c r="E6" s="30">
        <v>0.6</v>
      </c>
    </row>
    <row r="7" spans="1:5" ht="16.899999999999999" customHeight="1">
      <c r="A7" s="28" t="s">
        <v>89</v>
      </c>
      <c r="B7" s="22">
        <v>800</v>
      </c>
      <c r="C7" s="74">
        <v>123</v>
      </c>
      <c r="D7" s="31">
        <f>C7/B7</f>
        <v>0.15375</v>
      </c>
      <c r="E7" s="32">
        <v>0.3</v>
      </c>
    </row>
    <row r="8" spans="1:5" ht="16.899999999999999" customHeight="1">
      <c r="A8" s="221" t="s">
        <v>129</v>
      </c>
      <c r="B8" s="22">
        <v>999</v>
      </c>
      <c r="C8" s="74">
        <v>202</v>
      </c>
      <c r="D8" s="29">
        <f>C8/B8</f>
        <v>0.2022022022022022</v>
      </c>
      <c r="E8" s="222">
        <v>0.1</v>
      </c>
    </row>
    <row r="9" spans="1:5" ht="30" customHeight="1">
      <c r="A9" s="33" t="s">
        <v>130</v>
      </c>
      <c r="B9" s="34"/>
      <c r="C9" s="35"/>
      <c r="D9" s="225" t="str">
        <f>IF(OR(D6&lt;70%,D7&lt;70%,D8&lt;70%),"Нет","Да")</f>
        <v>Нет</v>
      </c>
      <c r="E9" s="37"/>
    </row>
    <row r="10" spans="1:5" ht="19.899999999999999" customHeight="1" thickBot="1">
      <c r="A10" s="38" t="s">
        <v>36</v>
      </c>
      <c r="B10" s="39"/>
      <c r="C10" s="40"/>
      <c r="D10" s="226">
        <f>IF(D9="Да",D6*E6+D7*E7+D8*E8,MIN(D6:D8))</f>
        <v>0.15375</v>
      </c>
      <c r="E10" s="42"/>
    </row>
    <row r="11" spans="1:5" ht="15.75" thickBot="1">
      <c r="A11" s="43"/>
      <c r="B11" s="43"/>
      <c r="C11" s="18"/>
      <c r="D11" s="18"/>
      <c r="E11" s="18"/>
    </row>
    <row r="12" spans="1:5" ht="15.75" customHeight="1">
      <c r="A12" s="203" t="s">
        <v>37</v>
      </c>
      <c r="B12" s="204"/>
      <c r="C12" s="205"/>
      <c r="D12" s="18"/>
      <c r="E12" s="18"/>
    </row>
    <row r="13" spans="1:5" ht="15.75">
      <c r="A13" s="206" t="s">
        <v>38</v>
      </c>
      <c r="B13" s="207"/>
      <c r="C13" s="208"/>
      <c r="D13" s="18"/>
      <c r="E13" s="18"/>
    </row>
    <row r="14" spans="1:5">
      <c r="A14" s="200" t="s">
        <v>39</v>
      </c>
      <c r="B14" s="201"/>
      <c r="C14" s="202"/>
      <c r="D14" s="44"/>
      <c r="E14" s="18"/>
    </row>
    <row r="15" spans="1:5" ht="18.600000000000001" customHeight="1">
      <c r="A15" s="45" t="s">
        <v>59</v>
      </c>
      <c r="B15" s="46" t="s">
        <v>41</v>
      </c>
      <c r="C15" s="174">
        <v>168</v>
      </c>
      <c r="D15" s="48"/>
      <c r="E15" s="48"/>
    </row>
    <row r="16" spans="1:5" ht="20.45" customHeight="1">
      <c r="A16" s="45" t="s">
        <v>60</v>
      </c>
      <c r="B16" s="46" t="s">
        <v>41</v>
      </c>
      <c r="C16" s="174">
        <v>37</v>
      </c>
      <c r="D16" s="51"/>
      <c r="E16" s="52"/>
    </row>
    <row r="17" spans="1:5" ht="15" customHeight="1">
      <c r="A17" s="45" t="s">
        <v>56</v>
      </c>
      <c r="B17" s="46" t="s">
        <v>114</v>
      </c>
      <c r="C17" s="131">
        <f>C16/C15</f>
        <v>0.22023809523809523</v>
      </c>
      <c r="D17" s="18"/>
      <c r="E17" s="18"/>
    </row>
    <row r="18" spans="1:5" ht="16.149999999999999" customHeight="1">
      <c r="A18" s="49" t="s">
        <v>113</v>
      </c>
      <c r="B18" s="24" t="s">
        <v>25</v>
      </c>
      <c r="C18" s="132">
        <f>Категории!E7</f>
        <v>18000</v>
      </c>
      <c r="D18" s="18"/>
      <c r="E18" s="18"/>
    </row>
    <row r="19" spans="1:5" ht="29.45" customHeight="1">
      <c r="A19" s="133" t="s">
        <v>42</v>
      </c>
      <c r="B19" s="134" t="s">
        <v>25</v>
      </c>
      <c r="C19" s="135">
        <f>C18*C17</f>
        <v>3964.2857142857142</v>
      </c>
      <c r="D19" s="51"/>
      <c r="E19" s="56"/>
    </row>
    <row r="20" spans="1:5" ht="19.899999999999999" customHeight="1">
      <c r="A20" s="200" t="s">
        <v>43</v>
      </c>
      <c r="B20" s="201"/>
      <c r="C20" s="202"/>
      <c r="D20" s="51"/>
      <c r="E20" s="56"/>
    </row>
    <row r="21" spans="1:5" ht="18" customHeight="1">
      <c r="A21" s="28" t="s">
        <v>44</v>
      </c>
      <c r="B21" s="24" t="s">
        <v>45</v>
      </c>
      <c r="C21" s="53">
        <f>Категории!E8</f>
        <v>27000</v>
      </c>
      <c r="D21" s="51"/>
      <c r="E21" s="18"/>
    </row>
    <row r="22" spans="1:5" ht="15" customHeight="1">
      <c r="A22" s="28" t="s">
        <v>46</v>
      </c>
      <c r="B22" s="54" t="s">
        <v>26</v>
      </c>
      <c r="C22" s="122">
        <v>1</v>
      </c>
      <c r="D22" s="18"/>
      <c r="E22" s="18"/>
    </row>
    <row r="23" spans="1:5">
      <c r="A23" s="28" t="s">
        <v>36</v>
      </c>
      <c r="B23" s="57" t="s">
        <v>26</v>
      </c>
      <c r="C23" s="55">
        <f>D10</f>
        <v>0.15375</v>
      </c>
      <c r="D23" s="18"/>
      <c r="E23" s="18"/>
    </row>
    <row r="24" spans="1:5" ht="15.75" customHeight="1">
      <c r="A24" s="28" t="s">
        <v>47</v>
      </c>
      <c r="B24" s="24" t="s">
        <v>45</v>
      </c>
      <c r="C24" s="53">
        <f>IF((C21*C22*C23)&gt;0,C21*C22*C23,0)</f>
        <v>4151.25</v>
      </c>
      <c r="D24" s="64"/>
      <c r="E24" s="65"/>
    </row>
    <row r="25" spans="1:5" ht="29.25" customHeight="1">
      <c r="A25" s="58" t="s">
        <v>49</v>
      </c>
      <c r="B25" s="59" t="s">
        <v>25</v>
      </c>
      <c r="C25" s="60">
        <v>1</v>
      </c>
      <c r="D25" s="64"/>
      <c r="E25" s="65"/>
    </row>
    <row r="26" spans="1:5" ht="19.149999999999999" customHeight="1">
      <c r="A26" s="61" t="s">
        <v>107</v>
      </c>
      <c r="B26" s="62" t="s">
        <v>25</v>
      </c>
      <c r="C26" s="109">
        <f>C25*C24</f>
        <v>4151.25</v>
      </c>
      <c r="D26" s="51"/>
      <c r="E26" s="56"/>
    </row>
    <row r="27" spans="1:5" ht="25.5">
      <c r="A27" s="113" t="s">
        <v>115</v>
      </c>
      <c r="B27" s="62" t="s">
        <v>25</v>
      </c>
      <c r="C27" s="111">
        <f>ROUND(LOOKUP(D10,{0,1,1.1001,1.3001},{1,1.05,1.1,1.15})*C26,)</f>
        <v>4151</v>
      </c>
    </row>
    <row r="28" spans="1:5">
      <c r="A28" s="190" t="s">
        <v>124</v>
      </c>
      <c r="B28" s="191" t="s">
        <v>25</v>
      </c>
      <c r="C28" s="111">
        <f>B31*8%</f>
        <v>0</v>
      </c>
    </row>
    <row r="29" spans="1:5" ht="15.75" thickBot="1">
      <c r="A29" s="118" t="s">
        <v>51</v>
      </c>
      <c r="B29" s="119" t="s">
        <v>25</v>
      </c>
      <c r="C29" s="136">
        <f>C27+C19+C28</f>
        <v>8115.2857142857138</v>
      </c>
    </row>
    <row r="30" spans="1:5" ht="11.25" customHeight="1"/>
    <row r="31" spans="1:5">
      <c r="A31" t="s">
        <v>55</v>
      </c>
      <c r="B31" s="117"/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>
    <tabColor rgb="FF0070C0"/>
  </sheetPr>
  <dimension ref="A2:Q31"/>
  <sheetViews>
    <sheetView workbookViewId="0">
      <selection activeCell="E8" sqref="E8"/>
    </sheetView>
  </sheetViews>
  <sheetFormatPr defaultRowHeight="15"/>
  <cols>
    <col min="1" max="1" width="37.42578125" customWidth="1"/>
    <col min="2" max="4" width="16.7109375" customWidth="1"/>
    <col min="10" max="10" width="12" customWidth="1"/>
  </cols>
  <sheetData>
    <row r="2" spans="1:17" ht="15.75">
      <c r="A2" s="209" t="s">
        <v>101</v>
      </c>
      <c r="B2" s="209"/>
      <c r="C2" s="209"/>
      <c r="D2" s="209"/>
      <c r="E2" s="209"/>
    </row>
    <row r="3" spans="1:17" ht="15.75" thickBot="1"/>
    <row r="4" spans="1:17" ht="15.75">
      <c r="A4" s="203" t="s">
        <v>27</v>
      </c>
      <c r="B4" s="204"/>
      <c r="C4" s="204"/>
      <c r="D4" s="204"/>
      <c r="E4" s="205"/>
    </row>
    <row r="5" spans="1:17" ht="38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17">
      <c r="A6" s="28" t="s">
        <v>33</v>
      </c>
      <c r="B6" s="22">
        <v>654000</v>
      </c>
      <c r="C6" s="74">
        <v>589770</v>
      </c>
      <c r="D6" s="29">
        <f>C6/B6</f>
        <v>0.90178899082568809</v>
      </c>
      <c r="E6" s="30">
        <v>0.6</v>
      </c>
    </row>
    <row r="7" spans="1:17">
      <c r="A7" s="28" t="s">
        <v>89</v>
      </c>
      <c r="B7" s="22">
        <v>800</v>
      </c>
      <c r="C7" s="74">
        <v>408</v>
      </c>
      <c r="D7" s="31">
        <f>C7/B7</f>
        <v>0.51</v>
      </c>
      <c r="E7" s="32">
        <v>0.3</v>
      </c>
    </row>
    <row r="8" spans="1:17">
      <c r="A8" s="221" t="s">
        <v>129</v>
      </c>
      <c r="B8" s="22">
        <v>999</v>
      </c>
      <c r="C8" s="74">
        <v>990</v>
      </c>
      <c r="D8" s="29">
        <f>C8/B8</f>
        <v>0.99099099099099097</v>
      </c>
      <c r="E8" s="222">
        <v>0.1</v>
      </c>
    </row>
    <row r="9" spans="1:17" ht="25.5">
      <c r="A9" s="33" t="s">
        <v>130</v>
      </c>
      <c r="B9" s="34"/>
      <c r="C9" s="35"/>
      <c r="D9" s="225" t="str">
        <f>IF(OR(D6&lt;70%,D7&lt;70%,D8&lt;70%),"Нет","Да")</f>
        <v>Нет</v>
      </c>
      <c r="E9" s="37"/>
    </row>
    <row r="10" spans="1:17" ht="15.75" thickBot="1">
      <c r="A10" s="38" t="s">
        <v>36</v>
      </c>
      <c r="B10" s="39"/>
      <c r="C10" s="40"/>
      <c r="D10" s="226">
        <f>IF(D9="Да",D6*E6+D7*E7+D8*E8,MIN(D6:D8))</f>
        <v>0.51</v>
      </c>
      <c r="E10" s="42"/>
    </row>
    <row r="11" spans="1:17" ht="15.75" thickBot="1">
      <c r="A11" s="43"/>
      <c r="B11" s="43"/>
      <c r="C11" s="18"/>
      <c r="D11" s="18"/>
      <c r="E11" s="18"/>
      <c r="H11" s="2"/>
      <c r="I11" s="2"/>
      <c r="J11" s="2"/>
      <c r="K11" s="2"/>
      <c r="L11" s="2"/>
    </row>
    <row r="12" spans="1:17" ht="15.75" customHeight="1">
      <c r="A12" s="203" t="s">
        <v>37</v>
      </c>
      <c r="B12" s="204"/>
      <c r="C12" s="205"/>
      <c r="D12" s="18"/>
      <c r="E12" s="18"/>
      <c r="H12" s="4"/>
      <c r="I12" s="4"/>
      <c r="J12" s="194"/>
      <c r="K12" s="4"/>
      <c r="L12" s="4"/>
      <c r="M12" s="82"/>
      <c r="N12" s="82"/>
      <c r="O12" s="82"/>
      <c r="P12" s="82"/>
      <c r="Q12" s="82"/>
    </row>
    <row r="13" spans="1:17" ht="15.75">
      <c r="A13" s="206" t="s">
        <v>38</v>
      </c>
      <c r="B13" s="207"/>
      <c r="C13" s="208"/>
      <c r="D13" s="18"/>
      <c r="E13" s="18"/>
      <c r="H13" s="4"/>
      <c r="I13" s="4"/>
      <c r="J13" s="195"/>
      <c r="K13" s="4"/>
      <c r="L13" s="4"/>
      <c r="M13" s="82"/>
      <c r="N13" s="82"/>
      <c r="O13" s="82"/>
      <c r="P13" s="82"/>
      <c r="Q13" s="82"/>
    </row>
    <row r="14" spans="1:17">
      <c r="A14" s="200" t="s">
        <v>39</v>
      </c>
      <c r="B14" s="201"/>
      <c r="C14" s="202"/>
      <c r="D14" s="44"/>
      <c r="E14" s="18"/>
      <c r="H14" s="4"/>
      <c r="I14" s="4"/>
      <c r="J14" s="194"/>
      <c r="K14" s="4"/>
      <c r="L14" s="4"/>
      <c r="M14" s="82"/>
      <c r="N14" s="82"/>
      <c r="O14" s="82"/>
      <c r="P14" s="82"/>
      <c r="Q14" s="82"/>
    </row>
    <row r="15" spans="1:17">
      <c r="A15" s="45" t="s">
        <v>59</v>
      </c>
      <c r="B15" s="46" t="s">
        <v>41</v>
      </c>
      <c r="C15" s="174">
        <v>168</v>
      </c>
      <c r="D15" s="48"/>
      <c r="E15" s="48"/>
      <c r="H15" s="4"/>
      <c r="I15" s="4"/>
      <c r="J15" s="4"/>
      <c r="K15" s="4"/>
      <c r="L15" s="4"/>
      <c r="M15" s="82"/>
      <c r="N15" s="82"/>
      <c r="O15" s="82"/>
      <c r="P15" s="82"/>
      <c r="Q15" s="82"/>
    </row>
    <row r="16" spans="1:17">
      <c r="A16" s="45" t="s">
        <v>60</v>
      </c>
      <c r="B16" s="46" t="s">
        <v>41</v>
      </c>
      <c r="C16" s="174">
        <v>168</v>
      </c>
      <c r="D16" s="51"/>
      <c r="E16" s="52"/>
      <c r="H16" s="210"/>
      <c r="I16" s="210"/>
      <c r="J16" s="211"/>
      <c r="K16" s="211"/>
      <c r="L16" s="211"/>
      <c r="M16" s="82"/>
      <c r="N16" s="82"/>
      <c r="O16" s="82"/>
      <c r="P16" s="82"/>
      <c r="Q16" s="82"/>
    </row>
    <row r="17" spans="1:17" ht="15" customHeight="1">
      <c r="A17" s="45" t="s">
        <v>56</v>
      </c>
      <c r="B17" s="46" t="s">
        <v>114</v>
      </c>
      <c r="C17" s="131">
        <f>C16/C15</f>
        <v>1</v>
      </c>
      <c r="D17" s="18"/>
      <c r="E17" s="18"/>
      <c r="H17" s="210"/>
      <c r="I17" s="210"/>
      <c r="J17" s="84"/>
      <c r="K17" s="84"/>
      <c r="L17" s="211"/>
      <c r="M17" s="82"/>
      <c r="N17" s="82"/>
      <c r="O17" s="82"/>
      <c r="P17" s="82"/>
      <c r="Q17" s="82"/>
    </row>
    <row r="18" spans="1:17">
      <c r="A18" s="49" t="s">
        <v>113</v>
      </c>
      <c r="B18" s="24" t="s">
        <v>25</v>
      </c>
      <c r="C18" s="132">
        <f>Категории!E7</f>
        <v>18000</v>
      </c>
      <c r="D18" s="18"/>
      <c r="E18" s="18"/>
      <c r="H18" s="210"/>
      <c r="I18" s="85"/>
      <c r="J18" s="86"/>
      <c r="K18" s="86"/>
      <c r="L18" s="86"/>
      <c r="M18" s="82"/>
      <c r="N18" s="82"/>
      <c r="O18" s="82"/>
      <c r="P18" s="82"/>
      <c r="Q18" s="82"/>
    </row>
    <row r="19" spans="1:17">
      <c r="A19" s="133" t="s">
        <v>42</v>
      </c>
      <c r="B19" s="134" t="s">
        <v>25</v>
      </c>
      <c r="C19" s="135">
        <f>C18*C17</f>
        <v>18000</v>
      </c>
      <c r="D19" s="51"/>
      <c r="E19" s="56"/>
      <c r="H19" s="210"/>
      <c r="I19" s="85"/>
      <c r="J19" s="86"/>
      <c r="K19" s="86"/>
      <c r="L19" s="86"/>
      <c r="M19" s="82"/>
      <c r="N19" s="82"/>
      <c r="O19" s="82"/>
      <c r="P19" s="82"/>
      <c r="Q19" s="82"/>
    </row>
    <row r="20" spans="1:17">
      <c r="A20" s="200" t="s">
        <v>43</v>
      </c>
      <c r="B20" s="201"/>
      <c r="C20" s="202"/>
      <c r="D20" s="51"/>
      <c r="E20" s="56"/>
      <c r="H20" s="210"/>
      <c r="I20" s="85"/>
      <c r="J20" s="86"/>
      <c r="K20" s="86"/>
      <c r="L20" s="86"/>
      <c r="M20" s="82"/>
      <c r="N20" s="82"/>
      <c r="O20" s="82"/>
      <c r="P20" s="82"/>
      <c r="Q20" s="82"/>
    </row>
    <row r="21" spans="1:17">
      <c r="A21" s="28" t="s">
        <v>44</v>
      </c>
      <c r="B21" s="24" t="s">
        <v>45</v>
      </c>
      <c r="C21" s="53">
        <f>Категории!E8</f>
        <v>27000</v>
      </c>
      <c r="D21" s="51"/>
      <c r="E21" s="18"/>
      <c r="H21" s="210"/>
      <c r="I21" s="85"/>
      <c r="J21" s="86"/>
      <c r="K21" s="86"/>
      <c r="L21" s="86"/>
      <c r="M21" s="82"/>
      <c r="N21" s="82"/>
      <c r="O21" s="82"/>
      <c r="P21" s="82"/>
      <c r="Q21" s="82"/>
    </row>
    <row r="22" spans="1:17" ht="15" customHeight="1">
      <c r="A22" s="28" t="s">
        <v>46</v>
      </c>
      <c r="B22" s="54" t="s">
        <v>26</v>
      </c>
      <c r="C22" s="122">
        <v>1</v>
      </c>
      <c r="D22" s="18"/>
      <c r="E22" s="18"/>
      <c r="H22" s="210"/>
      <c r="I22" s="85"/>
      <c r="J22" s="86"/>
      <c r="K22" s="86"/>
      <c r="L22" s="86"/>
      <c r="M22" s="82"/>
      <c r="N22" s="82"/>
      <c r="O22" s="82"/>
      <c r="P22" s="82"/>
      <c r="Q22" s="82"/>
    </row>
    <row r="23" spans="1:17">
      <c r="A23" s="28" t="s">
        <v>36</v>
      </c>
      <c r="B23" s="57" t="s">
        <v>26</v>
      </c>
      <c r="C23" s="55">
        <f>D10</f>
        <v>0.51</v>
      </c>
      <c r="D23" s="18"/>
      <c r="E23" s="18"/>
      <c r="H23" s="210"/>
      <c r="I23" s="85"/>
      <c r="J23" s="86"/>
      <c r="K23" s="86"/>
      <c r="L23" s="86"/>
      <c r="M23" s="82"/>
      <c r="N23" s="82"/>
      <c r="O23" s="82"/>
      <c r="P23" s="82"/>
      <c r="Q23" s="82"/>
    </row>
    <row r="24" spans="1:17" ht="25.5">
      <c r="A24" s="28" t="s">
        <v>47</v>
      </c>
      <c r="B24" s="24" t="s">
        <v>45</v>
      </c>
      <c r="C24" s="53">
        <f>IF((C21*C22*C23)&gt;0,C21*C22*C23,0)</f>
        <v>13770</v>
      </c>
      <c r="D24" s="64"/>
      <c r="E24" s="65"/>
      <c r="H24" s="210"/>
      <c r="I24" s="85"/>
      <c r="J24" s="86"/>
      <c r="K24" s="86"/>
      <c r="L24" s="86"/>
      <c r="M24" s="82"/>
      <c r="N24" s="82"/>
      <c r="O24" s="82"/>
      <c r="P24" s="82"/>
      <c r="Q24" s="82"/>
    </row>
    <row r="25" spans="1:17">
      <c r="A25" s="58" t="s">
        <v>49</v>
      </c>
      <c r="B25" s="59" t="s">
        <v>25</v>
      </c>
      <c r="C25" s="60">
        <v>1</v>
      </c>
      <c r="D25" s="64"/>
      <c r="E25" s="65"/>
      <c r="H25" s="210"/>
      <c r="I25" s="85"/>
      <c r="J25" s="86"/>
      <c r="K25" s="86"/>
      <c r="L25" s="86"/>
      <c r="M25" s="82"/>
      <c r="N25" s="82"/>
      <c r="O25" s="82"/>
      <c r="P25" s="82"/>
      <c r="Q25" s="82"/>
    </row>
    <row r="26" spans="1:17">
      <c r="A26" s="61" t="s">
        <v>107</v>
      </c>
      <c r="B26" s="62" t="s">
        <v>25</v>
      </c>
      <c r="C26" s="109">
        <f>C25*C24</f>
        <v>13770</v>
      </c>
      <c r="D26" s="51"/>
      <c r="E26" s="56"/>
      <c r="H26" s="210"/>
      <c r="I26" s="85"/>
      <c r="J26" s="86"/>
      <c r="K26" s="86"/>
      <c r="L26" s="86"/>
      <c r="M26" s="82"/>
      <c r="N26" s="82"/>
      <c r="O26" s="82"/>
      <c r="P26" s="82"/>
      <c r="Q26" s="82"/>
    </row>
    <row r="27" spans="1:17" ht="25.5">
      <c r="A27" s="113" t="s">
        <v>115</v>
      </c>
      <c r="B27" s="62" t="s">
        <v>25</v>
      </c>
      <c r="C27" s="111">
        <f>ROUND(LOOKUP(D10,{0,1,1.1001,1.3001},{1,1.05,1.1,1.15})*C26,)</f>
        <v>13770</v>
      </c>
      <c r="H27" s="210"/>
      <c r="I27" s="85"/>
      <c r="J27" s="86"/>
      <c r="K27" s="86"/>
      <c r="L27" s="86"/>
      <c r="M27" s="82"/>
      <c r="N27" s="82"/>
      <c r="O27" s="82"/>
      <c r="P27" s="82"/>
      <c r="Q27" s="82"/>
    </row>
    <row r="28" spans="1:17">
      <c r="A28" s="190" t="s">
        <v>124</v>
      </c>
      <c r="B28" s="191" t="s">
        <v>25</v>
      </c>
      <c r="C28" s="111">
        <f>B31*8%</f>
        <v>144</v>
      </c>
      <c r="H28" s="210"/>
      <c r="I28" s="85"/>
      <c r="J28" s="86"/>
      <c r="K28" s="86"/>
      <c r="L28" s="86"/>
      <c r="M28" s="82"/>
      <c r="N28" s="82"/>
      <c r="O28" s="82"/>
      <c r="P28" s="82"/>
      <c r="Q28" s="82"/>
    </row>
    <row r="29" spans="1:17" ht="15.75" thickBot="1">
      <c r="A29" s="118" t="s">
        <v>51</v>
      </c>
      <c r="B29" s="119" t="s">
        <v>25</v>
      </c>
      <c r="C29" s="136">
        <f>C27+C19+C28</f>
        <v>31914</v>
      </c>
      <c r="H29" s="210"/>
      <c r="I29" s="85"/>
      <c r="J29" s="86"/>
      <c r="K29" s="86"/>
      <c r="L29" s="86"/>
      <c r="M29" s="82"/>
      <c r="N29" s="82"/>
      <c r="O29" s="82"/>
      <c r="P29" s="82"/>
      <c r="Q29" s="82"/>
    </row>
    <row r="31" spans="1:17">
      <c r="A31" t="s">
        <v>55</v>
      </c>
      <c r="B31" s="117">
        <v>1800</v>
      </c>
    </row>
  </sheetData>
  <mergeCells count="11">
    <mergeCell ref="H18:H29"/>
    <mergeCell ref="A4:E4"/>
    <mergeCell ref="A12:C12"/>
    <mergeCell ref="A13:C13"/>
    <mergeCell ref="A14:C14"/>
    <mergeCell ref="A20:C20"/>
    <mergeCell ref="A2:E2"/>
    <mergeCell ref="H16:H17"/>
    <mergeCell ref="I16:I17"/>
    <mergeCell ref="J16:K16"/>
    <mergeCell ref="L16:L17"/>
  </mergeCells>
  <pageMargins left="0" right="0" top="0" bottom="0" header="0.51181102362204722" footer="0.51181102362204722"/>
  <pageSetup paperSize="9" scale="90" fitToWidth="0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S23"/>
  <sheetViews>
    <sheetView zoomScale="85" zoomScaleNormal="85" workbookViewId="0">
      <selection activeCell="B5" sqref="B5"/>
    </sheetView>
  </sheetViews>
  <sheetFormatPr defaultRowHeight="15"/>
  <cols>
    <col min="1" max="1" width="32.28515625" customWidth="1"/>
    <col min="2" max="2" width="19.140625" customWidth="1"/>
    <col min="3" max="3" width="15.7109375" customWidth="1"/>
    <col min="4" max="4" width="16.28515625" customWidth="1"/>
    <col min="5" max="5" width="11.85546875" customWidth="1"/>
    <col min="11" max="11" width="13" customWidth="1"/>
    <col min="12" max="12" width="12.28515625" customWidth="1"/>
    <col min="13" max="13" width="12.85546875" customWidth="1"/>
  </cols>
  <sheetData>
    <row r="1" spans="1:19" ht="15.75">
      <c r="A1" s="203" t="s">
        <v>27</v>
      </c>
      <c r="B1" s="204"/>
      <c r="C1" s="204"/>
      <c r="D1" s="204"/>
      <c r="E1" s="205"/>
    </row>
    <row r="2" spans="1:19" ht="36" customHeight="1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  <c r="I2" s="4"/>
      <c r="J2" s="4"/>
      <c r="K2" s="4"/>
      <c r="L2" s="4"/>
      <c r="M2" s="4"/>
      <c r="N2" s="82"/>
      <c r="O2" s="82"/>
      <c r="P2" s="82"/>
      <c r="Q2" s="82"/>
      <c r="R2" s="82"/>
      <c r="S2" s="82"/>
    </row>
    <row r="3" spans="1:19" ht="17.45" customHeight="1">
      <c r="A3" s="28" t="s">
        <v>33</v>
      </c>
      <c r="B3" s="22">
        <v>400000</v>
      </c>
      <c r="C3" s="74">
        <v>344226</v>
      </c>
      <c r="D3" s="29">
        <f>C3/B3</f>
        <v>0.86056500000000002</v>
      </c>
      <c r="E3" s="30">
        <v>0.6</v>
      </c>
      <c r="I3" s="4"/>
      <c r="J3" s="4"/>
      <c r="K3" s="4"/>
      <c r="L3" s="4"/>
      <c r="M3" s="4"/>
      <c r="N3" s="82"/>
      <c r="O3" s="82"/>
      <c r="P3" s="82"/>
      <c r="Q3" s="82"/>
      <c r="R3" s="82"/>
      <c r="S3" s="82"/>
    </row>
    <row r="4" spans="1:19" ht="27" customHeight="1">
      <c r="A4" s="28" t="s">
        <v>34</v>
      </c>
      <c r="B4" s="22">
        <v>400</v>
      </c>
      <c r="C4" s="74">
        <v>794</v>
      </c>
      <c r="D4" s="31">
        <f>C4/B4</f>
        <v>1.9850000000000001</v>
      </c>
      <c r="E4" s="32">
        <f>100%-E3</f>
        <v>0.4</v>
      </c>
      <c r="I4" s="4"/>
      <c r="J4" s="4"/>
      <c r="K4" s="4"/>
      <c r="L4" s="4"/>
      <c r="M4" s="4"/>
      <c r="N4" s="82"/>
      <c r="O4" s="82"/>
      <c r="P4" s="82"/>
      <c r="Q4" s="82"/>
      <c r="R4" s="82"/>
      <c r="S4" s="82"/>
    </row>
    <row r="5" spans="1:19" ht="18.600000000000001" customHeight="1">
      <c r="A5" s="33" t="s">
        <v>35</v>
      </c>
      <c r="B5" s="34"/>
      <c r="C5" s="35"/>
      <c r="D5" s="36" t="str">
        <f>IF(OR(D3&lt;70%,D4&lt;70%),"Нет","Да")</f>
        <v>Да</v>
      </c>
      <c r="E5" s="37"/>
      <c r="I5" s="4"/>
      <c r="J5" s="4"/>
      <c r="K5" s="4"/>
      <c r="L5" s="4"/>
      <c r="M5" s="4"/>
      <c r="N5" s="82"/>
      <c r="O5" s="82"/>
      <c r="P5" s="82"/>
      <c r="Q5" s="82"/>
      <c r="R5" s="82"/>
      <c r="S5" s="82"/>
    </row>
    <row r="6" spans="1:19" ht="18.600000000000001" customHeight="1" thickBot="1">
      <c r="A6" s="38" t="s">
        <v>36</v>
      </c>
      <c r="B6" s="39"/>
      <c r="C6" s="40"/>
      <c r="D6" s="41">
        <f>IF(D5="Да",D3*E3+D4*E4,MIN(D3:D4))</f>
        <v>1.3103389999999999</v>
      </c>
      <c r="E6" s="42"/>
      <c r="I6" s="4"/>
      <c r="J6" s="4"/>
      <c r="K6" s="83"/>
      <c r="L6" s="4"/>
      <c r="M6" s="4"/>
      <c r="N6" s="82"/>
      <c r="O6" s="82"/>
      <c r="P6" s="82"/>
      <c r="Q6" s="82"/>
      <c r="R6" s="82"/>
      <c r="S6" s="82"/>
    </row>
    <row r="7" spans="1:19" ht="15.75" customHeight="1" thickBot="1">
      <c r="A7" s="43"/>
      <c r="B7" s="43"/>
      <c r="C7" s="18"/>
      <c r="D7" s="18"/>
      <c r="E7" s="18"/>
      <c r="I7" s="4"/>
      <c r="J7" s="4"/>
      <c r="K7" s="4"/>
      <c r="L7" s="4"/>
      <c r="M7" s="4"/>
      <c r="N7" s="82"/>
      <c r="O7" s="82"/>
      <c r="P7" s="82"/>
      <c r="Q7" s="82"/>
      <c r="R7" s="82"/>
      <c r="S7" s="82"/>
    </row>
    <row r="8" spans="1:19" ht="51" customHeight="1">
      <c r="A8" s="203" t="s">
        <v>37</v>
      </c>
      <c r="B8" s="204"/>
      <c r="C8" s="205"/>
      <c r="D8" s="18"/>
      <c r="E8" s="18"/>
      <c r="I8" s="4"/>
      <c r="J8" s="4"/>
      <c r="K8" s="4"/>
      <c r="L8" s="4"/>
      <c r="M8" s="4"/>
      <c r="N8" s="82"/>
      <c r="O8" s="82"/>
      <c r="P8" s="82"/>
      <c r="Q8" s="82"/>
      <c r="R8" s="82"/>
      <c r="S8" s="82"/>
    </row>
    <row r="9" spans="1:19" ht="15.75" customHeight="1">
      <c r="A9" s="206" t="s">
        <v>38</v>
      </c>
      <c r="B9" s="207"/>
      <c r="C9" s="208"/>
      <c r="D9" s="18"/>
      <c r="E9" s="18"/>
      <c r="I9" s="210"/>
      <c r="J9" s="210"/>
      <c r="K9" s="211"/>
      <c r="L9" s="211"/>
      <c r="M9" s="211"/>
      <c r="N9" s="82"/>
      <c r="O9" s="82"/>
      <c r="P9" s="82"/>
      <c r="Q9" s="82"/>
      <c r="R9" s="82"/>
      <c r="S9" s="82"/>
    </row>
    <row r="10" spans="1:19">
      <c r="A10" s="200" t="s">
        <v>39</v>
      </c>
      <c r="B10" s="201"/>
      <c r="C10" s="202"/>
      <c r="D10" s="44"/>
      <c r="E10" s="18"/>
      <c r="I10" s="210"/>
      <c r="J10" s="210"/>
      <c r="K10" s="84"/>
      <c r="L10" s="84"/>
      <c r="M10" s="211"/>
      <c r="N10" s="82"/>
      <c r="O10" s="82"/>
      <c r="P10" s="82"/>
      <c r="Q10" s="82"/>
      <c r="R10" s="82"/>
      <c r="S10" s="82"/>
    </row>
    <row r="11" spans="1:19" ht="30" customHeight="1">
      <c r="A11" s="45" t="s">
        <v>40</v>
      </c>
      <c r="B11" s="46" t="s">
        <v>41</v>
      </c>
      <c r="C11" s="47">
        <v>168</v>
      </c>
      <c r="D11" s="48"/>
      <c r="E11" s="48"/>
      <c r="I11" s="210"/>
      <c r="J11" s="85">
        <v>184</v>
      </c>
      <c r="K11" s="86">
        <f>400/184*101</f>
        <v>219.56521739130434</v>
      </c>
      <c r="L11" s="86"/>
      <c r="M11" s="86"/>
      <c r="N11" s="82"/>
      <c r="O11" s="82"/>
      <c r="P11" s="82"/>
      <c r="Q11" s="82"/>
      <c r="R11" s="82"/>
      <c r="S11" s="82"/>
    </row>
    <row r="12" spans="1:19" ht="17.45" customHeight="1">
      <c r="A12" s="49" t="s">
        <v>42</v>
      </c>
      <c r="B12" s="24" t="s">
        <v>25</v>
      </c>
      <c r="C12" s="50">
        <f>Категории!E7</f>
        <v>18000</v>
      </c>
      <c r="D12" s="51"/>
      <c r="E12" s="52"/>
      <c r="I12" s="210"/>
      <c r="J12" s="85">
        <v>101</v>
      </c>
      <c r="K12" s="86"/>
      <c r="L12" s="86"/>
      <c r="M12" s="86"/>
      <c r="N12" s="82"/>
      <c r="O12" s="82"/>
      <c r="P12" s="82"/>
      <c r="Q12" s="82"/>
      <c r="R12" s="82"/>
      <c r="S12" s="82"/>
    </row>
    <row r="13" spans="1:19">
      <c r="A13" s="200" t="s">
        <v>43</v>
      </c>
      <c r="B13" s="201"/>
      <c r="C13" s="202"/>
      <c r="D13" s="18"/>
      <c r="E13" s="18"/>
      <c r="I13" s="210"/>
      <c r="J13" s="85"/>
      <c r="K13" s="86"/>
      <c r="L13" s="86"/>
      <c r="M13" s="86"/>
      <c r="N13" s="82"/>
      <c r="O13" s="82"/>
      <c r="P13" s="82"/>
      <c r="Q13" s="82"/>
      <c r="R13" s="82"/>
      <c r="S13" s="82"/>
    </row>
    <row r="14" spans="1:19" ht="30" customHeight="1">
      <c r="A14" s="28" t="s">
        <v>44</v>
      </c>
      <c r="B14" s="24" t="s">
        <v>45</v>
      </c>
      <c r="C14" s="53">
        <f>Категории!E8</f>
        <v>27000</v>
      </c>
      <c r="D14" s="18"/>
      <c r="E14" s="18"/>
      <c r="I14" s="210"/>
      <c r="J14" s="85"/>
      <c r="K14" s="86"/>
      <c r="L14" s="86"/>
      <c r="M14" s="86"/>
      <c r="N14" s="82"/>
      <c r="O14" s="82"/>
      <c r="P14" s="82"/>
      <c r="Q14" s="82"/>
      <c r="R14" s="82"/>
      <c r="S14" s="82"/>
    </row>
    <row r="15" spans="1:19" ht="32.450000000000003" customHeight="1">
      <c r="A15" s="28" t="s">
        <v>46</v>
      </c>
      <c r="B15" s="54" t="s">
        <v>26</v>
      </c>
      <c r="C15" s="75">
        <v>1</v>
      </c>
      <c r="D15" s="51"/>
      <c r="E15" s="56"/>
      <c r="I15" s="210"/>
      <c r="J15" s="85"/>
      <c r="K15" s="86"/>
      <c r="L15" s="86"/>
      <c r="M15" s="86"/>
      <c r="N15" s="82"/>
      <c r="O15" s="82"/>
      <c r="P15" s="82"/>
      <c r="Q15" s="82"/>
      <c r="R15" s="82"/>
      <c r="S15" s="82"/>
    </row>
    <row r="16" spans="1:19" ht="19.149999999999999" customHeight="1">
      <c r="A16" s="28" t="s">
        <v>36</v>
      </c>
      <c r="B16" s="57" t="s">
        <v>26</v>
      </c>
      <c r="C16" s="55">
        <f>D6</f>
        <v>1.3103389999999999</v>
      </c>
      <c r="D16" s="51"/>
      <c r="E16" s="56"/>
      <c r="I16" s="210"/>
      <c r="J16" s="85"/>
      <c r="K16" s="86"/>
      <c r="L16" s="86"/>
      <c r="M16" s="86"/>
      <c r="N16" s="82"/>
      <c r="O16" s="82"/>
      <c r="P16" s="82"/>
      <c r="Q16" s="82"/>
      <c r="R16" s="82"/>
      <c r="S16" s="82"/>
    </row>
    <row r="17" spans="1:19" ht="30" customHeight="1">
      <c r="A17" s="28" t="s">
        <v>47</v>
      </c>
      <c r="B17" s="24" t="s">
        <v>45</v>
      </c>
      <c r="C17" s="53">
        <f>IF((C14*C15*C16)&gt;0,C14*C15*C16,0)</f>
        <v>35379.152999999998</v>
      </c>
      <c r="D17" s="51"/>
      <c r="E17" s="18"/>
      <c r="I17" s="210"/>
      <c r="J17" s="85"/>
      <c r="K17" s="86"/>
      <c r="L17" s="86"/>
      <c r="M17" s="86"/>
      <c r="N17" s="82"/>
      <c r="O17" s="82"/>
      <c r="P17" s="82"/>
      <c r="Q17" s="82"/>
      <c r="R17" s="82"/>
      <c r="S17" s="82"/>
    </row>
    <row r="18" spans="1:19">
      <c r="A18" s="200" t="s">
        <v>48</v>
      </c>
      <c r="B18" s="201"/>
      <c r="C18" s="202"/>
      <c r="D18" s="18"/>
      <c r="E18" s="18"/>
      <c r="I18" s="210"/>
      <c r="J18" s="85"/>
      <c r="K18" s="86"/>
      <c r="L18" s="86"/>
      <c r="M18" s="86"/>
      <c r="N18" s="82"/>
      <c r="O18" s="82"/>
      <c r="P18" s="82"/>
      <c r="Q18" s="82"/>
      <c r="R18" s="82"/>
      <c r="S18" s="82"/>
    </row>
    <row r="19" spans="1:19">
      <c r="A19" s="58" t="s">
        <v>49</v>
      </c>
      <c r="B19" s="59" t="s">
        <v>25</v>
      </c>
      <c r="C19" s="60">
        <v>1</v>
      </c>
      <c r="D19" s="18"/>
      <c r="E19" s="18"/>
      <c r="I19" s="210"/>
      <c r="J19" s="85"/>
      <c r="K19" s="86"/>
      <c r="L19" s="86"/>
      <c r="M19" s="86"/>
      <c r="N19" s="82"/>
      <c r="O19" s="82"/>
      <c r="P19" s="82"/>
      <c r="Q19" s="82"/>
      <c r="R19" s="82"/>
      <c r="S19" s="82"/>
    </row>
    <row r="20" spans="1:19" ht="16.149999999999999" customHeight="1">
      <c r="A20" s="61" t="s">
        <v>50</v>
      </c>
      <c r="B20" s="62" t="s">
        <v>25</v>
      </c>
      <c r="C20" s="63">
        <f>C19*C17</f>
        <v>35379.152999999998</v>
      </c>
      <c r="D20" s="64"/>
      <c r="E20" s="65"/>
      <c r="I20" s="210"/>
      <c r="J20" s="85"/>
      <c r="K20" s="86"/>
      <c r="L20" s="86"/>
      <c r="M20" s="86"/>
      <c r="N20" s="82"/>
      <c r="O20" s="82"/>
      <c r="P20" s="82"/>
      <c r="Q20" s="82"/>
      <c r="R20" s="82"/>
      <c r="S20" s="82"/>
    </row>
    <row r="21" spans="1:19" ht="19.899999999999999" customHeight="1" thickBot="1">
      <c r="A21" s="66" t="s">
        <v>51</v>
      </c>
      <c r="B21" s="67" t="s">
        <v>25</v>
      </c>
      <c r="C21" s="68">
        <f>C12+C20</f>
        <v>53379.152999999998</v>
      </c>
      <c r="D21" s="51"/>
      <c r="E21" s="56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</row>
    <row r="22" spans="1:19"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</row>
    <row r="23" spans="1:19">
      <c r="A23" t="s">
        <v>55</v>
      </c>
      <c r="B23" s="76"/>
    </row>
  </sheetData>
  <mergeCells count="11">
    <mergeCell ref="A18:C18"/>
    <mergeCell ref="A1:E1"/>
    <mergeCell ref="A8:C8"/>
    <mergeCell ref="A9:C9"/>
    <mergeCell ref="A10:C10"/>
    <mergeCell ref="A13:C13"/>
    <mergeCell ref="I9:I10"/>
    <mergeCell ref="J9:J10"/>
    <mergeCell ref="K9:L9"/>
    <mergeCell ref="M9:M10"/>
    <mergeCell ref="I11:I2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Ведомость</vt:lpstr>
      <vt:lpstr>Премия</vt:lpstr>
      <vt:lpstr>Тарановский</vt:lpstr>
      <vt:lpstr>Лобанов</vt:lpstr>
      <vt:lpstr>Сизоненко</vt:lpstr>
      <vt:lpstr>Тарановский М-р</vt:lpstr>
      <vt:lpstr>Епанчинцев</vt:lpstr>
      <vt:lpstr>Третьяков</vt:lpstr>
      <vt:lpstr>Флока</vt:lpstr>
      <vt:lpstr>Гребенщикова</vt:lpstr>
      <vt:lpstr>Ефанов</vt:lpstr>
      <vt:lpstr>Климас</vt:lpstr>
      <vt:lpstr>Щипун</vt:lpstr>
      <vt:lpstr>Войлошникова</vt:lpstr>
      <vt:lpstr>Сиротенко</vt:lpstr>
      <vt:lpstr>Категории</vt:lpstr>
      <vt:lpstr>Лист1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2015-04-02T08:01:51Z</cp:lastPrinted>
  <dcterms:created xsi:type="dcterms:W3CDTF">2011-12-30T03:04:57Z</dcterms:created>
  <dcterms:modified xsi:type="dcterms:W3CDTF">2015-05-07T03:34:34Z</dcterms:modified>
</cp:coreProperties>
</file>