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3950" yWindow="0" windowWidth="30720" windowHeight="14295" tabRatio="791" activeTab="5"/>
  </bookViews>
  <sheets>
    <sheet name="План распределения" sheetId="30" r:id="rId1"/>
    <sheet name="Лист2" sheetId="18" state="hidden" r:id="rId2"/>
    <sheet name="Затраты на комплектующие" sheetId="26" r:id="rId3"/>
    <sheet name="Трудоемкость работ" sheetId="27" r:id="rId4"/>
    <sheet name="Работы по развертыванию" sheetId="21" r:id="rId5"/>
    <sheet name="командировка" sheetId="5" r:id="rId6"/>
  </sheets>
  <externalReferences>
    <externalReference r:id="rId7"/>
  </externalReferences>
  <definedNames>
    <definedName name="_xlnm._FilterDatabase" localSheetId="3" hidden="1">'Трудоемкость работ'!$B$1:$B$30</definedName>
    <definedName name="_xlnm.Print_Titles" localSheetId="2">'Затраты на комплектующие'!$3:$3</definedName>
    <definedName name="_xlnm.Print_Titles" localSheetId="5">командировка!$3:$5</definedName>
    <definedName name="_xlnm.Print_Titles" localSheetId="3">'Трудоемкость работ'!$A:$B,'Трудоемкость работ'!$1:$2</definedName>
    <definedName name="_xlnm.Print_Area" localSheetId="2">'Затраты на комплектующие'!$A$1:$F$16</definedName>
    <definedName name="_xlnm.Print_Area" localSheetId="5">командировка!$A$1:$N$17</definedName>
    <definedName name="_xlnm.Print_Area" localSheetId="1">Лист2!$A$1:$E$14</definedName>
    <definedName name="_xlnm.Print_Area" localSheetId="4">'Работы по развертыванию'!$A$82:$N$154</definedName>
    <definedName name="_xlnm.Print_Area" localSheetId="3">'Трудоемкость работ'!$A$1:$AI$30</definedName>
  </definedNames>
  <calcPr calcId="152511" iterate="1"/>
</workbook>
</file>

<file path=xl/calcChain.xml><?xml version="1.0" encoding="utf-8"?>
<calcChain xmlns="http://schemas.openxmlformats.org/spreadsheetml/2006/main">
  <c r="K12" i="5" l="1"/>
  <c r="L12" i="5" s="1"/>
  <c r="C3" i="27"/>
  <c r="C27" i="27" s="1"/>
  <c r="B4" i="26"/>
  <c r="C87" i="21"/>
  <c r="B5" i="26"/>
  <c r="B6" i="26"/>
  <c r="C5" i="27" l="1"/>
  <c r="C18" i="27"/>
  <c r="C10" i="27"/>
  <c r="C12" i="27"/>
  <c r="C23" i="27"/>
  <c r="C25" i="27"/>
  <c r="C8" i="27"/>
  <c r="AL8" i="27" s="1"/>
  <c r="C16" i="27"/>
  <c r="C6" i="27"/>
  <c r="C11" i="27"/>
  <c r="C26" i="27"/>
  <c r="C28" i="27"/>
  <c r="C29" i="27"/>
  <c r="C20" i="27"/>
  <c r="C13" i="27"/>
  <c r="C21" i="27"/>
  <c r="C7" i="27"/>
  <c r="C15" i="27"/>
  <c r="C22" i="27"/>
  <c r="C4" i="27"/>
  <c r="C14" i="27"/>
  <c r="C24" i="27"/>
  <c r="C9" i="27"/>
  <c r="C17" i="27"/>
  <c r="C19" i="27"/>
  <c r="G1" i="27"/>
  <c r="AJ1" i="27" l="1"/>
  <c r="N3" i="5" s="1"/>
  <c r="B13" i="5"/>
  <c r="B7" i="5"/>
  <c r="C11" i="5" s="1"/>
  <c r="B16" i="5"/>
  <c r="B15" i="5"/>
  <c r="K11" i="5"/>
  <c r="L11" i="5"/>
  <c r="B8" i="5"/>
  <c r="C13" i="5" l="1"/>
  <c r="C14" i="5"/>
  <c r="C12" i="5"/>
  <c r="C9" i="5"/>
  <c r="C10" i="5"/>
  <c r="C15" i="5"/>
  <c r="C16" i="5"/>
  <c r="C8" i="5"/>
  <c r="B28" i="27" l="1"/>
  <c r="B29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B5" i="27"/>
  <c r="B6" i="27"/>
  <c r="B7" i="27"/>
  <c r="B8" i="27"/>
  <c r="AK8" i="27" s="1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12" i="5" l="1"/>
  <c r="D128" i="21"/>
  <c r="E128" i="21"/>
  <c r="F128" i="21"/>
  <c r="G128" i="21"/>
  <c r="H128" i="21"/>
  <c r="I128" i="21"/>
  <c r="J128" i="21"/>
  <c r="K128" i="21"/>
  <c r="L128" i="21"/>
  <c r="M128" i="21"/>
  <c r="N128" i="21"/>
  <c r="C128" i="21"/>
  <c r="D95" i="21"/>
  <c r="E95" i="21"/>
  <c r="F95" i="21"/>
  <c r="G95" i="21"/>
  <c r="H95" i="21"/>
  <c r="I95" i="21"/>
  <c r="J95" i="21"/>
  <c r="K95" i="21"/>
  <c r="L95" i="21"/>
  <c r="M95" i="21"/>
  <c r="N95" i="21"/>
  <c r="C95" i="21"/>
  <c r="D150" i="21" l="1"/>
  <c r="E150" i="21"/>
  <c r="F150" i="21"/>
  <c r="G150" i="21"/>
  <c r="H150" i="21"/>
  <c r="I150" i="21"/>
  <c r="J150" i="21"/>
  <c r="K150" i="21"/>
  <c r="L150" i="21"/>
  <c r="M150" i="21"/>
  <c r="N150" i="21"/>
  <c r="C150" i="21"/>
  <c r="D87" i="21"/>
  <c r="E87" i="21"/>
  <c r="F87" i="21"/>
  <c r="G87" i="21"/>
  <c r="H87" i="21"/>
  <c r="I87" i="21"/>
  <c r="J87" i="21"/>
  <c r="K87" i="21"/>
  <c r="L87" i="21"/>
  <c r="M87" i="21"/>
  <c r="N87" i="21"/>
  <c r="AH1" i="27"/>
  <c r="M1" i="27"/>
  <c r="P1" i="27"/>
  <c r="S1" i="27"/>
  <c r="V1" i="27"/>
  <c r="Y1" i="27"/>
  <c r="AB1" i="27"/>
  <c r="AE1" i="27"/>
  <c r="AH28" i="27" l="1"/>
  <c r="AE28" i="27"/>
  <c r="AF28" i="27"/>
  <c r="AB28" i="27"/>
  <c r="AC28" i="27"/>
  <c r="Y28" i="27"/>
  <c r="Z28" i="27"/>
  <c r="V28" i="27"/>
  <c r="W28" i="27"/>
  <c r="Q28" i="27"/>
  <c r="P28" i="27"/>
  <c r="S28" i="27"/>
  <c r="T28" i="27"/>
  <c r="M28" i="27"/>
  <c r="N28" i="27"/>
  <c r="M6" i="27"/>
  <c r="S21" i="27"/>
  <c r="V6" i="27"/>
  <c r="V17" i="27"/>
  <c r="S9" i="27"/>
  <c r="S17" i="27"/>
  <c r="S22" i="27"/>
  <c r="M16" i="27"/>
  <c r="AB19" i="27"/>
  <c r="M4" i="27"/>
  <c r="M24" i="27"/>
  <c r="V18" i="27"/>
  <c r="P18" i="27"/>
  <c r="M8" i="27"/>
  <c r="M26" i="27"/>
  <c r="V10" i="27"/>
  <c r="S12" i="27"/>
  <c r="S13" i="27"/>
  <c r="S19" i="27"/>
  <c r="V14" i="27"/>
  <c r="V20" i="27"/>
  <c r="S23" i="27"/>
  <c r="V11" i="27"/>
  <c r="V19" i="27"/>
  <c r="S14" i="27"/>
  <c r="S20" i="27"/>
  <c r="V4" i="27"/>
  <c r="V16" i="27"/>
  <c r="V22" i="27"/>
  <c r="AB25" i="27"/>
  <c r="AB15" i="27"/>
  <c r="AB7" i="27"/>
  <c r="AB5" i="27"/>
  <c r="AB24" i="27"/>
  <c r="AB14" i="27"/>
  <c r="AB4" i="27"/>
  <c r="AB21" i="27"/>
  <c r="AB12" i="27"/>
  <c r="AB11" i="27"/>
  <c r="AB18" i="27"/>
  <c r="AB23" i="27"/>
  <c r="AB10" i="27"/>
  <c r="AB13" i="27"/>
  <c r="AB29" i="27"/>
  <c r="AB6" i="27"/>
  <c r="AB27" i="27"/>
  <c r="AB26" i="27"/>
  <c r="AB17" i="27"/>
  <c r="AB16" i="27"/>
  <c r="AB8" i="27"/>
  <c r="AB20" i="27"/>
  <c r="Y26" i="27"/>
  <c r="Y16" i="27"/>
  <c r="Y8" i="27"/>
  <c r="Y6" i="27"/>
  <c r="Y25" i="27"/>
  <c r="Y15" i="27"/>
  <c r="Y7" i="27"/>
  <c r="Y5" i="27"/>
  <c r="Y22" i="27"/>
  <c r="Y21" i="27"/>
  <c r="Y9" i="27"/>
  <c r="Y29" i="27"/>
  <c r="Y17" i="27"/>
  <c r="Y20" i="27"/>
  <c r="Y18" i="27"/>
  <c r="Y19" i="27"/>
  <c r="Y14" i="27"/>
  <c r="Y12" i="27"/>
  <c r="Y4" i="27"/>
  <c r="Y27" i="27"/>
  <c r="Y24" i="27"/>
  <c r="Y23" i="27"/>
  <c r="Y13" i="27"/>
  <c r="Y10" i="27"/>
  <c r="AB22" i="27"/>
  <c r="AB9" i="27"/>
  <c r="P5" i="27"/>
  <c r="P22" i="27"/>
  <c r="Y11" i="27"/>
  <c r="P23" i="27"/>
  <c r="AE24" i="27"/>
  <c r="AE14" i="27"/>
  <c r="AE4" i="27"/>
  <c r="AE23" i="27"/>
  <c r="AE13" i="27"/>
  <c r="AE29" i="27"/>
  <c r="AE20" i="27"/>
  <c r="AE18" i="27"/>
  <c r="AE10" i="27"/>
  <c r="AE26" i="27"/>
  <c r="AE15" i="27"/>
  <c r="AE6" i="27"/>
  <c r="AE19" i="27"/>
  <c r="AE12" i="27"/>
  <c r="AE7" i="27"/>
  <c r="AE5" i="27"/>
  <c r="AE27" i="27"/>
  <c r="AE25" i="27"/>
  <c r="AE17" i="27"/>
  <c r="AE22" i="27"/>
  <c r="AE16" i="27"/>
  <c r="AE21" i="27"/>
  <c r="AE11" i="27"/>
  <c r="AE9" i="27"/>
  <c r="AE8" i="27"/>
  <c r="P26" i="27"/>
  <c r="P16" i="27"/>
  <c r="P8" i="27"/>
  <c r="P6" i="27"/>
  <c r="P20" i="27"/>
  <c r="P15" i="27"/>
  <c r="P29" i="27"/>
  <c r="P19" i="27"/>
  <c r="P14" i="27"/>
  <c r="P11" i="27"/>
  <c r="P27" i="27"/>
  <c r="P13" i="27"/>
  <c r="P12" i="27"/>
  <c r="P10" i="27"/>
  <c r="P17" i="27"/>
  <c r="P9" i="27"/>
  <c r="P7" i="27"/>
  <c r="P25" i="27"/>
  <c r="P21" i="27"/>
  <c r="P4" i="27"/>
  <c r="M29" i="27"/>
  <c r="M20" i="27"/>
  <c r="M18" i="27"/>
  <c r="M10" i="27"/>
  <c r="M27" i="27"/>
  <c r="M19" i="27"/>
  <c r="M17" i="27"/>
  <c r="M9" i="27"/>
  <c r="M23" i="27"/>
  <c r="M15" i="27"/>
  <c r="M12" i="27"/>
  <c r="M7" i="27"/>
  <c r="M22" i="27"/>
  <c r="M14" i="27"/>
  <c r="M21" i="27"/>
  <c r="M13" i="27"/>
  <c r="M25" i="27"/>
  <c r="M11" i="27"/>
  <c r="M5" i="27"/>
  <c r="P24" i="27"/>
  <c r="S4" i="27"/>
  <c r="S10" i="27"/>
  <c r="S18" i="27"/>
  <c r="S24" i="27"/>
  <c r="V23" i="27"/>
  <c r="V21" i="27"/>
  <c r="V12" i="27"/>
  <c r="V25" i="27"/>
  <c r="V15" i="27"/>
  <c r="V7" i="27"/>
  <c r="V5" i="27"/>
  <c r="V29" i="27"/>
  <c r="V27" i="27"/>
  <c r="S11" i="27"/>
  <c r="S27" i="27"/>
  <c r="V8" i="27"/>
  <c r="V24" i="27"/>
  <c r="S26" i="27"/>
  <c r="S16" i="27"/>
  <c r="S8" i="27"/>
  <c r="S6" i="27"/>
  <c r="S25" i="27"/>
  <c r="S15" i="27"/>
  <c r="S7" i="27"/>
  <c r="S5" i="27"/>
  <c r="S29" i="27"/>
  <c r="V9" i="27"/>
  <c r="V13" i="27"/>
  <c r="V26" i="27"/>
  <c r="O28" i="27" l="1"/>
  <c r="U28" i="27"/>
  <c r="AD28" i="27"/>
  <c r="X28" i="27"/>
  <c r="AG28" i="27"/>
  <c r="R28" i="27"/>
  <c r="AA28" i="27"/>
  <c r="N16" i="30" l="1"/>
  <c r="M16" i="30"/>
  <c r="L16" i="30"/>
  <c r="K16" i="30"/>
  <c r="J16" i="30"/>
  <c r="I16" i="30"/>
  <c r="H16" i="30"/>
  <c r="G16" i="30"/>
  <c r="F16" i="30"/>
  <c r="E16" i="30"/>
  <c r="D16" i="30"/>
  <c r="C16" i="30"/>
  <c r="O16" i="30" l="1"/>
  <c r="D1" i="27" l="1"/>
  <c r="D10" i="27" l="1"/>
  <c r="D6" i="27"/>
  <c r="D5" i="27"/>
  <c r="D11" i="27"/>
  <c r="D9" i="27"/>
  <c r="D8" i="27"/>
  <c r="D7" i="27"/>
  <c r="D28" i="27"/>
  <c r="E28" i="27"/>
  <c r="G28" i="27"/>
  <c r="H28" i="27"/>
  <c r="G22" i="27"/>
  <c r="G21" i="27"/>
  <c r="G12" i="27"/>
  <c r="G11" i="27"/>
  <c r="G25" i="27"/>
  <c r="G17" i="27"/>
  <c r="G27" i="27"/>
  <c r="G20" i="27"/>
  <c r="G9" i="27"/>
  <c r="G5" i="27"/>
  <c r="G18" i="27"/>
  <c r="G8" i="27"/>
  <c r="G15" i="27"/>
  <c r="G24" i="27"/>
  <c r="G23" i="27"/>
  <c r="G10" i="27"/>
  <c r="G19" i="27"/>
  <c r="G4" i="27"/>
  <c r="G6" i="27"/>
  <c r="G16" i="27"/>
  <c r="G7" i="27"/>
  <c r="G29" i="27"/>
  <c r="G14" i="27"/>
  <c r="G26" i="27"/>
  <c r="G13" i="27"/>
  <c r="D22" i="27"/>
  <c r="D21" i="27"/>
  <c r="D12" i="27"/>
  <c r="D20" i="27"/>
  <c r="D18" i="27"/>
  <c r="D29" i="27"/>
  <c r="D24" i="27"/>
  <c r="D14" i="27"/>
  <c r="D4" i="27"/>
  <c r="D23" i="27"/>
  <c r="D13" i="27"/>
  <c r="D27" i="27"/>
  <c r="D25" i="27"/>
  <c r="D17" i="27"/>
  <c r="D15" i="27"/>
  <c r="D19" i="27"/>
  <c r="D26" i="27"/>
  <c r="D16" i="27"/>
  <c r="I28" i="27" l="1"/>
  <c r="F28" i="27"/>
  <c r="AH27" i="27"/>
  <c r="AF27" i="27"/>
  <c r="AG27" i="27" s="1"/>
  <c r="AC27" i="27"/>
  <c r="AD27" i="27" s="1"/>
  <c r="Z27" i="27"/>
  <c r="AA27" i="27" s="1"/>
  <c r="W27" i="27"/>
  <c r="X27" i="27" s="1"/>
  <c r="Q27" i="27"/>
  <c r="R27" i="27" s="1"/>
  <c r="N27" i="27"/>
  <c r="O27" i="27" s="1"/>
  <c r="T27" i="27"/>
  <c r="U27" i="27" s="1"/>
  <c r="H27" i="27"/>
  <c r="I27" i="27" s="1"/>
  <c r="E27" i="27"/>
  <c r="F27" i="27" s="1"/>
  <c r="AF19" i="27"/>
  <c r="AG19" i="27" s="1"/>
  <c r="AH19" i="27"/>
  <c r="AC19" i="27"/>
  <c r="AD19" i="27" s="1"/>
  <c r="Z19" i="27"/>
  <c r="AA19" i="27" s="1"/>
  <c r="W19" i="27"/>
  <c r="X19" i="27" s="1"/>
  <c r="T19" i="27"/>
  <c r="U19" i="27" s="1"/>
  <c r="Q19" i="27"/>
  <c r="R19" i="27" s="1"/>
  <c r="N19" i="27"/>
  <c r="O19" i="27" s="1"/>
  <c r="H19" i="27"/>
  <c r="I19" i="27" s="1"/>
  <c r="E19" i="27"/>
  <c r="F19" i="27" s="1"/>
  <c r="AH26" i="27"/>
  <c r="AF26" i="27"/>
  <c r="AG26" i="27" s="1"/>
  <c r="AC26" i="27"/>
  <c r="AD26" i="27" s="1"/>
  <c r="Z26" i="27"/>
  <c r="AA26" i="27" s="1"/>
  <c r="W26" i="27"/>
  <c r="X26" i="27" s="1"/>
  <c r="T26" i="27"/>
  <c r="U26" i="27" s="1"/>
  <c r="N26" i="27"/>
  <c r="O26" i="27" s="1"/>
  <c r="H26" i="27"/>
  <c r="I26" i="27" s="1"/>
  <c r="Q26" i="27"/>
  <c r="R26" i="27" s="1"/>
  <c r="E26" i="27"/>
  <c r="F26" i="27" s="1"/>
  <c r="AH21" i="27"/>
  <c r="AF21" i="27"/>
  <c r="AG21" i="27" s="1"/>
  <c r="W21" i="27"/>
  <c r="X21" i="27" s="1"/>
  <c r="T21" i="27"/>
  <c r="U21" i="27" s="1"/>
  <c r="Z21" i="27"/>
  <c r="AA21" i="27" s="1"/>
  <c r="AC21" i="27"/>
  <c r="AD21" i="27" s="1"/>
  <c r="N21" i="27"/>
  <c r="O21" i="27" s="1"/>
  <c r="E21" i="27"/>
  <c r="F21" i="27" s="1"/>
  <c r="Q21" i="27"/>
  <c r="R21" i="27" s="1"/>
  <c r="H21" i="27"/>
  <c r="I21" i="27" s="1"/>
  <c r="AH20" i="27"/>
  <c r="AC20" i="27"/>
  <c r="AD20" i="27" s="1"/>
  <c r="AF20" i="27"/>
  <c r="AG20" i="27" s="1"/>
  <c r="Z20" i="27"/>
  <c r="AA20" i="27" s="1"/>
  <c r="W20" i="27"/>
  <c r="X20" i="27" s="1"/>
  <c r="Q20" i="27"/>
  <c r="R20" i="27" s="1"/>
  <c r="N20" i="27"/>
  <c r="O20" i="27" s="1"/>
  <c r="E20" i="27"/>
  <c r="F20" i="27" s="1"/>
  <c r="H20" i="27"/>
  <c r="I20" i="27" s="1"/>
  <c r="T20" i="27"/>
  <c r="U20" i="27" s="1"/>
  <c r="AH25" i="27"/>
  <c r="AF25" i="27"/>
  <c r="AG25" i="27" s="1"/>
  <c r="AC25" i="27"/>
  <c r="AD25" i="27" s="1"/>
  <c r="Z25" i="27"/>
  <c r="AA25" i="27" s="1"/>
  <c r="W25" i="27"/>
  <c r="X25" i="27" s="1"/>
  <c r="Q25" i="27"/>
  <c r="R25" i="27" s="1"/>
  <c r="H25" i="27"/>
  <c r="I25" i="27" s="1"/>
  <c r="T25" i="27"/>
  <c r="U25" i="27" s="1"/>
  <c r="E25" i="27"/>
  <c r="F25" i="27" s="1"/>
  <c r="N25" i="27"/>
  <c r="O25" i="27" s="1"/>
  <c r="AH24" i="27"/>
  <c r="AF24" i="27"/>
  <c r="AG24" i="27" s="1"/>
  <c r="Z24" i="27"/>
  <c r="AA24" i="27" s="1"/>
  <c r="AC24" i="27"/>
  <c r="AD24" i="27" s="1"/>
  <c r="T24" i="27"/>
  <c r="U24" i="27" s="1"/>
  <c r="N24" i="27"/>
  <c r="O24" i="27" s="1"/>
  <c r="Q24" i="27"/>
  <c r="R24" i="27" s="1"/>
  <c r="H24" i="27"/>
  <c r="I24" i="27" s="1"/>
  <c r="E24" i="27"/>
  <c r="F24" i="27" s="1"/>
  <c r="W24" i="27"/>
  <c r="X24" i="27" s="1"/>
  <c r="AH29" i="27"/>
  <c r="AF29" i="27"/>
  <c r="AG29" i="27" s="1"/>
  <c r="AC29" i="27"/>
  <c r="AD29" i="27" s="1"/>
  <c r="Z29" i="27"/>
  <c r="AA29" i="27" s="1"/>
  <c r="W29" i="27"/>
  <c r="X29" i="27" s="1"/>
  <c r="T29" i="27"/>
  <c r="U29" i="27" s="1"/>
  <c r="Q29" i="27"/>
  <c r="R29" i="27" s="1"/>
  <c r="E29" i="27"/>
  <c r="F29" i="27" s="1"/>
  <c r="H29" i="27"/>
  <c r="I29" i="27" s="1"/>
  <c r="N29" i="27"/>
  <c r="O29" i="27" s="1"/>
  <c r="AH23" i="27"/>
  <c r="AF23" i="27"/>
  <c r="AG23" i="27" s="1"/>
  <c r="AC23" i="27"/>
  <c r="AD23" i="27" s="1"/>
  <c r="Z23" i="27"/>
  <c r="AA23" i="27" s="1"/>
  <c r="W23" i="27"/>
  <c r="X23" i="27" s="1"/>
  <c r="Q23" i="27"/>
  <c r="R23" i="27" s="1"/>
  <c r="N23" i="27"/>
  <c r="O23" i="27" s="1"/>
  <c r="T23" i="27"/>
  <c r="U23" i="27" s="1"/>
  <c r="H23" i="27"/>
  <c r="I23" i="27" s="1"/>
  <c r="E23" i="27"/>
  <c r="F23" i="27" s="1"/>
  <c r="AH22" i="27"/>
  <c r="AF22" i="27"/>
  <c r="AG22" i="27" s="1"/>
  <c r="AC22" i="27"/>
  <c r="AD22" i="27" s="1"/>
  <c r="Z22" i="27"/>
  <c r="AA22" i="27" s="1"/>
  <c r="W22" i="27"/>
  <c r="X22" i="27" s="1"/>
  <c r="Q22" i="27"/>
  <c r="R22" i="27" s="1"/>
  <c r="T22" i="27"/>
  <c r="U22" i="27" s="1"/>
  <c r="N22" i="27"/>
  <c r="O22" i="27" s="1"/>
  <c r="H22" i="27"/>
  <c r="I22" i="27" s="1"/>
  <c r="E22" i="27"/>
  <c r="F22" i="27" s="1"/>
  <c r="K16" i="5" l="1"/>
  <c r="L16" i="5" s="1"/>
  <c r="K15" i="5"/>
  <c r="L15" i="5" s="1"/>
  <c r="K14" i="5"/>
  <c r="L14" i="5" s="1"/>
  <c r="K13" i="5"/>
  <c r="L13" i="5" s="1"/>
  <c r="K10" i="5"/>
  <c r="L10" i="5" s="1"/>
  <c r="K9" i="5"/>
  <c r="L9" i="5" s="1"/>
  <c r="F9" i="5"/>
  <c r="H9" i="5" s="1"/>
  <c r="J9" i="5" l="1"/>
  <c r="M9" i="5" s="1"/>
  <c r="A4" i="27"/>
  <c r="AH15" i="27" l="1"/>
  <c r="AF15" i="27"/>
  <c r="AG15" i="27" s="1"/>
  <c r="AC15" i="27"/>
  <c r="AD15" i="27" s="1"/>
  <c r="W15" i="27"/>
  <c r="X15" i="27" s="1"/>
  <c r="Z15" i="27"/>
  <c r="AA15" i="27" s="1"/>
  <c r="N15" i="27"/>
  <c r="O15" i="27" s="1"/>
  <c r="T15" i="27"/>
  <c r="U15" i="27" s="1"/>
  <c r="Q15" i="27"/>
  <c r="R15" i="27" s="1"/>
  <c r="E15" i="27"/>
  <c r="F15" i="27" s="1"/>
  <c r="H15" i="27"/>
  <c r="I15" i="27" s="1"/>
  <c r="AH13" i="27"/>
  <c r="AF13" i="27"/>
  <c r="AG13" i="27" s="1"/>
  <c r="AC13" i="27"/>
  <c r="AD13" i="27" s="1"/>
  <c r="Z13" i="27"/>
  <c r="AA13" i="27" s="1"/>
  <c r="W13" i="27"/>
  <c r="X13" i="27" s="1"/>
  <c r="T13" i="27"/>
  <c r="U13" i="27" s="1"/>
  <c r="Q13" i="27"/>
  <c r="R13" i="27" s="1"/>
  <c r="N13" i="27"/>
  <c r="O13" i="27" s="1"/>
  <c r="E13" i="27"/>
  <c r="F13" i="27" s="1"/>
  <c r="H13" i="27"/>
  <c r="I13" i="27" s="1"/>
  <c r="AH14" i="27"/>
  <c r="AF14" i="27"/>
  <c r="AG14" i="27" s="1"/>
  <c r="Z14" i="27"/>
  <c r="AA14" i="27" s="1"/>
  <c r="AC14" i="27"/>
  <c r="AD14" i="27" s="1"/>
  <c r="W14" i="27"/>
  <c r="X14" i="27" s="1"/>
  <c r="T14" i="27"/>
  <c r="U14" i="27" s="1"/>
  <c r="Q14" i="27"/>
  <c r="R14" i="27" s="1"/>
  <c r="N14" i="27"/>
  <c r="O14" i="27" s="1"/>
  <c r="H14" i="27"/>
  <c r="I14" i="27" s="1"/>
  <c r="E14" i="27"/>
  <c r="F14" i="27" s="1"/>
  <c r="AH12" i="27"/>
  <c r="AF12" i="27"/>
  <c r="AG12" i="27" s="1"/>
  <c r="AC12" i="27"/>
  <c r="AD12" i="27" s="1"/>
  <c r="Z12" i="27"/>
  <c r="AA12" i="27" s="1"/>
  <c r="T12" i="27"/>
  <c r="U12" i="27" s="1"/>
  <c r="W12" i="27"/>
  <c r="X12" i="27" s="1"/>
  <c r="Q12" i="27"/>
  <c r="R12" i="27" s="1"/>
  <c r="N12" i="27"/>
  <c r="O12" i="27" s="1"/>
  <c r="E12" i="27"/>
  <c r="F12" i="27" s="1"/>
  <c r="H12" i="27"/>
  <c r="I12" i="27" s="1"/>
  <c r="AH11" i="27"/>
  <c r="AF11" i="27"/>
  <c r="AG11" i="27" s="1"/>
  <c r="AC11" i="27"/>
  <c r="AD11" i="27" s="1"/>
  <c r="T11" i="27"/>
  <c r="U11" i="27" s="1"/>
  <c r="Z11" i="27"/>
  <c r="AA11" i="27" s="1"/>
  <c r="H11" i="27"/>
  <c r="I11" i="27" s="1"/>
  <c r="W11" i="27"/>
  <c r="X11" i="27" s="1"/>
  <c r="N11" i="27"/>
  <c r="O11" i="27" s="1"/>
  <c r="Q11" i="27"/>
  <c r="R11" i="27" s="1"/>
  <c r="E11" i="27"/>
  <c r="F11" i="27" s="1"/>
  <c r="AH10" i="27"/>
  <c r="AF10" i="27"/>
  <c r="AG10" i="27" s="1"/>
  <c r="AC10" i="27"/>
  <c r="AD10" i="27" s="1"/>
  <c r="Z10" i="27"/>
  <c r="AA10" i="27" s="1"/>
  <c r="W10" i="27"/>
  <c r="X10" i="27" s="1"/>
  <c r="Q10" i="27"/>
  <c r="R10" i="27" s="1"/>
  <c r="N10" i="27"/>
  <c r="O10" i="27" s="1"/>
  <c r="E10" i="27"/>
  <c r="F10" i="27" s="1"/>
  <c r="H10" i="27"/>
  <c r="I10" i="27" s="1"/>
  <c r="T10" i="27"/>
  <c r="U10" i="27" s="1"/>
  <c r="AH18" i="27"/>
  <c r="AF18" i="27"/>
  <c r="AG18" i="27" s="1"/>
  <c r="AC18" i="27"/>
  <c r="AD18" i="27" s="1"/>
  <c r="Z18" i="27"/>
  <c r="AA18" i="27" s="1"/>
  <c r="W18" i="27"/>
  <c r="X18" i="27" s="1"/>
  <c r="Q18" i="27"/>
  <c r="R18" i="27" s="1"/>
  <c r="T18" i="27"/>
  <c r="U18" i="27" s="1"/>
  <c r="N18" i="27"/>
  <c r="O18" i="27" s="1"/>
  <c r="E18" i="27"/>
  <c r="F18" i="27" s="1"/>
  <c r="H18" i="27"/>
  <c r="I18" i="27" s="1"/>
  <c r="AH9" i="27"/>
  <c r="AF9" i="27"/>
  <c r="AG9" i="27" s="1"/>
  <c r="AC9" i="27"/>
  <c r="AD9" i="27" s="1"/>
  <c r="Z9" i="27"/>
  <c r="AA9" i="27" s="1"/>
  <c r="W9" i="27"/>
  <c r="X9" i="27" s="1"/>
  <c r="T9" i="27"/>
  <c r="U9" i="27" s="1"/>
  <c r="Q9" i="27"/>
  <c r="R9" i="27" s="1"/>
  <c r="N9" i="27"/>
  <c r="O9" i="27" s="1"/>
  <c r="H9" i="27"/>
  <c r="I9" i="27" s="1"/>
  <c r="E9" i="27"/>
  <c r="F9" i="27" s="1"/>
  <c r="AH17" i="27"/>
  <c r="AF17" i="27"/>
  <c r="AG17" i="27" s="1"/>
  <c r="AC17" i="27"/>
  <c r="AD17" i="27" s="1"/>
  <c r="Z17" i="27"/>
  <c r="AA17" i="27" s="1"/>
  <c r="T17" i="27"/>
  <c r="U17" i="27" s="1"/>
  <c r="W17" i="27"/>
  <c r="X17" i="27" s="1"/>
  <c r="N17" i="27"/>
  <c r="O17" i="27" s="1"/>
  <c r="Q17" i="27"/>
  <c r="R17" i="27" s="1"/>
  <c r="E17" i="27"/>
  <c r="F17" i="27" s="1"/>
  <c r="H17" i="27"/>
  <c r="I17" i="27" s="1"/>
  <c r="AH8" i="27"/>
  <c r="AF8" i="27"/>
  <c r="AG8" i="27" s="1"/>
  <c r="AC8" i="27"/>
  <c r="AD8" i="27" s="1"/>
  <c r="W8" i="27"/>
  <c r="X8" i="27" s="1"/>
  <c r="Z8" i="27"/>
  <c r="AA8" i="27" s="1"/>
  <c r="T8" i="27"/>
  <c r="U8" i="27" s="1"/>
  <c r="Q8" i="27"/>
  <c r="R8" i="27" s="1"/>
  <c r="H8" i="27"/>
  <c r="I8" i="27" s="1"/>
  <c r="N8" i="27"/>
  <c r="O8" i="27" s="1"/>
  <c r="E8" i="27"/>
  <c r="F8" i="27" s="1"/>
  <c r="AH16" i="27"/>
  <c r="AC16" i="27"/>
  <c r="AD16" i="27" s="1"/>
  <c r="AF16" i="27"/>
  <c r="AG16" i="27" s="1"/>
  <c r="Z16" i="27"/>
  <c r="AA16" i="27" s="1"/>
  <c r="W16" i="27"/>
  <c r="X16" i="27" s="1"/>
  <c r="H16" i="27"/>
  <c r="I16" i="27" s="1"/>
  <c r="N16" i="27"/>
  <c r="O16" i="27" s="1"/>
  <c r="T16" i="27"/>
  <c r="U16" i="27" s="1"/>
  <c r="Q16" i="27"/>
  <c r="R16" i="27" s="1"/>
  <c r="E16" i="27"/>
  <c r="F16" i="27" s="1"/>
  <c r="AH7" i="27"/>
  <c r="AF7" i="27"/>
  <c r="AG7" i="27" s="1"/>
  <c r="Z7" i="27"/>
  <c r="AA7" i="27" s="1"/>
  <c r="T7" i="27"/>
  <c r="U7" i="27" s="1"/>
  <c r="W7" i="27"/>
  <c r="X7" i="27" s="1"/>
  <c r="N7" i="27"/>
  <c r="O7" i="27" s="1"/>
  <c r="Q7" i="27"/>
  <c r="R7" i="27" s="1"/>
  <c r="AC7" i="27"/>
  <c r="AD7" i="27" s="1"/>
  <c r="H7" i="27"/>
  <c r="I7" i="27" s="1"/>
  <c r="E7" i="27"/>
  <c r="F7" i="27" s="1"/>
  <c r="H6" i="21" l="1"/>
  <c r="F6" i="21"/>
  <c r="D6" i="21"/>
  <c r="H7" i="21" l="1"/>
  <c r="D7" i="21"/>
  <c r="F7" i="21"/>
  <c r="I77" i="21"/>
  <c r="J77" i="21" s="1"/>
  <c r="AE3" i="27" l="1"/>
  <c r="G3" i="27"/>
  <c r="AB3" i="27"/>
  <c r="D3" i="27"/>
  <c r="M3" i="27"/>
  <c r="Y3" i="27"/>
  <c r="V3" i="27"/>
  <c r="S3" i="27"/>
  <c r="P3" i="27"/>
  <c r="R73" i="21"/>
  <c r="V14" i="21"/>
  <c r="T14" i="21"/>
  <c r="R14" i="21"/>
  <c r="P14" i="21"/>
  <c r="K14" i="21"/>
  <c r="I14" i="21"/>
  <c r="R9" i="21"/>
  <c r="B79" i="21"/>
  <c r="B78" i="21"/>
  <c r="R12" i="21" l="1"/>
  <c r="R13" i="21"/>
  <c r="R71" i="21"/>
  <c r="R72" i="21"/>
  <c r="T78" i="21"/>
  <c r="P78" i="21"/>
  <c r="I78" i="21"/>
  <c r="E78" i="21"/>
  <c r="V78" i="21"/>
  <c r="R78" i="21"/>
  <c r="K78" i="21"/>
  <c r="G78" i="21"/>
  <c r="C78" i="21"/>
  <c r="V79" i="21" l="1"/>
  <c r="T77" i="21"/>
  <c r="R77" i="21"/>
  <c r="P77" i="21"/>
  <c r="Q77" i="21" s="1"/>
  <c r="V77" i="21"/>
  <c r="K77" i="21"/>
  <c r="I79" i="21" l="1"/>
  <c r="G79" i="21"/>
  <c r="C79" i="21"/>
  <c r="T79" i="21"/>
  <c r="K79" i="21"/>
  <c r="P79" i="21"/>
  <c r="R79" i="21"/>
  <c r="E79" i="21"/>
  <c r="C16" i="26" l="1"/>
  <c r="A16" i="26"/>
  <c r="C15" i="26"/>
  <c r="B15" i="26"/>
  <c r="A15" i="26"/>
  <c r="C14" i="26"/>
  <c r="B14" i="26"/>
  <c r="A14" i="26"/>
  <c r="C13" i="26"/>
  <c r="A13" i="26"/>
  <c r="C12" i="26"/>
  <c r="B12" i="26"/>
  <c r="A12" i="26"/>
  <c r="C11" i="26"/>
  <c r="B11" i="26"/>
  <c r="A11" i="26"/>
  <c r="C10" i="26"/>
  <c r="A10" i="26"/>
  <c r="D9" i="26"/>
  <c r="C9" i="26"/>
  <c r="B9" i="26"/>
  <c r="A9" i="26"/>
  <c r="C8" i="26"/>
  <c r="B8" i="26"/>
  <c r="A8" i="26"/>
  <c r="C7" i="26"/>
  <c r="B7" i="26"/>
  <c r="A7" i="26"/>
  <c r="D6" i="26"/>
  <c r="C6" i="26"/>
  <c r="A6" i="26"/>
  <c r="C5" i="26"/>
  <c r="A5" i="26"/>
  <c r="J1" i="27" l="1"/>
  <c r="F6" i="26"/>
  <c r="F9" i="26"/>
  <c r="D12" i="26"/>
  <c r="F12" i="26" s="1"/>
  <c r="J21" i="27" l="1"/>
  <c r="J10" i="27"/>
  <c r="J22" i="27"/>
  <c r="J4" i="27"/>
  <c r="J9" i="27"/>
  <c r="J19" i="27"/>
  <c r="J20" i="27"/>
  <c r="J6" i="27"/>
  <c r="J14" i="27"/>
  <c r="J25" i="27"/>
  <c r="J29" i="27"/>
  <c r="J26" i="27"/>
  <c r="J23" i="27"/>
  <c r="J8" i="27"/>
  <c r="J15" i="27"/>
  <c r="J18" i="27"/>
  <c r="J17" i="27"/>
  <c r="J16" i="27"/>
  <c r="J28" i="27"/>
  <c r="K28" i="27"/>
  <c r="J11" i="27"/>
  <c r="J24" i="27"/>
  <c r="J27" i="27"/>
  <c r="J7" i="27"/>
  <c r="J13" i="27"/>
  <c r="J12" i="27"/>
  <c r="J5" i="27"/>
  <c r="K29" i="27"/>
  <c r="K22" i="27"/>
  <c r="K25" i="27"/>
  <c r="K27" i="27"/>
  <c r="K24" i="27"/>
  <c r="K19" i="27"/>
  <c r="K21" i="27"/>
  <c r="K20" i="27"/>
  <c r="K26" i="27"/>
  <c r="K23" i="27"/>
  <c r="K8" i="27"/>
  <c r="K17" i="27"/>
  <c r="K10" i="27"/>
  <c r="K18" i="27"/>
  <c r="K14" i="27"/>
  <c r="K11" i="27"/>
  <c r="K16" i="27"/>
  <c r="K12" i="27"/>
  <c r="K7" i="27"/>
  <c r="K15" i="27"/>
  <c r="K13" i="27"/>
  <c r="K9" i="27"/>
  <c r="J3" i="27"/>
  <c r="C3" i="21"/>
  <c r="C77" i="21" s="1"/>
  <c r="D3" i="21"/>
  <c r="L12" i="27" l="1"/>
  <c r="AI12" i="27" s="1"/>
  <c r="L14" i="27"/>
  <c r="AI14" i="27" s="1"/>
  <c r="L23" i="27"/>
  <c r="AI23" i="27" s="1"/>
  <c r="L20" i="27"/>
  <c r="AI20" i="27" s="1"/>
  <c r="L28" i="27"/>
  <c r="AI28" i="27" s="1"/>
  <c r="L24" i="27"/>
  <c r="AI24" i="27" s="1"/>
  <c r="L11" i="27"/>
  <c r="AI11" i="27" s="1"/>
  <c r="L9" i="27"/>
  <c r="AI9" i="27" s="1"/>
  <c r="L18" i="27"/>
  <c r="AI18" i="27" s="1"/>
  <c r="L10" i="27"/>
  <c r="AI10" i="27" s="1"/>
  <c r="L13" i="27"/>
  <c r="AI13" i="27" s="1"/>
  <c r="L22" i="27"/>
  <c r="AI22" i="27" s="1"/>
  <c r="L8" i="27"/>
  <c r="AI8" i="27" s="1"/>
  <c r="L17" i="27"/>
  <c r="AI17" i="27" s="1"/>
  <c r="L21" i="27"/>
  <c r="AI21" i="27" s="1"/>
  <c r="L26" i="27"/>
  <c r="AI26" i="27" s="1"/>
  <c r="L25" i="27"/>
  <c r="AI25" i="27" s="1"/>
  <c r="L27" i="27"/>
  <c r="AI27" i="27" s="1"/>
  <c r="L15" i="27"/>
  <c r="AI15" i="27" s="1"/>
  <c r="L29" i="27"/>
  <c r="AI29" i="27" s="1"/>
  <c r="L7" i="27"/>
  <c r="AI7" i="27" s="1"/>
  <c r="L16" i="27"/>
  <c r="AI16" i="27" s="1"/>
  <c r="L19" i="27"/>
  <c r="AI19" i="27" s="1"/>
  <c r="C11" i="21"/>
  <c r="G11" i="21"/>
  <c r="E11" i="21"/>
  <c r="E77" i="21"/>
  <c r="C14" i="21"/>
  <c r="C12" i="21" s="1"/>
  <c r="E73" i="21"/>
  <c r="G9" i="21"/>
  <c r="G7" i="21" s="1"/>
  <c r="G14" i="21"/>
  <c r="E9" i="21"/>
  <c r="C73" i="21"/>
  <c r="C72" i="21" s="1"/>
  <c r="E14" i="21"/>
  <c r="C9" i="21"/>
  <c r="G77" i="21"/>
  <c r="H77" i="21" s="1"/>
  <c r="G73" i="21"/>
  <c r="E8" i="21" l="1"/>
  <c r="E7" i="21"/>
  <c r="C7" i="21"/>
  <c r="C6" i="21"/>
  <c r="D14" i="26" l="1"/>
  <c r="D15" i="26"/>
  <c r="F15" i="26" l="1"/>
  <c r="F14" i="26"/>
  <c r="B16" i="26"/>
  <c r="B13" i="26"/>
  <c r="B10" i="26"/>
  <c r="AC5" i="27" l="1"/>
  <c r="AD5" i="27" s="1"/>
  <c r="B4" i="27"/>
  <c r="AM8" i="27" s="1" a="1"/>
  <c r="AM8" i="27" s="1"/>
  <c r="D12" i="21"/>
  <c r="C71" i="21"/>
  <c r="D71" i="21" s="1"/>
  <c r="E6" i="21"/>
  <c r="F14" i="21"/>
  <c r="E71" i="21"/>
  <c r="F71" i="21" s="1"/>
  <c r="E72" i="21"/>
  <c r="G6" i="21"/>
  <c r="G12" i="21"/>
  <c r="H12" i="21" s="1"/>
  <c r="G71" i="21"/>
  <c r="H71" i="21" s="1"/>
  <c r="G72" i="21"/>
  <c r="I9" i="21"/>
  <c r="I6" i="21" s="1"/>
  <c r="J6" i="21" s="1"/>
  <c r="J14" i="21"/>
  <c r="I71" i="21"/>
  <c r="J71" i="21" s="1"/>
  <c r="I72" i="21"/>
  <c r="J72" i="21" s="1"/>
  <c r="K9" i="21"/>
  <c r="K6" i="21" s="1"/>
  <c r="N6" i="21" s="1"/>
  <c r="K12" i="21"/>
  <c r="N12" i="21" s="1"/>
  <c r="K13" i="21"/>
  <c r="K71" i="21"/>
  <c r="N71" i="21" s="1"/>
  <c r="K72" i="21"/>
  <c r="N72" i="21" s="1"/>
  <c r="P9" i="21"/>
  <c r="Q9" i="21" s="1"/>
  <c r="Q14" i="21"/>
  <c r="P71" i="21"/>
  <c r="Q71" i="21" s="1"/>
  <c r="P72" i="21"/>
  <c r="Q72" i="21" s="1"/>
  <c r="R6" i="21"/>
  <c r="S6" i="21" s="1"/>
  <c r="S13" i="21"/>
  <c r="S12" i="21"/>
  <c r="T9" i="21"/>
  <c r="T6" i="21" s="1"/>
  <c r="T13" i="21"/>
  <c r="T71" i="21"/>
  <c r="U71" i="21" s="1"/>
  <c r="T72" i="21"/>
  <c r="U72" i="21" s="1"/>
  <c r="V9" i="21"/>
  <c r="V6" i="21" s="1"/>
  <c r="V12" i="21"/>
  <c r="W12" i="21" s="1"/>
  <c r="V71" i="21"/>
  <c r="W71" i="21" s="1"/>
  <c r="V72" i="21"/>
  <c r="W72" i="21" s="1"/>
  <c r="F9" i="21"/>
  <c r="X9" i="21"/>
  <c r="X8" i="21" s="1"/>
  <c r="D10" i="21"/>
  <c r="F10" i="21"/>
  <c r="H10" i="21"/>
  <c r="J10" i="21"/>
  <c r="N10" i="21"/>
  <c r="Q10" i="21"/>
  <c r="S10" i="21"/>
  <c r="U10" i="21"/>
  <c r="W10" i="21"/>
  <c r="W77" i="21"/>
  <c r="W76" i="21"/>
  <c r="W75" i="21"/>
  <c r="W74" i="21"/>
  <c r="W73" i="21"/>
  <c r="W70" i="21"/>
  <c r="W69" i="21"/>
  <c r="W68" i="21"/>
  <c r="W67" i="21"/>
  <c r="W66" i="21"/>
  <c r="W65" i="21"/>
  <c r="W64" i="21"/>
  <c r="W63" i="21"/>
  <c r="W62" i="21"/>
  <c r="W61" i="21"/>
  <c r="W60" i="21"/>
  <c r="W59" i="21"/>
  <c r="W58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3" i="21"/>
  <c r="W42" i="21"/>
  <c r="W41" i="21"/>
  <c r="W40" i="21"/>
  <c r="W39" i="21"/>
  <c r="W38" i="21"/>
  <c r="W37" i="21"/>
  <c r="W36" i="21"/>
  <c r="W35" i="21"/>
  <c r="W34" i="21"/>
  <c r="W33" i="21"/>
  <c r="W32" i="21"/>
  <c r="W31" i="21"/>
  <c r="W30" i="21"/>
  <c r="W29" i="21"/>
  <c r="W28" i="21"/>
  <c r="W27" i="21"/>
  <c r="W26" i="21"/>
  <c r="W25" i="21"/>
  <c r="W24" i="21"/>
  <c r="W23" i="21"/>
  <c r="W22" i="21"/>
  <c r="W21" i="21"/>
  <c r="W20" i="21"/>
  <c r="W19" i="21"/>
  <c r="W18" i="21"/>
  <c r="W17" i="21"/>
  <c r="W16" i="21"/>
  <c r="W15" i="21"/>
  <c r="W11" i="21"/>
  <c r="U77" i="21"/>
  <c r="U76" i="21"/>
  <c r="U75" i="21"/>
  <c r="U74" i="21"/>
  <c r="U73" i="21"/>
  <c r="U70" i="21"/>
  <c r="U69" i="21"/>
  <c r="U68" i="21"/>
  <c r="U67" i="21"/>
  <c r="U66" i="21"/>
  <c r="U65" i="21"/>
  <c r="U64" i="21"/>
  <c r="U63" i="21"/>
  <c r="U62" i="21"/>
  <c r="U61" i="21"/>
  <c r="U60" i="21"/>
  <c r="U59" i="21"/>
  <c r="U58" i="21"/>
  <c r="U57" i="21"/>
  <c r="U56" i="21"/>
  <c r="U55" i="21"/>
  <c r="U54" i="21"/>
  <c r="U53" i="21"/>
  <c r="U52" i="21"/>
  <c r="U51" i="21"/>
  <c r="U50" i="21"/>
  <c r="U49" i="21"/>
  <c r="U48" i="21"/>
  <c r="U47" i="21"/>
  <c r="U46" i="21"/>
  <c r="U45" i="21"/>
  <c r="U44" i="21"/>
  <c r="U43" i="21"/>
  <c r="U42" i="21"/>
  <c r="U41" i="21"/>
  <c r="U40" i="21"/>
  <c r="U39" i="21"/>
  <c r="U38" i="21"/>
  <c r="U37" i="21"/>
  <c r="U36" i="21"/>
  <c r="U35" i="21"/>
  <c r="U34" i="21"/>
  <c r="U33" i="21"/>
  <c r="U32" i="21"/>
  <c r="U31" i="21"/>
  <c r="U30" i="21"/>
  <c r="U29" i="21"/>
  <c r="U28" i="21"/>
  <c r="U27" i="21"/>
  <c r="U26" i="21"/>
  <c r="U25" i="21"/>
  <c r="U24" i="21"/>
  <c r="U23" i="21"/>
  <c r="U22" i="21"/>
  <c r="U21" i="21"/>
  <c r="U20" i="21"/>
  <c r="U19" i="21"/>
  <c r="U18" i="21"/>
  <c r="U17" i="21"/>
  <c r="U16" i="21"/>
  <c r="U15" i="21"/>
  <c r="U11" i="21"/>
  <c r="S77" i="21"/>
  <c r="S76" i="21"/>
  <c r="S75" i="21"/>
  <c r="S74" i="21"/>
  <c r="S70" i="21"/>
  <c r="S69" i="21"/>
  <c r="S68" i="21"/>
  <c r="S67" i="21"/>
  <c r="S66" i="21"/>
  <c r="S65" i="21"/>
  <c r="S64" i="21"/>
  <c r="S63" i="21"/>
  <c r="S62" i="21"/>
  <c r="S61" i="21"/>
  <c r="S60" i="21"/>
  <c r="S59" i="21"/>
  <c r="S58" i="21"/>
  <c r="S57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1" i="21"/>
  <c r="Q76" i="21"/>
  <c r="Q75" i="21"/>
  <c r="Q74" i="21"/>
  <c r="Q73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1" i="21"/>
  <c r="N77" i="21"/>
  <c r="N76" i="21"/>
  <c r="N75" i="21"/>
  <c r="N74" i="21"/>
  <c r="N73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1" i="21"/>
  <c r="J76" i="21"/>
  <c r="J75" i="21"/>
  <c r="J74" i="21"/>
  <c r="J73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1" i="21"/>
  <c r="D73" i="21"/>
  <c r="D74" i="21"/>
  <c r="D75" i="21"/>
  <c r="D76" i="21"/>
  <c r="D77" i="21"/>
  <c r="F73" i="21"/>
  <c r="F74" i="21"/>
  <c r="F75" i="21"/>
  <c r="F76" i="21"/>
  <c r="F77" i="21"/>
  <c r="H73" i="21"/>
  <c r="H74" i="21"/>
  <c r="H75" i="21"/>
  <c r="H76" i="2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1" i="21"/>
  <c r="D11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X71" i="21"/>
  <c r="X72" i="21"/>
  <c r="D72" i="21"/>
  <c r="X12" i="21"/>
  <c r="X13" i="21"/>
  <c r="AC4" i="27" l="1"/>
  <c r="AD4" i="27" s="1"/>
  <c r="AH4" i="27"/>
  <c r="AF4" i="27"/>
  <c r="Z4" i="27"/>
  <c r="T4" i="27"/>
  <c r="Q4" i="27"/>
  <c r="N4" i="27"/>
  <c r="W4" i="27"/>
  <c r="H4" i="27"/>
  <c r="K4" i="27"/>
  <c r="E4" i="27"/>
  <c r="AH6" i="27"/>
  <c r="AF6" i="27"/>
  <c r="AG6" i="27" s="1"/>
  <c r="AC6" i="27"/>
  <c r="AD6" i="27" s="1"/>
  <c r="Z6" i="27"/>
  <c r="AA6" i="27" s="1"/>
  <c r="W6" i="27"/>
  <c r="X6" i="27" s="1"/>
  <c r="T6" i="27"/>
  <c r="U6" i="27" s="1"/>
  <c r="K6" i="27"/>
  <c r="L6" i="27" s="1"/>
  <c r="N6" i="27"/>
  <c r="O6" i="27" s="1"/>
  <c r="H6" i="27"/>
  <c r="I6" i="27" s="1"/>
  <c r="Q6" i="27"/>
  <c r="R6" i="27" s="1"/>
  <c r="E6" i="27"/>
  <c r="F6" i="27" s="1"/>
  <c r="AH5" i="27"/>
  <c r="AF5" i="27"/>
  <c r="AG5" i="27" s="1"/>
  <c r="W5" i="27"/>
  <c r="X5" i="27" s="1"/>
  <c r="Z5" i="27"/>
  <c r="AA5" i="27" s="1"/>
  <c r="T5" i="27"/>
  <c r="U5" i="27" s="1"/>
  <c r="Q5" i="27"/>
  <c r="R5" i="27" s="1"/>
  <c r="H5" i="27"/>
  <c r="I5" i="27" s="1"/>
  <c r="K5" i="27"/>
  <c r="L5" i="27" s="1"/>
  <c r="N5" i="27"/>
  <c r="O5" i="27" s="1"/>
  <c r="E5" i="27"/>
  <c r="F5" i="27" s="1"/>
  <c r="H72" i="21"/>
  <c r="F72" i="21"/>
  <c r="U13" i="21"/>
  <c r="N13" i="21"/>
  <c r="U9" i="21"/>
  <c r="J9" i="21"/>
  <c r="H14" i="21"/>
  <c r="D14" i="21"/>
  <c r="C13" i="21"/>
  <c r="D13" i="21" s="1"/>
  <c r="S73" i="21"/>
  <c r="P8" i="21"/>
  <c r="Q8" i="21" s="1"/>
  <c r="P7" i="21"/>
  <c r="Q7" i="21" s="1"/>
  <c r="P6" i="21"/>
  <c r="Q6" i="21" s="1"/>
  <c r="D9" i="21"/>
  <c r="C8" i="21"/>
  <c r="E13" i="21"/>
  <c r="E12" i="21"/>
  <c r="F12" i="21" s="1"/>
  <c r="G13" i="21"/>
  <c r="H13" i="21" s="1"/>
  <c r="H9" i="21"/>
  <c r="G8" i="21"/>
  <c r="I13" i="21"/>
  <c r="I12" i="21"/>
  <c r="J12" i="21" s="1"/>
  <c r="I8" i="21"/>
  <c r="J8" i="21" s="1"/>
  <c r="I7" i="21"/>
  <c r="J7" i="21" s="1"/>
  <c r="K8" i="21"/>
  <c r="N8" i="21" s="1"/>
  <c r="K7" i="21"/>
  <c r="N7" i="21" s="1"/>
  <c r="N9" i="21"/>
  <c r="P13" i="21"/>
  <c r="P12" i="21"/>
  <c r="Q12" i="21" s="1"/>
  <c r="R8" i="21"/>
  <c r="S8" i="21" s="1"/>
  <c r="R7" i="21"/>
  <c r="S7" i="21" s="1"/>
  <c r="S9" i="21"/>
  <c r="T12" i="21"/>
  <c r="U12" i="21" s="1"/>
  <c r="U14" i="21"/>
  <c r="T8" i="21"/>
  <c r="U8" i="21" s="1"/>
  <c r="T7" i="21"/>
  <c r="U7" i="21" s="1"/>
  <c r="V8" i="21"/>
  <c r="W8" i="21" s="1"/>
  <c r="W14" i="21"/>
  <c r="W9" i="21"/>
  <c r="V7" i="21"/>
  <c r="W7" i="21" s="1"/>
  <c r="V13" i="21"/>
  <c r="W6" i="21"/>
  <c r="U6" i="21"/>
  <c r="X7" i="21"/>
  <c r="X6" i="21"/>
  <c r="AI5" i="27" l="1"/>
  <c r="AI6" i="27"/>
  <c r="AD3" i="27"/>
  <c r="AH3" i="27"/>
  <c r="R4" i="27"/>
  <c r="R3" i="27"/>
  <c r="U4" i="27"/>
  <c r="U3" i="27"/>
  <c r="AA4" i="27"/>
  <c r="AA3" i="27"/>
  <c r="O4" i="27"/>
  <c r="O3" i="27"/>
  <c r="AG4" i="27"/>
  <c r="AG3" i="27"/>
  <c r="L4" i="27"/>
  <c r="L3" i="27"/>
  <c r="X4" i="27"/>
  <c r="X3" i="27"/>
  <c r="F4" i="27"/>
  <c r="F3" i="27"/>
  <c r="I4" i="27"/>
  <c r="I3" i="27"/>
  <c r="N80" i="21"/>
  <c r="C80" i="21"/>
  <c r="R80" i="21"/>
  <c r="K80" i="21"/>
  <c r="T80" i="21"/>
  <c r="Q13" i="21"/>
  <c r="P80" i="21"/>
  <c r="F13" i="21"/>
  <c r="E80" i="21"/>
  <c r="W13" i="21"/>
  <c r="V80" i="21"/>
  <c r="J13" i="21"/>
  <c r="I80" i="21"/>
  <c r="U80" i="21"/>
  <c r="G80" i="21"/>
  <c r="S71" i="21"/>
  <c r="S72" i="21"/>
  <c r="F8" i="21"/>
  <c r="H8" i="21"/>
  <c r="AI4" i="27" l="1"/>
  <c r="AI3" i="27" s="1"/>
  <c r="S80" i="21"/>
  <c r="H80" i="21"/>
  <c r="J80" i="21"/>
  <c r="Q80" i="21"/>
  <c r="W80" i="21"/>
  <c r="F80" i="21"/>
  <c r="D8" i="21"/>
  <c r="D80" i="21" l="1"/>
  <c r="D13" i="26" l="1"/>
  <c r="D7" i="26"/>
  <c r="F7" i="26" s="1"/>
  <c r="D10" i="26"/>
  <c r="D16" i="26"/>
  <c r="F13" i="26" l="1"/>
  <c r="F16" i="26"/>
  <c r="F10" i="26"/>
  <c r="F14" i="5" l="1"/>
  <c r="K8" i="5"/>
  <c r="H14" i="5" l="1"/>
  <c r="J14" i="5"/>
  <c r="M14" i="5" l="1"/>
  <c r="L8" i="5" l="1"/>
  <c r="F8" i="5"/>
  <c r="H8" i="5" l="1"/>
  <c r="J8" i="5"/>
  <c r="M8" i="5" l="1"/>
  <c r="D5" i="26" l="1"/>
  <c r="F5" i="26" s="1"/>
  <c r="D11" i="26" l="1"/>
  <c r="F11" i="26" s="1"/>
  <c r="D8" i="26" l="1"/>
  <c r="F8" i="26" s="1"/>
  <c r="F4" i="26" l="1"/>
  <c r="N12" i="5" l="1" a="1"/>
  <c r="N12" i="5" s="1"/>
  <c r="E12" i="5" s="1"/>
  <c r="F12" i="5" s="1"/>
  <c r="N16" i="5" a="1"/>
  <c r="N16" i="5" s="1"/>
  <c r="E16" i="5" s="1"/>
  <c r="F16" i="5" s="1"/>
  <c r="N10" i="5" a="1"/>
  <c r="N10" i="5" s="1"/>
  <c r="E10" i="5" s="1"/>
  <c r="F10" i="5" s="1"/>
  <c r="N15" i="5" a="1"/>
  <c r="N15" i="5" s="1"/>
  <c r="E15" i="5" s="1"/>
  <c r="F15" i="5" s="1"/>
  <c r="N13" i="5" a="1"/>
  <c r="N13" i="5" s="1"/>
  <c r="E13" i="5" s="1"/>
  <c r="F13" i="5" s="1"/>
  <c r="N11" i="5" a="1"/>
  <c r="N11" i="5" s="1"/>
  <c r="E11" i="5" s="1"/>
  <c r="F11" i="5" s="1"/>
  <c r="H11" i="5" l="1"/>
  <c r="J11" i="5"/>
  <c r="J15" i="5"/>
  <c r="H15" i="5"/>
  <c r="J13" i="5"/>
  <c r="H13" i="5"/>
  <c r="J10" i="5"/>
  <c r="H10" i="5"/>
  <c r="F7" i="5"/>
  <c r="J16" i="5"/>
  <c r="H16" i="5"/>
  <c r="H12" i="5"/>
  <c r="J12" i="5"/>
  <c r="M10" i="5" l="1"/>
  <c r="M7" i="5" s="1"/>
  <c r="M11" i="5"/>
  <c r="M15" i="5"/>
  <c r="M16" i="5"/>
  <c r="M12" i="5"/>
  <c r="M13" i="5"/>
  <c r="EH4" i="27" l="1"/>
  <c r="EH5" i="27"/>
  <c r="AJ8" i="27"/>
  <c r="AJ17" i="27"/>
  <c r="AJ23" i="27"/>
  <c r="AJ24" i="27"/>
  <c r="AJ28" i="27"/>
  <c r="AJ29" i="27"/>
</calcChain>
</file>

<file path=xl/comments1.xml><?xml version="1.0" encoding="utf-8"?>
<comments xmlns="http://schemas.openxmlformats.org/spreadsheetml/2006/main">
  <authors>
    <author>Автор</author>
  </authors>
  <commentList>
    <comment ref="N10" authorId="0" shape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<sst xmlns="http://schemas.openxmlformats.org/spreadsheetml/2006/main" count="292" uniqueCount="221">
  <si>
    <t>КПТС СО ЦИМ</t>
  </si>
  <si>
    <t>КПТС ОЦС</t>
  </si>
  <si>
    <t>КПТС ВХиЗИ</t>
  </si>
  <si>
    <t xml:space="preserve"> Расшифровка затрат по статье "Прочие производственные затраты (командировочные)"</t>
  </si>
  <si>
    <t>№
п/п</t>
  </si>
  <si>
    <t>Пункт
командировки</t>
  </si>
  <si>
    <t xml:space="preserve">Количество командируемых </t>
  </si>
  <si>
    <t>Среднее количество дней командировки одного командируемого</t>
  </si>
  <si>
    <t>Количество человеко-дней командируемых</t>
  </si>
  <si>
    <t>Всего расходов 
(рублей)</t>
  </si>
  <si>
    <t xml:space="preserve">суточные </t>
  </si>
  <si>
    <t>квартирные</t>
  </si>
  <si>
    <t>проезд</t>
  </si>
  <si>
    <t>в день</t>
  </si>
  <si>
    <t>всего</t>
  </si>
  <si>
    <t xml:space="preserve">в день </t>
  </si>
  <si>
    <t>стоимость в оба конца</t>
  </si>
  <si>
    <t>1.1</t>
  </si>
  <si>
    <t>1.2</t>
  </si>
  <si>
    <t>1.3</t>
  </si>
  <si>
    <t>1.5</t>
  </si>
  <si>
    <t>1.6</t>
  </si>
  <si>
    <t>Расчёт-обоснование трудоёмкости выполняемых работ</t>
  </si>
  <si>
    <t>№ п/п</t>
  </si>
  <si>
    <t>Передача изделия в эксплуатацию</t>
  </si>
  <si>
    <t>шт.</t>
  </si>
  <si>
    <t>Стоимость (руб.)</t>
  </si>
  <si>
    <t>Ед.изм.</t>
  </si>
  <si>
    <t>ИТОГО</t>
  </si>
  <si>
    <t>Обучение специалистов Заказчика</t>
  </si>
  <si>
    <t>кол-во</t>
  </si>
  <si>
    <t>(на единицу изделия)</t>
  </si>
  <si>
    <t>ИКО</t>
  </si>
  <si>
    <t xml:space="preserve">Наименование работ </t>
  </si>
  <si>
    <t>Расходы по видам,  руб.</t>
  </si>
  <si>
    <t>Таблица 8</t>
  </si>
  <si>
    <t>Участие в рекогносцировочных работах на объектах Заказчика</t>
  </si>
  <si>
    <t>Закупка, входной контроль, изготовление и доставка КМЧ для развертывания изделия</t>
  </si>
  <si>
    <t>Проведение монтажных и пусконаладочных работ</t>
  </si>
  <si>
    <t>Проведение объектовых специальных  исследований</t>
  </si>
  <si>
    <t>Цена единицы (руб.)</t>
  </si>
  <si>
    <t>№ пп</t>
  </si>
  <si>
    <t>2015 год</t>
  </si>
  <si>
    <t xml:space="preserve">монтаж оборудования </t>
  </si>
  <si>
    <t>включение оборудования и проведение пользовательских настроек программных приложений</t>
  </si>
  <si>
    <t>проверка совместной работы пользовательских приложений</t>
  </si>
  <si>
    <t>настройка СЗИ НСД</t>
  </si>
  <si>
    <t>настройка системы печати</t>
  </si>
  <si>
    <t>подготовка кабельных трасс (кабельные шахты, лотки, пластиковые кабельные каналы);</t>
  </si>
  <si>
    <t>прокладка волоконно-оптических кабелей от центрального кросса объекта оснащения или от кроссов здания до этажных кроссов;</t>
  </si>
  <si>
    <t>прокладка волоконно-оптических кабелей от центрального кросса объекта оснащения до кроссов зданий;</t>
  </si>
  <si>
    <t>разделка волоконно-оптических кабелей на коммутационных панелях центрального кросса, кроссов зданий и этажных кроссов;</t>
  </si>
  <si>
    <t>установка телекоммуникационных розеток рабочих мест</t>
  </si>
  <si>
    <t>разделка волоконно-оптических кабелей горизонтальной сети на коммутационных панелях этажных кроссов и телекоммуникационных розетках;</t>
  </si>
  <si>
    <t>сборка и установка несущих конструкций этажных РЩ по этажам здания</t>
  </si>
  <si>
    <t>установка и электрический монтаж распределительных коробок</t>
  </si>
  <si>
    <t>установка и электрический монтаж этажных РЩ</t>
  </si>
  <si>
    <t>установка помехозащищающих фильтров в рабочих помещениях</t>
  </si>
  <si>
    <t>прокладка проводов заземления</t>
  </si>
  <si>
    <t>подключение системы к контуру заземления</t>
  </si>
  <si>
    <t>тестирование элементов системы</t>
  </si>
  <si>
    <t>заделка легкоудаляемым негорючим составом мест прохода кабелей через перекрытия и противопожарные перегородки.</t>
  </si>
  <si>
    <t>Комплект активного сетевого оборудования</t>
  </si>
  <si>
    <t>Разработка проектной документации на размещение, установку и монтаж технических средств изделия 83т295 на объектах заказчика</t>
  </si>
  <si>
    <t xml:space="preserve">Проведение предпроектного обследования объектов в составе комиссий, назначенных приказами начальников объектов автоматизации </t>
  </si>
  <si>
    <t>Широкоформатный сканер</t>
  </si>
  <si>
    <t>Плоттер</t>
  </si>
  <si>
    <t>подключение оборудования к электропитающей сети 220 В</t>
  </si>
  <si>
    <t xml:space="preserve">Тестирование аппаратно-программных средств оборудования передачи данных </t>
  </si>
  <si>
    <t xml:space="preserve">Настройка и проверка аппаратно-программных средств оборудования передачи данных </t>
  </si>
  <si>
    <t xml:space="preserve">Настройка и проверка межсетевого взаимодействия аппаратно-программных средств оборудования передачи данных </t>
  </si>
  <si>
    <t>Сборка и установка телекоммуникационного шкафа</t>
  </si>
  <si>
    <t>Подключение входных/выходных портов оборудования к соответствующим им кроссам и портам.</t>
  </si>
  <si>
    <t>Монтаж модуля источника бесперебойного питания в шкафу (стойке).</t>
  </si>
  <si>
    <t>Внутристоечный электрический монтаж.</t>
  </si>
  <si>
    <t>Подключение оборудования электропитания к шине заземления.</t>
  </si>
  <si>
    <t>Прокладка соединительных линий</t>
  </si>
  <si>
    <t>Проверка напряжения в контрольных точках.</t>
  </si>
  <si>
    <t>прокладка кабелей от серверных шкафов до пульта охраны;</t>
  </si>
  <si>
    <t>установка и настройка приемно-охранного пульта</t>
  </si>
  <si>
    <t>тестирование охранной сигнализации</t>
  </si>
  <si>
    <t>Комплект пассивного сетевого оборудования</t>
  </si>
  <si>
    <t>Устройство защиты от утечки информации</t>
  </si>
  <si>
    <t>Принтер</t>
  </si>
  <si>
    <t>н/ч</t>
  </si>
  <si>
    <t>10</t>
  </si>
  <si>
    <t>6</t>
  </si>
  <si>
    <t>7</t>
  </si>
  <si>
    <t>8</t>
  </si>
  <si>
    <t>9</t>
  </si>
  <si>
    <t>трудоемкость на 1 ед.</t>
  </si>
  <si>
    <t>всего трудоемкость</t>
  </si>
  <si>
    <t>трудоемкость
 на 1 ед.</t>
  </si>
  <si>
    <t>Проведение инженерной подготовки объектов, в части розеточной сети электропитания (закупка оборудования и монтаж)</t>
  </si>
  <si>
    <t xml:space="preserve">Кол-во </t>
  </si>
  <si>
    <t>Таблица 1.3</t>
  </si>
  <si>
    <t>Таблица 1.4</t>
  </si>
  <si>
    <t>Расшифровка затрат по статье "Затраты на комплектующие изделия"</t>
  </si>
  <si>
    <t>1.7</t>
  </si>
  <si>
    <t>3.1</t>
  </si>
  <si>
    <t>3.2</t>
  </si>
  <si>
    <t>3.3</t>
  </si>
  <si>
    <t>3.5</t>
  </si>
  <si>
    <t>3.6</t>
  </si>
  <si>
    <t>6.1</t>
  </si>
  <si>
    <t>Виды работ</t>
  </si>
  <si>
    <t>организация входного контроля</t>
  </si>
  <si>
    <t>комплектация по составам поставки</t>
  </si>
  <si>
    <t xml:space="preserve">предъявление комплектов ВП 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</si>
  <si>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</si>
  <si>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</si>
  <si>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</si>
  <si>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</si>
  <si>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</si>
  <si>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</si>
  <si>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</si>
  <si>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</si>
  <si>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</si>
  <si>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</si>
  <si>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</si>
  <si>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</si>
  <si>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</si>
  <si>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6.2</t>
  </si>
  <si>
    <t>6.3</t>
  </si>
  <si>
    <t>6.4</t>
  </si>
  <si>
    <t>6.5</t>
  </si>
  <si>
    <t>6.6</t>
  </si>
  <si>
    <t>6.7</t>
  </si>
  <si>
    <t>6.8</t>
  </si>
  <si>
    <t>6.9</t>
  </si>
  <si>
    <t>5.15</t>
  </si>
  <si>
    <t>5.16</t>
  </si>
  <si>
    <t>Формирование комплектов документов и подготовка к отправке их на объект</t>
  </si>
  <si>
    <t>1.4</t>
  </si>
  <si>
    <t>1.8</t>
  </si>
  <si>
    <t>Трудоемкость, 
н/ч
2015 г.</t>
  </si>
  <si>
    <t>Общеобъектовые работы</t>
  </si>
  <si>
    <t>3.4</t>
  </si>
  <si>
    <t>11</t>
  </si>
  <si>
    <t>1.9</t>
  </si>
  <si>
    <t>9.1</t>
  </si>
  <si>
    <t>9.2</t>
  </si>
  <si>
    <t>Разработка и согласование ТР</t>
  </si>
  <si>
    <t>Закупка, входной контроль, комплектация и отправка</t>
  </si>
  <si>
    <t>Закупка материалов для СМР</t>
  </si>
  <si>
    <t>Проведенис СП на материалы</t>
  </si>
  <si>
    <t>Разработка и согласование протокола ИТС</t>
  </si>
  <si>
    <t>соединение всех элементов оборудования между собой с помощью соединительных кабелей</t>
  </si>
  <si>
    <t>сопряжение с ЛВС</t>
  </si>
  <si>
    <t>работы по вводу в домен</t>
  </si>
  <si>
    <t>настройка сканера штрих-кодов</t>
  </si>
  <si>
    <t>Настройка АПМДЗ</t>
  </si>
  <si>
    <t xml:space="preserve">прокладка кабелей электропитания от распределительных коробок до розеток </t>
  </si>
  <si>
    <t>настройка САВЗ</t>
  </si>
  <si>
    <t>подключение оборудования к KVM</t>
  </si>
  <si>
    <t>установка операционной системы</t>
  </si>
  <si>
    <t>установка программных приложений и СУБД</t>
  </si>
  <si>
    <t>проверка совместной работы приложений</t>
  </si>
  <si>
    <t>настройка порта удаленного управления сервером.</t>
  </si>
  <si>
    <t>Настройка 1С</t>
  </si>
  <si>
    <t>Подключение оборудования к шине заземления.</t>
  </si>
  <si>
    <t>Прокладка электрического кабеля от подстанций до РЩ</t>
  </si>
  <si>
    <t>Автомат трехполюсный, устанавливаемый в подстанции, на ток до 100 А</t>
  </si>
  <si>
    <t>Инструктаж (обучение) должностных лиц по использованию оборудования</t>
  </si>
  <si>
    <t xml:space="preserve">Объектовые специальные исследования </t>
  </si>
  <si>
    <t>Разработка и согласование ИД</t>
  </si>
  <si>
    <t>Разработка и согласование тома Доп. требования</t>
  </si>
  <si>
    <t xml:space="preserve">Сдача-приемка выполненых работ </t>
  </si>
  <si>
    <t>Участие в эксплуатации</t>
  </si>
  <si>
    <t>5.1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</si>
  <si>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</si>
  <si>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</si>
  <si>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</si>
  <si>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</si>
  <si>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</si>
  <si>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</si>
  <si>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</si>
  <si>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</si>
  <si>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</si>
  <si>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</si>
  <si>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</si>
  <si>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</si>
  <si>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</si>
  <si>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</si>
  <si>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</si>
  <si>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</si>
  <si>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проверка совместной работы с АРМ</t>
  </si>
  <si>
    <t>№</t>
  </si>
  <si>
    <t>Объект автоматизации</t>
  </si>
  <si>
    <t>Принадлежность</t>
  </si>
  <si>
    <t>трудоемкость на 1 объект</t>
  </si>
  <si>
    <t>Строительно-монтажные работы</t>
  </si>
  <si>
    <t>Пуско-наладочные работы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</si>
  <si>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</si>
  <si>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</si>
  <si>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</si>
  <si>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</si>
  <si>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</si>
  <si>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</si>
  <si>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</si>
  <si>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</si>
  <si>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</si>
  <si>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</si>
  <si>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Разработка и согласование исходных данных</t>
  </si>
  <si>
    <t>Обследование объекта</t>
  </si>
  <si>
    <t>Согласование исходных данных</t>
  </si>
  <si>
    <t>тип 1</t>
  </si>
  <si>
    <t>тип 2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</si>
  <si>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</si>
  <si>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</si>
  <si>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</si>
  <si>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</si>
  <si>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</si>
  <si>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</si>
  <si>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</si>
  <si>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</si>
  <si>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тип 11</t>
  </si>
  <si>
    <t>тип 12</t>
  </si>
  <si>
    <t>Объект1</t>
  </si>
  <si>
    <t>Итого</t>
  </si>
  <si>
    <t xml:space="preserve">Настройка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</si>
</sst>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0_ ;\-#,##0.00\ "/>
    <numFmt numFmtId="165" formatCode="_-* #,##0_р_._-;\-* #,##0_р_._-;_-* &quot;-&quot;??_р_._-;_-@_-"/>
    <numFmt numFmtId="166" formatCode="#,##0.000"/>
    <numFmt numFmtId="167" formatCode="#,##0.00_р_."/>
    <numFmt numFmtId="168" formatCode="_-* #,##0.00000_р_._-;\-* #,##0.0000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  <xf numFmtId="0" fontId="1" fillId="0" borderId="0"/>
    <xf numFmtId="0" fontId="9" fillId="0" borderId="0"/>
    <xf numFmtId="0" fontId="28" fillId="0" borderId="0">
      <alignment vertical="top"/>
    </xf>
  </cellStyleXfs>
  <cellXfs count="232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6" xfId="3" applyFont="1" applyBorder="1" applyAlignment="1">
      <alignment horizontal="center"/>
    </xf>
    <xf numFmtId="0" fontId="10" fillId="0" borderId="6" xfId="3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3" fontId="5" fillId="0" borderId="1" xfId="2" applyFont="1" applyBorder="1" applyAlignment="1">
      <alignment horizontal="center" vertical="center"/>
    </xf>
    <xf numFmtId="2" fontId="11" fillId="0" borderId="1" xfId="2" applyNumberFormat="1" applyFont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43" fontId="11" fillId="3" borderId="1" xfId="2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43" fontId="11" fillId="4" borderId="1" xfId="2" applyFont="1" applyFill="1" applyBorder="1" applyAlignment="1">
      <alignment vertical="center"/>
    </xf>
    <xf numFmtId="43" fontId="11" fillId="0" borderId="0" xfId="2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165" fontId="10" fillId="0" borderId="0" xfId="2" applyNumberFormat="1" applyFont="1" applyAlignment="1">
      <alignment horizontal="center" vertical="center"/>
    </xf>
    <xf numFmtId="165" fontId="11" fillId="3" borderId="1" xfId="2" applyNumberFormat="1" applyFont="1" applyFill="1" applyBorder="1" applyAlignment="1">
      <alignment horizontal="center" vertical="center" wrapText="1"/>
    </xf>
    <xf numFmtId="165" fontId="11" fillId="4" borderId="1" xfId="2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166" fontId="10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/>
    <xf numFmtId="0" fontId="6" fillId="0" borderId="1" xfId="0" applyFont="1" applyFill="1" applyBorder="1" applyAlignment="1">
      <alignment vertical="center" wrapText="1"/>
    </xf>
    <xf numFmtId="4" fontId="15" fillId="0" borderId="1" xfId="0" applyNumberFormat="1" applyFont="1" applyFill="1" applyBorder="1" applyAlignment="1"/>
    <xf numFmtId="0" fontId="13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5" fillId="0" borderId="6" xfId="2" applyFont="1" applyBorder="1" applyAlignment="1">
      <alignment horizontal="center" vertical="center"/>
    </xf>
    <xf numFmtId="43" fontId="5" fillId="0" borderId="10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" fontId="15" fillId="0" borderId="3" xfId="0" applyNumberFormat="1" applyFont="1" applyBorder="1" applyAlignment="1"/>
    <xf numFmtId="167" fontId="21" fillId="0" borderId="1" xfId="4" applyNumberFormat="1" applyFont="1" applyFill="1" applyBorder="1" applyAlignment="1" applyProtection="1">
      <alignment horizontal="right" vertical="center" wrapText="1"/>
    </xf>
    <xf numFmtId="43" fontId="5" fillId="0" borderId="3" xfId="2" applyFont="1" applyBorder="1" applyAlignment="1">
      <alignment vertical="center"/>
    </xf>
    <xf numFmtId="2" fontId="11" fillId="0" borderId="3" xfId="2" applyNumberFormat="1" applyFont="1" applyBorder="1" applyAlignment="1">
      <alignment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64" fontId="11" fillId="0" borderId="1" xfId="2" applyNumberFormat="1" applyFont="1" applyFill="1" applyBorder="1" applyAlignment="1">
      <alignment vertical="center"/>
    </xf>
    <xf numFmtId="164" fontId="10" fillId="0" borderId="1" xfId="2" applyNumberFormat="1" applyFont="1" applyFill="1" applyBorder="1" applyAlignment="1">
      <alignment vertical="center"/>
    </xf>
    <xf numFmtId="164" fontId="11" fillId="3" borderId="1" xfId="2" applyNumberFormat="1" applyFont="1" applyFill="1" applyBorder="1" applyAlignment="1">
      <alignment vertical="center" wrapText="1"/>
    </xf>
    <xf numFmtId="164" fontId="11" fillId="0" borderId="1" xfId="2" applyNumberFormat="1" applyFont="1" applyBorder="1" applyAlignment="1">
      <alignment vertical="center"/>
    </xf>
    <xf numFmtId="164" fontId="10" fillId="3" borderId="1" xfId="2" applyNumberFormat="1" applyFont="1" applyFill="1" applyBorder="1" applyAlignment="1">
      <alignment vertical="center" wrapText="1"/>
    </xf>
    <xf numFmtId="165" fontId="10" fillId="0" borderId="1" xfId="2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4" fontId="6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0" fillId="2" borderId="0" xfId="0" applyFill="1"/>
    <xf numFmtId="49" fontId="11" fillId="4" borderId="11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11" fillId="0" borderId="1" xfId="3" applyFont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3" xfId="0" applyFont="1" applyFill="1" applyBorder="1" applyAlignment="1">
      <alignment vertical="center"/>
    </xf>
    <xf numFmtId="0" fontId="10" fillId="3" borderId="3" xfId="4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11" fillId="3" borderId="11" xfId="0" applyFont="1" applyFill="1" applyBorder="1" applyAlignment="1">
      <alignment horizontal="center" vertical="center" wrapText="1"/>
    </xf>
    <xf numFmtId="166" fontId="11" fillId="3" borderId="12" xfId="2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166" fontId="11" fillId="4" borderId="12" xfId="2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166" fontId="11" fillId="2" borderId="12" xfId="2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center"/>
    </xf>
    <xf numFmtId="166" fontId="10" fillId="2" borderId="12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3" fontId="13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49" fontId="10" fillId="0" borderId="6" xfId="3" applyNumberFormat="1" applyFont="1" applyBorder="1" applyAlignment="1">
      <alignment horizontal="center"/>
    </xf>
    <xf numFmtId="49" fontId="11" fillId="0" borderId="1" xfId="3" applyNumberFormat="1" applyFont="1" applyBorder="1" applyAlignment="1">
      <alignment horizontal="center" vertical="center" wrapText="1"/>
    </xf>
    <xf numFmtId="49" fontId="0" fillId="0" borderId="0" xfId="0" applyNumberFormat="1"/>
    <xf numFmtId="49" fontId="10" fillId="0" borderId="1" xfId="3" applyNumberFormat="1" applyFont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top"/>
    </xf>
    <xf numFmtId="0" fontId="11" fillId="2" borderId="1" xfId="0" applyFont="1" applyFill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165" fontId="11" fillId="0" borderId="1" xfId="2" applyNumberFormat="1" applyFont="1" applyBorder="1" applyAlignment="1">
      <alignment horizontal="center" vertical="center"/>
    </xf>
    <xf numFmtId="164" fontId="11" fillId="0" borderId="1" xfId="2" applyNumberFormat="1" applyFont="1" applyBorder="1" applyAlignment="1">
      <alignment horizontal="center" vertical="center"/>
    </xf>
    <xf numFmtId="164" fontId="11" fillId="2" borderId="1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2" fontId="19" fillId="0" borderId="3" xfId="2" applyNumberFormat="1" applyFont="1" applyBorder="1" applyAlignment="1">
      <alignment vertical="center" wrapText="1"/>
    </xf>
    <xf numFmtId="43" fontId="19" fillId="0" borderId="10" xfId="2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2" fontId="19" fillId="0" borderId="4" xfId="2" applyNumberFormat="1" applyFont="1" applyBorder="1" applyAlignment="1">
      <alignment horizontal="center" vertical="center" wrapText="1"/>
    </xf>
    <xf numFmtId="164" fontId="25" fillId="3" borderId="1" xfId="2" applyNumberFormat="1" applyFont="1" applyFill="1" applyBorder="1" applyAlignment="1">
      <alignment horizontal="center" vertical="center" wrapText="1"/>
    </xf>
    <xf numFmtId="164" fontId="20" fillId="3" borderId="1" xfId="2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2" fontId="19" fillId="0" borderId="1" xfId="2" applyNumberFormat="1" applyFont="1" applyBorder="1" applyAlignment="1">
      <alignment horizontal="center" vertical="center" wrapText="1"/>
    </xf>
    <xf numFmtId="167" fontId="27" fillId="0" borderId="1" xfId="4" applyNumberFormat="1" applyFont="1" applyFill="1" applyBorder="1" applyAlignment="1" applyProtection="1">
      <alignment horizontal="right" vertical="center" wrapText="1"/>
    </xf>
    <xf numFmtId="4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20" fillId="2" borderId="1" xfId="0" applyNumberFormat="1" applyFont="1" applyFill="1" applyBorder="1" applyAlignment="1">
      <alignment horizontal="center" vertical="center"/>
    </xf>
    <xf numFmtId="43" fontId="2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43" fontId="13" fillId="0" borderId="0" xfId="0" applyNumberFormat="1" applyFont="1" applyBorder="1" applyAlignment="1">
      <alignment horizontal="center" vertical="center"/>
    </xf>
    <xf numFmtId="43" fontId="13" fillId="2" borderId="0" xfId="0" applyNumberFormat="1" applyFont="1" applyFill="1" applyBorder="1" applyAlignment="1">
      <alignment horizontal="center" vertical="center"/>
    </xf>
    <xf numFmtId="43" fontId="24" fillId="2" borderId="0" xfId="0" applyNumberFormat="1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4" fontId="15" fillId="0" borderId="6" xfId="0" applyNumberFormat="1" applyFont="1" applyBorder="1" applyAlignment="1"/>
    <xf numFmtId="164" fontId="7" fillId="3" borderId="10" xfId="2" applyNumberFormat="1" applyFont="1" applyFill="1" applyBorder="1" applyAlignment="1">
      <alignment horizontal="center" vertical="center" wrapText="1"/>
    </xf>
    <xf numFmtId="4" fontId="15" fillId="0" borderId="10" xfId="0" applyNumberFormat="1" applyFont="1" applyBorder="1" applyAlignment="1"/>
    <xf numFmtId="4" fontId="15" fillId="0" borderId="10" xfId="0" applyNumberFormat="1" applyFont="1" applyFill="1" applyBorder="1" applyAlignment="1"/>
    <xf numFmtId="0" fontId="0" fillId="0" borderId="10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/>
    </xf>
    <xf numFmtId="43" fontId="14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3" fontId="20" fillId="2" borderId="0" xfId="0" applyNumberFormat="1" applyFont="1" applyFill="1" applyBorder="1" applyAlignment="1">
      <alignment horizontal="center" vertical="center"/>
    </xf>
    <xf numFmtId="43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3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49" fontId="29" fillId="0" borderId="0" xfId="0" applyNumberFormat="1" applyFont="1" applyFill="1" applyAlignment="1">
      <alignment horizontal="left" vertical="center" wrapText="1"/>
    </xf>
    <xf numFmtId="165" fontId="18" fillId="0" borderId="1" xfId="2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10" fillId="2" borderId="0" xfId="0" applyFont="1" applyFill="1" applyBorder="1" applyAlignment="1">
      <alignment vertical="center" wrapText="1"/>
    </xf>
    <xf numFmtId="165" fontId="10" fillId="0" borderId="0" xfId="2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5" fillId="0" borderId="5" xfId="2" applyFont="1" applyBorder="1" applyAlignment="1">
      <alignment horizontal="center" vertical="center" wrapText="1"/>
    </xf>
    <xf numFmtId="43" fontId="5" fillId="0" borderId="5" xfId="2" applyFont="1" applyBorder="1" applyAlignment="1">
      <alignment horizontal="center" vertical="center"/>
    </xf>
    <xf numFmtId="43" fontId="5" fillId="0" borderId="4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/>
    </xf>
    <xf numFmtId="0" fontId="17" fillId="0" borderId="1" xfId="3" applyFont="1" applyBorder="1" applyAlignment="1">
      <alignment horizontal="center" vertical="top" wrapText="1"/>
    </xf>
    <xf numFmtId="0" fontId="11" fillId="0" borderId="1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center"/>
    </xf>
    <xf numFmtId="49" fontId="11" fillId="0" borderId="1" xfId="3" applyNumberFormat="1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</cellXfs>
  <cellStyles count="9">
    <cellStyle name="Normal_Примерн_расчет" xfId="1"/>
    <cellStyle name="Обычный" xfId="0" builtinId="0"/>
    <cellStyle name="Обычный 2" xfId="3"/>
    <cellStyle name="Обычный 3" xfId="4"/>
    <cellStyle name="Обычный 3 2" xfId="5"/>
    <cellStyle name="Обычный 3 2 2" xfId="6"/>
    <cellStyle name="Обычный 3 3" xfId="8"/>
    <cellStyle name="Обычный 4" xfId="7"/>
    <cellStyle name="Финансовый" xfId="2" builtinId="3"/>
  </cellStyles>
  <dxfs count="0"/>
  <tableStyles count="0" defaultTableStyle="TableStyleMedium9" defaultPivotStyle="PivotStyleLight16"/>
  <colors>
    <mruColors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8;&#1069;&#1054;\&#1055;&#1086;&#1089;&#1090;&#1072;&#1074;&#1082;&#1072;%2083&#1090;295\&#1056;&#1072;&#1089;&#1095;&#1077;&#1090;%202015.02.19\&#1050;&#1086;&#1087;&#1080;&#1103;%20&#1040;&#1087;&#1096;&#1077;&#1088;&#1086;&#1085;&#1089;&#1082;_&#1088;&#1072;&#1089;&#1095;&#1077;&#1090;%20&#1089;&#1090;&#1086;&#1080;&#1084;&#1086;&#1089;&#1090;&#1080;%2020150219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остав оборудования"/>
      <sheetName val="Состав работ"/>
      <sheetName val="Логистика"/>
      <sheetName val="Пообъектная стоимость"/>
    </sheetNames>
    <sheetDataSet>
      <sheetData sheetId="0">
        <row r="4">
          <cell r="B4" t="str">
            <v>Широкоформатный сканер</v>
          </cell>
        </row>
      </sheetData>
      <sheetData sheetId="1">
        <row r="3">
          <cell r="B3" t="str">
            <v>Широкоформатный сканер</v>
          </cell>
        </row>
      </sheetData>
      <sheetData sheetId="2">
        <row r="3">
          <cell r="B3" t="str">
            <v>Широкоформатный сканер</v>
          </cell>
        </row>
        <row r="212">
          <cell r="G212">
            <v>273839.87420000002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E25" sqref="E25"/>
    </sheetView>
  </sheetViews>
  <sheetFormatPr defaultRowHeight="15" x14ac:dyDescent="0.25"/>
  <cols>
    <col min="2" max="2" width="25.42578125" customWidth="1"/>
    <col min="3" max="5" width="12.7109375" bestFit="1" customWidth="1"/>
    <col min="6" max="6" width="14.42578125" customWidth="1"/>
    <col min="7" max="7" width="13.42578125" customWidth="1"/>
    <col min="8" max="8" width="14.140625" customWidth="1"/>
    <col min="9" max="9" width="15.85546875" customWidth="1"/>
    <col min="10" max="11" width="14.28515625" customWidth="1"/>
    <col min="12" max="13" width="20.7109375" customWidth="1"/>
    <col min="14" max="14" width="14.28515625" customWidth="1"/>
    <col min="15" max="15" width="16.7109375" customWidth="1"/>
  </cols>
  <sheetData>
    <row r="1" spans="1:15" ht="24" customHeight="1" x14ac:dyDescent="0.25">
      <c r="A1" s="168" t="s">
        <v>187</v>
      </c>
      <c r="B1" s="168" t="s">
        <v>188</v>
      </c>
      <c r="C1" s="167" t="s">
        <v>206</v>
      </c>
      <c r="D1" s="167" t="s">
        <v>207</v>
      </c>
      <c r="E1" s="167" t="s">
        <v>208</v>
      </c>
      <c r="F1" s="167" t="s">
        <v>209</v>
      </c>
      <c r="G1" s="167" t="s">
        <v>210</v>
      </c>
      <c r="H1" s="167" t="s">
        <v>211</v>
      </c>
      <c r="I1" s="167" t="s">
        <v>212</v>
      </c>
      <c r="J1" s="167" t="s">
        <v>213</v>
      </c>
      <c r="K1" s="167" t="s">
        <v>214</v>
      </c>
      <c r="L1" s="167" t="s">
        <v>215</v>
      </c>
      <c r="M1" s="167" t="s">
        <v>216</v>
      </c>
      <c r="N1" s="167" t="s">
        <v>217</v>
      </c>
    </row>
    <row r="2" spans="1:15" x14ac:dyDescent="0.25">
      <c r="A2" s="155">
        <v>1</v>
      </c>
      <c r="B2" s="169" t="s">
        <v>218</v>
      </c>
      <c r="C2" s="155">
        <v>0</v>
      </c>
      <c r="D2" s="155">
        <v>3</v>
      </c>
      <c r="E2" s="155">
        <v>1</v>
      </c>
      <c r="F2" s="155">
        <v>1</v>
      </c>
      <c r="G2" s="155">
        <v>0</v>
      </c>
      <c r="H2" s="155">
        <v>1</v>
      </c>
      <c r="I2" s="155">
        <v>1</v>
      </c>
      <c r="J2" s="155">
        <v>1</v>
      </c>
      <c r="K2" s="155">
        <v>1</v>
      </c>
      <c r="L2" s="155">
        <v>4</v>
      </c>
      <c r="M2" s="155">
        <v>1</v>
      </c>
      <c r="N2" s="155">
        <v>1</v>
      </c>
    </row>
    <row r="3" spans="1:15" x14ac:dyDescent="0.25">
      <c r="A3" s="155"/>
      <c r="B3" s="169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5" x14ac:dyDescent="0.25">
      <c r="A4" s="155"/>
      <c r="B4" s="16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15" x14ac:dyDescent="0.25">
      <c r="A5" s="155"/>
      <c r="B5" s="16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5" x14ac:dyDescent="0.25">
      <c r="A6" s="155"/>
      <c r="B6" s="16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5" x14ac:dyDescent="0.25">
      <c r="A7" s="155"/>
      <c r="B7" s="16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1:15" x14ac:dyDescent="0.25">
      <c r="A8" s="155"/>
      <c r="B8" s="169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1:15" x14ac:dyDescent="0.25">
      <c r="A9" s="155"/>
      <c r="B9" s="169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1:15" x14ac:dyDescent="0.25">
      <c r="A10" s="155"/>
      <c r="B10" s="169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1:15" x14ac:dyDescent="0.25">
      <c r="A11" s="155"/>
      <c r="B11" s="169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</row>
    <row r="12" spans="1:15" x14ac:dyDescent="0.25">
      <c r="A12" s="155"/>
      <c r="B12" s="169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</row>
    <row r="13" spans="1:15" x14ac:dyDescent="0.25">
      <c r="A13" s="155"/>
      <c r="B13" s="169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</row>
    <row r="14" spans="1:15" x14ac:dyDescent="0.25">
      <c r="A14" s="155"/>
      <c r="B14" s="169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</row>
    <row r="15" spans="1:15" x14ac:dyDescent="0.25">
      <c r="A15" s="155"/>
      <c r="B15" s="169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</row>
    <row r="16" spans="1:15" x14ac:dyDescent="0.25">
      <c r="A16" s="170"/>
      <c r="B16" s="171" t="s">
        <v>28</v>
      </c>
      <c r="C16" s="40">
        <f t="shared" ref="C16:N16" si="0">SUM(C2:C15)</f>
        <v>0</v>
      </c>
      <c r="D16" s="40">
        <f t="shared" si="0"/>
        <v>3</v>
      </c>
      <c r="E16" s="40">
        <f t="shared" si="0"/>
        <v>1</v>
      </c>
      <c r="F16" s="40">
        <f t="shared" si="0"/>
        <v>1</v>
      </c>
      <c r="G16" s="40">
        <f t="shared" si="0"/>
        <v>0</v>
      </c>
      <c r="H16" s="40">
        <f t="shared" si="0"/>
        <v>1</v>
      </c>
      <c r="I16" s="40">
        <f t="shared" si="0"/>
        <v>1</v>
      </c>
      <c r="J16" s="40">
        <f t="shared" si="0"/>
        <v>1</v>
      </c>
      <c r="K16" s="40">
        <f t="shared" si="0"/>
        <v>1</v>
      </c>
      <c r="L16" s="40">
        <f t="shared" si="0"/>
        <v>4</v>
      </c>
      <c r="M16" s="40">
        <f t="shared" si="0"/>
        <v>1</v>
      </c>
      <c r="N16" s="40">
        <f t="shared" si="0"/>
        <v>1</v>
      </c>
      <c r="O16" s="172">
        <f>SUM(C16:N16)</f>
        <v>15</v>
      </c>
    </row>
    <row r="18" spans="2:2" x14ac:dyDescent="0.25">
      <c r="B18" s="173"/>
    </row>
    <row r="19" spans="2:2" x14ac:dyDescent="0.25">
      <c r="B19" s="1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view="pageBreakPreview" zoomScale="130" zoomScaleNormal="115" zoomScaleSheetLayoutView="130" workbookViewId="0">
      <selection activeCell="E1" sqref="E1"/>
    </sheetView>
  </sheetViews>
  <sheetFormatPr defaultRowHeight="15" x14ac:dyDescent="0.25"/>
  <cols>
    <col min="1" max="1" width="5.140625" customWidth="1"/>
    <col min="2" max="2" width="41.28515625" customWidth="1"/>
    <col min="4" max="4" width="5" customWidth="1"/>
    <col min="5" max="5" width="15" style="30" customWidth="1"/>
    <col min="6" max="6" width="10.85546875" bestFit="1" customWidth="1"/>
    <col min="7" max="7" width="12.7109375" customWidth="1"/>
  </cols>
  <sheetData>
    <row r="2" spans="1:7" x14ac:dyDescent="0.25">
      <c r="A2">
        <v>1</v>
      </c>
      <c r="B2" t="s">
        <v>206</v>
      </c>
      <c r="C2" s="167" t="s">
        <v>25</v>
      </c>
      <c r="D2">
        <v>1</v>
      </c>
      <c r="E2" s="29">
        <v>1000</v>
      </c>
      <c r="F2" s="29"/>
      <c r="G2" s="29"/>
    </row>
    <row r="3" spans="1:7" x14ac:dyDescent="0.25">
      <c r="A3">
        <v>2</v>
      </c>
      <c r="B3" t="s">
        <v>207</v>
      </c>
      <c r="C3" s="167" t="s">
        <v>25</v>
      </c>
      <c r="D3">
        <v>1</v>
      </c>
      <c r="E3" s="29">
        <v>2000</v>
      </c>
      <c r="F3" s="29"/>
      <c r="G3" s="29"/>
    </row>
    <row r="4" spans="1:7" x14ac:dyDescent="0.25">
      <c r="A4">
        <v>3</v>
      </c>
      <c r="B4" t="s">
        <v>208</v>
      </c>
      <c r="C4" s="167" t="s">
        <v>25</v>
      </c>
      <c r="D4">
        <v>1</v>
      </c>
      <c r="E4" s="29">
        <v>3000</v>
      </c>
      <c r="F4" s="29"/>
      <c r="G4" s="29"/>
    </row>
    <row r="5" spans="1:7" x14ac:dyDescent="0.25">
      <c r="A5">
        <v>4</v>
      </c>
      <c r="B5" t="s">
        <v>209</v>
      </c>
      <c r="C5" s="167" t="s">
        <v>25</v>
      </c>
      <c r="D5">
        <v>1</v>
      </c>
      <c r="E5" s="29">
        <v>4000</v>
      </c>
      <c r="F5" s="29"/>
      <c r="G5" s="29"/>
    </row>
    <row r="6" spans="1:7" x14ac:dyDescent="0.25">
      <c r="A6">
        <v>5</v>
      </c>
      <c r="B6" t="s">
        <v>210</v>
      </c>
      <c r="C6" s="167" t="s">
        <v>25</v>
      </c>
      <c r="D6">
        <v>1</v>
      </c>
      <c r="E6" s="29">
        <v>5000</v>
      </c>
      <c r="F6" s="29"/>
      <c r="G6" s="29"/>
    </row>
    <row r="7" spans="1:7" x14ac:dyDescent="0.25">
      <c r="A7">
        <v>6</v>
      </c>
      <c r="B7" t="s">
        <v>211</v>
      </c>
      <c r="C7" s="167" t="s">
        <v>25</v>
      </c>
      <c r="D7">
        <v>1</v>
      </c>
      <c r="E7" s="29">
        <v>6000</v>
      </c>
      <c r="F7" s="29"/>
      <c r="G7" s="29"/>
    </row>
    <row r="8" spans="1:7" x14ac:dyDescent="0.25">
      <c r="A8">
        <v>7</v>
      </c>
      <c r="B8" t="s">
        <v>212</v>
      </c>
      <c r="C8" s="167" t="s">
        <v>25</v>
      </c>
      <c r="D8">
        <v>1</v>
      </c>
      <c r="E8" s="29">
        <v>7000</v>
      </c>
      <c r="F8" s="29"/>
      <c r="G8" s="29"/>
    </row>
    <row r="9" spans="1:7" x14ac:dyDescent="0.25">
      <c r="A9">
        <v>8</v>
      </c>
      <c r="B9" t="s">
        <v>213</v>
      </c>
      <c r="C9" s="167" t="s">
        <v>25</v>
      </c>
      <c r="D9">
        <v>1</v>
      </c>
      <c r="E9" s="29">
        <v>8000</v>
      </c>
      <c r="F9" s="29"/>
      <c r="G9" s="29"/>
    </row>
    <row r="10" spans="1:7" x14ac:dyDescent="0.25">
      <c r="A10">
        <v>9</v>
      </c>
      <c r="B10" t="s">
        <v>214</v>
      </c>
      <c r="C10" s="167" t="s">
        <v>25</v>
      </c>
      <c r="D10">
        <v>1</v>
      </c>
      <c r="E10" s="29">
        <v>9000</v>
      </c>
      <c r="F10" s="29"/>
      <c r="G10" s="29"/>
    </row>
    <row r="11" spans="1:7" x14ac:dyDescent="0.25">
      <c r="A11">
        <v>10</v>
      </c>
      <c r="B11" t="s">
        <v>215</v>
      </c>
      <c r="C11" s="167" t="s">
        <v>25</v>
      </c>
      <c r="D11">
        <v>1</v>
      </c>
      <c r="E11" s="29">
        <v>10000</v>
      </c>
      <c r="F11" s="29"/>
      <c r="G11" s="29"/>
    </row>
    <row r="12" spans="1:7" x14ac:dyDescent="0.25">
      <c r="A12">
        <v>11</v>
      </c>
      <c r="B12" t="s">
        <v>216</v>
      </c>
      <c r="C12" s="167" t="s">
        <v>25</v>
      </c>
      <c r="D12">
        <v>1</v>
      </c>
      <c r="E12" s="29">
        <v>11000</v>
      </c>
      <c r="F12" s="29"/>
      <c r="G12" s="29"/>
    </row>
    <row r="13" spans="1:7" x14ac:dyDescent="0.25">
      <c r="A13">
        <v>12</v>
      </c>
      <c r="B13" t="s">
        <v>217</v>
      </c>
      <c r="C13" s="167" t="s">
        <v>25</v>
      </c>
      <c r="D13">
        <v>1</v>
      </c>
      <c r="E13" s="29">
        <v>12000</v>
      </c>
      <c r="F13" s="29"/>
      <c r="G13" s="29"/>
    </row>
    <row r="14" spans="1:7" x14ac:dyDescent="0.25">
      <c r="C14" s="167"/>
      <c r="E14" s="29"/>
      <c r="F14" s="29"/>
      <c r="G14" s="29"/>
    </row>
    <row r="15" spans="1:7" x14ac:dyDescent="0.25">
      <c r="E15" s="29"/>
      <c r="F15" s="29"/>
      <c r="G15" s="29"/>
    </row>
    <row r="16" spans="1:7" x14ac:dyDescent="0.25">
      <c r="E16" s="29"/>
      <c r="F16" s="29"/>
      <c r="G16" s="29"/>
    </row>
    <row r="17" spans="5:7" x14ac:dyDescent="0.25">
      <c r="E17" s="29"/>
      <c r="F17" s="29"/>
      <c r="G17" s="29"/>
    </row>
    <row r="18" spans="5:7" x14ac:dyDescent="0.25">
      <c r="E18" s="29"/>
      <c r="F18" s="29"/>
      <c r="G18" s="29"/>
    </row>
    <row r="19" spans="5:7" x14ac:dyDescent="0.25">
      <c r="E19" s="29"/>
      <c r="F19" s="29"/>
      <c r="G19" s="29"/>
    </row>
    <row r="20" spans="5:7" x14ac:dyDescent="0.25">
      <c r="E20" s="29"/>
      <c r="F20" s="29"/>
      <c r="G20" s="29"/>
    </row>
  </sheetData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6"/>
  <sheetViews>
    <sheetView view="pageBreakPreview" zoomScale="85" zoomScaleSheetLayoutView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17" sqref="F17"/>
    </sheetView>
  </sheetViews>
  <sheetFormatPr defaultColWidth="9.140625" defaultRowHeight="15.75" x14ac:dyDescent="0.25"/>
  <cols>
    <col min="1" max="1" width="8.5703125" style="16" customWidth="1"/>
    <col min="2" max="2" width="35.140625" style="17" customWidth="1"/>
    <col min="3" max="3" width="10" style="45" customWidth="1"/>
    <col min="4" max="4" width="21.7109375" style="21" customWidth="1"/>
    <col min="5" max="5" width="13" style="26" customWidth="1"/>
    <col min="6" max="6" width="19.28515625" style="31" bestFit="1" customWidth="1"/>
    <col min="7" max="7" width="25" style="8" customWidth="1"/>
    <col min="8" max="8" width="24.28515625" style="17" customWidth="1"/>
    <col min="9" max="16384" width="9.140625" style="17"/>
  </cols>
  <sheetData>
    <row r="1" spans="1:7" x14ac:dyDescent="0.25">
      <c r="A1" s="202" t="s">
        <v>97</v>
      </c>
      <c r="B1" s="202"/>
      <c r="C1" s="202"/>
      <c r="D1" s="202"/>
      <c r="E1" s="202"/>
      <c r="F1" s="202"/>
    </row>
    <row r="3" spans="1:7" ht="31.5" x14ac:dyDescent="0.25">
      <c r="A3" s="151"/>
      <c r="B3" s="152"/>
      <c r="C3" s="88" t="s">
        <v>27</v>
      </c>
      <c r="D3" s="15" t="s">
        <v>40</v>
      </c>
      <c r="E3" s="27" t="s">
        <v>94</v>
      </c>
      <c r="F3" s="89" t="s">
        <v>26</v>
      </c>
    </row>
    <row r="4" spans="1:7" x14ac:dyDescent="0.25">
      <c r="A4" s="76">
        <v>1</v>
      </c>
      <c r="B4" s="193" t="str">
        <f>'План распределения'!B2</f>
        <v>Объект1</v>
      </c>
      <c r="C4" s="90"/>
      <c r="D4" s="20"/>
      <c r="E4" s="28"/>
      <c r="F4" s="91">
        <f>SUM(F5:F16)</f>
        <v>106000</v>
      </c>
    </row>
    <row r="5" spans="1:7" s="19" customFormat="1" x14ac:dyDescent="0.25">
      <c r="A5" s="77" t="str">
        <f>CONCATENATE(A4,".",1)</f>
        <v>1.1</v>
      </c>
      <c r="B5" s="85" t="str">
        <f>Лист2!B2</f>
        <v>тип 1</v>
      </c>
      <c r="C5" s="92" t="str">
        <f>Лист2!C2</f>
        <v>шт.</v>
      </c>
      <c r="D5" s="62">
        <f>Лист2!E2</f>
        <v>1000</v>
      </c>
      <c r="E5" s="155">
        <v>0</v>
      </c>
      <c r="F5" s="93">
        <f>E5*D5</f>
        <v>0</v>
      </c>
      <c r="G5" s="18"/>
    </row>
    <row r="6" spans="1:7" s="19" customFormat="1" x14ac:dyDescent="0.25">
      <c r="A6" s="78" t="str">
        <f>CONCATENATE(A4,".",2)</f>
        <v>1.2</v>
      </c>
      <c r="B6" s="86" t="str">
        <f>Лист2!B3</f>
        <v>тип 2</v>
      </c>
      <c r="C6" s="94" t="str">
        <f>Лист2!C3</f>
        <v>шт.</v>
      </c>
      <c r="D6" s="63">
        <f>Лист2!E3</f>
        <v>2000</v>
      </c>
      <c r="E6" s="155">
        <v>3</v>
      </c>
      <c r="F6" s="95">
        <f t="shared" ref="F6:F16" si="0">E6*D6</f>
        <v>6000</v>
      </c>
      <c r="G6" s="18"/>
    </row>
    <row r="7" spans="1:7" s="19" customFormat="1" x14ac:dyDescent="0.25">
      <c r="A7" s="78" t="str">
        <f>CONCATENATE(A4,".",3)</f>
        <v>1.3</v>
      </c>
      <c r="B7" s="86" t="str">
        <f>Лист2!B4</f>
        <v>тип 3</v>
      </c>
      <c r="C7" s="94" t="str">
        <f>Лист2!C4</f>
        <v>шт.</v>
      </c>
      <c r="D7" s="63">
        <f>Лист2!E4</f>
        <v>3000</v>
      </c>
      <c r="E7" s="155">
        <v>1</v>
      </c>
      <c r="F7" s="95">
        <f t="shared" si="0"/>
        <v>3000</v>
      </c>
      <c r="G7" s="18"/>
    </row>
    <row r="8" spans="1:7" x14ac:dyDescent="0.25">
      <c r="A8" s="77" t="str">
        <f>CONCATENATE(A4,".",4)</f>
        <v>1.4</v>
      </c>
      <c r="B8" s="87" t="str">
        <f>Лист2!B5</f>
        <v>тип 4</v>
      </c>
      <c r="C8" s="92" t="str">
        <f>Лист2!C5</f>
        <v>шт.</v>
      </c>
      <c r="D8" s="64">
        <f>Лист2!E5</f>
        <v>4000</v>
      </c>
      <c r="E8" s="155">
        <v>1</v>
      </c>
      <c r="F8" s="93">
        <f t="shared" si="0"/>
        <v>4000</v>
      </c>
    </row>
    <row r="9" spans="1:7" s="19" customFormat="1" x14ac:dyDescent="0.25">
      <c r="A9" s="78" t="str">
        <f>CONCATENATE(A4,".",5)</f>
        <v>1.5</v>
      </c>
      <c r="B9" s="86" t="str">
        <f>Лист2!B6</f>
        <v>тип 5</v>
      </c>
      <c r="C9" s="94" t="str">
        <f>Лист2!C6</f>
        <v>шт.</v>
      </c>
      <c r="D9" s="63">
        <f>Лист2!E6</f>
        <v>5000</v>
      </c>
      <c r="E9" s="155">
        <v>0</v>
      </c>
      <c r="F9" s="95">
        <f t="shared" si="0"/>
        <v>0</v>
      </c>
      <c r="G9" s="18"/>
    </row>
    <row r="10" spans="1:7" s="19" customFormat="1" x14ac:dyDescent="0.25">
      <c r="A10" s="78" t="str">
        <f>CONCATENATE(A4,".",6)</f>
        <v>1.6</v>
      </c>
      <c r="B10" s="86" t="str">
        <f>Лист2!B7</f>
        <v>тип 6</v>
      </c>
      <c r="C10" s="94" t="str">
        <f>Лист2!C7</f>
        <v>шт.</v>
      </c>
      <c r="D10" s="63">
        <f>Лист2!E7</f>
        <v>6000</v>
      </c>
      <c r="E10" s="155">
        <v>1</v>
      </c>
      <c r="F10" s="95">
        <f t="shared" si="0"/>
        <v>6000</v>
      </c>
      <c r="G10" s="18"/>
    </row>
    <row r="11" spans="1:7" x14ac:dyDescent="0.25">
      <c r="A11" s="77" t="str">
        <f>CONCATENATE(A4,".",7)</f>
        <v>1.7</v>
      </c>
      <c r="B11" s="87" t="str">
        <f>Лист2!B8</f>
        <v>тип 7</v>
      </c>
      <c r="C11" s="92" t="str">
        <f>Лист2!C8</f>
        <v>шт.</v>
      </c>
      <c r="D11" s="65">
        <f>Лист2!E8</f>
        <v>7000</v>
      </c>
      <c r="E11" s="155">
        <v>1</v>
      </c>
      <c r="F11" s="93">
        <f t="shared" si="0"/>
        <v>7000</v>
      </c>
    </row>
    <row r="12" spans="1:7" s="19" customFormat="1" x14ac:dyDescent="0.25">
      <c r="A12" s="78" t="str">
        <f>CONCATENATE(A4,".",8)</f>
        <v>1.8</v>
      </c>
      <c r="B12" s="86" t="str">
        <f>Лист2!B9</f>
        <v>тип 8</v>
      </c>
      <c r="C12" s="94" t="str">
        <f>Лист2!C9</f>
        <v>шт.</v>
      </c>
      <c r="D12" s="63">
        <f>Лист2!E9</f>
        <v>8000</v>
      </c>
      <c r="E12" s="155">
        <v>1</v>
      </c>
      <c r="F12" s="95">
        <f t="shared" si="0"/>
        <v>8000</v>
      </c>
      <c r="G12" s="18"/>
    </row>
    <row r="13" spans="1:7" s="19" customFormat="1" x14ac:dyDescent="0.25">
      <c r="A13" s="78" t="str">
        <f>CONCATENATE(A4,".",9)</f>
        <v>1.9</v>
      </c>
      <c r="B13" s="86" t="str">
        <f>Лист2!B10</f>
        <v>тип 9</v>
      </c>
      <c r="C13" s="94" t="str">
        <f>Лист2!C10</f>
        <v>шт.</v>
      </c>
      <c r="D13" s="63">
        <f>Лист2!E10</f>
        <v>9000</v>
      </c>
      <c r="E13" s="155">
        <v>1</v>
      </c>
      <c r="F13" s="95">
        <f t="shared" si="0"/>
        <v>9000</v>
      </c>
      <c r="G13" s="18"/>
    </row>
    <row r="14" spans="1:7" s="23" customFormat="1" x14ac:dyDescent="0.25">
      <c r="A14" s="78" t="str">
        <f>CONCATENATE(A4,".",10)</f>
        <v>1.10</v>
      </c>
      <c r="B14" s="86" t="str">
        <f>Лист2!B11</f>
        <v>тип 10</v>
      </c>
      <c r="C14" s="94" t="str">
        <f>Лист2!C11</f>
        <v>шт.</v>
      </c>
      <c r="D14" s="66">
        <f>Лист2!E11</f>
        <v>10000</v>
      </c>
      <c r="E14" s="155">
        <v>4</v>
      </c>
      <c r="F14" s="95">
        <f t="shared" si="0"/>
        <v>40000</v>
      </c>
      <c r="G14" s="22"/>
    </row>
    <row r="15" spans="1:7" s="23" customFormat="1" x14ac:dyDescent="0.25">
      <c r="A15" s="78" t="str">
        <f>CONCATENATE(A4,".",11)</f>
        <v>1.11</v>
      </c>
      <c r="B15" s="86" t="str">
        <f>Лист2!B12</f>
        <v>тип 11</v>
      </c>
      <c r="C15" s="94" t="str">
        <f>Лист2!C12</f>
        <v>шт.</v>
      </c>
      <c r="D15" s="66">
        <f>Лист2!E12</f>
        <v>11000</v>
      </c>
      <c r="E15" s="155">
        <v>1</v>
      </c>
      <c r="F15" s="95">
        <f t="shared" si="0"/>
        <v>11000</v>
      </c>
      <c r="G15" s="22"/>
    </row>
    <row r="16" spans="1:7" s="23" customFormat="1" x14ac:dyDescent="0.25">
      <c r="A16" s="78" t="str">
        <f>CONCATENATE(A4,".",12)</f>
        <v>1.12</v>
      </c>
      <c r="B16" s="86" t="str">
        <f>Лист2!B13</f>
        <v>тип 12</v>
      </c>
      <c r="C16" s="94" t="str">
        <f>Лист2!C13</f>
        <v>шт.</v>
      </c>
      <c r="D16" s="66">
        <f>Лист2!E13</f>
        <v>12000</v>
      </c>
      <c r="E16" s="155">
        <v>1</v>
      </c>
      <c r="F16" s="95">
        <f t="shared" si="0"/>
        <v>12000</v>
      </c>
      <c r="G16" s="22"/>
    </row>
  </sheetData>
  <mergeCells count="1">
    <mergeCell ref="A1:F1"/>
  </mergeCells>
  <printOptions horizontalCentered="1"/>
  <pageMargins left="0.35433070866141736" right="0.62992125984251968" top="0.6692913385826772" bottom="0.15748031496062992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H30"/>
  <sheetViews>
    <sheetView view="pageBreakPreview" zoomScale="60" zoomScaleNormal="60" workbookViewId="0">
      <pane xSplit="2" ySplit="2" topLeftCell="D3" activePane="bottomRight" state="frozen"/>
      <selection pane="topRight" activeCell="C1" sqref="C1"/>
      <selection pane="bottomLeft" activeCell="A6" sqref="A6"/>
      <selection pane="bottomRight" activeCell="AK14" sqref="AK14"/>
    </sheetView>
  </sheetViews>
  <sheetFormatPr defaultColWidth="9.140625" defaultRowHeight="15.75" outlineLevelRow="1" outlineLevelCol="1" x14ac:dyDescent="0.25"/>
  <cols>
    <col min="1" max="1" width="8.42578125" style="7" customWidth="1"/>
    <col min="2" max="2" width="84.5703125" style="188" customWidth="1"/>
    <col min="3" max="3" width="15.140625" style="195" customWidth="1"/>
    <col min="4" max="4" width="13" style="7" hidden="1" customWidth="1" outlineLevel="1"/>
    <col min="5" max="5" width="16.5703125" style="7" hidden="1" customWidth="1" outlineLevel="1"/>
    <col min="6" max="6" width="18.28515625" style="69" hidden="1" customWidth="1" outlineLevel="1"/>
    <col min="7" max="7" width="12.28515625" style="7" hidden="1" customWidth="1" outlineLevel="1"/>
    <col min="8" max="8" width="15.7109375" style="71" hidden="1" customWidth="1" outlineLevel="1"/>
    <col min="9" max="9" width="17.7109375" style="69" hidden="1" customWidth="1" outlineLevel="1"/>
    <col min="10" max="10" width="12.28515625" style="7" hidden="1" customWidth="1" outlineLevel="1"/>
    <col min="11" max="11" width="16.5703125" style="7" hidden="1" customWidth="1" outlineLevel="1"/>
    <col min="12" max="12" width="17.85546875" style="69" hidden="1" customWidth="1" outlineLevel="1"/>
    <col min="13" max="13" width="12.28515625" style="7" hidden="1" customWidth="1" outlineLevel="1"/>
    <col min="14" max="14" width="17.140625" style="7" hidden="1" customWidth="1" outlineLevel="1"/>
    <col min="15" max="15" width="15.140625" style="69" hidden="1" customWidth="1" outlineLevel="1"/>
    <col min="16" max="16" width="12.28515625" style="7" hidden="1" customWidth="1" outlineLevel="1"/>
    <col min="17" max="17" width="16" style="7" hidden="1" customWidth="1" outlineLevel="1"/>
    <col min="18" max="18" width="16" style="69" hidden="1" customWidth="1" outlineLevel="1"/>
    <col min="19" max="19" width="12.28515625" style="7" hidden="1" customWidth="1" outlineLevel="1"/>
    <col min="20" max="20" width="15.85546875" style="7" hidden="1" customWidth="1" outlineLevel="1"/>
    <col min="21" max="21" width="15.85546875" style="69" hidden="1" customWidth="1" outlineLevel="1"/>
    <col min="22" max="23" width="15.28515625" style="7" hidden="1" customWidth="1" outlineLevel="1"/>
    <col min="24" max="24" width="15.28515625" style="69" hidden="1" customWidth="1" outlineLevel="1"/>
    <col min="25" max="25" width="13.5703125" style="7" hidden="1" customWidth="1" outlineLevel="1"/>
    <col min="26" max="26" width="15.28515625" style="7" hidden="1" customWidth="1" outlineLevel="1"/>
    <col min="27" max="27" width="13.5703125" style="69" hidden="1" customWidth="1" outlineLevel="1"/>
    <col min="28" max="29" width="16" style="7" hidden="1" customWidth="1" outlineLevel="1"/>
    <col min="30" max="34" width="14.7109375" style="69" hidden="1" customWidth="1" outlineLevel="1"/>
    <col min="35" max="35" width="17" style="7" customWidth="1" collapsed="1"/>
    <col min="36" max="138" width="17" style="7" customWidth="1"/>
    <col min="139" max="139" width="14" style="7" customWidth="1"/>
    <col min="140" max="140" width="13.140625" style="7" customWidth="1"/>
    <col min="141" max="141" width="12.28515625" style="7" customWidth="1"/>
    <col min="142" max="16384" width="9.140625" style="7"/>
  </cols>
  <sheetData>
    <row r="1" spans="1:138" s="68" customFormat="1" ht="36.75" customHeight="1" x14ac:dyDescent="0.25">
      <c r="A1" s="204" t="s">
        <v>41</v>
      </c>
      <c r="B1" s="207" t="s">
        <v>105</v>
      </c>
      <c r="C1" s="205" t="s">
        <v>189</v>
      </c>
      <c r="D1" s="204" t="str">
        <f>'Затраты на комплектующие'!B5</f>
        <v>тип 1</v>
      </c>
      <c r="E1" s="204"/>
      <c r="F1" s="204"/>
      <c r="G1" s="204" t="str">
        <f>'Затраты на комплектующие'!B6</f>
        <v>тип 2</v>
      </c>
      <c r="H1" s="204"/>
      <c r="I1" s="204"/>
      <c r="J1" s="204" t="str">
        <f>'Затраты на комплектующие'!B7</f>
        <v>тип 3</v>
      </c>
      <c r="K1" s="204"/>
      <c r="L1" s="204"/>
      <c r="M1" s="206" t="str">
        <f>'Работы по развертыванию'!F84</f>
        <v>тип 4</v>
      </c>
      <c r="N1" s="204"/>
      <c r="O1" s="204"/>
      <c r="P1" s="206" t="str">
        <f>'Работы по развертыванию'!G84</f>
        <v>тип 5</v>
      </c>
      <c r="Q1" s="204"/>
      <c r="R1" s="204"/>
      <c r="S1" s="208" t="str">
        <f>'Работы по развертыванию'!H84</f>
        <v>тип 6</v>
      </c>
      <c r="T1" s="204"/>
      <c r="U1" s="204"/>
      <c r="V1" s="206" t="str">
        <f>'Работы по развертыванию'!I84</f>
        <v>тип 7</v>
      </c>
      <c r="W1" s="204"/>
      <c r="X1" s="204"/>
      <c r="Y1" s="206" t="str">
        <f>'Работы по развертыванию'!J84</f>
        <v>тип 8</v>
      </c>
      <c r="Z1" s="204"/>
      <c r="AA1" s="204"/>
      <c r="AB1" s="206" t="str">
        <f>'Работы по развертыванию'!L84</f>
        <v>тип 10</v>
      </c>
      <c r="AC1" s="204"/>
      <c r="AD1" s="204"/>
      <c r="AE1" s="206" t="str">
        <f>'Работы по развертыванию'!M84</f>
        <v>тип 11</v>
      </c>
      <c r="AF1" s="204"/>
      <c r="AG1" s="204"/>
      <c r="AH1" s="176" t="str">
        <f>'Работы по развертыванию'!N84</f>
        <v>Общеобъектовые работы</v>
      </c>
      <c r="AI1" s="204" t="s">
        <v>135</v>
      </c>
      <c r="AJ1" s="209" t="str">
        <f>командировка!E3</f>
        <v>Среднее количество дней командировки одного командируемого</v>
      </c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</row>
    <row r="2" spans="1:138" s="68" customFormat="1" ht="33.75" customHeight="1" x14ac:dyDescent="0.25">
      <c r="A2" s="204"/>
      <c r="B2" s="207"/>
      <c r="C2" s="205"/>
      <c r="D2" s="106" t="s">
        <v>30</v>
      </c>
      <c r="E2" s="106" t="s">
        <v>92</v>
      </c>
      <c r="F2" s="177" t="s">
        <v>91</v>
      </c>
      <c r="G2" s="106" t="s">
        <v>30</v>
      </c>
      <c r="H2" s="177" t="s">
        <v>92</v>
      </c>
      <c r="I2" s="177" t="s">
        <v>91</v>
      </c>
      <c r="J2" s="106" t="s">
        <v>30</v>
      </c>
      <c r="K2" s="106" t="s">
        <v>92</v>
      </c>
      <c r="L2" s="177" t="s">
        <v>91</v>
      </c>
      <c r="M2" s="106" t="s">
        <v>30</v>
      </c>
      <c r="N2" s="106" t="s">
        <v>92</v>
      </c>
      <c r="O2" s="177" t="s">
        <v>91</v>
      </c>
      <c r="P2" s="106" t="s">
        <v>30</v>
      </c>
      <c r="Q2" s="106" t="s">
        <v>90</v>
      </c>
      <c r="R2" s="177" t="s">
        <v>91</v>
      </c>
      <c r="S2" s="106" t="s">
        <v>30</v>
      </c>
      <c r="T2" s="106" t="s">
        <v>90</v>
      </c>
      <c r="U2" s="177" t="s">
        <v>91</v>
      </c>
      <c r="V2" s="106" t="s">
        <v>30</v>
      </c>
      <c r="W2" s="106" t="s">
        <v>90</v>
      </c>
      <c r="X2" s="177" t="s">
        <v>91</v>
      </c>
      <c r="Y2" s="106" t="s">
        <v>30</v>
      </c>
      <c r="Z2" s="106" t="s">
        <v>90</v>
      </c>
      <c r="AA2" s="177" t="s">
        <v>91</v>
      </c>
      <c r="AB2" s="106" t="s">
        <v>30</v>
      </c>
      <c r="AC2" s="106" t="s">
        <v>90</v>
      </c>
      <c r="AD2" s="177" t="s">
        <v>91</v>
      </c>
      <c r="AE2" s="106" t="s">
        <v>30</v>
      </c>
      <c r="AF2" s="106" t="s">
        <v>90</v>
      </c>
      <c r="AG2" s="177" t="s">
        <v>91</v>
      </c>
      <c r="AH2" s="177" t="s">
        <v>190</v>
      </c>
      <c r="AI2" s="204"/>
      <c r="AJ2" s="210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</row>
    <row r="3" spans="1:138" s="68" customFormat="1" ht="26.45" customHeight="1" x14ac:dyDescent="0.25">
      <c r="A3" s="162">
        <v>1</v>
      </c>
      <c r="B3" s="186" t="s">
        <v>218</v>
      </c>
      <c r="C3" s="191" t="str">
        <f>B3</f>
        <v>Объект1</v>
      </c>
      <c r="D3" s="175">
        <f>INDEX('План распределения'!$A$1:$N$16,MATCH($C3,'План распределения'!$B$1:$B$15,0),MATCH(D$1,'План распределения'!$A$1:$N$1,0))</f>
        <v>0</v>
      </c>
      <c r="E3" s="124">
        <v>0</v>
      </c>
      <c r="F3" s="108">
        <f>SUMPRODUCT(D4:D29,E4:E29)</f>
        <v>0</v>
      </c>
      <c r="G3" s="184">
        <f>INDEX('План распределения'!$A$1:$N$16,MATCH($C3,'План распределения'!$B$1:$B$15,0),MATCH(G$1,'План распределения'!$A$1:$N$1,0))</f>
        <v>3</v>
      </c>
      <c r="H3" s="124">
        <v>0</v>
      </c>
      <c r="I3" s="108">
        <f>SUMPRODUCT(G4:G29,H4:H29)</f>
        <v>551.10000000000014</v>
      </c>
      <c r="J3" s="184">
        <f>INDEX('План распределения'!$A$1:$N$16,MATCH($C3,'План распределения'!$B$1:$B$15,0),MATCH(J$1,'План распределения'!$A$1:$N$1,0))</f>
        <v>1</v>
      </c>
      <c r="K3" s="124">
        <v>0</v>
      </c>
      <c r="L3" s="108">
        <f>SUMPRODUCT(J4:J29,K4:K29)</f>
        <v>188.20000000000002</v>
      </c>
      <c r="M3" s="184">
        <f>INDEX('План распределения'!$A$1:$N$16,MATCH($C3,'План распределения'!$B$1:$B$15,0),MATCH(M$1,'План распределения'!$A$1:$N$1,0))</f>
        <v>1</v>
      </c>
      <c r="N3" s="124">
        <v>0</v>
      </c>
      <c r="O3" s="108">
        <f>SUMPRODUCT(M4:M29,N4:N29)</f>
        <v>2759.49</v>
      </c>
      <c r="P3" s="184">
        <f>INDEX('План распределения'!$A$1:$N$16,MATCH($C3,'План распределения'!$B$1:$B$15,0),MATCH(P$1,'План распределения'!$A$1:$N$1,0))</f>
        <v>0</v>
      </c>
      <c r="Q3" s="124">
        <v>0</v>
      </c>
      <c r="R3" s="108">
        <f>SUMPRODUCT(P4:P29,Q4:Q29)</f>
        <v>0</v>
      </c>
      <c r="S3" s="185">
        <f>INDEX('План распределения'!$A$1:$N$16,MATCH($C3,'План распределения'!$B$1:$B$15,0),MATCH(S$1,'План распределения'!$A$1:$N$1,0))</f>
        <v>1</v>
      </c>
      <c r="T3" s="124">
        <v>0</v>
      </c>
      <c r="U3" s="108">
        <f>SUMPRODUCT(S4:S29,T4:T29)</f>
        <v>2759.49</v>
      </c>
      <c r="V3" s="184">
        <f>INDEX('План распределения'!$A$1:$N$16,MATCH($C3,'План распределения'!$B$1:$B$15,0),MATCH(V$1,'План распределения'!$A$1:$N$1,0))</f>
        <v>1</v>
      </c>
      <c r="W3" s="124">
        <v>0</v>
      </c>
      <c r="X3" s="108">
        <f>SUMPRODUCT(V4:V29,W4:W29)</f>
        <v>529.13</v>
      </c>
      <c r="Y3" s="184">
        <f>INDEX('План распределения'!$A$1:$N$16,MATCH($C3,'План распределения'!$B$1:$B$15,0),MATCH(Y$1,'План распределения'!$A$1:$N$1,0))</f>
        <v>1</v>
      </c>
      <c r="Z3" s="124">
        <v>0</v>
      </c>
      <c r="AA3" s="108">
        <f>SUMPRODUCT(Y4:Y29,Z4:Z29)</f>
        <v>112.85</v>
      </c>
      <c r="AB3" s="3">
        <f>INDEX('План распределения'!$A$1:$N$16,MATCH($C3,'План распределения'!$B$1:$B$15,0),MATCH(AB$1,'План распределения'!$A$1:$N$1,0))</f>
        <v>4</v>
      </c>
      <c r="AC3" s="124">
        <v>0</v>
      </c>
      <c r="AD3" s="108">
        <f>SUMPRODUCT(AB4:AB29,AC4:AC29)</f>
        <v>195.07999999999998</v>
      </c>
      <c r="AE3" s="175">
        <f>INDEX('План распределения'!$A$1:$N$16,MATCH($C3,'План распределения'!$B$1:$B$15,0),MATCH(AE$1,'План распределения'!$A$1:$N$1,0))</f>
        <v>1</v>
      </c>
      <c r="AF3" s="124">
        <v>0</v>
      </c>
      <c r="AG3" s="108">
        <f>SUMPRODUCT(AE4:AE29,AF4:AF29)</f>
        <v>53.69</v>
      </c>
      <c r="AH3" s="107">
        <f>SUM(AH4:AH29)</f>
        <v>1985.1100000000001</v>
      </c>
      <c r="AI3" s="107">
        <f>SUM(AI4,AI5,AI6,AI7,AI8,AI17,AI23,AI24,AI25,AI28,AI29)</f>
        <v>8635.18</v>
      </c>
      <c r="AJ3" s="148"/>
      <c r="AK3" s="148"/>
      <c r="AL3" s="148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99"/>
    </row>
    <row r="4" spans="1:138" ht="15" customHeight="1" outlineLevel="1" x14ac:dyDescent="0.25">
      <c r="A4" s="72">
        <f>'Работы по развертыванию'!A85</f>
        <v>1</v>
      </c>
      <c r="B4" s="187" t="str">
        <f>'Работы по развертыванию'!B85</f>
        <v>Обследование объекта</v>
      </c>
      <c r="C4" s="192" t="str">
        <f>C3</f>
        <v>Объект1</v>
      </c>
      <c r="D4" s="3">
        <f>INDEX('План распределения'!$A$1:$N$16,MATCH($C4,'План распределения'!$B$1:$B$15,0),MATCH(D$1,'План распределения'!$A$1:$N$1,0))</f>
        <v>0</v>
      </c>
      <c r="E4" s="124">
        <f>INDEX('Работы по развертыванию'!$A$84:$N$154,MATCH('Трудоемкость работ'!$B4,'Работы по развертыванию'!$B$84:$B$154,0),MATCH('Трудоемкость работ'!D$1,'Работы по развертыванию'!$A$84:$N$84,0))</f>
        <v>0</v>
      </c>
      <c r="F4" s="121">
        <f>E4*D4</f>
        <v>0</v>
      </c>
      <c r="G4" s="3">
        <f>INDEX('План распределения'!$A$1:$N$16,MATCH($C4,'План распределения'!$B$1:$B$15,0),MATCH(G$1,'План распределения'!$A$1:$N$1,0))</f>
        <v>3</v>
      </c>
      <c r="H4" s="124">
        <f>INDEX('Работы по развертыванию'!$A$84:$N$154,MATCH('Трудоемкость работ'!$B4,'Работы по развертыванию'!$B$84:$B$154,0),MATCH('Трудоемкость работ'!G$1,'Работы по развертыванию'!$A$84:$N$84,0))</f>
        <v>0</v>
      </c>
      <c r="I4" s="121">
        <f>H4*G4</f>
        <v>0</v>
      </c>
      <c r="J4" s="3">
        <f>INDEX('План распределения'!$A$1:$N$16,MATCH($C4,'План распределения'!$B$1:$B$15,0),MATCH(J$1,'План распределения'!$A$1:$N$1,0))</f>
        <v>1</v>
      </c>
      <c r="K4" s="124">
        <f>INDEX('Работы по развертыванию'!$A$84:$N$154,MATCH('Трудоемкость работ'!$B4,'Работы по развертыванию'!$B$84:$B$154,0),MATCH('Трудоемкость работ'!J$1,'Работы по развертыванию'!$A$84:$N$84,0))</f>
        <v>0</v>
      </c>
      <c r="L4" s="121">
        <f>K4*J4</f>
        <v>0</v>
      </c>
      <c r="M4" s="3">
        <f>INDEX('План распределения'!$A$1:$N$16,MATCH($C4,'План распределения'!$B$1:$B$15,0),MATCH(M$1,'План распределения'!$A$1:$N$1,0))</f>
        <v>1</v>
      </c>
      <c r="N4" s="124">
        <f>INDEX('Работы по развертыванию'!$A$84:$N$154,MATCH('Трудоемкость работ'!$B4,'Работы по развертыванию'!$B$84:$B$154,0),MATCH('Трудоемкость работ'!M$1,'Работы по развертыванию'!$A$84:$N$84,0))</f>
        <v>0</v>
      </c>
      <c r="O4" s="121">
        <f>N4*M4</f>
        <v>0</v>
      </c>
      <c r="P4" s="3">
        <f>INDEX('План распределения'!$A$1:$N$16,MATCH($C4,'План распределения'!$B$1:$B$15,0),MATCH(P$1,'План распределения'!$A$1:$N$1,0))</f>
        <v>0</v>
      </c>
      <c r="Q4" s="124">
        <f>INDEX('Работы по развертыванию'!$A$84:$N$154,MATCH('Трудоемкость работ'!$B4,'Работы по развертыванию'!$B$84:$B$154,0),MATCH('Трудоемкость работ'!P$1,'Работы по развертыванию'!$A$84:$N$84,0))</f>
        <v>0</v>
      </c>
      <c r="R4" s="121">
        <f>Q4*P4</f>
        <v>0</v>
      </c>
      <c r="S4" s="3">
        <f>INDEX('План распределения'!$A$1:$N$16,MATCH($C4,'План распределения'!$B$1:$B$15,0),MATCH(S$1,'План распределения'!$A$1:$N$1,0))</f>
        <v>1</v>
      </c>
      <c r="T4" s="124">
        <f>INDEX('Работы по развертыванию'!$A$84:$N$154,MATCH('Трудоемкость работ'!$B4,'Работы по развертыванию'!$B$84:$B$154,0),MATCH('Трудоемкость работ'!S$1,'Работы по развертыванию'!$A$84:$N$84,0))</f>
        <v>0</v>
      </c>
      <c r="U4" s="121">
        <f>T4*S4</f>
        <v>0</v>
      </c>
      <c r="V4" s="3">
        <f>INDEX('План распределения'!$A$1:$N$16,MATCH($C4,'План распределения'!$B$1:$B$15,0),MATCH(V$1,'План распределения'!$A$1:$N$1,0))</f>
        <v>1</v>
      </c>
      <c r="W4" s="124">
        <f>INDEX('Работы по развертыванию'!$A$84:$N$154,MATCH('Трудоемкость работ'!$B4,'Работы по развертыванию'!$B$84:$B$154,0),MATCH('Трудоемкость работ'!V$1,'Работы по развертыванию'!$A$84:$N$84,0))</f>
        <v>0</v>
      </c>
      <c r="X4" s="121">
        <f>W4*V4</f>
        <v>0</v>
      </c>
      <c r="Y4" s="3">
        <f>INDEX('План распределения'!$A$1:$N$16,MATCH($C4,'План распределения'!$B$1:$B$15,0),MATCH(Y$1,'План распределения'!$A$1:$N$1,0))</f>
        <v>1</v>
      </c>
      <c r="Z4" s="124">
        <f>INDEX('Работы по развертыванию'!$A$84:$N$154,MATCH('Трудоемкость работ'!$B4,'Работы по развертыванию'!$B$84:$B$154,0),MATCH('Трудоемкость работ'!Y$1,'Работы по развертыванию'!$A$84:$N$84,0))</f>
        <v>0</v>
      </c>
      <c r="AA4" s="121">
        <f>Z4*Y4</f>
        <v>0</v>
      </c>
      <c r="AB4" s="3">
        <f>INDEX('План распределения'!$A$1:$N$16,MATCH($C4,'План распределения'!$B$1:$B$15,0),MATCH(AB$1,'План распределения'!$A$1:$N$1,0))</f>
        <v>4</v>
      </c>
      <c r="AC4" s="124">
        <f>INDEX('Работы по развертыванию'!$A$84:$N$154,MATCH('Трудоемкость работ'!$B4,'Работы по развертыванию'!$B$84:$B$154,0),MATCH('Трудоемкость работ'!AB$1,'Работы по развертыванию'!$A$84:$N$84,0))</f>
        <v>0</v>
      </c>
      <c r="AD4" s="121">
        <f>AC4*AB4</f>
        <v>0</v>
      </c>
      <c r="AE4" s="174">
        <f>INDEX('План распределения'!$A$1:$N$16,MATCH($C4,'План распределения'!$B$1:$B$15,0),MATCH(AE$1,'План распределения'!$A$1:$N$1,0))</f>
        <v>1</v>
      </c>
      <c r="AF4" s="124">
        <f>INDEX('Работы по развертыванию'!$A$84:$N$154,MATCH('Трудоемкость работ'!$B4,'Работы по развертыванию'!$B$84:$B$154,0),MATCH('Трудоемкость работ'!AE$1,'Работы по развертыванию'!$A$84:$N$84,0))</f>
        <v>0</v>
      </c>
      <c r="AG4" s="121">
        <f>AF4*AE4</f>
        <v>0</v>
      </c>
      <c r="AH4" s="124">
        <f>INDEX('Работы по развертыванию'!$A$84:$N$154,MATCH('Трудоемкость работ'!$B4,'Работы по развертыванию'!$B$84:$B$154,0),MATCH('Трудоемкость работ'!AH$1,'Работы по развертыванию'!$A$84:$N$84,0))</f>
        <v>64</v>
      </c>
      <c r="AI4" s="121">
        <f>SUM(AH4,AG4,AD4,AA4,X4,U4,R4,O4,L4,I4,F4)</f>
        <v>64</v>
      </c>
      <c r="AJ4" s="100"/>
      <c r="AK4" s="100"/>
      <c r="AL4" s="100"/>
      <c r="AM4" s="100"/>
      <c r="AN4" s="211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>
        <f>AI4/8</f>
        <v>8</v>
      </c>
    </row>
    <row r="5" spans="1:138" outlineLevel="1" x14ac:dyDescent="0.25">
      <c r="A5" s="72">
        <f>'Работы по развертыванию'!A86</f>
        <v>2</v>
      </c>
      <c r="B5" s="187" t="str">
        <f>'Работы по развертыванию'!B86</f>
        <v>Разработка и согласование ТР</v>
      </c>
      <c r="C5" s="192" t="str">
        <f>C3</f>
        <v>Объект1</v>
      </c>
      <c r="D5" s="174">
        <f>INDEX('План распределения'!$A$1:$N$16,MATCH($C5,'План распределения'!$B$1:$B$15,0),MATCH(D$1,'План распределения'!$A$1:$N$1,0))</f>
        <v>0</v>
      </c>
      <c r="E5" s="124">
        <f>INDEX('Работы по развертыванию'!$A$84:$N$154,MATCH('Трудоемкость работ'!$B5,'Работы по развертыванию'!$B$84:$B$154,0),MATCH('Трудоемкость работ'!D$1,'Работы по развертыванию'!$A$84:$N$84,0))</f>
        <v>10</v>
      </c>
      <c r="F5" s="121">
        <f t="shared" ref="F5:F24" si="0">E5*D5</f>
        <v>0</v>
      </c>
      <c r="G5" s="3">
        <f>INDEX('План распределения'!$A$1:$N$16,MATCH($C5,'План распределения'!$B$1:$B$15,0),MATCH(G$1,'План распределения'!$A$1:$N$1,0))</f>
        <v>3</v>
      </c>
      <c r="H5" s="124">
        <f>INDEX('Работы по развертыванию'!$A$84:$N$154,MATCH('Трудоемкость работ'!$B5,'Работы по развертыванию'!$B$84:$B$154,0),MATCH('Трудоемкость работ'!G$1,'Работы по развертыванию'!$A$84:$N$84,0))</f>
        <v>10</v>
      </c>
      <c r="I5" s="121">
        <f t="shared" ref="I5:I24" si="1">H5*G5</f>
        <v>30</v>
      </c>
      <c r="J5" s="3">
        <f>INDEX('План распределения'!$A$1:$N$16,MATCH($C5,'План распределения'!$B$1:$B$15,0),MATCH(J$1,'План распределения'!$A$1:$N$1,0))</f>
        <v>1</v>
      </c>
      <c r="K5" s="124">
        <f>INDEX('Работы по развертыванию'!$A$84:$N$154,MATCH('Трудоемкость работ'!$B5,'Работы по развертыванию'!$B$84:$B$154,0),MATCH('Трудоемкость работ'!J$1,'Работы по развертыванию'!$A$84:$N$84,0))</f>
        <v>10</v>
      </c>
      <c r="L5" s="121">
        <f t="shared" ref="L5:L24" si="2">K5*J5</f>
        <v>10</v>
      </c>
      <c r="M5" s="3">
        <f>INDEX('План распределения'!$A$1:$N$16,MATCH($C5,'План распределения'!$B$1:$B$15,0),MATCH(M$1,'План распределения'!$A$1:$N$1,0))</f>
        <v>1</v>
      </c>
      <c r="N5" s="124">
        <f>INDEX('Работы по развертыванию'!$A$84:$N$154,MATCH('Трудоемкость работ'!$B5,'Работы по развертыванию'!$B$84:$B$154,0),MATCH('Трудоемкость работ'!M$1,'Работы по развертыванию'!$A$84:$N$84,0))</f>
        <v>10</v>
      </c>
      <c r="O5" s="121">
        <f t="shared" ref="O5:O24" si="3">N5*M5</f>
        <v>10</v>
      </c>
      <c r="P5" s="3">
        <f>INDEX('План распределения'!$A$1:$N$16,MATCH($C5,'План распределения'!$B$1:$B$15,0),MATCH(P$1,'План распределения'!$A$1:$N$1,0))</f>
        <v>0</v>
      </c>
      <c r="Q5" s="124">
        <f>INDEX('Работы по развертыванию'!$A$84:$N$154,MATCH('Трудоемкость работ'!$B5,'Работы по развертыванию'!$B$84:$B$154,0),MATCH('Трудоемкость работ'!P$1,'Работы по развертыванию'!$A$84:$N$84,0))</f>
        <v>10</v>
      </c>
      <c r="R5" s="121">
        <f t="shared" ref="R5:R24" si="4">Q5*P5</f>
        <v>0</v>
      </c>
      <c r="S5" s="3">
        <f>INDEX('План распределения'!$A$1:$N$16,MATCH($C5,'План распределения'!$B$1:$B$15,0),MATCH(S$1,'План распределения'!$A$1:$N$1,0))</f>
        <v>1</v>
      </c>
      <c r="T5" s="124">
        <f>INDEX('Работы по развертыванию'!$A$84:$N$154,MATCH('Трудоемкость работ'!$B5,'Работы по развертыванию'!$B$84:$B$154,0),MATCH('Трудоемкость работ'!S$1,'Работы по развертыванию'!$A$84:$N$84,0))</f>
        <v>10</v>
      </c>
      <c r="U5" s="121">
        <f t="shared" ref="U5:U24" si="5">T5*S5</f>
        <v>10</v>
      </c>
      <c r="V5" s="72">
        <f>INDEX('План распределения'!$A$1:$N$16,MATCH($C5,'План распределения'!$B$1:$B$15,0),MATCH(V$1,'План распределения'!$A$1:$N$1,0))</f>
        <v>1</v>
      </c>
      <c r="W5" s="124">
        <f>INDEX('Работы по развертыванию'!$A$84:$N$154,MATCH('Трудоемкость работ'!$B5,'Работы по развертыванию'!$B$84:$B$154,0),MATCH('Трудоемкость работ'!V$1,'Работы по развертыванию'!$A$84:$N$84,0))</f>
        <v>10</v>
      </c>
      <c r="X5" s="121">
        <f t="shared" ref="X5:X24" si="6">W5*V5</f>
        <v>10</v>
      </c>
      <c r="Y5" s="3">
        <f>INDEX('План распределения'!$A$1:$N$16,MATCH($C5,'План распределения'!$B$1:$B$15,0),MATCH(Y$1,'План распределения'!$A$1:$N$1,0))</f>
        <v>1</v>
      </c>
      <c r="Z5" s="124">
        <f>INDEX('Работы по развертыванию'!$A$84:$N$154,MATCH('Трудоемкость работ'!$B5,'Работы по развертыванию'!$B$84:$B$154,0),MATCH('Трудоемкость работ'!Y$1,'Работы по развертыванию'!$A$84:$N$84,0))</f>
        <v>10</v>
      </c>
      <c r="AA5" s="121">
        <f t="shared" ref="AA5:AA24" si="7">Z5*Y5</f>
        <v>10</v>
      </c>
      <c r="AB5" s="3">
        <f>INDEX('План распределения'!$A$1:$N$16,MATCH($C5,'План распределения'!$B$1:$B$15,0),MATCH(AB$1,'План распределения'!$A$1:$N$1,0))</f>
        <v>4</v>
      </c>
      <c r="AC5" s="124">
        <f>INDEX('Работы по развертыванию'!$A$84:$N$154,MATCH('Трудоемкость работ'!$B5,'Работы по развертыванию'!$B$84:$B$154,0),MATCH('Трудоемкость работ'!AB$1,'Работы по развертыванию'!$A$84:$N$84,0))</f>
        <v>10</v>
      </c>
      <c r="AD5" s="121">
        <f t="shared" ref="AD5:AD24" si="8">AC5*AB5</f>
        <v>40</v>
      </c>
      <c r="AE5" s="174">
        <f>INDEX('План распределения'!$A$1:$N$16,MATCH($C5,'План распределения'!$B$1:$B$15,0),MATCH(AE$1,'План распределения'!$A$1:$N$1,0))</f>
        <v>1</v>
      </c>
      <c r="AF5" s="124">
        <f>INDEX('Работы по развертыванию'!$A$84:$N$154,MATCH('Трудоемкость работ'!$B5,'Работы по развертыванию'!$B$84:$B$154,0),MATCH('Трудоемкость работ'!AE$1,'Работы по развертыванию'!$A$84:$N$84,0))</f>
        <v>10</v>
      </c>
      <c r="AG5" s="121">
        <f t="shared" ref="AG5:AG24" si="9">AF5*AE5</f>
        <v>10</v>
      </c>
      <c r="AH5" s="124">
        <f>INDEX('Работы по развертыванию'!$A$84:$N$154,MATCH('Трудоемкость работ'!$B5,'Работы по развертыванию'!$B$84:$B$154,0),MATCH('Трудоемкость работ'!AH$1,'Работы по развертыванию'!$A$84:$N$84,0))</f>
        <v>0</v>
      </c>
      <c r="AI5" s="121">
        <f t="shared" ref="AI5:AI24" si="10">SUM(AH5,AG5,AD5,AA5,X5,U5,R5,O5,L5,I5,F5)</f>
        <v>130</v>
      </c>
      <c r="AJ5" s="100"/>
      <c r="AK5" s="100"/>
      <c r="AL5" s="100"/>
      <c r="AM5" s="100"/>
      <c r="AN5" s="211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>
        <f>AI5/8</f>
        <v>16.25</v>
      </c>
    </row>
    <row r="6" spans="1:138" outlineLevel="1" x14ac:dyDescent="0.25">
      <c r="A6" s="72">
        <f>'Работы по развертыванию'!A87</f>
        <v>3</v>
      </c>
      <c r="B6" s="187" t="str">
        <f>'Работы по развертыванию'!B87</f>
        <v>Закупка, входной контроль, комплектация и отправка</v>
      </c>
      <c r="C6" s="192" t="str">
        <f>C3</f>
        <v>Объект1</v>
      </c>
      <c r="D6" s="174">
        <f>INDEX('План распределения'!$A$1:$N$16,MATCH($C6,'План распределения'!$B$1:$B$15,0),MATCH(D$1,'План распределения'!$A$1:$N$1,0))</f>
        <v>0</v>
      </c>
      <c r="E6" s="124">
        <f>INDEX('Работы по развертыванию'!$A$84:$N$154,MATCH('Трудоемкость работ'!$B6,'Работы по развертыванию'!$B$84:$B$154,0),MATCH('Трудоемкость работ'!D$1,'Работы по развертыванию'!$A$84:$N$84,0))</f>
        <v>11.85</v>
      </c>
      <c r="F6" s="121">
        <f t="shared" si="0"/>
        <v>0</v>
      </c>
      <c r="G6" s="3">
        <f>INDEX('План распределения'!$A$1:$N$16,MATCH($C6,'План распределения'!$B$1:$B$15,0),MATCH(G$1,'План распределения'!$A$1:$N$1,0))</f>
        <v>3</v>
      </c>
      <c r="H6" s="124">
        <f>INDEX('Работы по развертыванию'!$A$84:$N$154,MATCH('Трудоемкость работ'!$B6,'Работы по развертыванию'!$B$84:$B$154,0),MATCH('Трудоемкость работ'!G$1,'Работы по развертыванию'!$A$84:$N$84,0))</f>
        <v>11.85</v>
      </c>
      <c r="I6" s="121">
        <f t="shared" si="1"/>
        <v>35.549999999999997</v>
      </c>
      <c r="J6" s="3">
        <f>INDEX('План распределения'!$A$1:$N$16,MATCH($C6,'План распределения'!$B$1:$B$15,0),MATCH(J$1,'План распределения'!$A$1:$N$1,0))</f>
        <v>1</v>
      </c>
      <c r="K6" s="124">
        <f>INDEX('Работы по развертыванию'!$A$84:$N$154,MATCH('Трудоемкость работ'!$B6,'Работы по развертыванию'!$B$84:$B$154,0),MATCH('Трудоемкость работ'!J$1,'Работы по развертыванию'!$A$84:$N$84,0))</f>
        <v>11.85</v>
      </c>
      <c r="L6" s="121">
        <f t="shared" si="2"/>
        <v>11.85</v>
      </c>
      <c r="M6" s="3">
        <f>INDEX('План распределения'!$A$1:$N$16,MATCH($C6,'План распределения'!$B$1:$B$15,0),MATCH(M$1,'План распределения'!$A$1:$N$1,0))</f>
        <v>1</v>
      </c>
      <c r="N6" s="124">
        <f>INDEX('Работы по развертыванию'!$A$84:$N$154,MATCH('Трудоемкость работ'!$B6,'Работы по развертыванию'!$B$84:$B$154,0),MATCH('Трудоемкость работ'!M$1,'Работы по развертыванию'!$A$84:$N$84,0))</f>
        <v>11.85</v>
      </c>
      <c r="O6" s="121">
        <f t="shared" si="3"/>
        <v>11.85</v>
      </c>
      <c r="P6" s="3">
        <f>INDEX('План распределения'!$A$1:$N$16,MATCH($C6,'План распределения'!$B$1:$B$15,0),MATCH(P$1,'План распределения'!$A$1:$N$1,0))</f>
        <v>0</v>
      </c>
      <c r="Q6" s="124">
        <f>INDEX('Работы по развертыванию'!$A$84:$N$154,MATCH('Трудоемкость работ'!$B6,'Работы по развертыванию'!$B$84:$B$154,0),MATCH('Трудоемкость работ'!P$1,'Работы по развертыванию'!$A$84:$N$84,0))</f>
        <v>11.85</v>
      </c>
      <c r="R6" s="121">
        <f t="shared" si="4"/>
        <v>0</v>
      </c>
      <c r="S6" s="72">
        <f>INDEX('План распределения'!$A$1:$N$16,MATCH($C6,'План распределения'!$B$1:$B$15,0),MATCH(S$1,'План распределения'!$A$1:$N$1,0))</f>
        <v>1</v>
      </c>
      <c r="T6" s="124">
        <f>INDEX('Работы по развертыванию'!$A$84:$N$154,MATCH('Трудоемкость работ'!$B6,'Работы по развертыванию'!$B$84:$B$154,0),MATCH('Трудоемкость работ'!S$1,'Работы по развертыванию'!$A$84:$N$84,0))</f>
        <v>11.85</v>
      </c>
      <c r="U6" s="121">
        <f t="shared" si="5"/>
        <v>11.85</v>
      </c>
      <c r="V6" s="72">
        <f>INDEX('План распределения'!$A$1:$N$16,MATCH($C6,'План распределения'!$B$1:$B$15,0),MATCH(V$1,'План распределения'!$A$1:$N$1,0))</f>
        <v>1</v>
      </c>
      <c r="W6" s="124">
        <f>INDEX('Работы по развертыванию'!$A$84:$N$154,MATCH('Трудоемкость работ'!$B6,'Работы по развертыванию'!$B$84:$B$154,0),MATCH('Трудоемкость работ'!V$1,'Работы по развертыванию'!$A$84:$N$84,0))</f>
        <v>11.85</v>
      </c>
      <c r="X6" s="121">
        <f t="shared" si="6"/>
        <v>11.85</v>
      </c>
      <c r="Y6" s="3">
        <f>INDEX('План распределения'!$A$1:$N$16,MATCH($C6,'План распределения'!$B$1:$B$15,0),MATCH(Y$1,'План распределения'!$A$1:$N$1,0))</f>
        <v>1</v>
      </c>
      <c r="Z6" s="124">
        <f>INDEX('Работы по развертыванию'!$A$84:$N$154,MATCH('Трудоемкость работ'!$B6,'Работы по развертыванию'!$B$84:$B$154,0),MATCH('Трудоемкость работ'!Y$1,'Работы по развертыванию'!$A$84:$N$84,0))</f>
        <v>11.85</v>
      </c>
      <c r="AA6" s="121">
        <f t="shared" si="7"/>
        <v>11.85</v>
      </c>
      <c r="AB6" s="3">
        <f>INDEX('План распределения'!$A$1:$N$16,MATCH($C6,'План распределения'!$B$1:$B$15,0),MATCH(AB$1,'План распределения'!$A$1:$N$1,0))</f>
        <v>4</v>
      </c>
      <c r="AC6" s="124">
        <f>INDEX('Работы по развертыванию'!$A$84:$N$154,MATCH('Трудоемкость работ'!$B6,'Работы по развертыванию'!$B$84:$B$154,0),MATCH('Трудоемкость работ'!AB$1,'Работы по развертыванию'!$A$84:$N$84,0))</f>
        <v>11.85</v>
      </c>
      <c r="AD6" s="121">
        <f t="shared" si="8"/>
        <v>47.4</v>
      </c>
      <c r="AE6" s="174">
        <f>INDEX('План распределения'!$A$1:$N$16,MATCH($C6,'План распределения'!$B$1:$B$15,0),MATCH(AE$1,'План распределения'!$A$1:$N$1,0))</f>
        <v>1</v>
      </c>
      <c r="AF6" s="124">
        <f>INDEX('Работы по развертыванию'!$A$84:$N$154,MATCH('Трудоемкость работ'!$B6,'Работы по развертыванию'!$B$84:$B$154,0),MATCH('Трудоемкость работ'!AE$1,'Работы по развертыванию'!$A$84:$N$84,0))</f>
        <v>11.85</v>
      </c>
      <c r="AG6" s="121">
        <f t="shared" si="9"/>
        <v>11.85</v>
      </c>
      <c r="AH6" s="124">
        <f>INDEX('Работы по развертыванию'!$A$84:$N$154,MATCH('Трудоемкость работ'!$B6,'Работы по развертыванию'!$B$84:$B$154,0),MATCH('Трудоемкость работ'!AH$1,'Работы по развертыванию'!$A$84:$N$84,0))</f>
        <v>200</v>
      </c>
      <c r="AI6" s="121">
        <f>SUM(AH6,AG6,AD6,AA6,X6,U6,R6,O6,L6,I6,F6)</f>
        <v>354.05000000000013</v>
      </c>
      <c r="AJ6" s="100"/>
      <c r="AK6" s="100"/>
      <c r="AL6" s="100"/>
      <c r="AM6" s="196"/>
      <c r="AN6" s="197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</row>
    <row r="7" spans="1:138" ht="15" customHeight="1" outlineLevel="1" x14ac:dyDescent="0.25">
      <c r="A7" s="72">
        <f>'Работы по развертыванию'!A94</f>
        <v>4</v>
      </c>
      <c r="B7" s="187" t="str">
        <f>'Работы по развертыванию'!B94</f>
        <v>Разработка и согласование протокола ИТС</v>
      </c>
      <c r="C7" s="192" t="str">
        <f>C3</f>
        <v>Объект1</v>
      </c>
      <c r="D7" s="174">
        <f>INDEX('План распределения'!$A$1:$N$16,MATCH($C7,'План распределения'!$B$1:$B$15,0),MATCH(D$1,'План распределения'!$A$1:$N$1,0))</f>
        <v>0</v>
      </c>
      <c r="E7" s="124">
        <f>INDEX('Работы по развертыванию'!$A$84:$N$154,MATCH('Трудоемкость работ'!$B7,'Работы по развертыванию'!$B$84:$B$154,0),MATCH('Трудоемкость работ'!D$1,'Работы по развертыванию'!$A$84:$N$84,0))</f>
        <v>0</v>
      </c>
      <c r="F7" s="121">
        <f t="shared" si="0"/>
        <v>0</v>
      </c>
      <c r="G7" s="3">
        <f>INDEX('План распределения'!$A$1:$N$16,MATCH($C7,'План распределения'!$B$1:$B$15,0),MATCH(G$1,'План распределения'!$A$1:$N$1,0))</f>
        <v>3</v>
      </c>
      <c r="H7" s="124">
        <f>INDEX('Работы по развертыванию'!$A$84:$N$154,MATCH('Трудоемкость работ'!$B7,'Работы по развертыванию'!$B$84:$B$154,0),MATCH('Трудоемкость работ'!G$1,'Работы по развертыванию'!$A$84:$N$84,0))</f>
        <v>0</v>
      </c>
      <c r="I7" s="121">
        <f t="shared" si="1"/>
        <v>0</v>
      </c>
      <c r="J7" s="3">
        <f>INDEX('План распределения'!$A$1:$N$16,MATCH($C7,'План распределения'!$B$1:$B$15,0),MATCH(J$1,'План распределения'!$A$1:$N$1,0))</f>
        <v>1</v>
      </c>
      <c r="K7" s="124">
        <f>INDEX('Работы по развертыванию'!$A$84:$N$154,MATCH('Трудоемкость работ'!$B7,'Работы по развертыванию'!$B$84:$B$154,0),MATCH('Трудоемкость работ'!J$1,'Работы по развертыванию'!$A$84:$N$84,0))</f>
        <v>0</v>
      </c>
      <c r="L7" s="121">
        <f t="shared" si="2"/>
        <v>0</v>
      </c>
      <c r="M7" s="3">
        <f>INDEX('План распределения'!$A$1:$N$16,MATCH($C7,'План распределения'!$B$1:$B$15,0),MATCH(M$1,'План распределения'!$A$1:$N$1,0))</f>
        <v>1</v>
      </c>
      <c r="N7" s="124">
        <f>INDEX('Работы по развертыванию'!$A$84:$N$154,MATCH('Трудоемкость работ'!$B7,'Работы по развертыванию'!$B$84:$B$154,0),MATCH('Трудоемкость работ'!M$1,'Работы по развертыванию'!$A$84:$N$84,0))</f>
        <v>0</v>
      </c>
      <c r="O7" s="121">
        <f t="shared" si="3"/>
        <v>0</v>
      </c>
      <c r="P7" s="3">
        <f>INDEX('План распределения'!$A$1:$N$16,MATCH($C7,'План распределения'!$B$1:$B$15,0),MATCH(P$1,'План распределения'!$A$1:$N$1,0))</f>
        <v>0</v>
      </c>
      <c r="Q7" s="124">
        <f>INDEX('Работы по развертыванию'!$A$84:$N$154,MATCH('Трудоемкость работ'!$B7,'Работы по развертыванию'!$B$84:$B$154,0),MATCH('Трудоемкость работ'!P$1,'Работы по развертыванию'!$A$84:$N$84,0))</f>
        <v>0</v>
      </c>
      <c r="R7" s="121">
        <f t="shared" si="4"/>
        <v>0</v>
      </c>
      <c r="S7" s="72">
        <f>INDEX('План распределения'!$A$1:$N$16,MATCH($C7,'План распределения'!$B$1:$B$15,0),MATCH(S$1,'План распределения'!$A$1:$N$1,0))</f>
        <v>1</v>
      </c>
      <c r="T7" s="124">
        <f>INDEX('Работы по развертыванию'!$A$84:$N$154,MATCH('Трудоемкость работ'!$B7,'Работы по развертыванию'!$B$84:$B$154,0),MATCH('Трудоемкость работ'!S$1,'Работы по развертыванию'!$A$84:$N$84,0))</f>
        <v>0</v>
      </c>
      <c r="U7" s="121">
        <f t="shared" si="5"/>
        <v>0</v>
      </c>
      <c r="V7" s="72">
        <f>INDEX('План распределения'!$A$1:$N$16,MATCH($C7,'План распределения'!$B$1:$B$15,0),MATCH(V$1,'План распределения'!$A$1:$N$1,0))</f>
        <v>1</v>
      </c>
      <c r="W7" s="124">
        <f>INDEX('Работы по развертыванию'!$A$84:$N$154,MATCH('Трудоемкость работ'!$B7,'Работы по развертыванию'!$B$84:$B$154,0),MATCH('Трудоемкость работ'!V$1,'Работы по развертыванию'!$A$84:$N$84,0))</f>
        <v>0</v>
      </c>
      <c r="X7" s="121">
        <f t="shared" si="6"/>
        <v>0</v>
      </c>
      <c r="Y7" s="3">
        <f>INDEX('План распределения'!$A$1:$N$16,MATCH($C7,'План распределения'!$B$1:$B$15,0),MATCH(Y$1,'План распределения'!$A$1:$N$1,0))</f>
        <v>1</v>
      </c>
      <c r="Z7" s="124">
        <f>INDEX('Работы по развертыванию'!$A$84:$N$154,MATCH('Трудоемкость работ'!$B7,'Работы по развертыванию'!$B$84:$B$154,0),MATCH('Трудоемкость работ'!Y$1,'Работы по развертыванию'!$A$84:$N$84,0))</f>
        <v>0</v>
      </c>
      <c r="AA7" s="121">
        <f t="shared" si="7"/>
        <v>0</v>
      </c>
      <c r="AB7" s="3">
        <f>INDEX('План распределения'!$A$1:$N$16,MATCH($C7,'План распределения'!$B$1:$B$15,0),MATCH(AB$1,'План распределения'!$A$1:$N$1,0))</f>
        <v>4</v>
      </c>
      <c r="AC7" s="124">
        <f>INDEX('Работы по развертыванию'!$A$84:$N$154,MATCH('Трудоемкость работ'!$B7,'Работы по развертыванию'!$B$84:$B$154,0),MATCH('Трудоемкость работ'!AB$1,'Работы по развертыванию'!$A$84:$N$84,0))</f>
        <v>0</v>
      </c>
      <c r="AD7" s="121">
        <f t="shared" si="8"/>
        <v>0</v>
      </c>
      <c r="AE7" s="174">
        <f>INDEX('План распределения'!$A$1:$N$16,MATCH($C7,'План распределения'!$B$1:$B$15,0),MATCH(AE$1,'План распределения'!$A$1:$N$1,0))</f>
        <v>1</v>
      </c>
      <c r="AF7" s="124">
        <f>INDEX('Работы по развертыванию'!$A$84:$N$154,MATCH('Трудоемкость работ'!$B7,'Работы по развертыванию'!$B$84:$B$154,0),MATCH('Трудоемкость работ'!AE$1,'Работы по развертыванию'!$A$84:$N$84,0))</f>
        <v>0</v>
      </c>
      <c r="AG7" s="121">
        <f t="shared" si="9"/>
        <v>0</v>
      </c>
      <c r="AH7" s="124">
        <f>INDEX('Работы по развертыванию'!$A$84:$N$154,MATCH('Трудоемкость работ'!$B7,'Работы по развертыванию'!$B$84:$B$154,0),MATCH('Трудоемкость работ'!AH$1,'Работы по развертыванию'!$A$84:$N$84,0))</f>
        <v>528</v>
      </c>
      <c r="AI7" s="121">
        <f t="shared" si="10"/>
        <v>528</v>
      </c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</row>
    <row r="8" spans="1:138" ht="15" customHeight="1" outlineLevel="1" x14ac:dyDescent="0.25">
      <c r="A8" s="72">
        <f>'Работы по развертыванию'!A95</f>
        <v>5</v>
      </c>
      <c r="B8" s="187" t="str">
        <f>'Работы по развертыванию'!B95</f>
        <v>Строительно-монтажные работы</v>
      </c>
      <c r="C8" s="192" t="str">
        <f>C3</f>
        <v>Объект1</v>
      </c>
      <c r="D8" s="174">
        <f>INDEX('План распределения'!$A$1:$N$16,MATCH($C8,'План распределения'!$B$1:$B$15,0),MATCH(D$1,'План распределения'!$A$1:$N$1,0))</f>
        <v>0</v>
      </c>
      <c r="E8" s="124">
        <f>INDEX('Работы по развертыванию'!$A$84:$N$154,MATCH('Трудоемкость работ'!$B8,'Работы по развертыванию'!$B$84:$B$154,0),MATCH('Трудоемкость работ'!D$1,'Работы по развертыванию'!$A$84:$N$84,0))</f>
        <v>106.64000000000001</v>
      </c>
      <c r="F8" s="121">
        <f t="shared" si="0"/>
        <v>0</v>
      </c>
      <c r="G8" s="3">
        <f>INDEX('План распределения'!$A$1:$N$16,MATCH($C8,'План распределения'!$B$1:$B$15,0),MATCH(G$1,'План распределения'!$A$1:$N$1,0))</f>
        <v>3</v>
      </c>
      <c r="H8" s="124">
        <f>INDEX('Работы по развертыванию'!$A$84:$N$154,MATCH('Трудоемкость работ'!$B8,'Работы по развертыванию'!$B$84:$B$154,0),MATCH('Трудоемкость работ'!G$1,'Работы по развертыванию'!$A$84:$N$84,0))</f>
        <v>106.64000000000001</v>
      </c>
      <c r="I8" s="121">
        <f t="shared" si="1"/>
        <v>319.92000000000007</v>
      </c>
      <c r="J8" s="3">
        <f>INDEX('План распределения'!$A$1:$N$16,MATCH($C8,'План распределения'!$B$1:$B$15,0),MATCH(J$1,'План распределения'!$A$1:$N$1,0))</f>
        <v>1</v>
      </c>
      <c r="K8" s="124">
        <f>INDEX('Работы по развертыванию'!$A$84:$N$154,MATCH('Трудоемкость работ'!$B8,'Работы по развертыванию'!$B$84:$B$154,0),MATCH('Трудоемкость работ'!J$1,'Работы по развертыванию'!$A$84:$N$84,0))</f>
        <v>106.64000000000001</v>
      </c>
      <c r="L8" s="121">
        <f t="shared" si="2"/>
        <v>106.64000000000001</v>
      </c>
      <c r="M8" s="3">
        <f>INDEX('План распределения'!$A$1:$N$16,MATCH($C8,'План распределения'!$B$1:$B$15,0),MATCH(M$1,'План распределения'!$A$1:$N$1,0))</f>
        <v>1</v>
      </c>
      <c r="N8" s="124">
        <f>INDEX('Работы по развертыванию'!$A$84:$N$154,MATCH('Трудоемкость работ'!$B8,'Работы по развертыванию'!$B$84:$B$154,0),MATCH('Трудоемкость работ'!M$1,'Работы по развертыванию'!$A$84:$N$84,0))</f>
        <v>12.509999999999998</v>
      </c>
      <c r="O8" s="121">
        <f t="shared" si="3"/>
        <v>12.509999999999998</v>
      </c>
      <c r="P8" s="3">
        <f>INDEX('План распределения'!$A$1:$N$16,MATCH($C8,'План распределения'!$B$1:$B$15,0),MATCH(P$1,'План распределения'!$A$1:$N$1,0))</f>
        <v>0</v>
      </c>
      <c r="Q8" s="124">
        <f>INDEX('Работы по развертыванию'!$A$84:$N$154,MATCH('Трудоемкость работ'!$B8,'Работы по развертыванию'!$B$84:$B$154,0),MATCH('Трудоемкость работ'!P$1,'Работы по развертыванию'!$A$84:$N$84,0))</f>
        <v>12.509999999999998</v>
      </c>
      <c r="R8" s="121">
        <f t="shared" si="4"/>
        <v>0</v>
      </c>
      <c r="S8" s="72">
        <f>INDEX('План распределения'!$A$1:$N$16,MATCH($C8,'План распределения'!$B$1:$B$15,0),MATCH(S$1,'План распределения'!$A$1:$N$1,0))</f>
        <v>1</v>
      </c>
      <c r="T8" s="124">
        <f>INDEX('Работы по развертыванию'!$A$84:$N$154,MATCH('Трудоемкость работ'!$B8,'Работы по развертыванию'!$B$84:$B$154,0),MATCH('Трудоемкость работ'!S$1,'Работы по развертыванию'!$A$84:$N$84,0))</f>
        <v>12.509999999999998</v>
      </c>
      <c r="U8" s="121">
        <f t="shared" si="5"/>
        <v>12.509999999999998</v>
      </c>
      <c r="V8" s="72">
        <f>INDEX('План распределения'!$A$1:$N$16,MATCH($C8,'План распределения'!$B$1:$B$15,0),MATCH(V$1,'План распределения'!$A$1:$N$1,0))</f>
        <v>1</v>
      </c>
      <c r="W8" s="124">
        <f>INDEX('Работы по развертыванию'!$A$84:$N$154,MATCH('Трудоемкость работ'!$B8,'Работы по развертыванию'!$B$84:$B$154,0),MATCH('Трудоемкость работ'!V$1,'Работы по развертыванию'!$A$84:$N$84,0))</f>
        <v>143.11000000000001</v>
      </c>
      <c r="X8" s="121">
        <f t="shared" si="6"/>
        <v>143.11000000000001</v>
      </c>
      <c r="Y8" s="3">
        <f>INDEX('План распределения'!$A$1:$N$16,MATCH($C8,'План распределения'!$B$1:$B$15,0),MATCH(Y$1,'План распределения'!$A$1:$N$1,0))</f>
        <v>1</v>
      </c>
      <c r="Z8" s="124">
        <f>INDEX('Работы по развертыванию'!$A$84:$N$154,MATCH('Трудоемкость работ'!$B8,'Работы по развертыванию'!$B$84:$B$154,0),MATCH('Трудоемкость работ'!Y$1,'Работы по развертыванию'!$A$84:$N$84,0))</f>
        <v>7.09</v>
      </c>
      <c r="AA8" s="121">
        <f t="shared" si="7"/>
        <v>7.09</v>
      </c>
      <c r="AB8" s="3">
        <f>INDEX('План распределения'!$A$1:$N$16,MATCH($C8,'План распределения'!$B$1:$B$15,0),MATCH(AB$1,'План распределения'!$A$1:$N$1,0))</f>
        <v>4</v>
      </c>
      <c r="AC8" s="124">
        <f>INDEX('Работы по развертыванию'!$A$84:$N$154,MATCH('Трудоемкость работ'!$B8,'Работы по развертыванию'!$B$84:$B$154,0),MATCH('Трудоемкость работ'!AB$1,'Работы по развертыванию'!$A$84:$N$84,0))</f>
        <v>2.0099999999999998</v>
      </c>
      <c r="AD8" s="121">
        <f t="shared" si="8"/>
        <v>8.0399999999999991</v>
      </c>
      <c r="AE8" s="174">
        <f>INDEX('План распределения'!$A$1:$N$16,MATCH($C8,'План распределения'!$B$1:$B$15,0),MATCH(AE$1,'План распределения'!$A$1:$N$1,0))</f>
        <v>1</v>
      </c>
      <c r="AF8" s="124">
        <f>INDEX('Работы по развертыванию'!$A$84:$N$154,MATCH('Трудоемкость работ'!$B8,'Работы по развертыванию'!$B$84:$B$154,0),MATCH('Трудоемкость работ'!AE$1,'Работы по развертыванию'!$A$84:$N$84,0))</f>
        <v>6.93</v>
      </c>
      <c r="AG8" s="121">
        <f t="shared" si="9"/>
        <v>6.93</v>
      </c>
      <c r="AH8" s="124">
        <f>INDEX('Работы по развертыванию'!$A$84:$N$154,MATCH('Трудоемкость работ'!$B8,'Работы по развертыванию'!$B$84:$B$154,0),MATCH('Трудоемкость работ'!AH$1,'Работы по развертыванию'!$A$84:$N$84,0))</f>
        <v>811.11</v>
      </c>
      <c r="AI8" s="121">
        <f>SUM(AH8,AG8,AD8,AA8,X8,U8,R8,O8,L8,I8,F8)</f>
        <v>1427.8600000000001</v>
      </c>
      <c r="AJ8" s="100">
        <f>AI8/8</f>
        <v>178.48250000000002</v>
      </c>
      <c r="AK8" s="199" t="str">
        <f t="shared" ref="AK8" si="11">B8</f>
        <v>Строительно-монтажные работы</v>
      </c>
      <c r="AL8" s="200" t="str">
        <f t="shared" ref="AL8" si="12">C8</f>
        <v>Объект1</v>
      </c>
      <c r="AM8" s="201">
        <f t="array" ref="AM8">INDEX($AI$3:$AI$29,MATCH($AK8&amp;$AL8,$B$3:$B$29&amp;$C$3:$C$29,0))</f>
        <v>1427.8600000000001</v>
      </c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</row>
    <row r="9" spans="1:138" ht="15" customHeight="1" outlineLevel="1" x14ac:dyDescent="0.25">
      <c r="A9" s="72" t="str">
        <f>'Работы по развертыванию'!A96</f>
        <v>5.1</v>
      </c>
      <c r="B9" s="187" t="str">
        <f>'Работы по развертыванию'!B96</f>
        <v xml:space="preserve">монтаж оборудования </v>
      </c>
      <c r="C9" s="192" t="str">
        <f>C3</f>
        <v>Объект1</v>
      </c>
      <c r="D9" s="174">
        <f>INDEX('План распределения'!$A$1:$N$16,MATCH($C9,'План распределения'!$B$1:$B$15,0),MATCH(D$1,'План распределения'!$A$1:$N$1,0))</f>
        <v>0</v>
      </c>
      <c r="E9" s="124">
        <f>INDEX('Работы по развертыванию'!$A$84:$N$154,MATCH('Трудоемкость работ'!$B9,'Работы по развертыванию'!$B$84:$B$154,0),MATCH('Трудоемкость работ'!D$1,'Работы по развертыванию'!$A$84:$N$84,0))</f>
        <v>1.03</v>
      </c>
      <c r="F9" s="121">
        <f t="shared" si="0"/>
        <v>0</v>
      </c>
      <c r="G9" s="3">
        <f>INDEX('План распределения'!$A$1:$N$16,MATCH($C9,'План распределения'!$B$1:$B$15,0),MATCH(G$1,'План распределения'!$A$1:$N$1,0))</f>
        <v>3</v>
      </c>
      <c r="H9" s="124">
        <f>INDEX('Работы по развертыванию'!$A$84:$N$154,MATCH('Трудоемкость работ'!$B9,'Работы по развертыванию'!$B$84:$B$154,0),MATCH('Трудоемкость работ'!G$1,'Работы по развертыванию'!$A$84:$N$84,0))</f>
        <v>1.03</v>
      </c>
      <c r="I9" s="121">
        <f t="shared" si="1"/>
        <v>3.09</v>
      </c>
      <c r="J9" s="3">
        <f>INDEX('План распределения'!$A$1:$N$16,MATCH($C9,'План распределения'!$B$1:$B$15,0),MATCH(J$1,'План распределения'!$A$1:$N$1,0))</f>
        <v>1</v>
      </c>
      <c r="K9" s="124">
        <f>INDEX('Работы по развертыванию'!$A$84:$N$154,MATCH('Трудоемкость работ'!$B9,'Работы по развертыванию'!$B$84:$B$154,0),MATCH('Трудоемкость работ'!J$1,'Работы по развертыванию'!$A$84:$N$84,0))</f>
        <v>1.03</v>
      </c>
      <c r="L9" s="121">
        <f t="shared" si="2"/>
        <v>1.03</v>
      </c>
      <c r="M9" s="3">
        <f>INDEX('План распределения'!$A$1:$N$16,MATCH($C9,'План распределения'!$B$1:$B$15,0),MATCH(M$1,'План распределения'!$A$1:$N$1,0))</f>
        <v>1</v>
      </c>
      <c r="N9" s="124">
        <f>INDEX('Работы по развертыванию'!$A$84:$N$154,MATCH('Трудоемкость работ'!$B9,'Работы по развертыванию'!$B$84:$B$154,0),MATCH('Трудоемкость работ'!M$1,'Работы по развертыванию'!$A$84:$N$84,0))</f>
        <v>2.06</v>
      </c>
      <c r="O9" s="121">
        <f t="shared" si="3"/>
        <v>2.06</v>
      </c>
      <c r="P9" s="3">
        <f>INDEX('План распределения'!$A$1:$N$16,MATCH($C9,'План распределения'!$B$1:$B$15,0),MATCH(P$1,'План распределения'!$A$1:$N$1,0))</f>
        <v>0</v>
      </c>
      <c r="Q9" s="124">
        <f>INDEX('Работы по развертыванию'!$A$84:$N$154,MATCH('Трудоемкость работ'!$B9,'Работы по развертыванию'!$B$84:$B$154,0),MATCH('Трудоемкость работ'!P$1,'Работы по развертыванию'!$A$84:$N$84,0))</f>
        <v>2.06</v>
      </c>
      <c r="R9" s="121">
        <f t="shared" si="4"/>
        <v>0</v>
      </c>
      <c r="S9" s="72">
        <f>INDEX('План распределения'!$A$1:$N$16,MATCH($C9,'План распределения'!$B$1:$B$15,0),MATCH(S$1,'План распределения'!$A$1:$N$1,0))</f>
        <v>1</v>
      </c>
      <c r="T9" s="124">
        <f>INDEX('Работы по развертыванию'!$A$84:$N$154,MATCH('Трудоемкость работ'!$B9,'Работы по развертыванию'!$B$84:$B$154,0),MATCH('Трудоемкость работ'!S$1,'Работы по развертыванию'!$A$84:$N$84,0))</f>
        <v>2.06</v>
      </c>
      <c r="U9" s="121">
        <f t="shared" si="5"/>
        <v>2.06</v>
      </c>
      <c r="V9" s="72">
        <f>INDEX('План распределения'!$A$1:$N$16,MATCH($C9,'План распределения'!$B$1:$B$15,0),MATCH(V$1,'План распределения'!$A$1:$N$1,0))</f>
        <v>1</v>
      </c>
      <c r="W9" s="124">
        <f>INDEX('Работы по развертыванию'!$A$84:$N$154,MATCH('Трудоемкость работ'!$B9,'Работы по развертыванию'!$B$84:$B$154,0),MATCH('Трудоемкость работ'!V$1,'Работы по развертыванию'!$A$84:$N$84,0))</f>
        <v>0</v>
      </c>
      <c r="X9" s="121">
        <f t="shared" si="6"/>
        <v>0</v>
      </c>
      <c r="Y9" s="3">
        <f>INDEX('План распределения'!$A$1:$N$16,MATCH($C9,'План распределения'!$B$1:$B$15,0),MATCH(Y$1,'План распределения'!$A$1:$N$1,0))</f>
        <v>1</v>
      </c>
      <c r="Z9" s="124">
        <f>INDEX('Работы по развертыванию'!$A$84:$N$154,MATCH('Трудоемкость работ'!$B9,'Работы по развертыванию'!$B$84:$B$154,0),MATCH('Трудоемкость работ'!Y$1,'Работы по развертыванию'!$A$84:$N$84,0))</f>
        <v>1.03</v>
      </c>
      <c r="AA9" s="121">
        <f t="shared" si="7"/>
        <v>1.03</v>
      </c>
      <c r="AB9" s="3">
        <f>INDEX('План распределения'!$A$1:$N$16,MATCH($C9,'План распределения'!$B$1:$B$15,0),MATCH(AB$1,'План распределения'!$A$1:$N$1,0))</f>
        <v>4</v>
      </c>
      <c r="AC9" s="124">
        <f>INDEX('Работы по развертыванию'!$A$84:$N$154,MATCH('Трудоемкость работ'!$B9,'Работы по развертыванию'!$B$84:$B$154,0),MATCH('Трудоемкость работ'!AB$1,'Работы по развертыванию'!$A$84:$N$84,0))</f>
        <v>1.03</v>
      </c>
      <c r="AD9" s="121">
        <f t="shared" si="8"/>
        <v>4.12</v>
      </c>
      <c r="AE9" s="174">
        <f>INDEX('План распределения'!$A$1:$N$16,MATCH($C9,'План распределения'!$B$1:$B$15,0),MATCH(AE$1,'План распределения'!$A$1:$N$1,0))</f>
        <v>1</v>
      </c>
      <c r="AF9" s="124">
        <f>INDEX('Работы по развертыванию'!$A$84:$N$154,MATCH('Трудоемкость работ'!$B9,'Работы по развертыванию'!$B$84:$B$154,0),MATCH('Трудоемкость работ'!AE$1,'Работы по развертыванию'!$A$84:$N$84,0))</f>
        <v>1.03</v>
      </c>
      <c r="AG9" s="121">
        <f t="shared" si="9"/>
        <v>1.03</v>
      </c>
      <c r="AH9" s="124">
        <f>INDEX('Работы по развертыванию'!$A$84:$N$154,MATCH('Трудоемкость работ'!$B9,'Работы по развертыванию'!$B$84:$B$154,0),MATCH('Трудоемкость работ'!AH$1,'Работы по развертыванию'!$A$84:$N$84,0))</f>
        <v>0</v>
      </c>
      <c r="AI9" s="121">
        <f t="shared" si="10"/>
        <v>14.42</v>
      </c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</row>
    <row r="10" spans="1:138" ht="15" customHeight="1" outlineLevel="1" x14ac:dyDescent="0.25">
      <c r="A10" s="72" t="str">
        <f>'Работы по развертыванию'!A97</f>
        <v>5.2</v>
      </c>
      <c r="B10" s="187" t="str">
        <f>'Работы по развертыванию'!B97</f>
        <v>подключение оборудования к электропитающей сети 220 В</v>
      </c>
      <c r="C10" s="192" t="str">
        <f>C3</f>
        <v>Объект1</v>
      </c>
      <c r="D10" s="174">
        <f>INDEX('План распределения'!$A$1:$N$16,MATCH($C10,'План распределения'!$B$1:$B$15,0),MATCH(D$1,'План распределения'!$A$1:$N$1,0))</f>
        <v>0</v>
      </c>
      <c r="E10" s="124">
        <f>INDEX('Работы по развертыванию'!$A$84:$N$154,MATCH('Трудоемкость работ'!$B10,'Работы по развертыванию'!$B$84:$B$154,0),MATCH('Трудоемкость работ'!D$1,'Работы по развертыванию'!$A$84:$N$84,0))</f>
        <v>0.98</v>
      </c>
      <c r="F10" s="121">
        <f t="shared" si="0"/>
        <v>0</v>
      </c>
      <c r="G10" s="3">
        <f>INDEX('План распределения'!$A$1:$N$16,MATCH($C10,'План распределения'!$B$1:$B$15,0),MATCH(G$1,'План распределения'!$A$1:$N$1,0))</f>
        <v>3</v>
      </c>
      <c r="H10" s="124">
        <f>INDEX('Работы по развертыванию'!$A$84:$N$154,MATCH('Трудоемкость работ'!$B10,'Работы по развертыванию'!$B$84:$B$154,0),MATCH('Трудоемкость работ'!G$1,'Работы по развертыванию'!$A$84:$N$84,0))</f>
        <v>0.98</v>
      </c>
      <c r="I10" s="121">
        <f t="shared" si="1"/>
        <v>2.94</v>
      </c>
      <c r="J10" s="3">
        <f>INDEX('План распределения'!$A$1:$N$16,MATCH($C10,'План распределения'!$B$1:$B$15,0),MATCH(J$1,'План распределения'!$A$1:$N$1,0))</f>
        <v>1</v>
      </c>
      <c r="K10" s="124">
        <f>INDEX('Работы по развертыванию'!$A$84:$N$154,MATCH('Трудоемкость работ'!$B10,'Работы по развертыванию'!$B$84:$B$154,0),MATCH('Трудоемкость работ'!J$1,'Работы по развертыванию'!$A$84:$N$84,0))</f>
        <v>0.98</v>
      </c>
      <c r="L10" s="121">
        <f t="shared" si="2"/>
        <v>0.98</v>
      </c>
      <c r="M10" s="3">
        <f>INDEX('План распределения'!$A$1:$N$16,MATCH($C10,'План распределения'!$B$1:$B$15,0),MATCH(M$1,'План распределения'!$A$1:$N$1,0))</f>
        <v>1</v>
      </c>
      <c r="N10" s="124">
        <f>INDEX('Работы по развертыванию'!$A$84:$N$154,MATCH('Трудоемкость работ'!$B10,'Работы по развертыванию'!$B$84:$B$154,0),MATCH('Трудоемкость работ'!M$1,'Работы по развертыванию'!$A$84:$N$84,0))</f>
        <v>0.98</v>
      </c>
      <c r="O10" s="121">
        <f t="shared" si="3"/>
        <v>0.98</v>
      </c>
      <c r="P10" s="3">
        <f>INDEX('План распределения'!$A$1:$N$16,MATCH($C10,'План распределения'!$B$1:$B$15,0),MATCH(P$1,'План распределения'!$A$1:$N$1,0))</f>
        <v>0</v>
      </c>
      <c r="Q10" s="124">
        <f>INDEX('Работы по развертыванию'!$A$84:$N$154,MATCH('Трудоемкость работ'!$B10,'Работы по развертыванию'!$B$84:$B$154,0),MATCH('Трудоемкость работ'!P$1,'Работы по развертыванию'!$A$84:$N$84,0))</f>
        <v>0.98</v>
      </c>
      <c r="R10" s="121">
        <f t="shared" si="4"/>
        <v>0</v>
      </c>
      <c r="S10" s="72">
        <f>INDEX('План распределения'!$A$1:$N$16,MATCH($C10,'План распределения'!$B$1:$B$15,0),MATCH(S$1,'План распределения'!$A$1:$N$1,0))</f>
        <v>1</v>
      </c>
      <c r="T10" s="124">
        <f>INDEX('Работы по развертыванию'!$A$84:$N$154,MATCH('Трудоемкость работ'!$B10,'Работы по развертыванию'!$B$84:$B$154,0),MATCH('Трудоемкость работ'!S$1,'Работы по развертыванию'!$A$84:$N$84,0))</f>
        <v>0.98</v>
      </c>
      <c r="U10" s="121">
        <f t="shared" si="5"/>
        <v>0.98</v>
      </c>
      <c r="V10" s="72">
        <f>INDEX('План распределения'!$A$1:$N$16,MATCH($C10,'План распределения'!$B$1:$B$15,0),MATCH(V$1,'План распределения'!$A$1:$N$1,0))</f>
        <v>1</v>
      </c>
      <c r="W10" s="124">
        <f>INDEX('Работы по развертыванию'!$A$84:$N$154,MATCH('Трудоемкость работ'!$B10,'Работы по развертыванию'!$B$84:$B$154,0),MATCH('Трудоемкость работ'!V$1,'Работы по развертыванию'!$A$84:$N$84,0))</f>
        <v>0</v>
      </c>
      <c r="X10" s="121">
        <f t="shared" si="6"/>
        <v>0</v>
      </c>
      <c r="Y10" s="3">
        <f>INDEX('План распределения'!$A$1:$N$16,MATCH($C10,'План распределения'!$B$1:$B$15,0),MATCH(Y$1,'План распределения'!$A$1:$N$1,0))</f>
        <v>1</v>
      </c>
      <c r="Z10" s="124">
        <f>INDEX('Работы по развертыванию'!$A$84:$N$154,MATCH('Трудоемкость работ'!$B10,'Работы по развертыванию'!$B$84:$B$154,0),MATCH('Трудоемкость работ'!Y$1,'Работы по развертыванию'!$A$84:$N$84,0))</f>
        <v>0.98</v>
      </c>
      <c r="AA10" s="121">
        <f t="shared" si="7"/>
        <v>0.98</v>
      </c>
      <c r="AB10" s="3">
        <f>INDEX('План распределения'!$A$1:$N$16,MATCH($C10,'План распределения'!$B$1:$B$15,0),MATCH(AB$1,'План распределения'!$A$1:$N$1,0))</f>
        <v>4</v>
      </c>
      <c r="AC10" s="124">
        <f>INDEX('Работы по развертыванию'!$A$84:$N$154,MATCH('Трудоемкость работ'!$B10,'Работы по развертыванию'!$B$84:$B$154,0),MATCH('Трудоемкость работ'!AB$1,'Работы по развертыванию'!$A$84:$N$84,0))</f>
        <v>0.98</v>
      </c>
      <c r="AD10" s="121">
        <f t="shared" si="8"/>
        <v>3.92</v>
      </c>
      <c r="AE10" s="174">
        <f>INDEX('План распределения'!$A$1:$N$16,MATCH($C10,'План распределения'!$B$1:$B$15,0),MATCH(AE$1,'План распределения'!$A$1:$N$1,0))</f>
        <v>1</v>
      </c>
      <c r="AF10" s="124">
        <f>INDEX('Работы по развертыванию'!$A$84:$N$154,MATCH('Трудоемкость работ'!$B10,'Работы по развертыванию'!$B$84:$B$154,0),MATCH('Трудоемкость работ'!AE$1,'Работы по развертыванию'!$A$84:$N$84,0))</f>
        <v>0.98</v>
      </c>
      <c r="AG10" s="121">
        <f t="shared" si="9"/>
        <v>0.98</v>
      </c>
      <c r="AH10" s="124">
        <f>INDEX('Работы по развертыванию'!$A$84:$N$154,MATCH('Трудоемкость работ'!$B10,'Работы по развертыванию'!$B$84:$B$154,0),MATCH('Трудоемкость работ'!AH$1,'Работы по развертыванию'!$A$84:$N$84,0))</f>
        <v>0</v>
      </c>
      <c r="AI10" s="121">
        <f t="shared" si="10"/>
        <v>11.760000000000002</v>
      </c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</row>
    <row r="11" spans="1:138" ht="31.5" outlineLevel="1" x14ac:dyDescent="0.25">
      <c r="A11" s="72" t="str">
        <f>'Работы по развертыванию'!A98</f>
        <v>5.3</v>
      </c>
      <c r="B11" s="187" t="str">
        <f>'Работы по развертыванию'!B98</f>
        <v>соединение всех элементов оборудования между собой с помощью соединительных кабелей</v>
      </c>
      <c r="C11" s="192" t="str">
        <f>C3</f>
        <v>Объект1</v>
      </c>
      <c r="D11" s="174">
        <f>INDEX('План распределения'!$A$1:$N$16,MATCH($C11,'План распределения'!$B$1:$B$15,0),MATCH(D$1,'План распределения'!$A$1:$N$1,0))</f>
        <v>0</v>
      </c>
      <c r="E11" s="124">
        <f>INDEX('Работы по развертыванию'!$A$84:$N$154,MATCH('Трудоемкость работ'!$B11,'Работы по развертыванию'!$B$84:$B$154,0),MATCH('Трудоемкость работ'!D$1,'Работы по развертыванию'!$A$84:$N$84,0))</f>
        <v>0.15</v>
      </c>
      <c r="F11" s="121">
        <f t="shared" si="0"/>
        <v>0</v>
      </c>
      <c r="G11" s="3">
        <f>INDEX('План распределения'!$A$1:$N$16,MATCH($C11,'План распределения'!$B$1:$B$15,0),MATCH(G$1,'План распределения'!$A$1:$N$1,0))</f>
        <v>3</v>
      </c>
      <c r="H11" s="124">
        <f>INDEX('Работы по развертыванию'!$A$84:$N$154,MATCH('Трудоемкость работ'!$B11,'Работы по развертыванию'!$B$84:$B$154,0),MATCH('Трудоемкость работ'!G$1,'Работы по развертыванию'!$A$84:$N$84,0))</f>
        <v>0.15</v>
      </c>
      <c r="I11" s="121">
        <f t="shared" si="1"/>
        <v>0.44999999999999996</v>
      </c>
      <c r="J11" s="3">
        <f>INDEX('План распределения'!$A$1:$N$16,MATCH($C11,'План распределения'!$B$1:$B$15,0),MATCH(J$1,'План распределения'!$A$1:$N$1,0))</f>
        <v>1</v>
      </c>
      <c r="K11" s="124">
        <f>INDEX('Работы по развертыванию'!$A$84:$N$154,MATCH('Трудоемкость работ'!$B11,'Работы по развертыванию'!$B$84:$B$154,0),MATCH('Трудоемкость работ'!J$1,'Работы по развертыванию'!$A$84:$N$84,0))</f>
        <v>0.15</v>
      </c>
      <c r="L11" s="121">
        <f t="shared" si="2"/>
        <v>0.15</v>
      </c>
      <c r="M11" s="3">
        <f>INDEX('План распределения'!$A$1:$N$16,MATCH($C11,'План распределения'!$B$1:$B$15,0),MATCH(M$1,'План распределения'!$A$1:$N$1,0))</f>
        <v>1</v>
      </c>
      <c r="N11" s="124">
        <f>INDEX('Работы по развертыванию'!$A$84:$N$154,MATCH('Трудоемкость работ'!$B11,'Работы по развертыванию'!$B$84:$B$154,0),MATCH('Трудоемкость работ'!M$1,'Работы по развертыванию'!$A$84:$N$84,0))</f>
        <v>0.09</v>
      </c>
      <c r="O11" s="121">
        <f t="shared" si="3"/>
        <v>0.09</v>
      </c>
      <c r="P11" s="3">
        <f>INDEX('План распределения'!$A$1:$N$16,MATCH($C11,'План распределения'!$B$1:$B$15,0),MATCH(P$1,'План распределения'!$A$1:$N$1,0))</f>
        <v>0</v>
      </c>
      <c r="Q11" s="124">
        <f>INDEX('Работы по развертыванию'!$A$84:$N$154,MATCH('Трудоемкость работ'!$B11,'Работы по развертыванию'!$B$84:$B$154,0),MATCH('Трудоемкость работ'!P$1,'Работы по развертыванию'!$A$84:$N$84,0))</f>
        <v>0.09</v>
      </c>
      <c r="R11" s="121">
        <f t="shared" si="4"/>
        <v>0</v>
      </c>
      <c r="S11" s="72">
        <f>INDEX('План распределения'!$A$1:$N$16,MATCH($C11,'План распределения'!$B$1:$B$15,0),MATCH(S$1,'План распределения'!$A$1:$N$1,0))</f>
        <v>1</v>
      </c>
      <c r="T11" s="124">
        <f>INDEX('Работы по развертыванию'!$A$84:$N$154,MATCH('Трудоемкость работ'!$B11,'Работы по развертыванию'!$B$84:$B$154,0),MATCH('Трудоемкость работ'!S$1,'Работы по развертыванию'!$A$84:$N$84,0))</f>
        <v>0.09</v>
      </c>
      <c r="U11" s="121">
        <f t="shared" si="5"/>
        <v>0.09</v>
      </c>
      <c r="V11" s="72">
        <f>INDEX('План распределения'!$A$1:$N$16,MATCH($C11,'План распределения'!$B$1:$B$15,0),MATCH(V$1,'План распределения'!$A$1:$N$1,0))</f>
        <v>1</v>
      </c>
      <c r="W11" s="124">
        <f>INDEX('Работы по развертыванию'!$A$84:$N$154,MATCH('Трудоемкость работ'!$B11,'Работы по развертыванию'!$B$84:$B$154,0),MATCH('Трудоемкость работ'!V$1,'Работы по развертыванию'!$A$84:$N$84,0))</f>
        <v>0</v>
      </c>
      <c r="X11" s="121">
        <f t="shared" si="6"/>
        <v>0</v>
      </c>
      <c r="Y11" s="3">
        <f>INDEX('План распределения'!$A$1:$N$16,MATCH($C11,'План распределения'!$B$1:$B$15,0),MATCH(Y$1,'План распределения'!$A$1:$N$1,0))</f>
        <v>1</v>
      </c>
      <c r="Z11" s="124">
        <f>INDEX('Работы по развертыванию'!$A$84:$N$154,MATCH('Трудоемкость работ'!$B11,'Работы по развертыванию'!$B$84:$B$154,0),MATCH('Трудоемкость работ'!Y$1,'Работы по развертыванию'!$A$84:$N$84,0))</f>
        <v>0</v>
      </c>
      <c r="AA11" s="121">
        <f t="shared" si="7"/>
        <v>0</v>
      </c>
      <c r="AB11" s="3">
        <f>INDEX('План распределения'!$A$1:$N$16,MATCH($C11,'План распределения'!$B$1:$B$15,0),MATCH(AB$1,'План распределения'!$A$1:$N$1,0))</f>
        <v>4</v>
      </c>
      <c r="AC11" s="124">
        <f>INDEX('Работы по развертыванию'!$A$84:$N$154,MATCH('Трудоемкость работ'!$B11,'Работы по развертыванию'!$B$84:$B$154,0),MATCH('Трудоемкость работ'!AB$1,'Работы по развертыванию'!$A$84:$N$84,0))</f>
        <v>0</v>
      </c>
      <c r="AD11" s="121">
        <f t="shared" si="8"/>
        <v>0</v>
      </c>
      <c r="AE11" s="174">
        <f>INDEX('План распределения'!$A$1:$N$16,MATCH($C11,'План распределения'!$B$1:$B$15,0),MATCH(AE$1,'План распределения'!$A$1:$N$1,0))</f>
        <v>1</v>
      </c>
      <c r="AF11" s="124">
        <f>INDEX('Работы по развертыванию'!$A$84:$N$154,MATCH('Трудоемкость работ'!$B11,'Работы по развертыванию'!$B$84:$B$154,0),MATCH('Трудоемкость работ'!AE$1,'Работы по развертыванию'!$A$84:$N$84,0))</f>
        <v>0</v>
      </c>
      <c r="AG11" s="121">
        <f t="shared" si="9"/>
        <v>0</v>
      </c>
      <c r="AH11" s="124">
        <f>INDEX('Работы по развертыванию'!$A$84:$N$154,MATCH('Трудоемкость работ'!$B11,'Работы по развертыванию'!$B$84:$B$154,0),MATCH('Трудоемкость работ'!AH$1,'Работы по развертыванию'!$A$84:$N$84,0))</f>
        <v>0</v>
      </c>
      <c r="AI11" s="121">
        <f t="shared" si="10"/>
        <v>0.77999999999999992</v>
      </c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</row>
    <row r="12" spans="1:138" ht="15" customHeight="1" outlineLevel="1" x14ac:dyDescent="0.25">
      <c r="A12" s="72" t="str">
        <f>'Работы по развертыванию'!A106</f>
        <v>5.11</v>
      </c>
      <c r="B12" s="187" t="str">
        <f>'Работы по развертыванию'!B106</f>
        <v>установка телекоммуникационных розеток рабочих мест</v>
      </c>
      <c r="C12" s="192" t="str">
        <f>C3</f>
        <v>Объект1</v>
      </c>
      <c r="D12" s="174">
        <f>INDEX('План распределения'!$A$1:$N$16,MATCH($C12,'План распределения'!$B$1:$B$15,0),MATCH(D$1,'План распределения'!$A$1:$N$1,0))</f>
        <v>0</v>
      </c>
      <c r="E12" s="124">
        <f>INDEX('Работы по развертыванию'!$A$84:$N$154,MATCH('Трудоемкость работ'!$B12,'Работы по развертыванию'!$B$84:$B$154,0),MATCH('Трудоемкость работ'!D$1,'Работы по развертыванию'!$A$84:$N$84,0))</f>
        <v>0.43</v>
      </c>
      <c r="F12" s="121">
        <f t="shared" si="0"/>
        <v>0</v>
      </c>
      <c r="G12" s="3">
        <f>INDEX('План распределения'!$A$1:$N$16,MATCH($C12,'План распределения'!$B$1:$B$15,0),MATCH(G$1,'План распределения'!$A$1:$N$1,0))</f>
        <v>3</v>
      </c>
      <c r="H12" s="124">
        <f>INDEX('Работы по развертыванию'!$A$84:$N$154,MATCH('Трудоемкость работ'!$B12,'Работы по развертыванию'!$B$84:$B$154,0),MATCH('Трудоемкость работ'!G$1,'Работы по развертыванию'!$A$84:$N$84,0))</f>
        <v>0.43</v>
      </c>
      <c r="I12" s="121">
        <f t="shared" si="1"/>
        <v>1.29</v>
      </c>
      <c r="J12" s="3">
        <f>INDEX('План распределения'!$A$1:$N$16,MATCH($C12,'План распределения'!$B$1:$B$15,0),MATCH(J$1,'План распределения'!$A$1:$N$1,0))</f>
        <v>1</v>
      </c>
      <c r="K12" s="124">
        <f>INDEX('Работы по развертыванию'!$A$84:$N$154,MATCH('Трудоемкость работ'!$B12,'Работы по развертыванию'!$B$84:$B$154,0),MATCH('Трудоемкость работ'!J$1,'Работы по развертыванию'!$A$84:$N$84,0))</f>
        <v>0.43</v>
      </c>
      <c r="L12" s="121">
        <f t="shared" si="2"/>
        <v>0.43</v>
      </c>
      <c r="M12" s="3">
        <f>INDEX('План распределения'!$A$1:$N$16,MATCH($C12,'План распределения'!$B$1:$B$15,0),MATCH(M$1,'План распределения'!$A$1:$N$1,0))</f>
        <v>1</v>
      </c>
      <c r="N12" s="124">
        <f>INDEX('Работы по развертыванию'!$A$84:$N$154,MATCH('Трудоемкость работ'!$B12,'Работы по развертыванию'!$B$84:$B$154,0),MATCH('Трудоемкость работ'!M$1,'Работы по развертыванию'!$A$84:$N$84,0))</f>
        <v>0</v>
      </c>
      <c r="O12" s="121">
        <f t="shared" si="3"/>
        <v>0</v>
      </c>
      <c r="P12" s="3">
        <f>INDEX('План распределения'!$A$1:$N$16,MATCH($C12,'План распределения'!$B$1:$B$15,0),MATCH(P$1,'План распределения'!$A$1:$N$1,0))</f>
        <v>0</v>
      </c>
      <c r="Q12" s="124">
        <f>INDEX('Работы по развертыванию'!$A$84:$N$154,MATCH('Трудоемкость работ'!$B12,'Работы по развертыванию'!$B$84:$B$154,0),MATCH('Трудоемкость работ'!P$1,'Работы по развертыванию'!$A$84:$N$84,0))</f>
        <v>0</v>
      </c>
      <c r="R12" s="121">
        <f t="shared" si="4"/>
        <v>0</v>
      </c>
      <c r="S12" s="72">
        <f>INDEX('План распределения'!$A$1:$N$16,MATCH($C12,'План распределения'!$B$1:$B$15,0),MATCH(S$1,'План распределения'!$A$1:$N$1,0))</f>
        <v>1</v>
      </c>
      <c r="T12" s="124">
        <f>INDEX('Работы по развертыванию'!$A$84:$N$154,MATCH('Трудоемкость работ'!$B12,'Работы по развертыванию'!$B$84:$B$154,0),MATCH('Трудоемкость работ'!S$1,'Работы по развертыванию'!$A$84:$N$84,0))</f>
        <v>0</v>
      </c>
      <c r="U12" s="121">
        <f t="shared" si="5"/>
        <v>0</v>
      </c>
      <c r="V12" s="72">
        <f>INDEX('План распределения'!$A$1:$N$16,MATCH($C12,'План распределения'!$B$1:$B$15,0),MATCH(V$1,'План распределения'!$A$1:$N$1,0))</f>
        <v>1</v>
      </c>
      <c r="W12" s="124">
        <f>INDEX('Работы по развертыванию'!$A$84:$N$154,MATCH('Трудоемкость работ'!$B12,'Работы по развертыванию'!$B$84:$B$154,0),MATCH('Трудоемкость работ'!V$1,'Работы по развертыванию'!$A$84:$N$84,0))</f>
        <v>0</v>
      </c>
      <c r="X12" s="121">
        <f t="shared" si="6"/>
        <v>0</v>
      </c>
      <c r="Y12" s="3">
        <f>INDEX('План распределения'!$A$1:$N$16,MATCH($C12,'План распределения'!$B$1:$B$15,0),MATCH(Y$1,'План распределения'!$A$1:$N$1,0))</f>
        <v>1</v>
      </c>
      <c r="Z12" s="124">
        <f>INDEX('Работы по развертыванию'!$A$84:$N$154,MATCH('Трудоемкость работ'!$B12,'Работы по развертыванию'!$B$84:$B$154,0),MATCH('Трудоемкость работ'!Y$1,'Работы по развертыванию'!$A$84:$N$84,0))</f>
        <v>0</v>
      </c>
      <c r="AA12" s="121">
        <f t="shared" si="7"/>
        <v>0</v>
      </c>
      <c r="AB12" s="3">
        <f>INDEX('План распределения'!$A$1:$N$16,MATCH($C12,'План распределения'!$B$1:$B$15,0),MATCH(AB$1,'План распределения'!$A$1:$N$1,0))</f>
        <v>4</v>
      </c>
      <c r="AC12" s="124">
        <f>INDEX('Работы по развертыванию'!$A$84:$N$154,MATCH('Трудоемкость работ'!$B12,'Работы по развертыванию'!$B$84:$B$154,0),MATCH('Трудоемкость работ'!AB$1,'Работы по развертыванию'!$A$84:$N$84,0))</f>
        <v>0</v>
      </c>
      <c r="AD12" s="121">
        <f t="shared" si="8"/>
        <v>0</v>
      </c>
      <c r="AE12" s="174">
        <f>INDEX('План распределения'!$A$1:$N$16,MATCH($C12,'План распределения'!$B$1:$B$15,0),MATCH(AE$1,'План распределения'!$A$1:$N$1,0))</f>
        <v>1</v>
      </c>
      <c r="AF12" s="124">
        <f>INDEX('Работы по развертыванию'!$A$84:$N$154,MATCH('Трудоемкость работ'!$B12,'Работы по развертыванию'!$B$84:$B$154,0),MATCH('Трудоемкость работ'!AE$1,'Работы по развертыванию'!$A$84:$N$84,0))</f>
        <v>0</v>
      </c>
      <c r="AG12" s="121">
        <f t="shared" si="9"/>
        <v>0</v>
      </c>
      <c r="AH12" s="124">
        <f>INDEX('Работы по развертыванию'!$A$84:$N$154,MATCH('Трудоемкость работ'!$B12,'Работы по развертыванию'!$B$84:$B$154,0),MATCH('Трудоемкость работ'!AH$1,'Работы по развертыванию'!$A$84:$N$84,0))</f>
        <v>0</v>
      </c>
      <c r="AI12" s="121">
        <f t="shared" si="10"/>
        <v>1.72</v>
      </c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</row>
    <row r="13" spans="1:138" ht="15" customHeight="1" outlineLevel="1" x14ac:dyDescent="0.25">
      <c r="A13" s="72" t="str">
        <f>'Работы по развертыванию'!A124</f>
        <v>5.29</v>
      </c>
      <c r="B13" s="187" t="str">
        <f>'Работы по развертыванию'!B124</f>
        <v>Подключение оборудования электропитания к шине заземления.</v>
      </c>
      <c r="C13" s="192" t="str">
        <f>C3</f>
        <v>Объект1</v>
      </c>
      <c r="D13" s="174">
        <f>INDEX('План распределения'!$A$1:$N$16,MATCH($C13,'План распределения'!$B$1:$B$15,0),MATCH(D$1,'План распределения'!$A$1:$N$1,0))</f>
        <v>0</v>
      </c>
      <c r="E13" s="124">
        <f>INDEX('Работы по развертыванию'!$A$84:$N$154,MATCH('Трудоемкость работ'!$B13,'Работы по развертыванию'!$B$84:$B$154,0),MATCH('Трудоемкость работ'!D$1,'Работы по развертыванию'!$A$84:$N$84,0))</f>
        <v>0</v>
      </c>
      <c r="F13" s="121">
        <f t="shared" si="0"/>
        <v>0</v>
      </c>
      <c r="G13" s="3">
        <f>INDEX('План распределения'!$A$1:$N$16,MATCH($C13,'План распределения'!$B$1:$B$15,0),MATCH(G$1,'План распределения'!$A$1:$N$1,0))</f>
        <v>3</v>
      </c>
      <c r="H13" s="124">
        <f>INDEX('Работы по развертыванию'!$A$84:$N$154,MATCH('Трудоемкость работ'!$B13,'Работы по развертыванию'!$B$84:$B$154,0),MATCH('Трудоемкость работ'!G$1,'Работы по развертыванию'!$A$84:$N$84,0))</f>
        <v>0</v>
      </c>
      <c r="I13" s="121">
        <f t="shared" si="1"/>
        <v>0</v>
      </c>
      <c r="J13" s="3">
        <f>INDEX('План распределения'!$A$1:$N$16,MATCH($C13,'План распределения'!$B$1:$B$15,0),MATCH(J$1,'План распределения'!$A$1:$N$1,0))</f>
        <v>1</v>
      </c>
      <c r="K13" s="124">
        <f>INDEX('Работы по развертыванию'!$A$84:$N$154,MATCH('Трудоемкость работ'!$B13,'Работы по развертыванию'!$B$84:$B$154,0),MATCH('Трудоемкость работ'!J$1,'Работы по развертыванию'!$A$84:$N$84,0))</f>
        <v>0</v>
      </c>
      <c r="L13" s="121">
        <f t="shared" si="2"/>
        <v>0</v>
      </c>
      <c r="M13" s="3">
        <f>INDEX('План распределения'!$A$1:$N$16,MATCH($C13,'План распределения'!$B$1:$B$15,0),MATCH(M$1,'План распределения'!$A$1:$N$1,0))</f>
        <v>1</v>
      </c>
      <c r="N13" s="124">
        <f>INDEX('Работы по развертыванию'!$A$84:$N$154,MATCH('Трудоемкость работ'!$B13,'Работы по развертыванию'!$B$84:$B$154,0),MATCH('Трудоемкость работ'!M$1,'Работы по развертыванию'!$A$84:$N$84,0))</f>
        <v>0</v>
      </c>
      <c r="O13" s="121">
        <f t="shared" si="3"/>
        <v>0</v>
      </c>
      <c r="P13" s="3">
        <f>INDEX('План распределения'!$A$1:$N$16,MATCH($C13,'План распределения'!$B$1:$B$15,0),MATCH(P$1,'План распределения'!$A$1:$N$1,0))</f>
        <v>0</v>
      </c>
      <c r="Q13" s="124">
        <f>INDEX('Работы по развертыванию'!$A$84:$N$154,MATCH('Трудоемкость работ'!$B13,'Работы по развертыванию'!$B$84:$B$154,0),MATCH('Трудоемкость работ'!P$1,'Работы по развертыванию'!$A$84:$N$84,0))</f>
        <v>0</v>
      </c>
      <c r="R13" s="121">
        <f t="shared" si="4"/>
        <v>0</v>
      </c>
      <c r="S13" s="72">
        <f>INDEX('План распределения'!$A$1:$N$16,MATCH($C13,'План распределения'!$B$1:$B$15,0),MATCH(S$1,'План распределения'!$A$1:$N$1,0))</f>
        <v>1</v>
      </c>
      <c r="T13" s="124">
        <f>INDEX('Работы по развертыванию'!$A$84:$N$154,MATCH('Трудоемкость работ'!$B13,'Работы по развертыванию'!$B$84:$B$154,0),MATCH('Трудоемкость работ'!S$1,'Работы по развертыванию'!$A$84:$N$84,0))</f>
        <v>0</v>
      </c>
      <c r="U13" s="121">
        <f t="shared" si="5"/>
        <v>0</v>
      </c>
      <c r="V13" s="72">
        <f>INDEX('План распределения'!$A$1:$N$16,MATCH($C13,'План распределения'!$B$1:$B$15,0),MATCH(V$1,'План распределения'!$A$1:$N$1,0))</f>
        <v>1</v>
      </c>
      <c r="W13" s="124">
        <f>INDEX('Работы по развертыванию'!$A$84:$N$154,MATCH('Трудоемкость работ'!$B13,'Работы по развертыванию'!$B$84:$B$154,0),MATCH('Трудоемкость работ'!V$1,'Работы по развертыванию'!$A$84:$N$84,0))</f>
        <v>0.36</v>
      </c>
      <c r="X13" s="121">
        <f t="shared" si="6"/>
        <v>0.36</v>
      </c>
      <c r="Y13" s="3">
        <f>INDEX('План распределения'!$A$1:$N$16,MATCH($C13,'План распределения'!$B$1:$B$15,0),MATCH(Y$1,'План распределения'!$A$1:$N$1,0))</f>
        <v>1</v>
      </c>
      <c r="Z13" s="124">
        <f>INDEX('Работы по развертыванию'!$A$84:$N$154,MATCH('Трудоемкость работ'!$B13,'Работы по развертыванию'!$B$84:$B$154,0),MATCH('Трудоемкость работ'!Y$1,'Работы по развертыванию'!$A$84:$N$84,0))</f>
        <v>0</v>
      </c>
      <c r="AA13" s="121">
        <f t="shared" si="7"/>
        <v>0</v>
      </c>
      <c r="AB13" s="3">
        <f>INDEX('План распределения'!$A$1:$N$16,MATCH($C13,'План распределения'!$B$1:$B$15,0),MATCH(AB$1,'План распределения'!$A$1:$N$1,0))</f>
        <v>4</v>
      </c>
      <c r="AC13" s="124">
        <f>INDEX('Работы по развертыванию'!$A$84:$N$154,MATCH('Трудоемкость работ'!$B13,'Работы по развертыванию'!$B$84:$B$154,0),MATCH('Трудоемкость работ'!AB$1,'Работы по развертыванию'!$A$84:$N$84,0))</f>
        <v>0</v>
      </c>
      <c r="AD13" s="121">
        <f t="shared" si="8"/>
        <v>0</v>
      </c>
      <c r="AE13" s="174">
        <f>INDEX('План распределения'!$A$1:$N$16,MATCH($C13,'План распределения'!$B$1:$B$15,0),MATCH(AE$1,'План распределения'!$A$1:$N$1,0))</f>
        <v>1</v>
      </c>
      <c r="AF13" s="124">
        <f>INDEX('Работы по развертыванию'!$A$84:$N$154,MATCH('Трудоемкость работ'!$B13,'Работы по развертыванию'!$B$84:$B$154,0),MATCH('Трудоемкость работ'!AE$1,'Работы по развертыванию'!$A$84:$N$84,0))</f>
        <v>0</v>
      </c>
      <c r="AG13" s="121">
        <f t="shared" si="9"/>
        <v>0</v>
      </c>
      <c r="AH13" s="124">
        <f>INDEX('Работы по развертыванию'!$A$84:$N$154,MATCH('Трудоемкость работ'!$B13,'Работы по развертыванию'!$B$84:$B$154,0),MATCH('Трудоемкость работ'!AH$1,'Работы по развертыванию'!$A$84:$N$84,0))</f>
        <v>0</v>
      </c>
      <c r="AI13" s="121">
        <f t="shared" si="10"/>
        <v>0.36</v>
      </c>
      <c r="AJ13" s="123"/>
      <c r="AK13" s="100"/>
      <c r="AL13" s="100"/>
      <c r="AM13" s="100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00"/>
    </row>
    <row r="14" spans="1:138" ht="15" customHeight="1" outlineLevel="1" x14ac:dyDescent="0.25">
      <c r="A14" s="72" t="str">
        <f>'Работы по развертыванию'!A125</f>
        <v>5.30</v>
      </c>
      <c r="B14" s="187" t="str">
        <f>'Работы по развертыванию'!B125</f>
        <v>Прокладка соединительных линий</v>
      </c>
      <c r="C14" s="192" t="str">
        <f>C3</f>
        <v>Объект1</v>
      </c>
      <c r="D14" s="174">
        <f>INDEX('План распределения'!$A$1:$N$16,MATCH($C14,'План распределения'!$B$1:$B$15,0),MATCH(D$1,'План распределения'!$A$1:$N$1,0))</f>
        <v>0</v>
      </c>
      <c r="E14" s="124">
        <f>INDEX('Работы по развертыванию'!$A$84:$N$154,MATCH('Трудоемкость работ'!$B14,'Работы по развертыванию'!$B$84:$B$154,0),MATCH('Трудоемкость работ'!D$1,'Работы по развертыванию'!$A$84:$N$84,0))</f>
        <v>0</v>
      </c>
      <c r="F14" s="121">
        <f t="shared" si="0"/>
        <v>0</v>
      </c>
      <c r="G14" s="3">
        <f>INDEX('План распределения'!$A$1:$N$16,MATCH($C14,'План распределения'!$B$1:$B$15,0),MATCH(G$1,'План распределения'!$A$1:$N$1,0))</f>
        <v>3</v>
      </c>
      <c r="H14" s="124">
        <f>INDEX('Работы по развертыванию'!$A$84:$N$154,MATCH('Трудоемкость работ'!$B14,'Работы по развертыванию'!$B$84:$B$154,0),MATCH('Трудоемкость работ'!G$1,'Работы по развертыванию'!$A$84:$N$84,0))</f>
        <v>0</v>
      </c>
      <c r="I14" s="121">
        <f t="shared" si="1"/>
        <v>0</v>
      </c>
      <c r="J14" s="3">
        <f>INDEX('План распределения'!$A$1:$N$16,MATCH($C14,'План распределения'!$B$1:$B$15,0),MATCH(J$1,'План распределения'!$A$1:$N$1,0))</f>
        <v>1</v>
      </c>
      <c r="K14" s="124">
        <f>INDEX('Работы по развертыванию'!$A$84:$N$154,MATCH('Трудоемкость работ'!$B14,'Работы по развертыванию'!$B$84:$B$154,0),MATCH('Трудоемкость работ'!J$1,'Работы по развертыванию'!$A$84:$N$84,0))</f>
        <v>0</v>
      </c>
      <c r="L14" s="121">
        <f t="shared" si="2"/>
        <v>0</v>
      </c>
      <c r="M14" s="3">
        <f>INDEX('План распределения'!$A$1:$N$16,MATCH($C14,'План распределения'!$B$1:$B$15,0),MATCH(M$1,'План распределения'!$A$1:$N$1,0))</f>
        <v>1</v>
      </c>
      <c r="N14" s="124">
        <f>INDEX('Работы по развертыванию'!$A$84:$N$154,MATCH('Трудоемкость работ'!$B14,'Работы по развертыванию'!$B$84:$B$154,0),MATCH('Трудоемкость работ'!M$1,'Работы по развертыванию'!$A$84:$N$84,0))</f>
        <v>0</v>
      </c>
      <c r="O14" s="121">
        <f t="shared" si="3"/>
        <v>0</v>
      </c>
      <c r="P14" s="3">
        <f>INDEX('План распределения'!$A$1:$N$16,MATCH($C14,'План распределения'!$B$1:$B$15,0),MATCH(P$1,'План распределения'!$A$1:$N$1,0))</f>
        <v>0</v>
      </c>
      <c r="Q14" s="124">
        <f>INDEX('Работы по развертыванию'!$A$84:$N$154,MATCH('Трудоемкость работ'!$B14,'Работы по развертыванию'!$B$84:$B$154,0),MATCH('Трудоемкость работ'!P$1,'Работы по развертыванию'!$A$84:$N$84,0))</f>
        <v>0</v>
      </c>
      <c r="R14" s="121">
        <f t="shared" si="4"/>
        <v>0</v>
      </c>
      <c r="S14" s="72">
        <f>INDEX('План распределения'!$A$1:$N$16,MATCH($C14,'План распределения'!$B$1:$B$15,0),MATCH(S$1,'План распределения'!$A$1:$N$1,0))</f>
        <v>1</v>
      </c>
      <c r="T14" s="124">
        <f>INDEX('Работы по развертыванию'!$A$84:$N$154,MATCH('Трудоемкость работ'!$B14,'Работы по развертыванию'!$B$84:$B$154,0),MATCH('Трудоемкость работ'!S$1,'Работы по развертыванию'!$A$84:$N$84,0))</f>
        <v>0</v>
      </c>
      <c r="U14" s="121">
        <f t="shared" si="5"/>
        <v>0</v>
      </c>
      <c r="V14" s="72">
        <f>INDEX('План распределения'!$A$1:$N$16,MATCH($C14,'План распределения'!$B$1:$B$15,0),MATCH(V$1,'План распределения'!$A$1:$N$1,0))</f>
        <v>1</v>
      </c>
      <c r="W14" s="124">
        <f>INDEX('Работы по развертыванию'!$A$84:$N$154,MATCH('Трудоемкость работ'!$B14,'Работы по развертыванию'!$B$84:$B$154,0),MATCH('Трудоемкость работ'!V$1,'Работы по развертыванию'!$A$84:$N$84,0))</f>
        <v>0.22</v>
      </c>
      <c r="X14" s="121">
        <f t="shared" si="6"/>
        <v>0.22</v>
      </c>
      <c r="Y14" s="3">
        <f>INDEX('План распределения'!$A$1:$N$16,MATCH($C14,'План распределения'!$B$1:$B$15,0),MATCH(Y$1,'План распределения'!$A$1:$N$1,0))</f>
        <v>1</v>
      </c>
      <c r="Z14" s="124">
        <f>INDEX('Работы по развертыванию'!$A$84:$N$154,MATCH('Трудоемкость работ'!$B14,'Работы по развертыванию'!$B$84:$B$154,0),MATCH('Трудоемкость работ'!Y$1,'Работы по развертыванию'!$A$84:$N$84,0))</f>
        <v>0</v>
      </c>
      <c r="AA14" s="121">
        <f t="shared" si="7"/>
        <v>0</v>
      </c>
      <c r="AB14" s="3">
        <f>INDEX('План распределения'!$A$1:$N$16,MATCH($C14,'План распределения'!$B$1:$B$15,0),MATCH(AB$1,'План распределения'!$A$1:$N$1,0))</f>
        <v>4</v>
      </c>
      <c r="AC14" s="124">
        <f>INDEX('Работы по развертыванию'!$A$84:$N$154,MATCH('Трудоемкость работ'!$B14,'Работы по развертыванию'!$B$84:$B$154,0),MATCH('Трудоемкость работ'!AB$1,'Работы по развертыванию'!$A$84:$N$84,0))</f>
        <v>0</v>
      </c>
      <c r="AD14" s="121">
        <f t="shared" si="8"/>
        <v>0</v>
      </c>
      <c r="AE14" s="174">
        <f>INDEX('План распределения'!$A$1:$N$16,MATCH($C14,'План распределения'!$B$1:$B$15,0),MATCH(AE$1,'План распределения'!$A$1:$N$1,0))</f>
        <v>1</v>
      </c>
      <c r="AF14" s="124">
        <f>INDEX('Работы по развертыванию'!$A$84:$N$154,MATCH('Трудоемкость работ'!$B14,'Работы по развертыванию'!$B$84:$B$154,0),MATCH('Трудоемкость работ'!AE$1,'Работы по развертыванию'!$A$84:$N$84,0))</f>
        <v>0</v>
      </c>
      <c r="AG14" s="121">
        <f t="shared" si="9"/>
        <v>0</v>
      </c>
      <c r="AH14" s="124">
        <f>INDEX('Работы по развертыванию'!$A$84:$N$154,MATCH('Трудоемкость работ'!$B14,'Работы по развертыванию'!$B$84:$B$154,0),MATCH('Трудоемкость работ'!AH$1,'Работы по развертыванию'!$A$84:$N$84,0))</f>
        <v>0</v>
      </c>
      <c r="AI14" s="121">
        <f t="shared" si="10"/>
        <v>0.22</v>
      </c>
      <c r="AJ14" s="123"/>
      <c r="AK14" s="100"/>
      <c r="AL14" s="100"/>
      <c r="AM14" s="100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00"/>
    </row>
    <row r="15" spans="1:138" ht="15" customHeight="1" outlineLevel="1" x14ac:dyDescent="0.25">
      <c r="A15" s="72" t="str">
        <f>'Работы по развертыванию'!A126</f>
        <v>5.31</v>
      </c>
      <c r="B15" s="187" t="str">
        <f>'Работы по развертыванию'!B126</f>
        <v>Проверка напряжения в контрольных точках.</v>
      </c>
      <c r="C15" s="192" t="str">
        <f>C3</f>
        <v>Объект1</v>
      </c>
      <c r="D15" s="174">
        <f>INDEX('План распределения'!$A$1:$N$16,MATCH($C15,'План распределения'!$B$1:$B$15,0),MATCH(D$1,'План распределения'!$A$1:$N$1,0))</f>
        <v>0</v>
      </c>
      <c r="E15" s="124">
        <f>INDEX('Работы по развертыванию'!$A$84:$N$154,MATCH('Трудоемкость работ'!$B15,'Работы по развертыванию'!$B$84:$B$154,0),MATCH('Трудоемкость работ'!D$1,'Работы по развертыванию'!$A$84:$N$84,0))</f>
        <v>0</v>
      </c>
      <c r="F15" s="121">
        <f t="shared" si="0"/>
        <v>0</v>
      </c>
      <c r="G15" s="3">
        <f>INDEX('План распределения'!$A$1:$N$16,MATCH($C15,'План распределения'!$B$1:$B$15,0),MATCH(G$1,'План распределения'!$A$1:$N$1,0))</f>
        <v>3</v>
      </c>
      <c r="H15" s="124">
        <f>INDEX('Работы по развертыванию'!$A$84:$N$154,MATCH('Трудоемкость работ'!$B15,'Работы по развертыванию'!$B$84:$B$154,0),MATCH('Трудоемкость работ'!G$1,'Работы по развертыванию'!$A$84:$N$84,0))</f>
        <v>0</v>
      </c>
      <c r="I15" s="121">
        <f t="shared" si="1"/>
        <v>0</v>
      </c>
      <c r="J15" s="3">
        <f>INDEX('План распределения'!$A$1:$N$16,MATCH($C15,'План распределения'!$B$1:$B$15,0),MATCH(J$1,'План распределения'!$A$1:$N$1,0))</f>
        <v>1</v>
      </c>
      <c r="K15" s="124">
        <f>INDEX('Работы по развертыванию'!$A$84:$N$154,MATCH('Трудоемкость работ'!$B15,'Работы по развертыванию'!$B$84:$B$154,0),MATCH('Трудоемкость работ'!J$1,'Работы по развертыванию'!$A$84:$N$84,0))</f>
        <v>0</v>
      </c>
      <c r="L15" s="121">
        <f t="shared" si="2"/>
        <v>0</v>
      </c>
      <c r="M15" s="3">
        <f>INDEX('План распределения'!$A$1:$N$16,MATCH($C15,'План распределения'!$B$1:$B$15,0),MATCH(M$1,'План распределения'!$A$1:$N$1,0))</f>
        <v>1</v>
      </c>
      <c r="N15" s="124">
        <f>INDEX('Работы по развертыванию'!$A$84:$N$154,MATCH('Трудоемкость работ'!$B15,'Работы по развертыванию'!$B$84:$B$154,0),MATCH('Трудоемкость работ'!M$1,'Работы по развертыванию'!$A$84:$N$84,0))</f>
        <v>0</v>
      </c>
      <c r="O15" s="121">
        <f t="shared" si="3"/>
        <v>0</v>
      </c>
      <c r="P15" s="3">
        <f>INDEX('План распределения'!$A$1:$N$16,MATCH($C15,'План распределения'!$B$1:$B$15,0),MATCH(P$1,'План распределения'!$A$1:$N$1,0))</f>
        <v>0</v>
      </c>
      <c r="Q15" s="124">
        <f>INDEX('Работы по развертыванию'!$A$84:$N$154,MATCH('Трудоемкость работ'!$B15,'Работы по развертыванию'!$B$84:$B$154,0),MATCH('Трудоемкость работ'!P$1,'Работы по развертыванию'!$A$84:$N$84,0))</f>
        <v>0</v>
      </c>
      <c r="R15" s="121">
        <f t="shared" si="4"/>
        <v>0</v>
      </c>
      <c r="S15" s="72">
        <f>INDEX('План распределения'!$A$1:$N$16,MATCH($C15,'План распределения'!$B$1:$B$15,0),MATCH(S$1,'План распределения'!$A$1:$N$1,0))</f>
        <v>1</v>
      </c>
      <c r="T15" s="124">
        <f>INDEX('Работы по развертыванию'!$A$84:$N$154,MATCH('Трудоемкость работ'!$B15,'Работы по развертыванию'!$B$84:$B$154,0),MATCH('Трудоемкость работ'!S$1,'Работы по развертыванию'!$A$84:$N$84,0))</f>
        <v>0</v>
      </c>
      <c r="U15" s="121">
        <f t="shared" si="5"/>
        <v>0</v>
      </c>
      <c r="V15" s="72">
        <f>INDEX('План распределения'!$A$1:$N$16,MATCH($C15,'План распределения'!$B$1:$B$15,0),MATCH(V$1,'План распределения'!$A$1:$N$1,0))</f>
        <v>1</v>
      </c>
      <c r="W15" s="124">
        <f>INDEX('Работы по развертыванию'!$A$84:$N$154,MATCH('Трудоемкость работ'!$B15,'Работы по развертыванию'!$B$84:$B$154,0),MATCH('Трудоемкость работ'!V$1,'Работы по развертыванию'!$A$84:$N$84,0))</f>
        <v>0.4</v>
      </c>
      <c r="X15" s="121">
        <f t="shared" si="6"/>
        <v>0.4</v>
      </c>
      <c r="Y15" s="3">
        <f>INDEX('План распределения'!$A$1:$N$16,MATCH($C15,'План распределения'!$B$1:$B$15,0),MATCH(Y$1,'План распределения'!$A$1:$N$1,0))</f>
        <v>1</v>
      </c>
      <c r="Z15" s="124">
        <f>INDEX('Работы по развертыванию'!$A$84:$N$154,MATCH('Трудоемкость работ'!$B15,'Работы по развертыванию'!$B$84:$B$154,0),MATCH('Трудоемкость работ'!Y$1,'Работы по развертыванию'!$A$84:$N$84,0))</f>
        <v>0</v>
      </c>
      <c r="AA15" s="121">
        <f t="shared" si="7"/>
        <v>0</v>
      </c>
      <c r="AB15" s="3">
        <f>INDEX('План распределения'!$A$1:$N$16,MATCH($C15,'План распределения'!$B$1:$B$15,0),MATCH(AB$1,'План распределения'!$A$1:$N$1,0))</f>
        <v>4</v>
      </c>
      <c r="AC15" s="124">
        <f>INDEX('Работы по развертыванию'!$A$84:$N$154,MATCH('Трудоемкость работ'!$B15,'Работы по развертыванию'!$B$84:$B$154,0),MATCH('Трудоемкость работ'!AB$1,'Работы по развертыванию'!$A$84:$N$84,0))</f>
        <v>0</v>
      </c>
      <c r="AD15" s="121">
        <f t="shared" si="8"/>
        <v>0</v>
      </c>
      <c r="AE15" s="174">
        <f>INDEX('План распределения'!$A$1:$N$16,MATCH($C15,'План распределения'!$B$1:$B$15,0),MATCH(AE$1,'План распределения'!$A$1:$N$1,0))</f>
        <v>1</v>
      </c>
      <c r="AF15" s="124">
        <f>INDEX('Работы по развертыванию'!$A$84:$N$154,MATCH('Трудоемкость работ'!$B15,'Работы по развертыванию'!$B$84:$B$154,0),MATCH('Трудоемкость работ'!AE$1,'Работы по развертыванию'!$A$84:$N$84,0))</f>
        <v>0</v>
      </c>
      <c r="AG15" s="121">
        <f t="shared" si="9"/>
        <v>0</v>
      </c>
      <c r="AH15" s="124">
        <f>INDEX('Работы по развертыванию'!$A$84:$N$154,MATCH('Трудоемкость работ'!$B15,'Работы по развертыванию'!$B$84:$B$154,0),MATCH('Трудоемкость работ'!AH$1,'Работы по развертыванию'!$A$84:$N$84,0))</f>
        <v>0</v>
      </c>
      <c r="AI15" s="121">
        <f t="shared" si="10"/>
        <v>0.4</v>
      </c>
      <c r="AJ15" s="123"/>
      <c r="AK15" s="100"/>
      <c r="AL15" s="100"/>
      <c r="AM15" s="100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00"/>
    </row>
    <row r="16" spans="1:138" ht="15" customHeight="1" outlineLevel="1" x14ac:dyDescent="0.25">
      <c r="A16" s="72" t="str">
        <f>'Работы по развертыванию'!A127</f>
        <v>5.32</v>
      </c>
      <c r="B16" s="187" t="str">
        <f>'Работы по развертыванию'!B127</f>
        <v>прокладка кабелей от серверных шкафов до пульта охраны;</v>
      </c>
      <c r="C16" s="192" t="str">
        <f>C3</f>
        <v>Объект1</v>
      </c>
      <c r="D16" s="174">
        <f>INDEX('План распределения'!$A$1:$N$16,MATCH($C16,'План распределения'!$B$1:$B$15,0),MATCH(D$1,'План распределения'!$A$1:$N$1,0))</f>
        <v>0</v>
      </c>
      <c r="E16" s="124">
        <f>INDEX('Работы по развертыванию'!$A$84:$N$154,MATCH('Трудоемкость работ'!$B16,'Работы по развертыванию'!$B$84:$B$154,0),MATCH('Трудоемкость работ'!D$1,'Работы по развертыванию'!$A$84:$N$84,0))</f>
        <v>0</v>
      </c>
      <c r="F16" s="121">
        <f t="shared" si="0"/>
        <v>0</v>
      </c>
      <c r="G16" s="3">
        <f>INDEX('План распределения'!$A$1:$N$16,MATCH($C16,'План распределения'!$B$1:$B$15,0),MATCH(G$1,'План распределения'!$A$1:$N$1,0))</f>
        <v>3</v>
      </c>
      <c r="H16" s="124">
        <f>INDEX('Работы по развертыванию'!$A$84:$N$154,MATCH('Трудоемкость работ'!$B16,'Работы по развертыванию'!$B$84:$B$154,0),MATCH('Трудоемкость работ'!G$1,'Работы по развертыванию'!$A$84:$N$84,0))</f>
        <v>0</v>
      </c>
      <c r="I16" s="121">
        <f t="shared" si="1"/>
        <v>0</v>
      </c>
      <c r="J16" s="3">
        <f>INDEX('План распределения'!$A$1:$N$16,MATCH($C16,'План распределения'!$B$1:$B$15,0),MATCH(J$1,'План распределения'!$A$1:$N$1,0))</f>
        <v>1</v>
      </c>
      <c r="K16" s="124">
        <f>INDEX('Работы по развертыванию'!$A$84:$N$154,MATCH('Трудоемкость работ'!$B16,'Работы по развертыванию'!$B$84:$B$154,0),MATCH('Трудоемкость работ'!J$1,'Работы по развертыванию'!$A$84:$N$84,0))</f>
        <v>0</v>
      </c>
      <c r="L16" s="121">
        <f t="shared" si="2"/>
        <v>0</v>
      </c>
      <c r="M16" s="3">
        <f>INDEX('План распределения'!$A$1:$N$16,MATCH($C16,'План распределения'!$B$1:$B$15,0),MATCH(M$1,'План распределения'!$A$1:$N$1,0))</f>
        <v>1</v>
      </c>
      <c r="N16" s="124">
        <f>INDEX('Работы по развертыванию'!$A$84:$N$154,MATCH('Трудоемкость работ'!$B16,'Работы по развертыванию'!$B$84:$B$154,0),MATCH('Трудоемкость работ'!M$1,'Работы по развертыванию'!$A$84:$N$84,0))</f>
        <v>0</v>
      </c>
      <c r="O16" s="121">
        <f t="shared" si="3"/>
        <v>0</v>
      </c>
      <c r="P16" s="3">
        <f>INDEX('План распределения'!$A$1:$N$16,MATCH($C16,'План распределения'!$B$1:$B$15,0),MATCH(P$1,'План распределения'!$A$1:$N$1,0))</f>
        <v>0</v>
      </c>
      <c r="Q16" s="124">
        <f>INDEX('Работы по развертыванию'!$A$84:$N$154,MATCH('Трудоемкость работ'!$B16,'Работы по развертыванию'!$B$84:$B$154,0),MATCH('Трудоемкость работ'!P$1,'Работы по развертыванию'!$A$84:$N$84,0))</f>
        <v>0</v>
      </c>
      <c r="R16" s="121">
        <f t="shared" si="4"/>
        <v>0</v>
      </c>
      <c r="S16" s="72">
        <f>INDEX('План распределения'!$A$1:$N$16,MATCH($C16,'План распределения'!$B$1:$B$15,0),MATCH(S$1,'План распределения'!$A$1:$N$1,0))</f>
        <v>1</v>
      </c>
      <c r="T16" s="124">
        <f>INDEX('Работы по развертыванию'!$A$84:$N$154,MATCH('Трудоемкость работ'!$B16,'Работы по развертыванию'!$B$84:$B$154,0),MATCH('Трудоемкость работ'!S$1,'Работы по развертыванию'!$A$84:$N$84,0))</f>
        <v>0</v>
      </c>
      <c r="U16" s="121">
        <f t="shared" si="5"/>
        <v>0</v>
      </c>
      <c r="V16" s="72">
        <f>INDEX('План распределения'!$A$1:$N$16,MATCH($C16,'План распределения'!$B$1:$B$15,0),MATCH(V$1,'План распределения'!$A$1:$N$1,0))</f>
        <v>1</v>
      </c>
      <c r="W16" s="124">
        <f>INDEX('Работы по развертыванию'!$A$84:$N$154,MATCH('Трудоемкость работ'!$B16,'Работы по развертыванию'!$B$84:$B$154,0),MATCH('Трудоемкость работ'!V$1,'Работы по развертыванию'!$A$84:$N$84,0))</f>
        <v>20</v>
      </c>
      <c r="X16" s="121">
        <f t="shared" si="6"/>
        <v>20</v>
      </c>
      <c r="Y16" s="3">
        <f>INDEX('План распределения'!$A$1:$N$16,MATCH($C16,'План распределения'!$B$1:$B$15,0),MATCH(Y$1,'План распределения'!$A$1:$N$1,0))</f>
        <v>1</v>
      </c>
      <c r="Z16" s="124">
        <f>INDEX('Работы по развертыванию'!$A$84:$N$154,MATCH('Трудоемкость работ'!$B16,'Работы по развертыванию'!$B$84:$B$154,0),MATCH('Трудоемкость работ'!Y$1,'Работы по развертыванию'!$A$84:$N$84,0))</f>
        <v>0</v>
      </c>
      <c r="AA16" s="121">
        <f t="shared" si="7"/>
        <v>0</v>
      </c>
      <c r="AB16" s="3">
        <f>INDEX('План распределения'!$A$1:$N$16,MATCH($C16,'План распределения'!$B$1:$B$15,0),MATCH(AB$1,'План распределения'!$A$1:$N$1,0))</f>
        <v>4</v>
      </c>
      <c r="AC16" s="124">
        <f>INDEX('Работы по развертыванию'!$A$84:$N$154,MATCH('Трудоемкость работ'!$B16,'Работы по развертыванию'!$B$84:$B$154,0),MATCH('Трудоемкость работ'!AB$1,'Работы по развертыванию'!$A$84:$N$84,0))</f>
        <v>0</v>
      </c>
      <c r="AD16" s="121">
        <f t="shared" si="8"/>
        <v>0</v>
      </c>
      <c r="AE16" s="174">
        <f>INDEX('План распределения'!$A$1:$N$16,MATCH($C16,'План распределения'!$B$1:$B$15,0),MATCH(AE$1,'План распределения'!$A$1:$N$1,0))</f>
        <v>1</v>
      </c>
      <c r="AF16" s="124">
        <f>INDEX('Работы по развертыванию'!$A$84:$N$154,MATCH('Трудоемкость работ'!$B16,'Работы по развертыванию'!$B$84:$B$154,0),MATCH('Трудоемкость работ'!AE$1,'Работы по развертыванию'!$A$84:$N$84,0))</f>
        <v>0</v>
      </c>
      <c r="AG16" s="121">
        <f t="shared" si="9"/>
        <v>0</v>
      </c>
      <c r="AH16" s="124">
        <f>INDEX('Работы по развертыванию'!$A$84:$N$154,MATCH('Трудоемкость работ'!$B16,'Работы по развертыванию'!$B$84:$B$154,0),MATCH('Трудоемкость работ'!AH$1,'Работы по развертыванию'!$A$84:$N$84,0))</f>
        <v>0</v>
      </c>
      <c r="AI16" s="121">
        <f t="shared" si="10"/>
        <v>20</v>
      </c>
      <c r="AJ16" s="123"/>
      <c r="AK16" s="100"/>
      <c r="AL16" s="100"/>
      <c r="AM16" s="100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00"/>
    </row>
    <row r="17" spans="1:138" ht="15" customHeight="1" outlineLevel="1" x14ac:dyDescent="0.25">
      <c r="A17" s="72" t="str">
        <f>'Работы по развертыванию'!A128</f>
        <v>6</v>
      </c>
      <c r="B17" s="187" t="str">
        <f>'Работы по развертыванию'!B128</f>
        <v>Пуско-наладочные работы</v>
      </c>
      <c r="C17" s="192" t="str">
        <f>C3</f>
        <v>Объект1</v>
      </c>
      <c r="D17" s="174">
        <f>INDEX('План распределения'!$A$1:$N$16,MATCH($C17,'План распределения'!$B$1:$B$15,0),MATCH(D$1,'План распределения'!$A$1:$N$1,0))</f>
        <v>0</v>
      </c>
      <c r="E17" s="124">
        <f>INDEX('Работы по развертыванию'!$A$84:$N$154,MATCH('Трудоемкость работ'!$B17,'Работы по развертыванию'!$B$84:$B$154,0),MATCH('Трудоемкость работ'!D$1,'Работы по развертыванию'!$A$84:$N$84,0))</f>
        <v>22.62</v>
      </c>
      <c r="F17" s="121">
        <f t="shared" si="0"/>
        <v>0</v>
      </c>
      <c r="G17" s="3">
        <f>INDEX('План распределения'!$A$1:$N$16,MATCH($C17,'План распределения'!$B$1:$B$15,0),MATCH(G$1,'План распределения'!$A$1:$N$1,0))</f>
        <v>3</v>
      </c>
      <c r="H17" s="124">
        <f>INDEX('Работы по развертыванию'!$A$84:$N$154,MATCH('Трудоемкость работ'!$B17,'Работы по развертыванию'!$B$84:$B$154,0),MATCH('Трудоемкость работ'!G$1,'Работы по развертыванию'!$A$84:$N$84,0))</f>
        <v>22.62</v>
      </c>
      <c r="I17" s="121">
        <f t="shared" si="1"/>
        <v>67.86</v>
      </c>
      <c r="J17" s="3">
        <f>INDEX('План распределения'!$A$1:$N$16,MATCH($C17,'План распределения'!$B$1:$B$15,0),MATCH(J$1,'План распределения'!$A$1:$N$1,0))</f>
        <v>1</v>
      </c>
      <c r="K17" s="124">
        <f>INDEX('Работы по развертыванию'!$A$84:$N$154,MATCH('Трудоемкость работ'!$B17,'Работы по развертыванию'!$B$84:$B$154,0),MATCH('Трудоемкость работ'!J$1,'Работы по развертыванию'!$A$84:$N$84,0))</f>
        <v>27.12</v>
      </c>
      <c r="L17" s="121">
        <f t="shared" si="2"/>
        <v>27.12</v>
      </c>
      <c r="M17" s="3">
        <f>INDEX('План распределения'!$A$1:$N$16,MATCH($C17,'План распределения'!$B$1:$B$15,0),MATCH(M$1,'План распределения'!$A$1:$N$1,0))</f>
        <v>1</v>
      </c>
      <c r="N17" s="124">
        <f>INDEX('Работы по развертыванию'!$A$84:$N$154,MATCH('Трудоемкость работ'!$B17,'Работы по развертыванию'!$B$84:$B$154,0),MATCH('Трудоемкость работ'!M$1,'Работы по развертыванию'!$A$84:$N$84,0))</f>
        <v>36</v>
      </c>
      <c r="O17" s="121">
        <f t="shared" si="3"/>
        <v>36</v>
      </c>
      <c r="P17" s="3">
        <f>INDEX('План распределения'!$A$1:$N$16,MATCH($C17,'План распределения'!$B$1:$B$15,0),MATCH(P$1,'План распределения'!$A$1:$N$1,0))</f>
        <v>0</v>
      </c>
      <c r="Q17" s="124">
        <f>INDEX('Работы по развертыванию'!$A$84:$N$154,MATCH('Трудоемкость работ'!$B17,'Работы по развертыванию'!$B$84:$B$154,0),MATCH('Трудоемкость работ'!P$1,'Работы по развертыванию'!$A$84:$N$84,0))</f>
        <v>36</v>
      </c>
      <c r="R17" s="121">
        <f t="shared" si="4"/>
        <v>0</v>
      </c>
      <c r="S17" s="72">
        <f>INDEX('План распределения'!$A$1:$N$16,MATCH($C17,'План распределения'!$B$1:$B$15,0),MATCH(S$1,'План распределения'!$A$1:$N$1,0))</f>
        <v>1</v>
      </c>
      <c r="T17" s="124">
        <f>INDEX('Работы по развертыванию'!$A$84:$N$154,MATCH('Трудоемкость работ'!$B17,'Работы по развертыванию'!$B$84:$B$154,0),MATCH('Трудоемкость работ'!S$1,'Работы по развертыванию'!$A$84:$N$84,0))</f>
        <v>36</v>
      </c>
      <c r="U17" s="121">
        <f t="shared" si="5"/>
        <v>36</v>
      </c>
      <c r="V17" s="72">
        <f>INDEX('План распределения'!$A$1:$N$16,MATCH($C17,'План распределения'!$B$1:$B$15,0),MATCH(V$1,'План распределения'!$A$1:$N$1,0))</f>
        <v>1</v>
      </c>
      <c r="W17" s="124">
        <f>INDEX('Работы по развертыванию'!$A$84:$N$154,MATCH('Трудоемкость работ'!$B17,'Работы по развертыванию'!$B$84:$B$154,0),MATCH('Трудоемкость работ'!V$1,'Работы по развертыванию'!$A$84:$N$84,0))</f>
        <v>213.39</v>
      </c>
      <c r="X17" s="121">
        <f t="shared" si="6"/>
        <v>213.39</v>
      </c>
      <c r="Y17" s="3">
        <f>INDEX('План распределения'!$A$1:$N$16,MATCH($C17,'План распределения'!$B$1:$B$15,0),MATCH(Y$1,'План распределения'!$A$1:$N$1,0))</f>
        <v>1</v>
      </c>
      <c r="Z17" s="124">
        <f>INDEX('Работы по развертыванию'!$A$84:$N$154,MATCH('Трудоемкость работ'!$B17,'Работы по развертыванию'!$B$84:$B$154,0),MATCH('Трудоемкость работ'!Y$1,'Работы по развертыванию'!$A$84:$N$84,0))</f>
        <v>28.4</v>
      </c>
      <c r="AA17" s="121">
        <f t="shared" si="7"/>
        <v>28.4</v>
      </c>
      <c r="AB17" s="3">
        <f>INDEX('План распределения'!$A$1:$N$16,MATCH($C17,'План распределения'!$B$1:$B$15,0),MATCH(AB$1,'План распределения'!$A$1:$N$1,0))</f>
        <v>4</v>
      </c>
      <c r="AC17" s="124">
        <f>INDEX('Работы по развертыванию'!$A$84:$N$154,MATCH('Трудоемкость работ'!$B17,'Работы по развертыванию'!$B$84:$B$154,0),MATCH('Трудоемкость работ'!AB$1,'Работы по развертыванию'!$A$84:$N$84,0))</f>
        <v>0.4</v>
      </c>
      <c r="AD17" s="121">
        <f t="shared" si="8"/>
        <v>1.6</v>
      </c>
      <c r="AE17" s="174">
        <f>INDEX('План распределения'!$A$1:$N$16,MATCH($C17,'План распределения'!$B$1:$B$15,0),MATCH(AE$1,'План распределения'!$A$1:$N$1,0))</f>
        <v>1</v>
      </c>
      <c r="AF17" s="124">
        <f>INDEX('Работы по развертыванию'!$A$84:$N$154,MATCH('Трудоемкость работ'!$B17,'Работы по развертыванию'!$B$84:$B$154,0),MATCH('Трудоемкость работ'!AE$1,'Работы по развертыванию'!$A$84:$N$84,0))</f>
        <v>0.4</v>
      </c>
      <c r="AG17" s="121">
        <f t="shared" si="9"/>
        <v>0.4</v>
      </c>
      <c r="AH17" s="124">
        <f>INDEX('Работы по развертыванию'!$A$84:$N$154,MATCH('Трудоемкость работ'!$B17,'Работы по развертыванию'!$B$84:$B$154,0),MATCH('Трудоемкость работ'!AH$1,'Работы по развертыванию'!$A$84:$N$84,0))</f>
        <v>0</v>
      </c>
      <c r="AI17" s="121">
        <f t="shared" si="10"/>
        <v>410.77</v>
      </c>
      <c r="AJ17" s="123">
        <f>AI17/8</f>
        <v>51.346249999999998</v>
      </c>
      <c r="AK17" s="100"/>
      <c r="AL17" s="100"/>
      <c r="AM17" s="100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00"/>
    </row>
    <row r="18" spans="1:138" ht="15" customHeight="1" outlineLevel="1" x14ac:dyDescent="0.25">
      <c r="A18" s="72" t="str">
        <f>'Работы по развертыванию'!A129</f>
        <v>6.1</v>
      </c>
      <c r="B18" s="187" t="str">
        <f>'Работы по развертыванию'!B129</f>
        <v>настройка СЗИ НСД</v>
      </c>
      <c r="C18" s="192" t="str">
        <f>C3</f>
        <v>Объект1</v>
      </c>
      <c r="D18" s="174">
        <f>INDEX('План распределения'!$A$1:$N$16,MATCH($C18,'План распределения'!$B$1:$B$15,0),MATCH(D$1,'План распределения'!$A$1:$N$1,0))</f>
        <v>0</v>
      </c>
      <c r="E18" s="124">
        <f>INDEX('Работы по развертыванию'!$A$84:$N$154,MATCH('Трудоемкость работ'!$B18,'Работы по развертыванию'!$B$84:$B$154,0),MATCH('Трудоемкость работ'!D$1,'Работы по развертыванию'!$A$84:$N$84,0))</f>
        <v>4.5</v>
      </c>
      <c r="F18" s="121">
        <f t="shared" si="0"/>
        <v>0</v>
      </c>
      <c r="G18" s="3">
        <f>INDEX('План распределения'!$A$1:$N$16,MATCH($C18,'План распределения'!$B$1:$B$15,0),MATCH(G$1,'План распределения'!$A$1:$N$1,0))</f>
        <v>3</v>
      </c>
      <c r="H18" s="124">
        <f>INDEX('Работы по развертыванию'!$A$84:$N$154,MATCH('Трудоемкость работ'!$B18,'Работы по развертыванию'!$B$84:$B$154,0),MATCH('Трудоемкость работ'!G$1,'Работы по развертыванию'!$A$84:$N$84,0))</f>
        <v>4.5</v>
      </c>
      <c r="I18" s="121">
        <f t="shared" si="1"/>
        <v>13.5</v>
      </c>
      <c r="J18" s="3">
        <f>INDEX('План распределения'!$A$1:$N$16,MATCH($C18,'План распределения'!$B$1:$B$15,0),MATCH(J$1,'План распределения'!$A$1:$N$1,0))</f>
        <v>1</v>
      </c>
      <c r="K18" s="124">
        <f>INDEX('Работы по развертыванию'!$A$84:$N$154,MATCH('Трудоемкость работ'!$B18,'Работы по развертыванию'!$B$84:$B$154,0),MATCH('Трудоемкость работ'!J$1,'Работы по развертыванию'!$A$84:$N$84,0))</f>
        <v>4.5</v>
      </c>
      <c r="L18" s="121">
        <f t="shared" si="2"/>
        <v>4.5</v>
      </c>
      <c r="M18" s="3">
        <f>INDEX('План распределения'!$A$1:$N$16,MATCH($C18,'План распределения'!$B$1:$B$15,0),MATCH(M$1,'План распределения'!$A$1:$N$1,0))</f>
        <v>1</v>
      </c>
      <c r="N18" s="124">
        <f>INDEX('Работы по развертыванию'!$A$84:$N$154,MATCH('Трудоемкость работ'!$B18,'Работы по развертыванию'!$B$84:$B$154,0),MATCH('Трудоемкость работ'!M$1,'Работы по развертыванию'!$A$84:$N$84,0))</f>
        <v>4.5</v>
      </c>
      <c r="O18" s="121">
        <f t="shared" si="3"/>
        <v>4.5</v>
      </c>
      <c r="P18" s="3">
        <f>INDEX('План распределения'!$A$1:$N$16,MATCH($C18,'План распределения'!$B$1:$B$15,0),MATCH(P$1,'План распределения'!$A$1:$N$1,0))</f>
        <v>0</v>
      </c>
      <c r="Q18" s="124">
        <f>INDEX('Работы по развертыванию'!$A$84:$N$154,MATCH('Трудоемкость работ'!$B18,'Работы по развертыванию'!$B$84:$B$154,0),MATCH('Трудоемкость работ'!P$1,'Работы по развертыванию'!$A$84:$N$84,0))</f>
        <v>4.5</v>
      </c>
      <c r="R18" s="121">
        <f t="shared" si="4"/>
        <v>0</v>
      </c>
      <c r="S18" s="72">
        <f>INDEX('План распределения'!$A$1:$N$16,MATCH($C18,'План распределения'!$B$1:$B$15,0),MATCH(S$1,'План распределения'!$A$1:$N$1,0))</f>
        <v>1</v>
      </c>
      <c r="T18" s="124">
        <f>INDEX('Работы по развертыванию'!$A$84:$N$154,MATCH('Трудоемкость работ'!$B18,'Работы по развертыванию'!$B$84:$B$154,0),MATCH('Трудоемкость работ'!S$1,'Работы по развертыванию'!$A$84:$N$84,0))</f>
        <v>4.5</v>
      </c>
      <c r="U18" s="121">
        <f t="shared" si="5"/>
        <v>4.5</v>
      </c>
      <c r="V18" s="72">
        <f>INDEX('План распределения'!$A$1:$N$16,MATCH($C18,'План распределения'!$B$1:$B$15,0),MATCH(V$1,'План распределения'!$A$1:$N$1,0))</f>
        <v>1</v>
      </c>
      <c r="W18" s="124">
        <f>INDEX('Работы по развертыванию'!$A$84:$N$154,MATCH('Трудоемкость работ'!$B18,'Работы по развертыванию'!$B$84:$B$154,0),MATCH('Трудоемкость работ'!V$1,'Работы по развертыванию'!$A$84:$N$84,0))</f>
        <v>0</v>
      </c>
      <c r="X18" s="121">
        <f t="shared" si="6"/>
        <v>0</v>
      </c>
      <c r="Y18" s="3">
        <f>INDEX('План распределения'!$A$1:$N$16,MATCH($C18,'План распределения'!$B$1:$B$15,0),MATCH(Y$1,'План распределения'!$A$1:$N$1,0))</f>
        <v>1</v>
      </c>
      <c r="Z18" s="124">
        <f>INDEX('Работы по развертыванию'!$A$84:$N$154,MATCH('Трудоемкость работ'!$B18,'Работы по развертыванию'!$B$84:$B$154,0),MATCH('Трудоемкость работ'!Y$1,'Работы по развертыванию'!$A$84:$N$84,0))</f>
        <v>0</v>
      </c>
      <c r="AA18" s="121">
        <f t="shared" si="7"/>
        <v>0</v>
      </c>
      <c r="AB18" s="3">
        <f>INDEX('План распределения'!$A$1:$N$16,MATCH($C18,'План распределения'!$B$1:$B$15,0),MATCH(AB$1,'План распределения'!$A$1:$N$1,0))</f>
        <v>4</v>
      </c>
      <c r="AC18" s="124">
        <f>INDEX('Работы по развертыванию'!$A$84:$N$154,MATCH('Трудоемкость работ'!$B18,'Работы по развертыванию'!$B$84:$B$154,0),MATCH('Трудоемкость работ'!AB$1,'Работы по развертыванию'!$A$84:$N$84,0))</f>
        <v>0</v>
      </c>
      <c r="AD18" s="121">
        <f t="shared" si="8"/>
        <v>0</v>
      </c>
      <c r="AE18" s="174">
        <f>INDEX('План распределения'!$A$1:$N$16,MATCH($C18,'План распределения'!$B$1:$B$15,0),MATCH(AE$1,'План распределения'!$A$1:$N$1,0))</f>
        <v>1</v>
      </c>
      <c r="AF18" s="124">
        <f>INDEX('Работы по развертыванию'!$A$84:$N$154,MATCH('Трудоемкость работ'!$B18,'Работы по развертыванию'!$B$84:$B$154,0),MATCH('Трудоемкость работ'!AE$1,'Работы по развертыванию'!$A$84:$N$84,0))</f>
        <v>0</v>
      </c>
      <c r="AG18" s="121">
        <f t="shared" si="9"/>
        <v>0</v>
      </c>
      <c r="AH18" s="124">
        <f>INDEX('Работы по развертыванию'!$A$84:$N$154,MATCH('Трудоемкость работ'!$B18,'Работы по развертыванию'!$B$84:$B$154,0),MATCH('Трудоемкость работ'!AH$1,'Работы по развертыванию'!$A$84:$N$84,0))</f>
        <v>0</v>
      </c>
      <c r="AI18" s="121">
        <f t="shared" si="10"/>
        <v>27</v>
      </c>
      <c r="AJ18" s="123"/>
      <c r="AK18" s="100"/>
      <c r="AL18" s="100"/>
      <c r="AM18" s="100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00"/>
    </row>
    <row r="19" spans="1:138" ht="31.5" outlineLevel="1" x14ac:dyDescent="0.25">
      <c r="A19" s="72" t="str">
        <f>'Работы по развертыванию'!A144</f>
        <v>6.16</v>
      </c>
      <c r="B19" s="187" t="str">
        <f>'Работы по развертыванию'!B144</f>
        <v xml:space="preserve">Настройка и проверка межсетевого взаимодействия аппаратно-программных средств оборудования передачи данных </v>
      </c>
      <c r="C19" s="192" t="str">
        <f>C3</f>
        <v>Объект1</v>
      </c>
      <c r="D19" s="174">
        <f>INDEX('План распределения'!$A$1:$N$16,MATCH($C19,'План распределения'!$B$1:$B$15,0),MATCH(D$1,'План распределения'!$A$1:$N$1,0))</f>
        <v>0</v>
      </c>
      <c r="E19" s="124">
        <f>INDEX('Работы по развертыванию'!$A$84:$N$154,MATCH('Трудоемкость работ'!$B19,'Работы по развертыванию'!$B$84:$B$154,0),MATCH('Трудоемкость работ'!D$1,'Работы по развертыванию'!$A$84:$N$84,0))</f>
        <v>0</v>
      </c>
      <c r="F19" s="121">
        <f t="shared" si="0"/>
        <v>0</v>
      </c>
      <c r="G19" s="3">
        <f>INDEX('План распределения'!$A$1:$N$16,MATCH($C19,'План распределения'!$B$1:$B$15,0),MATCH(G$1,'План распределения'!$A$1:$N$1,0))</f>
        <v>3</v>
      </c>
      <c r="H19" s="124">
        <f>INDEX('Работы по развертыванию'!$A$84:$N$154,MATCH('Трудоемкость работ'!$B19,'Работы по развертыванию'!$B$84:$B$154,0),MATCH('Трудоемкость работ'!G$1,'Работы по развертыванию'!$A$84:$N$84,0))</f>
        <v>0</v>
      </c>
      <c r="I19" s="121">
        <f t="shared" si="1"/>
        <v>0</v>
      </c>
      <c r="J19" s="3">
        <f>INDEX('План распределения'!$A$1:$N$16,MATCH($C19,'План распределения'!$B$1:$B$15,0),MATCH(J$1,'План распределения'!$A$1:$N$1,0))</f>
        <v>1</v>
      </c>
      <c r="K19" s="124">
        <f>INDEX('Работы по развертыванию'!$A$84:$N$154,MATCH('Трудоемкость работ'!$B19,'Работы по развертыванию'!$B$84:$B$154,0),MATCH('Трудоемкость работ'!J$1,'Работы по развертыванию'!$A$84:$N$84,0))</f>
        <v>0</v>
      </c>
      <c r="L19" s="121">
        <f t="shared" si="2"/>
        <v>0</v>
      </c>
      <c r="M19" s="3">
        <f>INDEX('План распределения'!$A$1:$N$16,MATCH($C19,'План распределения'!$B$1:$B$15,0),MATCH(M$1,'План распределения'!$A$1:$N$1,0))</f>
        <v>1</v>
      </c>
      <c r="N19" s="124">
        <f>INDEX('Работы по развертыванию'!$A$84:$N$154,MATCH('Трудоемкость работ'!$B19,'Работы по развертыванию'!$B$84:$B$154,0),MATCH('Трудоемкость работ'!M$1,'Работы по развертыванию'!$A$84:$N$84,0))</f>
        <v>0</v>
      </c>
      <c r="O19" s="121">
        <f t="shared" si="3"/>
        <v>0</v>
      </c>
      <c r="P19" s="3">
        <f>INDEX('План распределения'!$A$1:$N$16,MATCH($C19,'План распределения'!$B$1:$B$15,0),MATCH(P$1,'План распределения'!$A$1:$N$1,0))</f>
        <v>0</v>
      </c>
      <c r="Q19" s="124">
        <f>INDEX('Работы по развертыванию'!$A$84:$N$154,MATCH('Трудоемкость работ'!$B19,'Работы по развертыванию'!$B$84:$B$154,0),MATCH('Трудоемкость работ'!P$1,'Работы по развертыванию'!$A$84:$N$84,0))</f>
        <v>0</v>
      </c>
      <c r="R19" s="121">
        <f t="shared" si="4"/>
        <v>0</v>
      </c>
      <c r="S19" s="72">
        <f>INDEX('План распределения'!$A$1:$N$16,MATCH($C19,'План распределения'!$B$1:$B$15,0),MATCH(S$1,'План распределения'!$A$1:$N$1,0))</f>
        <v>1</v>
      </c>
      <c r="T19" s="124">
        <f>INDEX('Работы по развертыванию'!$A$84:$N$154,MATCH('Трудоемкость работ'!$B19,'Работы по развертыванию'!$B$84:$B$154,0),MATCH('Трудоемкость работ'!S$1,'Работы по развертыванию'!$A$84:$N$84,0))</f>
        <v>0</v>
      </c>
      <c r="U19" s="121">
        <f t="shared" si="5"/>
        <v>0</v>
      </c>
      <c r="V19" s="72">
        <f>INDEX('План распределения'!$A$1:$N$16,MATCH($C19,'План распределения'!$B$1:$B$15,0),MATCH(V$1,'План распределения'!$A$1:$N$1,0))</f>
        <v>1</v>
      </c>
      <c r="W19" s="124">
        <f>INDEX('Работы по развертыванию'!$A$84:$N$154,MATCH('Трудоемкость работ'!$B19,'Работы по развертыванию'!$B$84:$B$154,0),MATCH('Трудоемкость работ'!V$1,'Работы по развертыванию'!$A$84:$N$84,0))</f>
        <v>28</v>
      </c>
      <c r="X19" s="121">
        <f t="shared" si="6"/>
        <v>28</v>
      </c>
      <c r="Y19" s="3">
        <f>INDEX('План распределения'!$A$1:$N$16,MATCH($C19,'План распределения'!$B$1:$B$15,0),MATCH(Y$1,'План распределения'!$A$1:$N$1,0))</f>
        <v>1</v>
      </c>
      <c r="Z19" s="124">
        <f>INDEX('Работы по развертыванию'!$A$84:$N$154,MATCH('Трудоемкость работ'!$B19,'Работы по развертыванию'!$B$84:$B$154,0),MATCH('Трудоемкость работ'!Y$1,'Работы по развертыванию'!$A$84:$N$84,0))</f>
        <v>0</v>
      </c>
      <c r="AA19" s="121">
        <f t="shared" si="7"/>
        <v>0</v>
      </c>
      <c r="AB19" s="3">
        <f>INDEX('План распределения'!$A$1:$N$16,MATCH($C19,'План распределения'!$B$1:$B$15,0),MATCH(AB$1,'План распределения'!$A$1:$N$1,0))</f>
        <v>4</v>
      </c>
      <c r="AC19" s="124">
        <f>INDEX('Работы по развертыванию'!$A$84:$N$154,MATCH('Трудоемкость работ'!$B19,'Работы по развертыванию'!$B$84:$B$154,0),MATCH('Трудоемкость работ'!AB$1,'Работы по развертыванию'!$A$84:$N$84,0))</f>
        <v>0</v>
      </c>
      <c r="AD19" s="121">
        <f t="shared" si="8"/>
        <v>0</v>
      </c>
      <c r="AE19" s="174">
        <f>INDEX('План распределения'!$A$1:$N$16,MATCH($C19,'План распределения'!$B$1:$B$15,0),MATCH(AE$1,'План распределения'!$A$1:$N$1,0))</f>
        <v>1</v>
      </c>
      <c r="AF19" s="124">
        <f>INDEX('Работы по развертыванию'!$A$84:$N$154,MATCH('Трудоемкость работ'!$B19,'Работы по развертыванию'!$B$84:$B$154,0),MATCH('Трудоемкость работ'!AE$1,'Работы по развертыванию'!$A$84:$N$84,0))</f>
        <v>0</v>
      </c>
      <c r="AG19" s="121">
        <f t="shared" si="9"/>
        <v>0</v>
      </c>
      <c r="AH19" s="124">
        <f>INDEX('Работы по развертыванию'!$A$84:$N$154,MATCH('Трудоемкость работ'!$B19,'Работы по развертыванию'!$B$84:$B$154,0),MATCH('Трудоемкость работ'!AH$1,'Работы по развертыванию'!$A$84:$N$84,0))</f>
        <v>0</v>
      </c>
      <c r="AI19" s="121">
        <f t="shared" si="10"/>
        <v>28</v>
      </c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</row>
    <row r="20" spans="1:138" ht="15.75" customHeight="1" outlineLevel="1" x14ac:dyDescent="0.25">
      <c r="A20" s="72" t="str">
        <f>'Работы по развертыванию'!A145</f>
        <v>6.17</v>
      </c>
      <c r="B20" s="187" t="str">
        <f>'Работы по развертыванию'!B145</f>
        <v>установка и настройка приемно-охранного пульта</v>
      </c>
      <c r="C20" s="192" t="str">
        <f>C3</f>
        <v>Объект1</v>
      </c>
      <c r="D20" s="174">
        <f>INDEX('План распределения'!$A$1:$N$16,MATCH($C20,'План распределения'!$B$1:$B$15,0),MATCH(D$1,'План распределения'!$A$1:$N$1,0))</f>
        <v>0</v>
      </c>
      <c r="E20" s="124">
        <f>INDEX('Работы по развертыванию'!$A$84:$N$154,MATCH('Трудоемкость работ'!$B20,'Работы по развертыванию'!$B$84:$B$154,0),MATCH('Трудоемкость работ'!D$1,'Работы по развертыванию'!$A$84:$N$84,0))</f>
        <v>0</v>
      </c>
      <c r="F20" s="121">
        <f t="shared" si="0"/>
        <v>0</v>
      </c>
      <c r="G20" s="3">
        <f>INDEX('План распределения'!$A$1:$N$16,MATCH($C20,'План распределения'!$B$1:$B$15,0),MATCH(G$1,'План распределения'!$A$1:$N$1,0))</f>
        <v>3</v>
      </c>
      <c r="H20" s="124">
        <f>INDEX('Работы по развертыванию'!$A$84:$N$154,MATCH('Трудоемкость работ'!$B20,'Работы по развертыванию'!$B$84:$B$154,0),MATCH('Трудоемкость работ'!G$1,'Работы по развертыванию'!$A$84:$N$84,0))</f>
        <v>0</v>
      </c>
      <c r="I20" s="121">
        <f t="shared" si="1"/>
        <v>0</v>
      </c>
      <c r="J20" s="3">
        <f>INDEX('План распределения'!$A$1:$N$16,MATCH($C20,'План распределения'!$B$1:$B$15,0),MATCH(J$1,'План распределения'!$A$1:$N$1,0))</f>
        <v>1</v>
      </c>
      <c r="K20" s="124">
        <f>INDEX('Работы по развертыванию'!$A$84:$N$154,MATCH('Трудоемкость работ'!$B20,'Работы по развертыванию'!$B$84:$B$154,0),MATCH('Трудоемкость работ'!J$1,'Работы по развертыванию'!$A$84:$N$84,0))</f>
        <v>0</v>
      </c>
      <c r="L20" s="121">
        <f t="shared" si="2"/>
        <v>0</v>
      </c>
      <c r="M20" s="3">
        <f>INDEX('План распределения'!$A$1:$N$16,MATCH($C20,'План распределения'!$B$1:$B$15,0),MATCH(M$1,'План распределения'!$A$1:$N$1,0))</f>
        <v>1</v>
      </c>
      <c r="N20" s="124">
        <f>INDEX('Работы по развертыванию'!$A$84:$N$154,MATCH('Трудоемкость работ'!$B20,'Работы по развертыванию'!$B$84:$B$154,0),MATCH('Трудоемкость работ'!M$1,'Работы по развертыванию'!$A$84:$N$84,0))</f>
        <v>0</v>
      </c>
      <c r="O20" s="121">
        <f t="shared" si="3"/>
        <v>0</v>
      </c>
      <c r="P20" s="3">
        <f>INDEX('План распределения'!$A$1:$N$16,MATCH($C20,'План распределения'!$B$1:$B$15,0),MATCH(P$1,'План распределения'!$A$1:$N$1,0))</f>
        <v>0</v>
      </c>
      <c r="Q20" s="124">
        <f>INDEX('Работы по развертыванию'!$A$84:$N$154,MATCH('Трудоемкость работ'!$B20,'Работы по развертыванию'!$B$84:$B$154,0),MATCH('Трудоемкость работ'!P$1,'Работы по развертыванию'!$A$84:$N$84,0))</f>
        <v>0</v>
      </c>
      <c r="R20" s="121">
        <f t="shared" si="4"/>
        <v>0</v>
      </c>
      <c r="S20" s="72">
        <f>INDEX('План распределения'!$A$1:$N$16,MATCH($C20,'План распределения'!$B$1:$B$15,0),MATCH(S$1,'План распределения'!$A$1:$N$1,0))</f>
        <v>1</v>
      </c>
      <c r="T20" s="124">
        <f>INDEX('Работы по развертыванию'!$A$84:$N$154,MATCH('Трудоемкость работ'!$B20,'Работы по развертыванию'!$B$84:$B$154,0),MATCH('Трудоемкость работ'!S$1,'Работы по развертыванию'!$A$84:$N$84,0))</f>
        <v>0</v>
      </c>
      <c r="U20" s="121">
        <f t="shared" si="5"/>
        <v>0</v>
      </c>
      <c r="V20" s="72">
        <f>INDEX('План распределения'!$A$1:$N$16,MATCH($C20,'План распределения'!$B$1:$B$15,0),MATCH(V$1,'План распределения'!$A$1:$N$1,0))</f>
        <v>1</v>
      </c>
      <c r="W20" s="124">
        <f>INDEX('Работы по развертыванию'!$A$84:$N$154,MATCH('Трудоемкость работ'!$B20,'Работы по развертыванию'!$B$84:$B$154,0),MATCH('Трудоемкость работ'!V$1,'Работы по развертыванию'!$A$84:$N$84,0))</f>
        <v>11.7</v>
      </c>
      <c r="X20" s="121">
        <f t="shared" si="6"/>
        <v>11.7</v>
      </c>
      <c r="Y20" s="3">
        <f>INDEX('План распределения'!$A$1:$N$16,MATCH($C20,'План распределения'!$B$1:$B$15,0),MATCH(Y$1,'План распределения'!$A$1:$N$1,0))</f>
        <v>1</v>
      </c>
      <c r="Z20" s="124">
        <f>INDEX('Работы по развертыванию'!$A$84:$N$154,MATCH('Трудоемкость работ'!$B20,'Работы по развертыванию'!$B$84:$B$154,0),MATCH('Трудоемкость работ'!Y$1,'Работы по развертыванию'!$A$84:$N$84,0))</f>
        <v>0</v>
      </c>
      <c r="AA20" s="121">
        <f t="shared" si="7"/>
        <v>0</v>
      </c>
      <c r="AB20" s="3">
        <f>INDEX('План распределения'!$A$1:$N$16,MATCH($C20,'План распределения'!$B$1:$B$15,0),MATCH(AB$1,'План распределения'!$A$1:$N$1,0))</f>
        <v>4</v>
      </c>
      <c r="AC20" s="124">
        <f>INDEX('Работы по развертыванию'!$A$84:$N$154,MATCH('Трудоемкость работ'!$B20,'Работы по развертыванию'!$B$84:$B$154,0),MATCH('Трудоемкость работ'!AB$1,'Работы по развертыванию'!$A$84:$N$84,0))</f>
        <v>0</v>
      </c>
      <c r="AD20" s="121">
        <f t="shared" si="8"/>
        <v>0</v>
      </c>
      <c r="AE20" s="174">
        <f>INDEX('План распределения'!$A$1:$N$16,MATCH($C20,'План распределения'!$B$1:$B$15,0),MATCH(AE$1,'План распределения'!$A$1:$N$1,0))</f>
        <v>1</v>
      </c>
      <c r="AF20" s="124">
        <f>INDEX('Работы по развертыванию'!$A$84:$N$154,MATCH('Трудоемкость работ'!$B20,'Работы по развертыванию'!$B$84:$B$154,0),MATCH('Трудоемкость работ'!AE$1,'Работы по развертыванию'!$A$84:$N$84,0))</f>
        <v>0</v>
      </c>
      <c r="AG20" s="121">
        <f t="shared" si="9"/>
        <v>0</v>
      </c>
      <c r="AH20" s="124">
        <f>INDEX('Работы по развертыванию'!$A$84:$N$154,MATCH('Трудоемкость работ'!$B20,'Работы по развертыванию'!$B$84:$B$154,0),MATCH('Трудоемкость работ'!AH$1,'Работы по развертыванию'!$A$84:$N$84,0))</f>
        <v>0</v>
      </c>
      <c r="AI20" s="121">
        <f t="shared" si="10"/>
        <v>11.7</v>
      </c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</row>
    <row r="21" spans="1:138" ht="15.75" customHeight="1" outlineLevel="1" x14ac:dyDescent="0.25">
      <c r="A21" s="72" t="str">
        <f>'Работы по развертыванию'!A146</f>
        <v>6.18</v>
      </c>
      <c r="B21" s="187" t="str">
        <f>'Работы по развертыванию'!B146</f>
        <v>тестирование охранной сигнализации</v>
      </c>
      <c r="C21" s="192" t="str">
        <f>C3</f>
        <v>Объект1</v>
      </c>
      <c r="D21" s="174">
        <f>INDEX('План распределения'!$A$1:$N$16,MATCH($C21,'План распределения'!$B$1:$B$15,0),MATCH(D$1,'План распределения'!$A$1:$N$1,0))</f>
        <v>0</v>
      </c>
      <c r="E21" s="124">
        <f>INDEX('Работы по развертыванию'!$A$84:$N$154,MATCH('Трудоемкость работ'!$B21,'Работы по развертыванию'!$B$84:$B$154,0),MATCH('Трудоемкость работ'!D$1,'Работы по развертыванию'!$A$84:$N$84,0))</f>
        <v>0</v>
      </c>
      <c r="F21" s="121">
        <f t="shared" si="0"/>
        <v>0</v>
      </c>
      <c r="G21" s="3">
        <f>INDEX('План распределения'!$A$1:$N$16,MATCH($C21,'План распределения'!$B$1:$B$15,0),MATCH(G$1,'План распределения'!$A$1:$N$1,0))</f>
        <v>3</v>
      </c>
      <c r="H21" s="124">
        <f>INDEX('Работы по развертыванию'!$A$84:$N$154,MATCH('Трудоемкость работ'!$B21,'Работы по развертыванию'!$B$84:$B$154,0),MATCH('Трудоемкость работ'!G$1,'Работы по развертыванию'!$A$84:$N$84,0))</f>
        <v>0</v>
      </c>
      <c r="I21" s="121">
        <f t="shared" si="1"/>
        <v>0</v>
      </c>
      <c r="J21" s="3">
        <f>INDEX('План распределения'!$A$1:$N$16,MATCH($C21,'План распределения'!$B$1:$B$15,0),MATCH(J$1,'План распределения'!$A$1:$N$1,0))</f>
        <v>1</v>
      </c>
      <c r="K21" s="124">
        <f>INDEX('Работы по развертыванию'!$A$84:$N$154,MATCH('Трудоемкость работ'!$B21,'Работы по развертыванию'!$B$84:$B$154,0),MATCH('Трудоемкость работ'!J$1,'Работы по развертыванию'!$A$84:$N$84,0))</f>
        <v>0</v>
      </c>
      <c r="L21" s="121">
        <f t="shared" si="2"/>
        <v>0</v>
      </c>
      <c r="M21" s="3">
        <f>INDEX('План распределения'!$A$1:$N$16,MATCH($C21,'План распределения'!$B$1:$B$15,0),MATCH(M$1,'План распределения'!$A$1:$N$1,0))</f>
        <v>1</v>
      </c>
      <c r="N21" s="124">
        <f>INDEX('Работы по развертыванию'!$A$84:$N$154,MATCH('Трудоемкость работ'!$B21,'Работы по развертыванию'!$B$84:$B$154,0),MATCH('Трудоемкость работ'!M$1,'Работы по развертыванию'!$A$84:$N$84,0))</f>
        <v>0</v>
      </c>
      <c r="O21" s="121">
        <f t="shared" si="3"/>
        <v>0</v>
      </c>
      <c r="P21" s="3">
        <f>INDEX('План распределения'!$A$1:$N$16,MATCH($C21,'План распределения'!$B$1:$B$15,0),MATCH(P$1,'План распределения'!$A$1:$N$1,0))</f>
        <v>0</v>
      </c>
      <c r="Q21" s="124">
        <f>INDEX('Работы по развертыванию'!$A$84:$N$154,MATCH('Трудоемкость работ'!$B21,'Работы по развертыванию'!$B$84:$B$154,0),MATCH('Трудоемкость работ'!P$1,'Работы по развертыванию'!$A$84:$N$84,0))</f>
        <v>0</v>
      </c>
      <c r="R21" s="121">
        <f t="shared" si="4"/>
        <v>0</v>
      </c>
      <c r="S21" s="72">
        <f>INDEX('План распределения'!$A$1:$N$16,MATCH($C21,'План распределения'!$B$1:$B$15,0),MATCH(S$1,'План распределения'!$A$1:$N$1,0))</f>
        <v>1</v>
      </c>
      <c r="T21" s="124">
        <f>INDEX('Работы по развертыванию'!$A$84:$N$154,MATCH('Трудоемкость работ'!$B21,'Работы по развертыванию'!$B$84:$B$154,0),MATCH('Трудоемкость работ'!S$1,'Работы по развертыванию'!$A$84:$N$84,0))</f>
        <v>0</v>
      </c>
      <c r="U21" s="121">
        <f t="shared" si="5"/>
        <v>0</v>
      </c>
      <c r="V21" s="72">
        <f>INDEX('План распределения'!$A$1:$N$16,MATCH($C21,'План распределения'!$B$1:$B$15,0),MATCH(V$1,'План распределения'!$A$1:$N$1,0))</f>
        <v>1</v>
      </c>
      <c r="W21" s="124">
        <f>INDEX('Работы по развертыванию'!$A$84:$N$154,MATCH('Трудоемкость работ'!$B21,'Работы по развертыванию'!$B$84:$B$154,0),MATCH('Трудоемкость работ'!V$1,'Работы по развертыванию'!$A$84:$N$84,0))</f>
        <v>64.599999999999994</v>
      </c>
      <c r="X21" s="121">
        <f t="shared" si="6"/>
        <v>64.599999999999994</v>
      </c>
      <c r="Y21" s="3">
        <f>INDEX('План распределения'!$A$1:$N$16,MATCH($C21,'План распределения'!$B$1:$B$15,0),MATCH(Y$1,'План распределения'!$A$1:$N$1,0))</f>
        <v>1</v>
      </c>
      <c r="Z21" s="124">
        <f>INDEX('Работы по развертыванию'!$A$84:$N$154,MATCH('Трудоемкость работ'!$B21,'Работы по развертыванию'!$B$84:$B$154,0),MATCH('Трудоемкость работ'!Y$1,'Работы по развертыванию'!$A$84:$N$84,0))</f>
        <v>0</v>
      </c>
      <c r="AA21" s="121">
        <f t="shared" si="7"/>
        <v>0</v>
      </c>
      <c r="AB21" s="3">
        <f>INDEX('План распределения'!$A$1:$N$16,MATCH($C21,'План распределения'!$B$1:$B$15,0),MATCH(AB$1,'План распределения'!$A$1:$N$1,0))</f>
        <v>4</v>
      </c>
      <c r="AC21" s="124">
        <f>INDEX('Работы по развертыванию'!$A$84:$N$154,MATCH('Трудоемкость работ'!$B21,'Работы по развертыванию'!$B$84:$B$154,0),MATCH('Трудоемкость работ'!AB$1,'Работы по развертыванию'!$A$84:$N$84,0))</f>
        <v>0</v>
      </c>
      <c r="AD21" s="121">
        <f t="shared" si="8"/>
        <v>0</v>
      </c>
      <c r="AE21" s="174">
        <f>INDEX('План распределения'!$A$1:$N$16,MATCH($C21,'План распределения'!$B$1:$B$15,0),MATCH(AE$1,'План распределения'!$A$1:$N$1,0))</f>
        <v>1</v>
      </c>
      <c r="AF21" s="124">
        <f>INDEX('Работы по развертыванию'!$A$84:$N$154,MATCH('Трудоемкость работ'!$B21,'Работы по развертыванию'!$B$84:$B$154,0),MATCH('Трудоемкость работ'!AE$1,'Работы по развертыванию'!$A$84:$N$84,0))</f>
        <v>0</v>
      </c>
      <c r="AG21" s="121">
        <f t="shared" si="9"/>
        <v>0</v>
      </c>
      <c r="AH21" s="124">
        <f>INDEX('Работы по развертыванию'!$A$84:$N$154,MATCH('Трудоемкость работ'!$B21,'Работы по развертыванию'!$B$84:$B$154,0),MATCH('Трудоемкость работ'!AH$1,'Работы по развертыванию'!$A$84:$N$84,0))</f>
        <v>0</v>
      </c>
      <c r="AI21" s="121">
        <f t="shared" si="10"/>
        <v>64.599999999999994</v>
      </c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</row>
    <row r="22" spans="1:138" ht="15.75" customHeight="1" outlineLevel="1" x14ac:dyDescent="0.25">
      <c r="A22" s="72" t="str">
        <f>'Работы по развертыванию'!A147</f>
        <v>6.19</v>
      </c>
      <c r="B22" s="187" t="str">
        <f>'Работы по развертыванию'!B147</f>
        <v>проверка совместной работы с АРМ</v>
      </c>
      <c r="C22" s="192" t="str">
        <f>C3</f>
        <v>Объект1</v>
      </c>
      <c r="D22" s="174">
        <f>INDEX('План распределения'!$A$1:$N$16,MATCH($C22,'План распределения'!$B$1:$B$15,0),MATCH(D$1,'План распределения'!$A$1:$N$1,0))</f>
        <v>0</v>
      </c>
      <c r="E22" s="124">
        <f>INDEX('Работы по развертыванию'!$A$84:$N$154,MATCH('Трудоемкость работ'!$B22,'Работы по развертыванию'!$B$84:$B$154,0),MATCH('Трудоемкость работ'!D$1,'Работы по развертыванию'!$A$84:$N$84,0))</f>
        <v>0</v>
      </c>
      <c r="F22" s="121">
        <f t="shared" si="0"/>
        <v>0</v>
      </c>
      <c r="G22" s="3">
        <f>INDEX('План распределения'!$A$1:$N$16,MATCH($C22,'План распределения'!$B$1:$B$15,0),MATCH(G$1,'План распределения'!$A$1:$N$1,0))</f>
        <v>3</v>
      </c>
      <c r="H22" s="124">
        <f>INDEX('Работы по развертыванию'!$A$84:$N$154,MATCH('Трудоемкость работ'!$B22,'Работы по развертыванию'!$B$84:$B$154,0),MATCH('Трудоемкость работ'!G$1,'Работы по развертыванию'!$A$84:$N$84,0))</f>
        <v>0</v>
      </c>
      <c r="I22" s="121">
        <f t="shared" si="1"/>
        <v>0</v>
      </c>
      <c r="J22" s="3">
        <f>INDEX('План распределения'!$A$1:$N$16,MATCH($C22,'План распределения'!$B$1:$B$15,0),MATCH(J$1,'План распределения'!$A$1:$N$1,0))</f>
        <v>1</v>
      </c>
      <c r="K22" s="124">
        <f>INDEX('Работы по развертыванию'!$A$84:$N$154,MATCH('Трудоемкость работ'!$B22,'Работы по развертыванию'!$B$84:$B$154,0),MATCH('Трудоемкость работ'!J$1,'Работы по развертыванию'!$A$84:$N$84,0))</f>
        <v>0</v>
      </c>
      <c r="L22" s="121">
        <f t="shared" si="2"/>
        <v>0</v>
      </c>
      <c r="M22" s="3">
        <f>INDEX('План распределения'!$A$1:$N$16,MATCH($C22,'План распределения'!$B$1:$B$15,0),MATCH(M$1,'План распределения'!$A$1:$N$1,0))</f>
        <v>1</v>
      </c>
      <c r="N22" s="124">
        <f>INDEX('Работы по развертыванию'!$A$84:$N$154,MATCH('Трудоемкость работ'!$B22,'Работы по развертыванию'!$B$84:$B$154,0),MATCH('Трудоемкость работ'!M$1,'Работы по развертыванию'!$A$84:$N$84,0))</f>
        <v>0</v>
      </c>
      <c r="O22" s="121">
        <f t="shared" si="3"/>
        <v>0</v>
      </c>
      <c r="P22" s="3">
        <f>INDEX('План распределения'!$A$1:$N$16,MATCH($C22,'План распределения'!$B$1:$B$15,0),MATCH(P$1,'План распределения'!$A$1:$N$1,0))</f>
        <v>0</v>
      </c>
      <c r="Q22" s="124">
        <f>INDEX('Работы по развертыванию'!$A$84:$N$154,MATCH('Трудоемкость работ'!$B22,'Работы по развертыванию'!$B$84:$B$154,0),MATCH('Трудоемкость работ'!P$1,'Работы по развертыванию'!$A$84:$N$84,0))</f>
        <v>0</v>
      </c>
      <c r="R22" s="121">
        <f t="shared" si="4"/>
        <v>0</v>
      </c>
      <c r="S22" s="72">
        <f>INDEX('План распределения'!$A$1:$N$16,MATCH($C22,'План распределения'!$B$1:$B$15,0),MATCH(S$1,'План распределения'!$A$1:$N$1,0))</f>
        <v>1</v>
      </c>
      <c r="T22" s="124">
        <f>INDEX('Работы по развертыванию'!$A$84:$N$154,MATCH('Трудоемкость работ'!$B22,'Работы по развертыванию'!$B$84:$B$154,0),MATCH('Трудоемкость работ'!S$1,'Работы по развертыванию'!$A$84:$N$84,0))</f>
        <v>0</v>
      </c>
      <c r="U22" s="121">
        <f t="shared" si="5"/>
        <v>0</v>
      </c>
      <c r="V22" s="72">
        <f>INDEX('План распределения'!$A$1:$N$16,MATCH($C22,'План распределения'!$B$1:$B$15,0),MATCH(V$1,'План распределения'!$A$1:$N$1,0))</f>
        <v>1</v>
      </c>
      <c r="W22" s="124">
        <f>INDEX('Работы по развертыванию'!$A$84:$N$154,MATCH('Трудоемкость работ'!$B22,'Работы по развертыванию'!$B$84:$B$154,0),MATCH('Трудоемкость работ'!V$1,'Работы по развертыванию'!$A$84:$N$84,0))</f>
        <v>0</v>
      </c>
      <c r="X22" s="121">
        <f t="shared" si="6"/>
        <v>0</v>
      </c>
      <c r="Y22" s="3">
        <f>INDEX('План распределения'!$A$1:$N$16,MATCH($C22,'План распределения'!$B$1:$B$15,0),MATCH(Y$1,'План распределения'!$A$1:$N$1,0))</f>
        <v>1</v>
      </c>
      <c r="Z22" s="124">
        <f>INDEX('Работы по развертыванию'!$A$84:$N$154,MATCH('Трудоемкость работ'!$B22,'Работы по развертыванию'!$B$84:$B$154,0),MATCH('Трудоемкость работ'!Y$1,'Работы по развертыванию'!$A$84:$N$84,0))</f>
        <v>28</v>
      </c>
      <c r="AA22" s="121">
        <f t="shared" si="7"/>
        <v>28</v>
      </c>
      <c r="AB22" s="3">
        <f>INDEX('План распределения'!$A$1:$N$16,MATCH($C22,'План распределения'!$B$1:$B$15,0),MATCH(AB$1,'План распределения'!$A$1:$N$1,0))</f>
        <v>4</v>
      </c>
      <c r="AC22" s="124">
        <f>INDEX('Работы по развертыванию'!$A$84:$N$154,MATCH('Трудоемкость работ'!$B22,'Работы по развертыванию'!$B$84:$B$154,0),MATCH('Трудоемкость работ'!AB$1,'Работы по развертыванию'!$A$84:$N$84,0))</f>
        <v>0</v>
      </c>
      <c r="AD22" s="121">
        <f t="shared" si="8"/>
        <v>0</v>
      </c>
      <c r="AE22" s="174">
        <f>INDEX('План распределения'!$A$1:$N$16,MATCH($C22,'План распределения'!$B$1:$B$15,0),MATCH(AE$1,'План распределения'!$A$1:$N$1,0))</f>
        <v>1</v>
      </c>
      <c r="AF22" s="124">
        <f>INDEX('Работы по развертыванию'!$A$84:$N$154,MATCH('Трудоемкость работ'!$B22,'Работы по развертыванию'!$B$84:$B$154,0),MATCH('Трудоемкость работ'!AE$1,'Работы по развертыванию'!$A$84:$N$84,0))</f>
        <v>0</v>
      </c>
      <c r="AG22" s="121">
        <f t="shared" si="9"/>
        <v>0</v>
      </c>
      <c r="AH22" s="124">
        <f>INDEX('Работы по развертыванию'!$A$84:$N$154,MATCH('Трудоемкость работ'!$B22,'Работы по развертыванию'!$B$84:$B$154,0),MATCH('Трудоемкость работ'!AH$1,'Работы по развертыванию'!$A$84:$N$84,0))</f>
        <v>0</v>
      </c>
      <c r="AI22" s="121">
        <f t="shared" si="10"/>
        <v>28</v>
      </c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</row>
    <row r="23" spans="1:138" ht="15.75" customHeight="1" outlineLevel="1" x14ac:dyDescent="0.25">
      <c r="A23" s="72" t="str">
        <f>'Работы по развертыванию'!A148</f>
        <v>7</v>
      </c>
      <c r="B23" s="187" t="str">
        <f>'Работы по развертыванию'!B148</f>
        <v>Инструктаж (обучение) должностных лиц по использованию оборудования</v>
      </c>
      <c r="C23" s="192" t="str">
        <f>C3</f>
        <v>Объект1</v>
      </c>
      <c r="D23" s="174">
        <f>INDEX('План распределения'!$A$1:$N$16,MATCH($C23,'План распределения'!$B$1:$B$15,0),MATCH(D$1,'План распределения'!$A$1:$N$1,0))</f>
        <v>0</v>
      </c>
      <c r="E23" s="124">
        <f>INDEX('Работы по развертыванию'!$A$84:$N$154,MATCH('Трудоемкость работ'!$B23,'Работы по развертыванию'!$B$84:$B$154,0),MATCH('Трудоемкость работ'!D$1,'Работы по развертыванию'!$A$84:$N$84,0))</f>
        <v>1</v>
      </c>
      <c r="F23" s="121">
        <f t="shared" si="0"/>
        <v>0</v>
      </c>
      <c r="G23" s="3">
        <f>INDEX('План распределения'!$A$1:$N$16,MATCH($C23,'План распределения'!$B$1:$B$15,0),MATCH(G$1,'План распределения'!$A$1:$N$1,0))</f>
        <v>3</v>
      </c>
      <c r="H23" s="124">
        <f>INDEX('Работы по развертыванию'!$A$84:$N$154,MATCH('Трудоемкость работ'!$B23,'Работы по развертыванию'!$B$84:$B$154,0),MATCH('Трудоемкость работ'!G$1,'Работы по развертыванию'!$A$84:$N$84,0))</f>
        <v>1</v>
      </c>
      <c r="I23" s="121">
        <f t="shared" si="1"/>
        <v>3</v>
      </c>
      <c r="J23" s="3">
        <f>INDEX('План распределения'!$A$1:$N$16,MATCH($C23,'План распределения'!$B$1:$B$15,0),MATCH(J$1,'План распределения'!$A$1:$N$1,0))</f>
        <v>1</v>
      </c>
      <c r="K23" s="124">
        <f>INDEX('Работы по развертыванию'!$A$84:$N$154,MATCH('Трудоемкость работ'!$B23,'Работы по развертыванию'!$B$84:$B$154,0),MATCH('Трудоемкость работ'!J$1,'Работы по развертыванию'!$A$84:$N$84,0))</f>
        <v>1</v>
      </c>
      <c r="L23" s="121">
        <f t="shared" si="2"/>
        <v>1</v>
      </c>
      <c r="M23" s="3">
        <f>INDEX('План распределения'!$A$1:$N$16,MATCH($C23,'План распределения'!$B$1:$B$15,0),MATCH(M$1,'План распределения'!$A$1:$N$1,0))</f>
        <v>1</v>
      </c>
      <c r="N23" s="124">
        <f>INDEX('Работы по развертыванию'!$A$84:$N$154,MATCH('Трудоемкость работ'!$B23,'Работы по развертыванию'!$B$84:$B$154,0),MATCH('Трудоемкость работ'!M$1,'Работы по развертыванию'!$A$84:$N$84,0))</f>
        <v>1</v>
      </c>
      <c r="O23" s="121">
        <f t="shared" si="3"/>
        <v>1</v>
      </c>
      <c r="P23" s="3">
        <f>INDEX('План распределения'!$A$1:$N$16,MATCH($C23,'План распределения'!$B$1:$B$15,0),MATCH(P$1,'План распределения'!$A$1:$N$1,0))</f>
        <v>0</v>
      </c>
      <c r="Q23" s="124">
        <f>INDEX('Работы по развертыванию'!$A$84:$N$154,MATCH('Трудоемкость работ'!$B23,'Работы по развертыванию'!$B$84:$B$154,0),MATCH('Трудоемкость работ'!P$1,'Работы по развертыванию'!$A$84:$N$84,0))</f>
        <v>1</v>
      </c>
      <c r="R23" s="121">
        <f t="shared" si="4"/>
        <v>0</v>
      </c>
      <c r="S23" s="72">
        <f>INDEX('План распределения'!$A$1:$N$16,MATCH($C23,'План распределения'!$B$1:$B$15,0),MATCH(S$1,'План распределения'!$A$1:$N$1,0))</f>
        <v>1</v>
      </c>
      <c r="T23" s="124">
        <f>INDEX('Работы по развертыванию'!$A$84:$N$154,MATCH('Трудоемкость работ'!$B23,'Работы по развертыванию'!$B$84:$B$154,0),MATCH('Трудоемкость работ'!S$1,'Работы по развертыванию'!$A$84:$N$84,0))</f>
        <v>1</v>
      </c>
      <c r="U23" s="121">
        <f t="shared" si="5"/>
        <v>1</v>
      </c>
      <c r="V23" s="72">
        <f>INDEX('План распределения'!$A$1:$N$16,MATCH($C23,'План распределения'!$B$1:$B$15,0),MATCH(V$1,'План распределения'!$A$1:$N$1,0))</f>
        <v>1</v>
      </c>
      <c r="W23" s="124">
        <f>INDEX('Работы по развертыванию'!$A$84:$N$154,MATCH('Трудоемкость работ'!$B23,'Работы по развертыванию'!$B$84:$B$154,0),MATCH('Трудоемкость работ'!V$1,'Работы по развертыванию'!$A$84:$N$84,0))</f>
        <v>1</v>
      </c>
      <c r="X23" s="121">
        <f t="shared" si="6"/>
        <v>1</v>
      </c>
      <c r="Y23" s="3">
        <f>INDEX('План распределения'!$A$1:$N$16,MATCH($C23,'План распределения'!$B$1:$B$15,0),MATCH(Y$1,'План распределения'!$A$1:$N$1,0))</f>
        <v>1</v>
      </c>
      <c r="Z23" s="124">
        <f>INDEX('Работы по развертыванию'!$A$84:$N$154,MATCH('Трудоемкость работ'!$B23,'Работы по развертыванию'!$B$84:$B$154,0),MATCH('Трудоемкость работ'!Y$1,'Работы по развертыванию'!$A$84:$N$84,0))</f>
        <v>1</v>
      </c>
      <c r="AA23" s="121">
        <f t="shared" si="7"/>
        <v>1</v>
      </c>
      <c r="AB23" s="3">
        <f>INDEX('План распределения'!$A$1:$N$16,MATCH($C23,'План распределения'!$B$1:$B$15,0),MATCH(AB$1,'План распределения'!$A$1:$N$1,0))</f>
        <v>4</v>
      </c>
      <c r="AC23" s="124">
        <f>INDEX('Работы по развертыванию'!$A$84:$N$154,MATCH('Трудоемкость работ'!$B23,'Работы по развертыванию'!$B$84:$B$154,0),MATCH('Трудоемкость работ'!AB$1,'Работы по развертыванию'!$A$84:$N$84,0))</f>
        <v>1</v>
      </c>
      <c r="AD23" s="121">
        <f t="shared" si="8"/>
        <v>4</v>
      </c>
      <c r="AE23" s="174">
        <f>INDEX('План распределения'!$A$1:$N$16,MATCH($C23,'План распределения'!$B$1:$B$15,0),MATCH(AE$1,'План распределения'!$A$1:$N$1,0))</f>
        <v>1</v>
      </c>
      <c r="AF23" s="124">
        <f>INDEX('Работы по развертыванию'!$A$84:$N$154,MATCH('Трудоемкость работ'!$B23,'Работы по развертыванию'!$B$84:$B$154,0),MATCH('Трудоемкость работ'!AE$1,'Работы по развертыванию'!$A$84:$N$84,0))</f>
        <v>1</v>
      </c>
      <c r="AG23" s="121">
        <f t="shared" si="9"/>
        <v>1</v>
      </c>
      <c r="AH23" s="124">
        <f>INDEX('Работы по развертыванию'!$A$84:$N$154,MATCH('Трудоемкость работ'!$B23,'Работы по развертыванию'!$B$84:$B$154,0),MATCH('Трудоемкость работ'!AH$1,'Работы по развертыванию'!$A$84:$N$84,0))</f>
        <v>0</v>
      </c>
      <c r="AI23" s="121">
        <f t="shared" si="10"/>
        <v>13</v>
      </c>
      <c r="AJ23" s="100">
        <f>AI23/8</f>
        <v>1.625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</row>
    <row r="24" spans="1:138" ht="15.75" customHeight="1" outlineLevel="1" x14ac:dyDescent="0.25">
      <c r="A24" s="72" t="str">
        <f>'Работы по развертыванию'!A149</f>
        <v>8</v>
      </c>
      <c r="B24" s="187" t="str">
        <f>'Работы по развертыванию'!B149</f>
        <v xml:space="preserve">Объектовые специальные исследования </v>
      </c>
      <c r="C24" s="192" t="str">
        <f>C3</f>
        <v>Объект1</v>
      </c>
      <c r="D24" s="174">
        <f>INDEX('План распределения'!$A$1:$N$16,MATCH($C24,'План распределения'!$B$1:$B$15,0),MATCH(D$1,'План распределения'!$A$1:$N$1,0))</f>
        <v>0</v>
      </c>
      <c r="E24" s="124">
        <f>INDEX('Работы по развертыванию'!$A$84:$N$154,MATCH('Трудоемкость работ'!$B24,'Работы по развертыванию'!$B$84:$B$154,0),MATCH('Трудоемкость работ'!D$1,'Работы по развертыванию'!$A$84:$N$84,0))</f>
        <v>4.5</v>
      </c>
      <c r="F24" s="121">
        <f t="shared" si="0"/>
        <v>0</v>
      </c>
      <c r="G24" s="3">
        <f>INDEX('План распределения'!$A$1:$N$16,MATCH($C24,'План распределения'!$B$1:$B$15,0),MATCH(G$1,'План распределения'!$A$1:$N$1,0))</f>
        <v>3</v>
      </c>
      <c r="H24" s="124">
        <f>INDEX('Работы по развертыванию'!$A$84:$N$154,MATCH('Трудоемкость работ'!$B24,'Работы по развертыванию'!$B$84:$B$154,0),MATCH('Трудоемкость работ'!G$1,'Работы по развертыванию'!$A$84:$N$84,0))</f>
        <v>4.5</v>
      </c>
      <c r="I24" s="121">
        <f t="shared" si="1"/>
        <v>13.5</v>
      </c>
      <c r="J24" s="3">
        <f>INDEX('План распределения'!$A$1:$N$16,MATCH($C24,'План распределения'!$B$1:$B$15,0),MATCH(J$1,'План распределения'!$A$1:$N$1,0))</f>
        <v>1</v>
      </c>
      <c r="K24" s="124">
        <f>INDEX('Работы по развертыванию'!$A$84:$N$154,MATCH('Трудоемкость работ'!$B24,'Работы по развертыванию'!$B$84:$B$154,0),MATCH('Трудоемкость работ'!J$1,'Работы по развертыванию'!$A$84:$N$84,0))</f>
        <v>4.5</v>
      </c>
      <c r="L24" s="121">
        <f t="shared" si="2"/>
        <v>4.5</v>
      </c>
      <c r="M24" s="3">
        <f>INDEX('План распределения'!$A$1:$N$16,MATCH($C24,'План распределения'!$B$1:$B$15,0),MATCH(M$1,'План распределения'!$A$1:$N$1,0))</f>
        <v>1</v>
      </c>
      <c r="N24" s="124">
        <f>INDEX('Работы по развертыванию'!$A$84:$N$154,MATCH('Трудоемкость работ'!$B24,'Работы по развертыванию'!$B$84:$B$154,0),MATCH('Трудоемкость работ'!M$1,'Работы по развертыванию'!$A$84:$N$84,0))</f>
        <v>4.5</v>
      </c>
      <c r="O24" s="121">
        <f t="shared" si="3"/>
        <v>4.5</v>
      </c>
      <c r="P24" s="3">
        <f>INDEX('План распределения'!$A$1:$N$16,MATCH($C24,'План распределения'!$B$1:$B$15,0),MATCH(P$1,'План распределения'!$A$1:$N$1,0))</f>
        <v>0</v>
      </c>
      <c r="Q24" s="124">
        <f>INDEX('Работы по развертыванию'!$A$84:$N$154,MATCH('Трудоемкость работ'!$B24,'Работы по развертыванию'!$B$84:$B$154,0),MATCH('Трудоемкость работ'!P$1,'Работы по развертыванию'!$A$84:$N$84,0))</f>
        <v>4.5</v>
      </c>
      <c r="R24" s="121">
        <f t="shared" si="4"/>
        <v>0</v>
      </c>
      <c r="S24" s="72">
        <f>INDEX('План распределения'!$A$1:$N$16,MATCH($C24,'План распределения'!$B$1:$B$15,0),MATCH(S$1,'План распределения'!$A$1:$N$1,0))</f>
        <v>1</v>
      </c>
      <c r="T24" s="124">
        <f>INDEX('Работы по развертыванию'!$A$84:$N$154,MATCH('Трудоемкость работ'!$B24,'Работы по развертыванию'!$B$84:$B$154,0),MATCH('Трудоемкость работ'!S$1,'Работы по развертыванию'!$A$84:$N$84,0))</f>
        <v>4.5</v>
      </c>
      <c r="U24" s="121">
        <f t="shared" si="5"/>
        <v>4.5</v>
      </c>
      <c r="V24" s="72">
        <f>INDEX('План распределения'!$A$1:$N$16,MATCH($C24,'План распределения'!$B$1:$B$15,0),MATCH(V$1,'План распределения'!$A$1:$N$1,0))</f>
        <v>1</v>
      </c>
      <c r="W24" s="124">
        <f>INDEX('Работы по развертыванию'!$A$84:$N$154,MATCH('Трудоемкость работ'!$B24,'Работы по развертыванию'!$B$84:$B$154,0),MATCH('Трудоемкость работ'!V$1,'Работы по развертыванию'!$A$84:$N$84,0))</f>
        <v>4.5</v>
      </c>
      <c r="X24" s="121">
        <f t="shared" si="6"/>
        <v>4.5</v>
      </c>
      <c r="Y24" s="3">
        <f>INDEX('План распределения'!$A$1:$N$16,MATCH($C24,'План распределения'!$B$1:$B$15,0),MATCH(Y$1,'План распределения'!$A$1:$N$1,0))</f>
        <v>1</v>
      </c>
      <c r="Z24" s="124">
        <f>INDEX('Работы по развертыванию'!$A$84:$N$154,MATCH('Трудоемкость работ'!$B24,'Работы по развертыванию'!$B$84:$B$154,0),MATCH('Трудоемкость работ'!Y$1,'Работы по развертыванию'!$A$84:$N$84,0))</f>
        <v>4.5</v>
      </c>
      <c r="AA24" s="121">
        <f t="shared" si="7"/>
        <v>4.5</v>
      </c>
      <c r="AB24" s="3">
        <f>INDEX('План распределения'!$A$1:$N$16,MATCH($C24,'План распределения'!$B$1:$B$15,0),MATCH(AB$1,'План распределения'!$A$1:$N$1,0))</f>
        <v>4</v>
      </c>
      <c r="AC24" s="124">
        <f>INDEX('Работы по развертыванию'!$A$84:$N$154,MATCH('Трудоемкость работ'!$B24,'Работы по развертыванию'!$B$84:$B$154,0),MATCH('Трудоемкость работ'!AB$1,'Работы по развертыванию'!$A$84:$N$84,0))</f>
        <v>1.5</v>
      </c>
      <c r="AD24" s="121">
        <f t="shared" si="8"/>
        <v>6</v>
      </c>
      <c r="AE24" s="174">
        <f>INDEX('План распределения'!$A$1:$N$16,MATCH($C24,'План распределения'!$B$1:$B$15,0),MATCH(AE$1,'План распределения'!$A$1:$N$1,0))</f>
        <v>1</v>
      </c>
      <c r="AF24" s="124">
        <f>INDEX('Работы по развертыванию'!$A$84:$N$154,MATCH('Трудоемкость работ'!$B24,'Работы по развертыванию'!$B$84:$B$154,0),MATCH('Трудоемкость работ'!AE$1,'Работы по развертыванию'!$A$84:$N$84,0))</f>
        <v>1.5</v>
      </c>
      <c r="AG24" s="121">
        <f t="shared" si="9"/>
        <v>1.5</v>
      </c>
      <c r="AH24" s="124">
        <f>INDEX('Работы по развертыванию'!$A$84:$N$154,MATCH('Трудоемкость работ'!$B24,'Работы по развертыванию'!$B$84:$B$154,0),MATCH('Трудоемкость работ'!AH$1,'Работы по развертыванию'!$A$84:$N$84,0))</f>
        <v>22</v>
      </c>
      <c r="AI24" s="121">
        <f t="shared" si="10"/>
        <v>65.5</v>
      </c>
      <c r="AJ24" s="100">
        <f>AI24/8</f>
        <v>8.1875</v>
      </c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</row>
    <row r="25" spans="1:138" ht="15.75" customHeight="1" outlineLevel="1" x14ac:dyDescent="0.25">
      <c r="A25" s="72" t="str">
        <f>'Работы по развертыванию'!A150</f>
        <v>9</v>
      </c>
      <c r="B25" s="187" t="str">
        <f>'Работы по развертыванию'!B150</f>
        <v>Разработка и согласование исходных данных</v>
      </c>
      <c r="C25" s="192" t="str">
        <f>C3</f>
        <v>Объект1</v>
      </c>
      <c r="D25" s="174">
        <f>INDEX('План распределения'!$A$1:$N$16,MATCH($C25,'План распределения'!$B$1:$B$15,0),MATCH(D$1,'План распределения'!$A$1:$N$1,0))</f>
        <v>0</v>
      </c>
      <c r="E25" s="124">
        <f>INDEX('Работы по развертыванию'!$A$84:$N$154,MATCH('Трудоемкость работ'!$B25,'Работы по развертыванию'!$B$84:$B$154,0),MATCH('Трудоемкость работ'!D$1,'Работы по развертыванию'!$A$84:$N$84,0))</f>
        <v>10</v>
      </c>
      <c r="F25" s="121">
        <f t="shared" ref="F25:F29" si="13">E25*D25</f>
        <v>0</v>
      </c>
      <c r="G25" s="3">
        <f>INDEX('План распределения'!$A$1:$N$16,MATCH($C25,'План распределения'!$B$1:$B$15,0),MATCH(G$1,'План распределения'!$A$1:$N$1,0))</f>
        <v>3</v>
      </c>
      <c r="H25" s="124">
        <f>INDEX('Работы по развертыванию'!$A$84:$N$154,MATCH('Трудоемкость работ'!$B25,'Работы по развертыванию'!$B$84:$B$154,0),MATCH('Трудоемкость работ'!G$1,'Работы по развертыванию'!$A$84:$N$84,0))</f>
        <v>10</v>
      </c>
      <c r="I25" s="121">
        <f t="shared" ref="I25:I29" si="14">H25*G25</f>
        <v>30</v>
      </c>
      <c r="J25" s="3">
        <f>INDEX('План распределения'!$A$1:$N$16,MATCH($C25,'План распределения'!$B$1:$B$15,0),MATCH(J$1,'План распределения'!$A$1:$N$1,0))</f>
        <v>1</v>
      </c>
      <c r="K25" s="124">
        <f>INDEX('Работы по развертыванию'!$A$84:$N$154,MATCH('Трудоемкость работ'!$B25,'Работы по развертыванию'!$B$84:$B$154,0),MATCH('Трудоемкость работ'!J$1,'Работы по развертыванию'!$A$84:$N$84,0))</f>
        <v>10</v>
      </c>
      <c r="L25" s="121">
        <f t="shared" ref="L25:L29" si="15">K25*J25</f>
        <v>10</v>
      </c>
      <c r="M25" s="3">
        <f>INDEX('План распределения'!$A$1:$N$16,MATCH($C25,'План распределения'!$B$1:$B$15,0),MATCH(M$1,'План распределения'!$A$1:$N$1,0))</f>
        <v>1</v>
      </c>
      <c r="N25" s="124">
        <f>INDEX('Работы по развертыванию'!$A$84:$N$154,MATCH('Трудоемкость работ'!$B25,'Работы по развертыванию'!$B$84:$B$154,0),MATCH('Трудоемкость работ'!M$1,'Работы по развертыванию'!$A$84:$N$84,0))</f>
        <v>10</v>
      </c>
      <c r="O25" s="121">
        <f t="shared" ref="O25:O29" si="16">N25*M25</f>
        <v>10</v>
      </c>
      <c r="P25" s="3">
        <f>INDEX('План распределения'!$A$1:$N$16,MATCH($C25,'План распределения'!$B$1:$B$15,0),MATCH(P$1,'План распределения'!$A$1:$N$1,0))</f>
        <v>0</v>
      </c>
      <c r="Q25" s="124">
        <f>INDEX('Работы по развертыванию'!$A$84:$N$154,MATCH('Трудоемкость работ'!$B25,'Работы по развертыванию'!$B$84:$B$154,0),MATCH('Трудоемкость работ'!P$1,'Работы по развертыванию'!$A$84:$N$84,0))</f>
        <v>10</v>
      </c>
      <c r="R25" s="121">
        <f t="shared" ref="R25:R29" si="17">Q25*P25</f>
        <v>0</v>
      </c>
      <c r="S25" s="72">
        <f>INDEX('План распределения'!$A$1:$N$16,MATCH($C25,'План распределения'!$B$1:$B$15,0),MATCH(S$1,'План распределения'!$A$1:$N$1,0))</f>
        <v>1</v>
      </c>
      <c r="T25" s="124">
        <f>INDEX('Работы по развертыванию'!$A$84:$N$154,MATCH('Трудоемкость работ'!$B25,'Работы по развертыванию'!$B$84:$B$154,0),MATCH('Трудоемкость работ'!S$1,'Работы по развертыванию'!$A$84:$N$84,0))</f>
        <v>10</v>
      </c>
      <c r="U25" s="121">
        <f t="shared" ref="U25:U29" si="18">T25*S25</f>
        <v>10</v>
      </c>
      <c r="V25" s="72">
        <f>INDEX('План распределения'!$A$1:$N$16,MATCH($C25,'План распределения'!$B$1:$B$15,0),MATCH(V$1,'План распределения'!$A$1:$N$1,0))</f>
        <v>1</v>
      </c>
      <c r="W25" s="124">
        <f>INDEX('Работы по развертыванию'!$A$84:$N$154,MATCH('Трудоемкость работ'!$B25,'Работы по развертыванию'!$B$84:$B$154,0),MATCH('Трудоемкость работ'!V$1,'Работы по развертыванию'!$A$84:$N$84,0))</f>
        <v>10</v>
      </c>
      <c r="X25" s="121">
        <f t="shared" ref="X25:X29" si="19">W25*V25</f>
        <v>10</v>
      </c>
      <c r="Y25" s="3">
        <f>INDEX('План распределения'!$A$1:$N$16,MATCH($C25,'План распределения'!$B$1:$B$15,0),MATCH(Y$1,'План распределения'!$A$1:$N$1,0))</f>
        <v>1</v>
      </c>
      <c r="Z25" s="124">
        <f>INDEX('Работы по развертыванию'!$A$84:$N$154,MATCH('Трудоемкость работ'!$B25,'Работы по развертыванию'!$B$84:$B$154,0),MATCH('Трудоемкость работ'!Y$1,'Работы по развертыванию'!$A$84:$N$84,0))</f>
        <v>10</v>
      </c>
      <c r="AA25" s="121">
        <f t="shared" ref="AA25:AA29" si="20">Z25*Y25</f>
        <v>10</v>
      </c>
      <c r="AB25" s="3">
        <f>INDEX('План распределения'!$A$1:$N$16,MATCH($C25,'План распределения'!$B$1:$B$15,0),MATCH(AB$1,'План распределения'!$A$1:$N$1,0))</f>
        <v>4</v>
      </c>
      <c r="AC25" s="124">
        <f>INDEX('Работы по развертыванию'!$A$84:$N$154,MATCH('Трудоемкость работ'!$B25,'Работы по развертыванию'!$B$84:$B$154,0),MATCH('Трудоемкость работ'!AB$1,'Работы по развертыванию'!$A$84:$N$84,0))</f>
        <v>10</v>
      </c>
      <c r="AD25" s="121">
        <f t="shared" ref="AD25:AD29" si="21">AC25*AB25</f>
        <v>40</v>
      </c>
      <c r="AE25" s="174">
        <f>INDEX('План распределения'!$A$1:$N$16,MATCH($C25,'План распределения'!$B$1:$B$15,0),MATCH(AE$1,'План распределения'!$A$1:$N$1,0))</f>
        <v>1</v>
      </c>
      <c r="AF25" s="124">
        <f>INDEX('Работы по развертыванию'!$A$84:$N$154,MATCH('Трудоемкость работ'!$B25,'Работы по развертыванию'!$B$84:$B$154,0),MATCH('Трудоемкость работ'!AE$1,'Работы по развертыванию'!$A$84:$N$84,0))</f>
        <v>10</v>
      </c>
      <c r="AG25" s="121">
        <f t="shared" ref="AG25:AG29" si="22">AF25*AE25</f>
        <v>10</v>
      </c>
      <c r="AH25" s="124">
        <f>INDEX('Работы по развертыванию'!$A$84:$N$154,MATCH('Трудоемкость работ'!$B25,'Работы по развертыванию'!$B$84:$B$154,0),MATCH('Трудоемкость работ'!AH$1,'Работы по развертыванию'!$A$84:$N$84,0))</f>
        <v>160</v>
      </c>
      <c r="AI25" s="121">
        <f t="shared" ref="AI25:AI29" si="23">SUM(AH25,AG25,AD25,AA25,X25,U25,R25,O25,L25,I25,F25)</f>
        <v>290</v>
      </c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</row>
    <row r="26" spans="1:138" ht="15.75" customHeight="1" outlineLevel="1" x14ac:dyDescent="0.25">
      <c r="A26" s="72" t="str">
        <f>'Работы по развертыванию'!A151</f>
        <v>9.1</v>
      </c>
      <c r="B26" s="187" t="str">
        <f>'Работы по развертыванию'!B151</f>
        <v>Разработка и согласование ИД</v>
      </c>
      <c r="C26" s="192" t="str">
        <f>C3</f>
        <v>Объект1</v>
      </c>
      <c r="D26" s="174">
        <f>INDEX('План распределения'!$A$1:$N$16,MATCH($C26,'План распределения'!$B$1:$B$15,0),MATCH(D$1,'План распределения'!$A$1:$N$1,0))</f>
        <v>0</v>
      </c>
      <c r="E26" s="124">
        <f>INDEX('Работы по развертыванию'!$A$84:$N$154,MATCH('Трудоемкость работ'!$B26,'Работы по развертыванию'!$B$84:$B$154,0),MATCH('Трудоемкость работ'!D$1,'Работы по развертыванию'!$A$84:$N$84,0))</f>
        <v>10</v>
      </c>
      <c r="F26" s="121">
        <f t="shared" si="13"/>
        <v>0</v>
      </c>
      <c r="G26" s="3">
        <f>INDEX('План распределения'!$A$1:$N$16,MATCH($C26,'План распределения'!$B$1:$B$15,0),MATCH(G$1,'План распределения'!$A$1:$N$1,0))</f>
        <v>3</v>
      </c>
      <c r="H26" s="124">
        <f>INDEX('Работы по развертыванию'!$A$84:$N$154,MATCH('Трудоемкость работ'!$B26,'Работы по развертыванию'!$B$84:$B$154,0),MATCH('Трудоемкость работ'!G$1,'Работы по развертыванию'!$A$84:$N$84,0))</f>
        <v>10</v>
      </c>
      <c r="I26" s="121">
        <f t="shared" si="14"/>
        <v>30</v>
      </c>
      <c r="J26" s="3">
        <f>INDEX('План распределения'!$A$1:$N$16,MATCH($C26,'План распределения'!$B$1:$B$15,0),MATCH(J$1,'План распределения'!$A$1:$N$1,0))</f>
        <v>1</v>
      </c>
      <c r="K26" s="124">
        <f>INDEX('Работы по развертыванию'!$A$84:$N$154,MATCH('Трудоемкость работ'!$B26,'Работы по развертыванию'!$B$84:$B$154,0),MATCH('Трудоемкость работ'!J$1,'Работы по развертыванию'!$A$84:$N$84,0))</f>
        <v>10</v>
      </c>
      <c r="L26" s="121">
        <f t="shared" si="15"/>
        <v>10</v>
      </c>
      <c r="M26" s="3">
        <f>INDEX('План распределения'!$A$1:$N$16,MATCH($C26,'План распределения'!$B$1:$B$15,0),MATCH(M$1,'План распределения'!$A$1:$N$1,0))</f>
        <v>1</v>
      </c>
      <c r="N26" s="124">
        <f>INDEX('Работы по развертыванию'!$A$84:$N$154,MATCH('Трудоемкость работ'!$B26,'Работы по развертыванию'!$B$84:$B$154,0),MATCH('Трудоемкость работ'!M$1,'Работы по развертыванию'!$A$84:$N$84,0))</f>
        <v>10</v>
      </c>
      <c r="O26" s="121">
        <f t="shared" si="16"/>
        <v>10</v>
      </c>
      <c r="P26" s="3">
        <f>INDEX('План распределения'!$A$1:$N$16,MATCH($C26,'План распределения'!$B$1:$B$15,0),MATCH(P$1,'План распределения'!$A$1:$N$1,0))</f>
        <v>0</v>
      </c>
      <c r="Q26" s="124">
        <f>INDEX('Работы по развертыванию'!$A$84:$N$154,MATCH('Трудоемкость работ'!$B26,'Работы по развертыванию'!$B$84:$B$154,0),MATCH('Трудоемкость работ'!P$1,'Работы по развертыванию'!$A$84:$N$84,0))</f>
        <v>10</v>
      </c>
      <c r="R26" s="121">
        <f t="shared" si="17"/>
        <v>0</v>
      </c>
      <c r="S26" s="72">
        <f>INDEX('План распределения'!$A$1:$N$16,MATCH($C26,'План распределения'!$B$1:$B$15,0),MATCH(S$1,'План распределения'!$A$1:$N$1,0))</f>
        <v>1</v>
      </c>
      <c r="T26" s="124">
        <f>INDEX('Работы по развертыванию'!$A$84:$N$154,MATCH('Трудоемкость работ'!$B26,'Работы по развертыванию'!$B$84:$B$154,0),MATCH('Трудоемкость работ'!S$1,'Работы по развертыванию'!$A$84:$N$84,0))</f>
        <v>10</v>
      </c>
      <c r="U26" s="121">
        <f t="shared" si="18"/>
        <v>10</v>
      </c>
      <c r="V26" s="72">
        <f>INDEX('План распределения'!$A$1:$N$16,MATCH($C26,'План распределения'!$B$1:$B$15,0),MATCH(V$1,'План распределения'!$A$1:$N$1,0))</f>
        <v>1</v>
      </c>
      <c r="W26" s="124">
        <f>INDEX('Работы по развертыванию'!$A$84:$N$154,MATCH('Трудоемкость работ'!$B26,'Работы по развертыванию'!$B$84:$B$154,0),MATCH('Трудоемкость работ'!V$1,'Работы по развертыванию'!$A$84:$N$84,0))</f>
        <v>10</v>
      </c>
      <c r="X26" s="121">
        <f t="shared" si="19"/>
        <v>10</v>
      </c>
      <c r="Y26" s="3">
        <f>INDEX('План распределения'!$A$1:$N$16,MATCH($C26,'План распределения'!$B$1:$B$15,0),MATCH(Y$1,'План распределения'!$A$1:$N$1,0))</f>
        <v>1</v>
      </c>
      <c r="Z26" s="124">
        <f>INDEX('Работы по развертыванию'!$A$84:$N$154,MATCH('Трудоемкость работ'!$B26,'Работы по развертыванию'!$B$84:$B$154,0),MATCH('Трудоемкость работ'!Y$1,'Работы по развертыванию'!$A$84:$N$84,0))</f>
        <v>10</v>
      </c>
      <c r="AA26" s="121">
        <f t="shared" si="20"/>
        <v>10</v>
      </c>
      <c r="AB26" s="3">
        <f>INDEX('План распределения'!$A$1:$N$16,MATCH($C26,'План распределения'!$B$1:$B$15,0),MATCH(AB$1,'План распределения'!$A$1:$N$1,0))</f>
        <v>4</v>
      </c>
      <c r="AC26" s="124">
        <f>INDEX('Работы по развертыванию'!$A$84:$N$154,MATCH('Трудоемкость работ'!$B26,'Работы по развертыванию'!$B$84:$B$154,0),MATCH('Трудоемкость работ'!AB$1,'Работы по развертыванию'!$A$84:$N$84,0))</f>
        <v>10</v>
      </c>
      <c r="AD26" s="121">
        <f t="shared" si="21"/>
        <v>40</v>
      </c>
      <c r="AE26" s="174">
        <f>INDEX('План распределения'!$A$1:$N$16,MATCH($C26,'План распределения'!$B$1:$B$15,0),MATCH(AE$1,'План распределения'!$A$1:$N$1,0))</f>
        <v>1</v>
      </c>
      <c r="AF26" s="124">
        <f>INDEX('Работы по развертыванию'!$A$84:$N$154,MATCH('Трудоемкость работ'!$B26,'Работы по развертыванию'!$B$84:$B$154,0),MATCH('Трудоемкость работ'!AE$1,'Работы по развертыванию'!$A$84:$N$84,0))</f>
        <v>10</v>
      </c>
      <c r="AG26" s="121">
        <f t="shared" si="22"/>
        <v>10</v>
      </c>
      <c r="AH26" s="124">
        <f>INDEX('Работы по развертыванию'!$A$84:$N$154,MATCH('Трудоемкость работ'!$B26,'Работы по развертыванию'!$B$84:$B$154,0),MATCH('Трудоемкость работ'!AH$1,'Работы по развертыванию'!$A$84:$N$84,0))</f>
        <v>0</v>
      </c>
      <c r="AI26" s="121">
        <f t="shared" si="23"/>
        <v>130</v>
      </c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</row>
    <row r="27" spans="1:138" ht="15.75" customHeight="1" outlineLevel="1" x14ac:dyDescent="0.25">
      <c r="A27" s="72" t="str">
        <f>'Работы по развертыванию'!A152</f>
        <v>9.2</v>
      </c>
      <c r="B27" s="187" t="str">
        <f>'Работы по развертыванию'!B152</f>
        <v>Разработка и согласование тома Доп. требования</v>
      </c>
      <c r="C27" s="192" t="str">
        <f>C3</f>
        <v>Объект1</v>
      </c>
      <c r="D27" s="174">
        <f>INDEX('План распределения'!$A$1:$N$16,MATCH($C27,'План распределения'!$B$1:$B$15,0),MATCH(D$1,'План распределения'!$A$1:$N$1,0))</f>
        <v>0</v>
      </c>
      <c r="E27" s="124">
        <f>INDEX('Работы по развертыванию'!$A$84:$N$154,MATCH('Трудоемкость работ'!$B27,'Работы по развертыванию'!$B$84:$B$154,0),MATCH('Трудоемкость работ'!D$1,'Работы по развертыванию'!$A$84:$N$84,0))</f>
        <v>0</v>
      </c>
      <c r="F27" s="121">
        <f t="shared" si="13"/>
        <v>0</v>
      </c>
      <c r="G27" s="3">
        <f>INDEX('План распределения'!$A$1:$N$16,MATCH($C27,'План распределения'!$B$1:$B$15,0),MATCH(G$1,'План распределения'!$A$1:$N$1,0))</f>
        <v>3</v>
      </c>
      <c r="H27" s="124">
        <f>INDEX('Работы по развертыванию'!$A$84:$N$154,MATCH('Трудоемкость работ'!$B27,'Работы по развертыванию'!$B$84:$B$154,0),MATCH('Трудоемкость работ'!G$1,'Работы по развертыванию'!$A$84:$N$84,0))</f>
        <v>0</v>
      </c>
      <c r="I27" s="121">
        <f t="shared" si="14"/>
        <v>0</v>
      </c>
      <c r="J27" s="3">
        <f>INDEX('План распределения'!$A$1:$N$16,MATCH($C27,'План распределения'!$B$1:$B$15,0),MATCH(J$1,'План распределения'!$A$1:$N$1,0))</f>
        <v>1</v>
      </c>
      <c r="K27" s="124">
        <f>INDEX('Работы по развертыванию'!$A$84:$N$154,MATCH('Трудоемкость работ'!$B27,'Работы по развертыванию'!$B$84:$B$154,0),MATCH('Трудоемкость работ'!J$1,'Работы по развертыванию'!$A$84:$N$84,0))</f>
        <v>0</v>
      </c>
      <c r="L27" s="121">
        <f t="shared" si="15"/>
        <v>0</v>
      </c>
      <c r="M27" s="3">
        <f>INDEX('План распределения'!$A$1:$N$16,MATCH($C27,'План распределения'!$B$1:$B$15,0),MATCH(M$1,'План распределения'!$A$1:$N$1,0))</f>
        <v>1</v>
      </c>
      <c r="N27" s="124">
        <f>INDEX('Работы по развертыванию'!$A$84:$N$154,MATCH('Трудоемкость работ'!$B27,'Работы по развертыванию'!$B$84:$B$154,0),MATCH('Трудоемкость работ'!M$1,'Работы по развертыванию'!$A$84:$N$84,0))</f>
        <v>0</v>
      </c>
      <c r="O27" s="121">
        <f t="shared" si="16"/>
        <v>0</v>
      </c>
      <c r="P27" s="3">
        <f>INDEX('План распределения'!$A$1:$N$16,MATCH($C27,'План распределения'!$B$1:$B$15,0),MATCH(P$1,'План распределения'!$A$1:$N$1,0))</f>
        <v>0</v>
      </c>
      <c r="Q27" s="124">
        <f>INDEX('Работы по развертыванию'!$A$84:$N$154,MATCH('Трудоемкость работ'!$B27,'Работы по развертыванию'!$B$84:$B$154,0),MATCH('Трудоемкость работ'!P$1,'Работы по развертыванию'!$A$84:$N$84,0))</f>
        <v>0</v>
      </c>
      <c r="R27" s="121">
        <f t="shared" si="17"/>
        <v>0</v>
      </c>
      <c r="S27" s="72">
        <f>INDEX('План распределения'!$A$1:$N$16,MATCH($C27,'План распределения'!$B$1:$B$15,0),MATCH(S$1,'План распределения'!$A$1:$N$1,0))</f>
        <v>1</v>
      </c>
      <c r="T27" s="124">
        <f>INDEX('Работы по развертыванию'!$A$84:$N$154,MATCH('Трудоемкость работ'!$B27,'Работы по развертыванию'!$B$84:$B$154,0),MATCH('Трудоемкость работ'!S$1,'Работы по развертыванию'!$A$84:$N$84,0))</f>
        <v>0</v>
      </c>
      <c r="U27" s="121">
        <f t="shared" si="18"/>
        <v>0</v>
      </c>
      <c r="V27" s="72">
        <f>INDEX('План распределения'!$A$1:$N$16,MATCH($C27,'План распределения'!$B$1:$B$15,0),MATCH(V$1,'План распределения'!$A$1:$N$1,0))</f>
        <v>1</v>
      </c>
      <c r="W27" s="124">
        <f>INDEX('Работы по развертыванию'!$A$84:$N$154,MATCH('Трудоемкость работ'!$B27,'Работы по развертыванию'!$B$84:$B$154,0),MATCH('Трудоемкость работ'!V$1,'Работы по развертыванию'!$A$84:$N$84,0))</f>
        <v>0</v>
      </c>
      <c r="X27" s="121">
        <f t="shared" si="19"/>
        <v>0</v>
      </c>
      <c r="Y27" s="3">
        <f>INDEX('План распределения'!$A$1:$N$16,MATCH($C27,'План распределения'!$B$1:$B$15,0),MATCH(Y$1,'План распределения'!$A$1:$N$1,0))</f>
        <v>1</v>
      </c>
      <c r="Z27" s="124">
        <f>INDEX('Работы по развертыванию'!$A$84:$N$154,MATCH('Трудоемкость работ'!$B27,'Работы по развертыванию'!$B$84:$B$154,0),MATCH('Трудоемкость работ'!Y$1,'Работы по развертыванию'!$A$84:$N$84,0))</f>
        <v>0</v>
      </c>
      <c r="AA27" s="121">
        <f t="shared" si="20"/>
        <v>0</v>
      </c>
      <c r="AB27" s="3">
        <f>INDEX('План распределения'!$A$1:$N$16,MATCH($C27,'План распределения'!$B$1:$B$15,0),MATCH(AB$1,'План распределения'!$A$1:$N$1,0))</f>
        <v>4</v>
      </c>
      <c r="AC27" s="124">
        <f>INDEX('Работы по развертыванию'!$A$84:$N$154,MATCH('Трудоемкость работ'!$B27,'Работы по развертыванию'!$B$84:$B$154,0),MATCH('Трудоемкость работ'!AB$1,'Работы по развертыванию'!$A$84:$N$84,0))</f>
        <v>0</v>
      </c>
      <c r="AD27" s="121">
        <f t="shared" si="21"/>
        <v>0</v>
      </c>
      <c r="AE27" s="174">
        <f>INDEX('План распределения'!$A$1:$N$16,MATCH($C27,'План распределения'!$B$1:$B$15,0),MATCH(AE$1,'План распределения'!$A$1:$N$1,0))</f>
        <v>1</v>
      </c>
      <c r="AF27" s="124">
        <f>INDEX('Работы по развертыванию'!$A$84:$N$154,MATCH('Трудоемкость работ'!$B27,'Работы по развертыванию'!$B$84:$B$154,0),MATCH('Трудоемкость работ'!AE$1,'Работы по развертыванию'!$A$84:$N$84,0))</f>
        <v>0</v>
      </c>
      <c r="AG27" s="121">
        <f t="shared" si="22"/>
        <v>0</v>
      </c>
      <c r="AH27" s="124">
        <f>INDEX('Работы по развертыванию'!$A$84:$N$154,MATCH('Трудоемкость работ'!$B27,'Работы по развертыванию'!$B$84:$B$154,0),MATCH('Трудоемкость работ'!AH$1,'Работы по развертыванию'!$A$84:$N$84,0))</f>
        <v>160</v>
      </c>
      <c r="AI27" s="121">
        <f t="shared" si="23"/>
        <v>160</v>
      </c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</row>
    <row r="28" spans="1:138" ht="15.75" customHeight="1" outlineLevel="1" x14ac:dyDescent="0.25">
      <c r="A28" s="72" t="str">
        <f>'Работы по развертыванию'!A153</f>
        <v>10</v>
      </c>
      <c r="B28" s="187" t="str">
        <f>'Работы по развертыванию'!B153</f>
        <v xml:space="preserve">Сдача-приемка выполненых работ </v>
      </c>
      <c r="C28" s="192" t="str">
        <f>C3</f>
        <v>Объект1</v>
      </c>
      <c r="D28" s="174">
        <f>INDEX('План распределения'!$A$1:$N$16,MATCH($C28,'План распределения'!$B$1:$B$15,0),MATCH(D$1,'План распределения'!$A$1:$N$1,0))</f>
        <v>0</v>
      </c>
      <c r="E28" s="124">
        <f>INDEX('Работы по развертыванию'!$A$84:$N$154,MATCH('Трудоемкость работ'!$B28,'Работы по развертыванию'!$B$84:$B$154,0),MATCH('Трудоемкость работ'!D$1,'Работы по развертыванию'!$A$84:$N$84,0))</f>
        <v>0</v>
      </c>
      <c r="F28" s="121">
        <f t="shared" si="13"/>
        <v>0</v>
      </c>
      <c r="G28" s="3">
        <f>INDEX('План распределения'!$A$1:$N$16,MATCH($C28,'План распределения'!$B$1:$B$15,0),MATCH(G$1,'План распределения'!$A$1:$N$1,0))</f>
        <v>3</v>
      </c>
      <c r="H28" s="124">
        <f>INDEX('Работы по развертыванию'!$A$84:$N$154,MATCH('Трудоемкость работ'!$B28,'Работы по развертыванию'!$B$84:$B$154,0),MATCH('Трудоемкость работ'!G$1,'Работы по развертыванию'!$A$84:$N$84,0))</f>
        <v>0</v>
      </c>
      <c r="I28" s="121">
        <f t="shared" ref="I28" si="24">H28*G28</f>
        <v>0</v>
      </c>
      <c r="J28" s="3">
        <f>INDEX('План распределения'!$A$1:$N$16,MATCH($C28,'План распределения'!$B$1:$B$15,0),MATCH(J$1,'План распределения'!$A$1:$N$1,0))</f>
        <v>1</v>
      </c>
      <c r="K28" s="124">
        <f>INDEX('Работы по развертыванию'!$A$84:$N$154,MATCH('Трудоемкость работ'!$B28,'Работы по развертыванию'!$B$84:$B$154,0),MATCH('Трудоемкость работ'!J$1,'Работы по развертыванию'!$A$84:$N$84,0))</f>
        <v>0</v>
      </c>
      <c r="L28" s="121">
        <f t="shared" ref="L28" si="25">K28*J28</f>
        <v>0</v>
      </c>
      <c r="M28" s="3">
        <f>INDEX('План распределения'!$A$1:$N$16,MATCH($C28,'План распределения'!$B$1:$B$15,0),MATCH(M$1,'План распределения'!$A$1:$N$1,0))</f>
        <v>1</v>
      </c>
      <c r="N28" s="124">
        <f>INDEX('Работы по развертыванию'!$A$84:$N$154,MATCH('Трудоемкость работ'!$B28,'Работы по развертыванию'!$B$84:$B$154,0),MATCH('Трудоемкость работ'!M$1,'Работы по развертыванию'!$A$84:$N$84,0))</f>
        <v>0</v>
      </c>
      <c r="O28" s="121">
        <f t="shared" ref="O28" si="26">N28*M28</f>
        <v>0</v>
      </c>
      <c r="P28" s="3">
        <f>INDEX('План распределения'!$A$1:$N$16,MATCH($C28,'План распределения'!$B$1:$B$15,0),MATCH(P$1,'План распределения'!$A$1:$N$1,0))</f>
        <v>0</v>
      </c>
      <c r="Q28" s="124">
        <f>INDEX('Работы по развертыванию'!$A$84:$N$154,MATCH('Трудоемкость работ'!$B28,'Работы по развертыванию'!$B$84:$B$154,0),MATCH('Трудоемкость работ'!P$1,'Работы по развертыванию'!$A$84:$N$84,0))</f>
        <v>0</v>
      </c>
      <c r="R28" s="121">
        <f t="shared" ref="R28" si="27">Q28*P28</f>
        <v>0</v>
      </c>
      <c r="S28" s="72">
        <f>INDEX('План распределения'!$A$1:$N$16,MATCH($C28,'План распределения'!$B$1:$B$15,0),MATCH(S$1,'План распределения'!$A$1:$N$1,0))</f>
        <v>1</v>
      </c>
      <c r="T28" s="124">
        <f>INDEX('Работы по развертыванию'!$A$84:$N$154,MATCH('Трудоемкость работ'!$B28,'Работы по развертыванию'!$B$84:$B$154,0),MATCH('Трудоемкость работ'!S$1,'Работы по развертыванию'!$A$84:$N$84,0))</f>
        <v>0</v>
      </c>
      <c r="U28" s="121">
        <f t="shared" ref="U28" si="28">T28*S28</f>
        <v>0</v>
      </c>
      <c r="V28" s="72">
        <f>INDEX('План распределения'!$A$1:$N$16,MATCH($C28,'План распределения'!$B$1:$B$15,0),MATCH(V$1,'План распределения'!$A$1:$N$1,0))</f>
        <v>1</v>
      </c>
      <c r="W28" s="124">
        <f>INDEX('Работы по развертыванию'!$A$84:$N$154,MATCH('Трудоемкость работ'!$B28,'Работы по развертыванию'!$B$84:$B$154,0),MATCH('Трудоемкость работ'!V$1,'Работы по развертыванию'!$A$84:$N$84,0))</f>
        <v>0</v>
      </c>
      <c r="X28" s="121">
        <f t="shared" ref="X28" si="29">W28*V28</f>
        <v>0</v>
      </c>
      <c r="Y28" s="3">
        <f>INDEX('План распределения'!$A$1:$N$16,MATCH($C28,'План распределения'!$B$1:$B$15,0),MATCH(Y$1,'План распределения'!$A$1:$N$1,0))</f>
        <v>1</v>
      </c>
      <c r="Z28" s="124">
        <f>INDEX('Работы по развертыванию'!$A$84:$N$154,MATCH('Трудоемкость работ'!$B28,'Работы по развертыванию'!$B$84:$B$154,0),MATCH('Трудоемкость работ'!Y$1,'Работы по развертыванию'!$A$84:$N$84,0))</f>
        <v>0</v>
      </c>
      <c r="AA28" s="121">
        <f t="shared" ref="AA28" si="30">Z28*Y28</f>
        <v>0</v>
      </c>
      <c r="AB28" s="3">
        <f>INDEX('План распределения'!$A$1:$N$16,MATCH($C28,'План распределения'!$B$1:$B$15,0),MATCH(AB$1,'План распределения'!$A$1:$N$1,0))</f>
        <v>4</v>
      </c>
      <c r="AC28" s="124">
        <f>INDEX('Работы по развертыванию'!$A$84:$N$154,MATCH('Трудоемкость работ'!$B28,'Работы по развертыванию'!$B$84:$B$154,0),MATCH('Трудоемкость работ'!AB$1,'Работы по развертыванию'!$A$84:$N$84,0))</f>
        <v>0</v>
      </c>
      <c r="AD28" s="121">
        <f t="shared" ref="AD28" si="31">AC28*AB28</f>
        <v>0</v>
      </c>
      <c r="AE28" s="174">
        <f>INDEX('План распределения'!$A$1:$N$16,MATCH($C28,'План распределения'!$B$1:$B$15,0),MATCH(AE$1,'План распределения'!$A$1:$N$1,0))</f>
        <v>1</v>
      </c>
      <c r="AF28" s="124">
        <f>INDEX('Работы по развертыванию'!$A$84:$N$154,MATCH('Трудоемкость работ'!$B28,'Работы по развертыванию'!$B$84:$B$154,0),MATCH('Трудоемкость работ'!AE$1,'Работы по развертыванию'!$A$84:$N$84,0))</f>
        <v>0</v>
      </c>
      <c r="AG28" s="121">
        <f t="shared" ref="AG28" si="32">AF28*AE28</f>
        <v>0</v>
      </c>
      <c r="AH28" s="124">
        <f>INDEX('Работы по развертыванию'!$A$84:$N$154,MATCH('Трудоемкость работ'!$B28,'Работы по развертыванию'!$B$84:$B$154,0),MATCH('Трудоемкость работ'!AH$1,'Работы по развертыванию'!$A$84:$N$84,0))</f>
        <v>40</v>
      </c>
      <c r="AI28" s="121">
        <f t="shared" si="23"/>
        <v>40</v>
      </c>
      <c r="AJ28" s="100">
        <f>AI28/8</f>
        <v>5</v>
      </c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</row>
    <row r="29" spans="1:138" ht="15.75" customHeight="1" outlineLevel="1" x14ac:dyDescent="0.25">
      <c r="A29" s="72" t="str">
        <f>'Работы по развертыванию'!A154</f>
        <v>11</v>
      </c>
      <c r="B29" s="187" t="str">
        <f>'Работы по развертыванию'!B154</f>
        <v>Участие в эксплуатации</v>
      </c>
      <c r="C29" s="192" t="str">
        <f>C3</f>
        <v>Объект1</v>
      </c>
      <c r="D29" s="174">
        <f>INDEX('План распределения'!$A$1:$N$16,MATCH($C29,'План распределения'!$B$1:$B$15,0),MATCH(D$1,'План распределения'!$A$1:$N$1,0))</f>
        <v>0</v>
      </c>
      <c r="E29" s="124">
        <f>INDEX('Работы по развертыванию'!$A$84:$N$154,MATCH('Трудоемкость работ'!$B29,'Работы по развертыванию'!$B$84:$B$154,0),MATCH('Трудоемкость работ'!D$1,'Работы по развертыванию'!$A$84:$N$84,0))</f>
        <v>0</v>
      </c>
      <c r="F29" s="121">
        <f t="shared" si="13"/>
        <v>0</v>
      </c>
      <c r="G29" s="3">
        <f>INDEX('План распределения'!$A$1:$N$16,MATCH($C29,'План распределения'!$B$1:$B$15,0),MATCH(G$1,'План распределения'!$A$1:$N$1,0))</f>
        <v>3</v>
      </c>
      <c r="H29" s="124">
        <f>INDEX('Работы по развертыванию'!$A$84:$N$154,MATCH('Трудоемкость работ'!$B29,'Работы по развертыванию'!$B$84:$B$154,0),MATCH('Трудоемкость работ'!G$1,'Работы по развертыванию'!$A$84:$N$84,0))</f>
        <v>0</v>
      </c>
      <c r="I29" s="121">
        <f t="shared" si="14"/>
        <v>0</v>
      </c>
      <c r="J29" s="3">
        <f>INDEX('План распределения'!$A$1:$N$16,MATCH($C29,'План распределения'!$B$1:$B$15,0),MATCH(J$1,'План распределения'!$A$1:$N$1,0))</f>
        <v>1</v>
      </c>
      <c r="K29" s="124">
        <f>INDEX('Работы по развертыванию'!$A$84:$N$154,MATCH('Трудоемкость работ'!$B29,'Работы по развертыванию'!$B$84:$B$154,0),MATCH('Трудоемкость работ'!J$1,'Работы по развертыванию'!$A$84:$N$84,0))</f>
        <v>0</v>
      </c>
      <c r="L29" s="121">
        <f t="shared" si="15"/>
        <v>0</v>
      </c>
      <c r="M29" s="3">
        <f>INDEX('План распределения'!$A$1:$N$16,MATCH($C29,'План распределения'!$B$1:$B$15,0),MATCH(M$1,'План распределения'!$A$1:$N$1,0))</f>
        <v>1</v>
      </c>
      <c r="N29" s="124">
        <f>INDEX('Работы по развертыванию'!$A$84:$N$154,MATCH('Трудоемкость работ'!$B29,'Работы по развертыванию'!$B$84:$B$154,0),MATCH('Трудоемкость работ'!M$1,'Работы по развертыванию'!$A$84:$N$84,0))</f>
        <v>2656</v>
      </c>
      <c r="O29" s="121">
        <f t="shared" si="16"/>
        <v>2656</v>
      </c>
      <c r="P29" s="3">
        <f>INDEX('План распределения'!$A$1:$N$16,MATCH($C29,'План распределения'!$B$1:$B$15,0),MATCH(P$1,'План распределения'!$A$1:$N$1,0))</f>
        <v>0</v>
      </c>
      <c r="Q29" s="124">
        <f>INDEX('Работы по развертыванию'!$A$84:$N$154,MATCH('Трудоемкость работ'!$B29,'Работы по развертыванию'!$B$84:$B$154,0),MATCH('Трудоемкость работ'!P$1,'Работы по развертыванию'!$A$84:$N$84,0))</f>
        <v>2656</v>
      </c>
      <c r="R29" s="121">
        <f t="shared" si="17"/>
        <v>0</v>
      </c>
      <c r="S29" s="72">
        <f>INDEX('План распределения'!$A$1:$N$16,MATCH($C29,'План распределения'!$B$1:$B$15,0),MATCH(S$1,'План распределения'!$A$1:$N$1,0))</f>
        <v>1</v>
      </c>
      <c r="T29" s="124">
        <f>INDEX('Работы по развертыванию'!$A$84:$N$154,MATCH('Трудоемкость работ'!$B29,'Работы по развертыванию'!$B$84:$B$154,0),MATCH('Трудоемкость работ'!S$1,'Работы по развертыванию'!$A$84:$N$84,0))</f>
        <v>2656</v>
      </c>
      <c r="U29" s="121">
        <f t="shared" si="18"/>
        <v>2656</v>
      </c>
      <c r="V29" s="72">
        <f>INDEX('План распределения'!$A$1:$N$16,MATCH($C29,'План распределения'!$B$1:$B$15,0),MATCH(V$1,'План распределения'!$A$1:$N$1,0))</f>
        <v>1</v>
      </c>
      <c r="W29" s="124">
        <f>INDEX('Работы по развертыванию'!$A$84:$N$154,MATCH('Трудоемкость работ'!$B29,'Работы по развертыванию'!$B$84:$B$154,0),MATCH('Трудоемкость работ'!V$1,'Работы по развертыванию'!$A$84:$N$84,0))</f>
        <v>0</v>
      </c>
      <c r="X29" s="121">
        <f t="shared" si="19"/>
        <v>0</v>
      </c>
      <c r="Y29" s="3">
        <f>INDEX('План распределения'!$A$1:$N$16,MATCH($C29,'План распределения'!$B$1:$B$15,0),MATCH(Y$1,'План распределения'!$A$1:$N$1,0))</f>
        <v>1</v>
      </c>
      <c r="Z29" s="124">
        <f>INDEX('Работы по развертыванию'!$A$84:$N$154,MATCH('Трудоемкость работ'!$B29,'Работы по развертыванию'!$B$84:$B$154,0),MATCH('Трудоемкость работ'!Y$1,'Работы по развертыванию'!$A$84:$N$84,0))</f>
        <v>0</v>
      </c>
      <c r="AA29" s="121">
        <f t="shared" si="20"/>
        <v>0</v>
      </c>
      <c r="AB29" s="3">
        <f>INDEX('План распределения'!$A$1:$N$16,MATCH($C29,'План распределения'!$B$1:$B$15,0),MATCH(AB$1,'План распределения'!$A$1:$N$1,0))</f>
        <v>4</v>
      </c>
      <c r="AC29" s="124">
        <f>INDEX('Работы по развертыванию'!$A$84:$N$154,MATCH('Трудоемкость работ'!$B29,'Работы по развертыванию'!$B$84:$B$154,0),MATCH('Трудоемкость работ'!AB$1,'Работы по развертыванию'!$A$84:$N$84,0))</f>
        <v>0</v>
      </c>
      <c r="AD29" s="121">
        <f t="shared" si="21"/>
        <v>0</v>
      </c>
      <c r="AE29" s="174">
        <f>INDEX('План распределения'!$A$1:$N$16,MATCH($C29,'План распределения'!$B$1:$B$15,0),MATCH(AE$1,'План распределения'!$A$1:$N$1,0))</f>
        <v>1</v>
      </c>
      <c r="AF29" s="124">
        <f>INDEX('Работы по развертыванию'!$A$84:$N$154,MATCH('Трудоемкость работ'!$B29,'Работы по развертыванию'!$B$84:$B$154,0),MATCH('Трудоемкость работ'!AE$1,'Работы по развертыванию'!$A$84:$N$84,0))</f>
        <v>0</v>
      </c>
      <c r="AG29" s="121">
        <f t="shared" si="22"/>
        <v>0</v>
      </c>
      <c r="AH29" s="124">
        <f>INDEX('Работы по развертыванию'!$A$84:$N$154,MATCH('Трудоемкость работ'!$B29,'Работы по развертыванию'!$B$84:$B$154,0),MATCH('Трудоемкость работ'!AH$1,'Работы по развертыванию'!$A$84:$N$84,0))</f>
        <v>0</v>
      </c>
      <c r="AI29" s="121">
        <f t="shared" si="23"/>
        <v>5312</v>
      </c>
      <c r="AJ29" s="100">
        <f>AI29/12/8</f>
        <v>55.333333333333336</v>
      </c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</row>
    <row r="30" spans="1:138" ht="27" customHeight="1" x14ac:dyDescent="0.25">
      <c r="A30" s="203" t="s">
        <v>28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107"/>
      <c r="AJ30" s="148"/>
    </row>
  </sheetData>
  <mergeCells count="17">
    <mergeCell ref="AJ1:AJ2"/>
    <mergeCell ref="AN4:AN5"/>
    <mergeCell ref="AI1:AI2"/>
    <mergeCell ref="A30:AH30"/>
    <mergeCell ref="D1:F1"/>
    <mergeCell ref="G1:I1"/>
    <mergeCell ref="C1:C2"/>
    <mergeCell ref="AE1:AG1"/>
    <mergeCell ref="B1:B2"/>
    <mergeCell ref="Y1:AA1"/>
    <mergeCell ref="J1:L1"/>
    <mergeCell ref="M1:O1"/>
    <mergeCell ref="A1:A2"/>
    <mergeCell ref="P1:R1"/>
    <mergeCell ref="AB1:AD1"/>
    <mergeCell ref="S1:U1"/>
    <mergeCell ref="V1:X1"/>
  </mergeCells>
  <printOptions horizontalCentered="1"/>
  <pageMargins left="0.19685039370078741" right="0.19685039370078741" top="0.59055118110236227" bottom="0.39370078740157483" header="0" footer="0"/>
  <pageSetup paperSize="9" scale="1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X154"/>
  <sheetViews>
    <sheetView view="pageBreakPreview" topLeftCell="A136" zoomScale="85" zoomScaleNormal="70" zoomScaleSheetLayoutView="85" workbookViewId="0">
      <selection activeCell="H110" sqref="H110"/>
    </sheetView>
  </sheetViews>
  <sheetFormatPr defaultColWidth="9.140625" defaultRowHeight="15" outlineLevelRow="2" x14ac:dyDescent="0.25"/>
  <cols>
    <col min="1" max="1" width="7.28515625" style="103" bestFit="1" customWidth="1"/>
    <col min="2" max="2" width="46.7109375" style="44" customWidth="1"/>
    <col min="3" max="3" width="14.7109375" style="32" customWidth="1"/>
    <col min="4" max="4" width="13.85546875" style="47" customWidth="1"/>
    <col min="5" max="5" width="13" style="32" customWidth="1"/>
    <col min="6" max="6" width="12.5703125" style="47" customWidth="1"/>
    <col min="7" max="7" width="12.85546875" style="32" customWidth="1"/>
    <col min="8" max="8" width="13" style="47" customWidth="1"/>
    <col min="9" max="9" width="15.5703125" style="44" customWidth="1"/>
    <col min="10" max="10" width="13.42578125" style="47" customWidth="1"/>
    <col min="11" max="11" width="12.7109375" style="44" customWidth="1"/>
    <col min="12" max="12" width="13.42578125" style="150" customWidth="1"/>
    <col min="13" max="13" width="12.7109375" style="150" customWidth="1"/>
    <col min="14" max="14" width="12.28515625" style="47" customWidth="1"/>
    <col min="15" max="15" width="23.140625" style="143" customWidth="1"/>
    <col min="16" max="16" width="21" style="138" customWidth="1"/>
    <col min="17" max="17" width="19.140625" style="47" customWidth="1"/>
    <col min="18" max="18" width="19.140625" style="32" customWidth="1"/>
    <col min="19" max="19" width="19.140625" style="47" customWidth="1"/>
    <col min="20" max="20" width="19.140625" style="44" customWidth="1"/>
    <col min="21" max="21" width="19.140625" style="47" customWidth="1"/>
    <col min="22" max="22" width="19.140625" style="44" customWidth="1"/>
    <col min="23" max="23" width="19.140625" style="47" customWidth="1"/>
    <col min="24" max="24" width="19.140625" style="32" customWidth="1"/>
    <col min="25" max="16384" width="9.140625" style="2"/>
  </cols>
  <sheetData>
    <row r="1" spans="1:24" s="11" customFormat="1" ht="18" hidden="1" customHeight="1" x14ac:dyDescent="0.25">
      <c r="A1" s="101"/>
      <c r="P1" s="125"/>
      <c r="Q1" s="84"/>
      <c r="R1" s="84"/>
      <c r="S1" s="84"/>
      <c r="T1" s="84"/>
      <c r="U1" s="84"/>
      <c r="V1" s="84"/>
      <c r="W1" s="84"/>
      <c r="X1" s="84"/>
    </row>
    <row r="2" spans="1:24" s="11" customFormat="1" hidden="1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142"/>
      <c r="P2" s="126"/>
    </row>
    <row r="3" spans="1:24" s="11" customFormat="1" hidden="1" outlineLevel="1" x14ac:dyDescent="0.25">
      <c r="A3" s="102"/>
      <c r="B3" s="41"/>
      <c r="C3" s="33" t="e">
        <f>#REF!</f>
        <v>#REF!</v>
      </c>
      <c r="D3" s="79" t="e">
        <f>#REF!</f>
        <v>#REF!</v>
      </c>
      <c r="E3" s="57">
        <v>617.14</v>
      </c>
      <c r="F3" s="46"/>
      <c r="G3" s="33"/>
      <c r="H3" s="46"/>
      <c r="I3" s="41"/>
      <c r="J3" s="46"/>
      <c r="K3" s="41"/>
      <c r="L3" s="149"/>
      <c r="M3" s="149"/>
      <c r="N3" s="46"/>
      <c r="O3" s="142"/>
      <c r="P3" s="127"/>
      <c r="Q3" s="46"/>
      <c r="R3" s="33"/>
      <c r="S3" s="46"/>
      <c r="T3" s="41"/>
      <c r="U3" s="46"/>
      <c r="V3" s="41"/>
      <c r="W3" s="46"/>
      <c r="X3" s="24" t="s">
        <v>35</v>
      </c>
    </row>
    <row r="4" spans="1:24" s="11" customFormat="1" ht="15.75" hidden="1" outlineLevel="1" x14ac:dyDescent="0.25">
      <c r="A4" s="214" t="s">
        <v>23</v>
      </c>
      <c r="B4" s="216" t="s">
        <v>33</v>
      </c>
      <c r="C4" s="218"/>
      <c r="D4" s="218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20"/>
    </row>
    <row r="5" spans="1:24" s="11" customFormat="1" ht="62.45" hidden="1" customHeight="1" outlineLevel="1" x14ac:dyDescent="0.25">
      <c r="A5" s="215"/>
      <c r="B5" s="217"/>
      <c r="C5" s="52" t="s">
        <v>2</v>
      </c>
      <c r="D5" s="52" t="s">
        <v>84</v>
      </c>
      <c r="E5" s="52" t="s">
        <v>1</v>
      </c>
      <c r="F5" s="52" t="s">
        <v>84</v>
      </c>
      <c r="G5" s="53" t="s">
        <v>0</v>
      </c>
      <c r="H5" s="53"/>
      <c r="I5" s="53" t="s">
        <v>65</v>
      </c>
      <c r="J5" s="53" t="s">
        <v>84</v>
      </c>
      <c r="K5" s="53" t="s">
        <v>66</v>
      </c>
      <c r="L5" s="53"/>
      <c r="M5" s="53"/>
      <c r="N5" s="53" t="s">
        <v>84</v>
      </c>
      <c r="O5" s="53"/>
      <c r="P5" s="128" t="s">
        <v>62</v>
      </c>
      <c r="Q5" s="53"/>
      <c r="R5" s="53" t="s">
        <v>81</v>
      </c>
      <c r="S5" s="53"/>
      <c r="T5" s="53" t="s">
        <v>82</v>
      </c>
      <c r="U5" s="53"/>
      <c r="V5" s="53" t="s">
        <v>83</v>
      </c>
      <c r="W5" s="53"/>
      <c r="X5" s="13" t="s">
        <v>32</v>
      </c>
    </row>
    <row r="6" spans="1:24" s="11" customFormat="1" ht="28.5" hidden="1" outlineLevel="1" x14ac:dyDescent="0.25">
      <c r="A6" s="153">
        <v>1</v>
      </c>
      <c r="B6" s="48" t="s">
        <v>36</v>
      </c>
      <c r="C6" s="43" t="e">
        <f>C9*0.15</f>
        <v>#REF!</v>
      </c>
      <c r="D6" s="43">
        <f>2736/768</f>
        <v>3.5625</v>
      </c>
      <c r="E6" s="43" t="e">
        <f t="shared" ref="E6:V6" si="0">E9*0.15</f>
        <v>#REF!</v>
      </c>
      <c r="F6" s="43">
        <f>2736/768</f>
        <v>3.5625</v>
      </c>
      <c r="G6" s="43" t="e">
        <f t="shared" si="0"/>
        <v>#REF!</v>
      </c>
      <c r="H6" s="43">
        <f>2736/768</f>
        <v>3.5625</v>
      </c>
      <c r="I6" s="43">
        <f t="shared" si="0"/>
        <v>0</v>
      </c>
      <c r="J6" s="43">
        <f t="shared" ref="J6:J37" si="1">I6/1.18/1.8035/$E$3</f>
        <v>0</v>
      </c>
      <c r="K6" s="43">
        <f t="shared" si="0"/>
        <v>0</v>
      </c>
      <c r="L6" s="43"/>
      <c r="M6" s="43"/>
      <c r="N6" s="43">
        <f t="shared" ref="N6:N37" si="2">K6/1.18/1.8035/$E$3</f>
        <v>0</v>
      </c>
      <c r="O6" s="43"/>
      <c r="P6" s="129">
        <f t="shared" si="0"/>
        <v>0</v>
      </c>
      <c r="Q6" s="43">
        <f t="shared" ref="Q6:Q37" si="3">P6/1.18/1.8035/$E$3</f>
        <v>0</v>
      </c>
      <c r="R6" s="43">
        <f t="shared" si="0"/>
        <v>0</v>
      </c>
      <c r="S6" s="43">
        <f t="shared" ref="S6:S37" si="4">R6/1.18/1.8035/$E$3</f>
        <v>0</v>
      </c>
      <c r="T6" s="43">
        <f t="shared" si="0"/>
        <v>0</v>
      </c>
      <c r="U6" s="43">
        <f t="shared" ref="U6:U37" si="5">T6/1.18/1.8035/$E$3</f>
        <v>0</v>
      </c>
      <c r="V6" s="43">
        <f t="shared" si="0"/>
        <v>0</v>
      </c>
      <c r="W6" s="43">
        <f t="shared" ref="W6:W37" si="6">V6/1.18/1.8035/$E$3</f>
        <v>0</v>
      </c>
      <c r="X6" s="43">
        <f>X9*0.15</f>
        <v>0</v>
      </c>
    </row>
    <row r="7" spans="1:24" s="11" customFormat="1" ht="57" hidden="1" outlineLevel="1" x14ac:dyDescent="0.25">
      <c r="A7" s="153">
        <v>2</v>
      </c>
      <c r="B7" s="48" t="s">
        <v>64</v>
      </c>
      <c r="C7" s="43" t="e">
        <f>C9*0.25/1.2</f>
        <v>#REF!</v>
      </c>
      <c r="D7" s="43" t="e">
        <f>'Трудоемкость работ'!#REF!</f>
        <v>#REF!</v>
      </c>
      <c r="E7" s="43" t="e">
        <f>E9*0.25/1.2</f>
        <v>#REF!</v>
      </c>
      <c r="F7" s="43" t="e">
        <f>'Трудоемкость работ'!#REF!</f>
        <v>#REF!</v>
      </c>
      <c r="G7" s="43" t="e">
        <f>G9*0.25/1.2</f>
        <v>#REF!</v>
      </c>
      <c r="H7" s="43" t="e">
        <f>'Трудоемкость работ'!#REF!</f>
        <v>#REF!</v>
      </c>
      <c r="I7" s="43">
        <f t="shared" ref="I7:V7" si="7">I9*0.25</f>
        <v>0</v>
      </c>
      <c r="J7" s="43">
        <f t="shared" si="1"/>
        <v>0</v>
      </c>
      <c r="K7" s="43">
        <f t="shared" si="7"/>
        <v>0</v>
      </c>
      <c r="L7" s="43"/>
      <c r="M7" s="43"/>
      <c r="N7" s="43">
        <f t="shared" si="2"/>
        <v>0</v>
      </c>
      <c r="O7" s="43"/>
      <c r="P7" s="129">
        <f t="shared" si="7"/>
        <v>0</v>
      </c>
      <c r="Q7" s="43">
        <f t="shared" si="3"/>
        <v>0</v>
      </c>
      <c r="R7" s="43">
        <f t="shared" si="7"/>
        <v>0</v>
      </c>
      <c r="S7" s="43">
        <f t="shared" si="4"/>
        <v>0</v>
      </c>
      <c r="T7" s="43">
        <f t="shared" si="7"/>
        <v>0</v>
      </c>
      <c r="U7" s="43">
        <f t="shared" si="5"/>
        <v>0</v>
      </c>
      <c r="V7" s="43">
        <f t="shared" si="7"/>
        <v>0</v>
      </c>
      <c r="W7" s="43">
        <f t="shared" si="6"/>
        <v>0</v>
      </c>
      <c r="X7" s="43">
        <f>X9*0.25</f>
        <v>0</v>
      </c>
    </row>
    <row r="8" spans="1:24" s="11" customFormat="1" ht="57" hidden="1" outlineLevel="1" x14ac:dyDescent="0.25">
      <c r="A8" s="153">
        <v>3</v>
      </c>
      <c r="B8" s="48" t="s">
        <v>63</v>
      </c>
      <c r="C8" s="43" t="e">
        <f>C9*0.6</f>
        <v>#REF!</v>
      </c>
      <c r="D8" s="43" t="e">
        <f t="shared" ref="D8:D37" si="8">C8/1.18/1.8035/$E$3</f>
        <v>#REF!</v>
      </c>
      <c r="E8" s="43" t="e">
        <f>E9*0.6</f>
        <v>#REF!</v>
      </c>
      <c r="F8" s="43" t="e">
        <f t="shared" ref="F8:F39" si="9">E8/1.18/1.8035/$E$3</f>
        <v>#REF!</v>
      </c>
      <c r="G8" s="43" t="e">
        <f t="shared" ref="G8:V8" si="10">G9*0.6</f>
        <v>#REF!</v>
      </c>
      <c r="H8" s="43" t="e">
        <f t="shared" ref="H8:H37" si="11">G8/1.18/1.8035/$E$3</f>
        <v>#REF!</v>
      </c>
      <c r="I8" s="43">
        <f t="shared" si="10"/>
        <v>0</v>
      </c>
      <c r="J8" s="43">
        <f t="shared" si="1"/>
        <v>0</v>
      </c>
      <c r="K8" s="43">
        <f t="shared" si="10"/>
        <v>0</v>
      </c>
      <c r="L8" s="43"/>
      <c r="M8" s="43"/>
      <c r="N8" s="43">
        <f t="shared" si="2"/>
        <v>0</v>
      </c>
      <c r="O8" s="43"/>
      <c r="P8" s="129">
        <f t="shared" si="10"/>
        <v>0</v>
      </c>
      <c r="Q8" s="43">
        <f t="shared" si="3"/>
        <v>0</v>
      </c>
      <c r="R8" s="43">
        <f t="shared" si="10"/>
        <v>0</v>
      </c>
      <c r="S8" s="43">
        <f t="shared" si="4"/>
        <v>0</v>
      </c>
      <c r="T8" s="43">
        <f t="shared" si="10"/>
        <v>0</v>
      </c>
      <c r="U8" s="43">
        <f t="shared" si="5"/>
        <v>0</v>
      </c>
      <c r="V8" s="43">
        <f t="shared" si="10"/>
        <v>0</v>
      </c>
      <c r="W8" s="43">
        <f t="shared" si="6"/>
        <v>0</v>
      </c>
      <c r="X8" s="43">
        <f>X9*0.6</f>
        <v>0</v>
      </c>
    </row>
    <row r="9" spans="1:24" s="11" customFormat="1" ht="15.75" hidden="1" outlineLevel="2" x14ac:dyDescent="0.25">
      <c r="A9" s="153"/>
      <c r="B9" s="48"/>
      <c r="C9" s="39" t="e">
        <f>C10+$C$3*0.2</f>
        <v>#REF!</v>
      </c>
      <c r="D9" s="43" t="e">
        <f t="shared" si="8"/>
        <v>#REF!</v>
      </c>
      <c r="E9" s="39" t="e">
        <f>E10+$C$3*0.2</f>
        <v>#REF!</v>
      </c>
      <c r="F9" s="43" t="e">
        <f t="shared" si="9"/>
        <v>#REF!</v>
      </c>
      <c r="G9" s="39" t="e">
        <f>G10+$C$3*0.2</f>
        <v>#REF!</v>
      </c>
      <c r="H9" s="43" t="e">
        <f t="shared" si="11"/>
        <v>#REF!</v>
      </c>
      <c r="I9" s="39">
        <f t="shared" ref="I9:X9" si="12">I10</f>
        <v>0</v>
      </c>
      <c r="J9" s="43">
        <f t="shared" si="1"/>
        <v>0</v>
      </c>
      <c r="K9" s="39">
        <f t="shared" si="12"/>
        <v>0</v>
      </c>
      <c r="L9" s="156"/>
      <c r="M9" s="156"/>
      <c r="N9" s="43">
        <f t="shared" si="2"/>
        <v>0</v>
      </c>
      <c r="O9" s="43"/>
      <c r="P9" s="130">
        <f t="shared" si="12"/>
        <v>0</v>
      </c>
      <c r="Q9" s="43">
        <f t="shared" si="3"/>
        <v>0</v>
      </c>
      <c r="R9" s="39">
        <f>R10</f>
        <v>0</v>
      </c>
      <c r="S9" s="43">
        <f t="shared" si="4"/>
        <v>0</v>
      </c>
      <c r="T9" s="39">
        <f t="shared" si="12"/>
        <v>0</v>
      </c>
      <c r="U9" s="43">
        <f t="shared" si="5"/>
        <v>0</v>
      </c>
      <c r="V9" s="39">
        <f t="shared" si="12"/>
        <v>0</v>
      </c>
      <c r="W9" s="43">
        <f t="shared" si="6"/>
        <v>0</v>
      </c>
      <c r="X9" s="39">
        <f t="shared" si="12"/>
        <v>0</v>
      </c>
    </row>
    <row r="10" spans="1:24" s="11" customFormat="1" ht="15.75" hidden="1" outlineLevel="2" x14ac:dyDescent="0.2">
      <c r="A10" s="153"/>
      <c r="B10" s="48"/>
      <c r="C10" s="35">
        <v>1843.0703200000005</v>
      </c>
      <c r="D10" s="43">
        <f t="shared" si="8"/>
        <v>1.403330794307077</v>
      </c>
      <c r="E10" s="35">
        <v>1843.0703200000005</v>
      </c>
      <c r="F10" s="43">
        <f t="shared" si="9"/>
        <v>1.403330794307077</v>
      </c>
      <c r="G10" s="35">
        <v>1843.0703200000005</v>
      </c>
      <c r="H10" s="43">
        <f t="shared" si="11"/>
        <v>1.403330794307077</v>
      </c>
      <c r="I10" s="50"/>
      <c r="J10" s="43">
        <f t="shared" si="1"/>
        <v>0</v>
      </c>
      <c r="K10" s="50"/>
      <c r="L10" s="157"/>
      <c r="M10" s="157"/>
      <c r="N10" s="43">
        <f t="shared" si="2"/>
        <v>0</v>
      </c>
      <c r="O10" s="43"/>
      <c r="P10" s="131"/>
      <c r="Q10" s="43">
        <f t="shared" si="3"/>
        <v>0</v>
      </c>
      <c r="R10" s="13"/>
      <c r="S10" s="43">
        <f t="shared" si="4"/>
        <v>0</v>
      </c>
      <c r="T10" s="13"/>
      <c r="U10" s="43">
        <f t="shared" si="5"/>
        <v>0</v>
      </c>
      <c r="V10" s="13"/>
      <c r="W10" s="43">
        <f t="shared" si="6"/>
        <v>0</v>
      </c>
      <c r="X10" s="13"/>
    </row>
    <row r="11" spans="1:24" s="11" customFormat="1" ht="28.5" hidden="1" outlineLevel="1" x14ac:dyDescent="0.25">
      <c r="A11" s="153">
        <v>4</v>
      </c>
      <c r="B11" s="48" t="s">
        <v>37</v>
      </c>
      <c r="C11" s="43" t="e">
        <f>$D$3/2</f>
        <v>#REF!</v>
      </c>
      <c r="D11" s="43" t="e">
        <f t="shared" si="8"/>
        <v>#REF!</v>
      </c>
      <c r="E11" s="43" t="e">
        <f>$D$3/2</f>
        <v>#REF!</v>
      </c>
      <c r="F11" s="43" t="e">
        <f t="shared" si="9"/>
        <v>#REF!</v>
      </c>
      <c r="G11" s="43" t="e">
        <f>$D$3/2</f>
        <v>#REF!</v>
      </c>
      <c r="H11" s="43" t="e">
        <f t="shared" si="11"/>
        <v>#REF!</v>
      </c>
      <c r="I11" s="43">
        <v>0</v>
      </c>
      <c r="J11" s="43">
        <f t="shared" si="1"/>
        <v>0</v>
      </c>
      <c r="K11" s="43">
        <v>0</v>
      </c>
      <c r="L11" s="43"/>
      <c r="M11" s="43"/>
      <c r="N11" s="43">
        <f t="shared" si="2"/>
        <v>0</v>
      </c>
      <c r="O11" s="43"/>
      <c r="P11" s="129">
        <v>0</v>
      </c>
      <c r="Q11" s="43">
        <f t="shared" si="3"/>
        <v>0</v>
      </c>
      <c r="R11" s="43">
        <v>0</v>
      </c>
      <c r="S11" s="43">
        <f t="shared" si="4"/>
        <v>0</v>
      </c>
      <c r="T11" s="43">
        <v>0</v>
      </c>
      <c r="U11" s="43">
        <f t="shared" si="5"/>
        <v>0</v>
      </c>
      <c r="V11" s="43">
        <v>0</v>
      </c>
      <c r="W11" s="43">
        <f t="shared" si="6"/>
        <v>0</v>
      </c>
      <c r="X11" s="13"/>
    </row>
    <row r="12" spans="1:24" s="11" customFormat="1" ht="57" hidden="1" outlineLevel="1" x14ac:dyDescent="0.25">
      <c r="A12" s="153">
        <v>5</v>
      </c>
      <c r="B12" s="48" t="s">
        <v>93</v>
      </c>
      <c r="C12" s="43" t="e">
        <f>0.65*C14</f>
        <v>#REF!</v>
      </c>
      <c r="D12" s="43" t="e">
        <f t="shared" si="8"/>
        <v>#REF!</v>
      </c>
      <c r="E12" s="43" t="e">
        <f t="shared" ref="E12:X12" si="13">0.65*E14</f>
        <v>#REF!</v>
      </c>
      <c r="F12" s="43" t="e">
        <f t="shared" si="9"/>
        <v>#REF!</v>
      </c>
      <c r="G12" s="43" t="e">
        <f t="shared" si="13"/>
        <v>#REF!</v>
      </c>
      <c r="H12" s="43" t="e">
        <f t="shared" si="11"/>
        <v>#REF!</v>
      </c>
      <c r="I12" s="43">
        <f t="shared" si="13"/>
        <v>6841.4360299999989</v>
      </c>
      <c r="J12" s="43">
        <f t="shared" si="1"/>
        <v>5.2091326923331671</v>
      </c>
      <c r="K12" s="43">
        <f t="shared" si="13"/>
        <v>9747.5913599999985</v>
      </c>
      <c r="L12" s="43"/>
      <c r="M12" s="43"/>
      <c r="N12" s="43">
        <f t="shared" si="2"/>
        <v>7.4219062492469599</v>
      </c>
      <c r="O12" s="43"/>
      <c r="P12" s="129">
        <f t="shared" si="13"/>
        <v>52683.364500000003</v>
      </c>
      <c r="Q12" s="43">
        <f t="shared" si="3"/>
        <v>40.113601173152333</v>
      </c>
      <c r="R12" s="43">
        <f>0.65*R14+0.15*R73</f>
        <v>139064.29168000002</v>
      </c>
      <c r="S12" s="43">
        <f t="shared" si="4"/>
        <v>105.8848383511734</v>
      </c>
      <c r="T12" s="43">
        <f t="shared" si="13"/>
        <v>452.34800000000001</v>
      </c>
      <c r="U12" s="43">
        <f t="shared" si="5"/>
        <v>0.34442195246419982</v>
      </c>
      <c r="V12" s="43">
        <f t="shared" si="13"/>
        <v>6841.4360299999989</v>
      </c>
      <c r="W12" s="43">
        <f t="shared" si="6"/>
        <v>5.2091326923331671</v>
      </c>
      <c r="X12" s="43">
        <f t="shared" si="13"/>
        <v>0</v>
      </c>
    </row>
    <row r="13" spans="1:24" s="11" customFormat="1" ht="28.5" hidden="1" outlineLevel="1" x14ac:dyDescent="0.25">
      <c r="A13" s="153">
        <v>6</v>
      </c>
      <c r="B13" s="48" t="s">
        <v>38</v>
      </c>
      <c r="C13" s="43" t="e">
        <f>0.35*C14</f>
        <v>#REF!</v>
      </c>
      <c r="D13" s="43" t="e">
        <f t="shared" si="8"/>
        <v>#REF!</v>
      </c>
      <c r="E13" s="43" t="e">
        <f t="shared" ref="E13:X13" si="14">0.35*E14</f>
        <v>#REF!</v>
      </c>
      <c r="F13" s="43" t="e">
        <f t="shared" si="9"/>
        <v>#REF!</v>
      </c>
      <c r="G13" s="43" t="e">
        <f t="shared" si="14"/>
        <v>#REF!</v>
      </c>
      <c r="H13" s="43" t="e">
        <f t="shared" si="11"/>
        <v>#REF!</v>
      </c>
      <c r="I13" s="43">
        <f t="shared" si="14"/>
        <v>3683.8501699999993</v>
      </c>
      <c r="J13" s="43">
        <f t="shared" si="1"/>
        <v>2.8049176035640127</v>
      </c>
      <c r="K13" s="43">
        <f t="shared" si="14"/>
        <v>5248.7030399999985</v>
      </c>
      <c r="L13" s="43"/>
      <c r="M13" s="43"/>
      <c r="N13" s="43">
        <f t="shared" si="2"/>
        <v>3.9964110572868248</v>
      </c>
      <c r="O13" s="43"/>
      <c r="P13" s="129">
        <f t="shared" si="14"/>
        <v>28367.965499999998</v>
      </c>
      <c r="Q13" s="43">
        <f t="shared" si="3"/>
        <v>21.599631400928175</v>
      </c>
      <c r="R13" s="43">
        <f>0.35*R14+R73*0.3</f>
        <v>134914.89871000001</v>
      </c>
      <c r="S13" s="43">
        <f t="shared" si="4"/>
        <v>102.72545215234278</v>
      </c>
      <c r="T13" s="43">
        <f t="shared" si="14"/>
        <v>243.57199999999997</v>
      </c>
      <c r="U13" s="43">
        <f t="shared" si="5"/>
        <v>0.18545797440379988</v>
      </c>
      <c r="V13" s="43">
        <f t="shared" si="14"/>
        <v>3683.8501699999993</v>
      </c>
      <c r="W13" s="43">
        <f t="shared" si="6"/>
        <v>2.8049176035640127</v>
      </c>
      <c r="X13" s="43">
        <f t="shared" si="14"/>
        <v>0</v>
      </c>
    </row>
    <row r="14" spans="1:24" s="11" customFormat="1" ht="15.75" hidden="1" outlineLevel="2" x14ac:dyDescent="0.25">
      <c r="A14" s="10"/>
      <c r="B14" s="1"/>
      <c r="C14" s="56" t="e">
        <f>SUM(C15:C38)+$C$3*0.4</f>
        <v>#REF!</v>
      </c>
      <c r="D14" s="43" t="e">
        <f t="shared" si="8"/>
        <v>#REF!</v>
      </c>
      <c r="E14" s="56" t="e">
        <f>SUM(E15:E38)+$C$3*0.4</f>
        <v>#REF!</v>
      </c>
      <c r="F14" s="43" t="e">
        <f t="shared" si="9"/>
        <v>#REF!</v>
      </c>
      <c r="G14" s="56" t="e">
        <f>SUM(G15:G38)+$C$3*0.4</f>
        <v>#REF!</v>
      </c>
      <c r="H14" s="43" t="e">
        <f t="shared" si="11"/>
        <v>#REF!</v>
      </c>
      <c r="I14" s="14">
        <f>SUM(I15:I70)</f>
        <v>10525.286199999999</v>
      </c>
      <c r="J14" s="43">
        <f t="shared" si="1"/>
        <v>8.0140502958971798</v>
      </c>
      <c r="K14" s="14">
        <f>SUM(K15:K70)</f>
        <v>14996.294399999997</v>
      </c>
      <c r="L14" s="158"/>
      <c r="M14" s="158"/>
      <c r="N14" s="43">
        <f t="shared" si="2"/>
        <v>11.418317306533787</v>
      </c>
      <c r="O14" s="43"/>
      <c r="P14" s="132">
        <f>SUM(P15:P70)</f>
        <v>81051.33</v>
      </c>
      <c r="Q14" s="43">
        <f t="shared" si="3"/>
        <v>61.713232574080521</v>
      </c>
      <c r="R14" s="14">
        <f>SUM(R15:R70)</f>
        <v>150751.247</v>
      </c>
      <c r="S14" s="43">
        <f t="shared" si="4"/>
        <v>114.78339426316208</v>
      </c>
      <c r="T14" s="14">
        <f>SUM(T15:T70)</f>
        <v>695.92</v>
      </c>
      <c r="U14" s="43">
        <f t="shared" si="5"/>
        <v>0.52987992686799967</v>
      </c>
      <c r="V14" s="14">
        <f>SUM(V15:V70)</f>
        <v>10525.286199999999</v>
      </c>
      <c r="W14" s="43">
        <f t="shared" si="6"/>
        <v>8.0140502958971798</v>
      </c>
      <c r="X14" s="9"/>
    </row>
    <row r="15" spans="1:24" s="11" customFormat="1" ht="15.75" hidden="1" outlineLevel="2" x14ac:dyDescent="0.2">
      <c r="A15" s="10"/>
      <c r="B15" s="1"/>
      <c r="C15" s="35">
        <v>581.88159999999993</v>
      </c>
      <c r="D15" s="43">
        <f t="shared" si="8"/>
        <v>0.44305003398930137</v>
      </c>
      <c r="E15" s="35">
        <v>581.88159999999993</v>
      </c>
      <c r="F15" s="43">
        <f t="shared" si="9"/>
        <v>0.44305003398930137</v>
      </c>
      <c r="G15" s="35">
        <v>581.88159999999993</v>
      </c>
      <c r="H15" s="43">
        <f t="shared" si="11"/>
        <v>0.44305003398930137</v>
      </c>
      <c r="I15" s="35"/>
      <c r="J15" s="43">
        <f t="shared" si="1"/>
        <v>0</v>
      </c>
      <c r="K15" s="35"/>
      <c r="L15" s="159"/>
      <c r="M15" s="159"/>
      <c r="N15" s="43">
        <f t="shared" si="2"/>
        <v>0</v>
      </c>
      <c r="O15" s="43"/>
      <c r="P15" s="133"/>
      <c r="Q15" s="43">
        <f t="shared" si="3"/>
        <v>0</v>
      </c>
      <c r="R15" s="9"/>
      <c r="S15" s="43">
        <f t="shared" si="4"/>
        <v>0</v>
      </c>
      <c r="T15" s="9"/>
      <c r="U15" s="43">
        <f t="shared" si="5"/>
        <v>0</v>
      </c>
      <c r="V15" s="9"/>
      <c r="W15" s="43">
        <f t="shared" si="6"/>
        <v>0</v>
      </c>
      <c r="X15" s="9"/>
    </row>
    <row r="16" spans="1:24" s="11" customFormat="1" ht="15.75" hidden="1" outlineLevel="2" x14ac:dyDescent="0.2">
      <c r="A16" s="10"/>
      <c r="B16" s="1"/>
      <c r="C16" s="35">
        <v>2194.9769999999999</v>
      </c>
      <c r="D16" s="43">
        <f t="shared" si="8"/>
        <v>1.6712757964089857</v>
      </c>
      <c r="E16" s="35">
        <v>2194.9769999999999</v>
      </c>
      <c r="F16" s="43">
        <f t="shared" si="9"/>
        <v>1.6712757964089857</v>
      </c>
      <c r="G16" s="35">
        <v>2194.9769999999999</v>
      </c>
      <c r="H16" s="43">
        <f t="shared" si="11"/>
        <v>1.6712757964089857</v>
      </c>
      <c r="I16" s="35"/>
      <c r="J16" s="43">
        <f t="shared" si="1"/>
        <v>0</v>
      </c>
      <c r="K16" s="35"/>
      <c r="L16" s="159"/>
      <c r="M16" s="159"/>
      <c r="N16" s="43">
        <f t="shared" si="2"/>
        <v>0</v>
      </c>
      <c r="O16" s="43"/>
      <c r="P16" s="133"/>
      <c r="Q16" s="43">
        <f t="shared" si="3"/>
        <v>0</v>
      </c>
      <c r="R16" s="9"/>
      <c r="S16" s="43">
        <f t="shared" si="4"/>
        <v>0</v>
      </c>
      <c r="T16" s="9"/>
      <c r="U16" s="43">
        <f t="shared" si="5"/>
        <v>0</v>
      </c>
      <c r="V16" s="9"/>
      <c r="W16" s="43">
        <f t="shared" si="6"/>
        <v>0</v>
      </c>
      <c r="X16" s="9"/>
    </row>
    <row r="17" spans="1:24" s="11" customFormat="1" ht="15.75" hidden="1" outlineLevel="2" x14ac:dyDescent="0.2">
      <c r="A17" s="10"/>
      <c r="B17" s="1"/>
      <c r="C17" s="35">
        <v>114.03519999999999</v>
      </c>
      <c r="D17" s="43">
        <f t="shared" si="8"/>
        <v>8.6827456369090866E-2</v>
      </c>
      <c r="E17" s="35">
        <v>114.03519999999999</v>
      </c>
      <c r="F17" s="43">
        <f t="shared" si="9"/>
        <v>8.6827456369090866E-2</v>
      </c>
      <c r="G17" s="35">
        <v>114.03519999999999</v>
      </c>
      <c r="H17" s="43">
        <f t="shared" si="11"/>
        <v>8.6827456369090866E-2</v>
      </c>
      <c r="I17" s="35"/>
      <c r="J17" s="43">
        <f t="shared" si="1"/>
        <v>0</v>
      </c>
      <c r="K17" s="35"/>
      <c r="L17" s="159"/>
      <c r="M17" s="159"/>
      <c r="N17" s="43">
        <f t="shared" si="2"/>
        <v>0</v>
      </c>
      <c r="O17" s="43"/>
      <c r="P17" s="133"/>
      <c r="Q17" s="43">
        <f t="shared" si="3"/>
        <v>0</v>
      </c>
      <c r="R17" s="9"/>
      <c r="S17" s="43">
        <f t="shared" si="4"/>
        <v>0</v>
      </c>
      <c r="T17" s="9"/>
      <c r="U17" s="43">
        <f t="shared" si="5"/>
        <v>0</v>
      </c>
      <c r="V17" s="9"/>
      <c r="W17" s="43">
        <f t="shared" si="6"/>
        <v>0</v>
      </c>
      <c r="X17" s="9"/>
    </row>
    <row r="18" spans="1:24" s="11" customFormat="1" ht="15.75" hidden="1" outlineLevel="2" x14ac:dyDescent="0.2">
      <c r="A18" s="10"/>
      <c r="B18" s="1"/>
      <c r="C18" s="35">
        <v>4471.0081999999993</v>
      </c>
      <c r="D18" s="43">
        <f t="shared" si="8"/>
        <v>3.4042670106366053</v>
      </c>
      <c r="E18" s="35">
        <v>4471.0081999999993</v>
      </c>
      <c r="F18" s="43">
        <f t="shared" si="9"/>
        <v>3.4042670106366053</v>
      </c>
      <c r="G18" s="35">
        <v>4471.0081999999993</v>
      </c>
      <c r="H18" s="43">
        <f t="shared" si="11"/>
        <v>3.4042670106366053</v>
      </c>
      <c r="I18" s="35"/>
      <c r="J18" s="43">
        <f t="shared" si="1"/>
        <v>0</v>
      </c>
      <c r="K18" s="35"/>
      <c r="L18" s="159"/>
      <c r="M18" s="159"/>
      <c r="N18" s="43">
        <f t="shared" si="2"/>
        <v>0</v>
      </c>
      <c r="O18" s="43"/>
      <c r="P18" s="133"/>
      <c r="Q18" s="43">
        <f t="shared" si="3"/>
        <v>0</v>
      </c>
      <c r="R18" s="9"/>
      <c r="S18" s="43">
        <f t="shared" si="4"/>
        <v>0</v>
      </c>
      <c r="T18" s="9"/>
      <c r="U18" s="43">
        <f t="shared" si="5"/>
        <v>0</v>
      </c>
      <c r="V18" s="9"/>
      <c r="W18" s="43">
        <f t="shared" si="6"/>
        <v>0</v>
      </c>
      <c r="X18" s="9"/>
    </row>
    <row r="19" spans="1:24" s="11" customFormat="1" ht="15.75" hidden="1" outlineLevel="2" x14ac:dyDescent="0.2">
      <c r="A19" s="10"/>
      <c r="B19" s="1"/>
      <c r="C19" s="35">
        <v>4471.0081999999993</v>
      </c>
      <c r="D19" s="43">
        <f t="shared" si="8"/>
        <v>3.4042670106366053</v>
      </c>
      <c r="E19" s="35">
        <v>4471.0081999999993</v>
      </c>
      <c r="F19" s="43">
        <f t="shared" si="9"/>
        <v>3.4042670106366053</v>
      </c>
      <c r="G19" s="35">
        <v>4471.0081999999993</v>
      </c>
      <c r="H19" s="43">
        <f t="shared" si="11"/>
        <v>3.4042670106366053</v>
      </c>
      <c r="I19" s="35"/>
      <c r="J19" s="43">
        <f t="shared" si="1"/>
        <v>0</v>
      </c>
      <c r="K19" s="35"/>
      <c r="L19" s="159"/>
      <c r="M19" s="159"/>
      <c r="N19" s="43">
        <f t="shared" si="2"/>
        <v>0</v>
      </c>
      <c r="O19" s="43"/>
      <c r="P19" s="133"/>
      <c r="Q19" s="43">
        <f t="shared" si="3"/>
        <v>0</v>
      </c>
      <c r="R19" s="9"/>
      <c r="S19" s="43">
        <f t="shared" si="4"/>
        <v>0</v>
      </c>
      <c r="T19" s="9"/>
      <c r="U19" s="43">
        <f t="shared" si="5"/>
        <v>0</v>
      </c>
      <c r="V19" s="9"/>
      <c r="W19" s="43">
        <f t="shared" si="6"/>
        <v>0</v>
      </c>
      <c r="X19" s="9"/>
    </row>
    <row r="20" spans="1:24" s="11" customFormat="1" ht="15.75" hidden="1" outlineLevel="2" x14ac:dyDescent="0.2">
      <c r="A20" s="10"/>
      <c r="B20" s="1"/>
      <c r="C20" s="35">
        <v>3163.3793999999998</v>
      </c>
      <c r="D20" s="43">
        <f t="shared" si="8"/>
        <v>2.4086263437287858</v>
      </c>
      <c r="E20" s="35">
        <v>3163.3793999999998</v>
      </c>
      <c r="F20" s="43">
        <f t="shared" si="9"/>
        <v>2.4086263437287858</v>
      </c>
      <c r="G20" s="35">
        <v>3163.3793999999998</v>
      </c>
      <c r="H20" s="43">
        <f t="shared" si="11"/>
        <v>2.4086263437287858</v>
      </c>
      <c r="I20" s="35"/>
      <c r="J20" s="43">
        <f t="shared" si="1"/>
        <v>0</v>
      </c>
      <c r="K20" s="35"/>
      <c r="L20" s="159"/>
      <c r="M20" s="159"/>
      <c r="N20" s="43">
        <f t="shared" si="2"/>
        <v>0</v>
      </c>
      <c r="O20" s="43"/>
      <c r="P20" s="133"/>
      <c r="Q20" s="43">
        <f t="shared" si="3"/>
        <v>0</v>
      </c>
      <c r="R20" s="9"/>
      <c r="S20" s="43">
        <f t="shared" si="4"/>
        <v>0</v>
      </c>
      <c r="T20" s="9"/>
      <c r="U20" s="43">
        <f t="shared" si="5"/>
        <v>0</v>
      </c>
      <c r="V20" s="9"/>
      <c r="W20" s="43">
        <f t="shared" si="6"/>
        <v>0</v>
      </c>
      <c r="X20" s="9"/>
    </row>
    <row r="21" spans="1:24" s="11" customFormat="1" ht="15.75" hidden="1" outlineLevel="2" x14ac:dyDescent="0.2">
      <c r="A21" s="10"/>
      <c r="B21" s="1"/>
      <c r="C21" s="35">
        <v>2373.9004</v>
      </c>
      <c r="D21" s="43">
        <f t="shared" si="8"/>
        <v>1.8075097286238579</v>
      </c>
      <c r="E21" s="35">
        <v>2373.9004</v>
      </c>
      <c r="F21" s="43">
        <f t="shared" si="9"/>
        <v>1.8075097286238579</v>
      </c>
      <c r="G21" s="35">
        <v>2373.9004</v>
      </c>
      <c r="H21" s="43">
        <f t="shared" si="11"/>
        <v>1.8075097286238579</v>
      </c>
      <c r="I21" s="35"/>
      <c r="J21" s="43">
        <f t="shared" si="1"/>
        <v>0</v>
      </c>
      <c r="K21" s="35"/>
      <c r="L21" s="159"/>
      <c r="M21" s="159"/>
      <c r="N21" s="43">
        <f t="shared" si="2"/>
        <v>0</v>
      </c>
      <c r="O21" s="43"/>
      <c r="P21" s="133"/>
      <c r="Q21" s="43">
        <f t="shared" si="3"/>
        <v>0</v>
      </c>
      <c r="R21" s="9"/>
      <c r="S21" s="43">
        <f t="shared" si="4"/>
        <v>0</v>
      </c>
      <c r="T21" s="9"/>
      <c r="U21" s="43">
        <f t="shared" si="5"/>
        <v>0</v>
      </c>
      <c r="V21" s="9"/>
      <c r="W21" s="43">
        <f t="shared" si="6"/>
        <v>0</v>
      </c>
      <c r="X21" s="9"/>
    </row>
    <row r="22" spans="1:24" s="11" customFormat="1" ht="15.75" hidden="1" outlineLevel="2" x14ac:dyDescent="0.2">
      <c r="A22" s="10"/>
      <c r="B22" s="1"/>
      <c r="C22" s="35">
        <v>2373.9004</v>
      </c>
      <c r="D22" s="43">
        <f t="shared" si="8"/>
        <v>1.8075097286238579</v>
      </c>
      <c r="E22" s="35">
        <v>2373.9004</v>
      </c>
      <c r="F22" s="43">
        <f t="shared" si="9"/>
        <v>1.8075097286238579</v>
      </c>
      <c r="G22" s="35">
        <v>2373.9004</v>
      </c>
      <c r="H22" s="43">
        <f t="shared" si="11"/>
        <v>1.8075097286238579</v>
      </c>
      <c r="I22" s="35"/>
      <c r="J22" s="43">
        <f t="shared" si="1"/>
        <v>0</v>
      </c>
      <c r="K22" s="35"/>
      <c r="L22" s="159"/>
      <c r="M22" s="159"/>
      <c r="N22" s="43">
        <f t="shared" si="2"/>
        <v>0</v>
      </c>
      <c r="O22" s="43"/>
      <c r="P22" s="133"/>
      <c r="Q22" s="43">
        <f t="shared" si="3"/>
        <v>0</v>
      </c>
      <c r="R22" s="9"/>
      <c r="S22" s="43">
        <f t="shared" si="4"/>
        <v>0</v>
      </c>
      <c r="T22" s="9"/>
      <c r="U22" s="43">
        <f t="shared" si="5"/>
        <v>0</v>
      </c>
      <c r="V22" s="9"/>
      <c r="W22" s="43">
        <f t="shared" si="6"/>
        <v>0</v>
      </c>
      <c r="X22" s="9"/>
    </row>
    <row r="23" spans="1:24" s="11" customFormat="1" ht="15.75" hidden="1" outlineLevel="2" x14ac:dyDescent="0.2">
      <c r="A23" s="10"/>
      <c r="B23" s="1"/>
      <c r="C23" s="35">
        <v>1514.6007999999999</v>
      </c>
      <c r="D23" s="43">
        <f t="shared" si="8"/>
        <v>1.1532310626770517</v>
      </c>
      <c r="E23" s="35">
        <v>1514.6007999999999</v>
      </c>
      <c r="F23" s="43">
        <f t="shared" si="9"/>
        <v>1.1532310626770517</v>
      </c>
      <c r="G23" s="35">
        <v>1514.6007999999999</v>
      </c>
      <c r="H23" s="43">
        <f t="shared" si="11"/>
        <v>1.1532310626770517</v>
      </c>
      <c r="I23" s="35"/>
      <c r="J23" s="43">
        <f t="shared" si="1"/>
        <v>0</v>
      </c>
      <c r="K23" s="35"/>
      <c r="L23" s="159"/>
      <c r="M23" s="159"/>
      <c r="N23" s="43">
        <f t="shared" si="2"/>
        <v>0</v>
      </c>
      <c r="O23" s="43"/>
      <c r="P23" s="133"/>
      <c r="Q23" s="43">
        <f t="shared" si="3"/>
        <v>0</v>
      </c>
      <c r="R23" s="9"/>
      <c r="S23" s="43">
        <f t="shared" si="4"/>
        <v>0</v>
      </c>
      <c r="T23" s="9"/>
      <c r="U23" s="43">
        <f t="shared" si="5"/>
        <v>0</v>
      </c>
      <c r="V23" s="9"/>
      <c r="W23" s="43">
        <f t="shared" si="6"/>
        <v>0</v>
      </c>
      <c r="X23" s="9"/>
    </row>
    <row r="24" spans="1:24" s="11" customFormat="1" ht="15.75" hidden="1" outlineLevel="2" x14ac:dyDescent="0.2">
      <c r="A24" s="10"/>
      <c r="B24" s="1"/>
      <c r="C24" s="35">
        <v>19487.39</v>
      </c>
      <c r="D24" s="43">
        <f t="shared" si="8"/>
        <v>14.837879049385258</v>
      </c>
      <c r="E24" s="35">
        <v>19487.39</v>
      </c>
      <c r="F24" s="43">
        <f t="shared" si="9"/>
        <v>14.837879049385258</v>
      </c>
      <c r="G24" s="35">
        <v>19487.39</v>
      </c>
      <c r="H24" s="43">
        <f t="shared" si="11"/>
        <v>14.837879049385258</v>
      </c>
      <c r="I24" s="35"/>
      <c r="J24" s="43">
        <f t="shared" si="1"/>
        <v>0</v>
      </c>
      <c r="K24" s="35"/>
      <c r="L24" s="159"/>
      <c r="M24" s="159"/>
      <c r="N24" s="43">
        <f t="shared" si="2"/>
        <v>0</v>
      </c>
      <c r="O24" s="43"/>
      <c r="P24" s="133"/>
      <c r="Q24" s="43">
        <f t="shared" si="3"/>
        <v>0</v>
      </c>
      <c r="R24" s="9"/>
      <c r="S24" s="43">
        <f t="shared" si="4"/>
        <v>0</v>
      </c>
      <c r="T24" s="9"/>
      <c r="U24" s="43">
        <f t="shared" si="5"/>
        <v>0</v>
      </c>
      <c r="V24" s="9"/>
      <c r="W24" s="43">
        <f t="shared" si="6"/>
        <v>0</v>
      </c>
      <c r="X24" s="9"/>
    </row>
    <row r="25" spans="1:24" s="11" customFormat="1" ht="15.75" hidden="1" outlineLevel="2" x14ac:dyDescent="0.2">
      <c r="A25" s="10"/>
      <c r="B25" s="1"/>
      <c r="C25" s="35">
        <v>35196</v>
      </c>
      <c r="D25" s="43">
        <f t="shared" si="8"/>
        <v>26.79856004432423</v>
      </c>
      <c r="E25" s="35">
        <v>35196</v>
      </c>
      <c r="F25" s="43">
        <f t="shared" si="9"/>
        <v>26.79856004432423</v>
      </c>
      <c r="G25" s="35">
        <v>35196</v>
      </c>
      <c r="H25" s="43">
        <f t="shared" si="11"/>
        <v>26.79856004432423</v>
      </c>
      <c r="I25" s="35"/>
      <c r="J25" s="43">
        <f t="shared" si="1"/>
        <v>0</v>
      </c>
      <c r="K25" s="35"/>
      <c r="L25" s="159"/>
      <c r="M25" s="159"/>
      <c r="N25" s="43">
        <f t="shared" si="2"/>
        <v>0</v>
      </c>
      <c r="O25" s="43"/>
      <c r="P25" s="133"/>
      <c r="Q25" s="43">
        <f t="shared" si="3"/>
        <v>0</v>
      </c>
      <c r="R25" s="9"/>
      <c r="S25" s="43">
        <f t="shared" si="4"/>
        <v>0</v>
      </c>
      <c r="T25" s="9"/>
      <c r="U25" s="43">
        <f t="shared" si="5"/>
        <v>0</v>
      </c>
      <c r="V25" s="9"/>
      <c r="W25" s="43">
        <f t="shared" si="6"/>
        <v>0</v>
      </c>
      <c r="X25" s="9"/>
    </row>
    <row r="26" spans="1:24" s="11" customFormat="1" ht="15.75" hidden="1" outlineLevel="2" x14ac:dyDescent="0.2">
      <c r="A26" s="10"/>
      <c r="B26" s="1"/>
      <c r="C26" s="35">
        <v>66552</v>
      </c>
      <c r="D26" s="43">
        <f t="shared" si="8"/>
        <v>50.673308559775712</v>
      </c>
      <c r="E26" s="35">
        <v>66552</v>
      </c>
      <c r="F26" s="43">
        <f t="shared" si="9"/>
        <v>50.673308559775712</v>
      </c>
      <c r="G26" s="35">
        <v>66552</v>
      </c>
      <c r="H26" s="43">
        <f t="shared" si="11"/>
        <v>50.673308559775712</v>
      </c>
      <c r="I26" s="35"/>
      <c r="J26" s="43">
        <f t="shared" si="1"/>
        <v>0</v>
      </c>
      <c r="K26" s="35"/>
      <c r="L26" s="159"/>
      <c r="M26" s="159"/>
      <c r="N26" s="43">
        <f t="shared" si="2"/>
        <v>0</v>
      </c>
      <c r="O26" s="43"/>
      <c r="P26" s="133"/>
      <c r="Q26" s="43">
        <f t="shared" si="3"/>
        <v>0</v>
      </c>
      <c r="R26" s="9"/>
      <c r="S26" s="43">
        <f t="shared" si="4"/>
        <v>0</v>
      </c>
      <c r="T26" s="9"/>
      <c r="U26" s="43">
        <f t="shared" si="5"/>
        <v>0</v>
      </c>
      <c r="V26" s="9"/>
      <c r="W26" s="43">
        <f t="shared" si="6"/>
        <v>0</v>
      </c>
      <c r="X26" s="9"/>
    </row>
    <row r="27" spans="1:24" s="11" customFormat="1" ht="15.75" hidden="1" outlineLevel="2" x14ac:dyDescent="0.2">
      <c r="A27" s="10"/>
      <c r="B27" s="1"/>
      <c r="C27" s="35">
        <v>9773.1059999999998</v>
      </c>
      <c r="D27" s="43">
        <f t="shared" si="8"/>
        <v>7.4413333322123352</v>
      </c>
      <c r="E27" s="35">
        <v>9773.1059999999998</v>
      </c>
      <c r="F27" s="43">
        <f t="shared" si="9"/>
        <v>7.4413333322123352</v>
      </c>
      <c r="G27" s="35">
        <v>9773.1059999999998</v>
      </c>
      <c r="H27" s="43">
        <f t="shared" si="11"/>
        <v>7.4413333322123352</v>
      </c>
      <c r="I27" s="35"/>
      <c r="J27" s="43">
        <f t="shared" si="1"/>
        <v>0</v>
      </c>
      <c r="K27" s="35"/>
      <c r="L27" s="159"/>
      <c r="M27" s="159"/>
      <c r="N27" s="43">
        <f t="shared" si="2"/>
        <v>0</v>
      </c>
      <c r="O27" s="43"/>
      <c r="P27" s="133"/>
      <c r="Q27" s="43">
        <f t="shared" si="3"/>
        <v>0</v>
      </c>
      <c r="R27" s="9"/>
      <c r="S27" s="43">
        <f t="shared" si="4"/>
        <v>0</v>
      </c>
      <c r="T27" s="9"/>
      <c r="U27" s="43">
        <f t="shared" si="5"/>
        <v>0</v>
      </c>
      <c r="V27" s="9"/>
      <c r="W27" s="43">
        <f t="shared" si="6"/>
        <v>0</v>
      </c>
      <c r="X27" s="9"/>
    </row>
    <row r="28" spans="1:24" s="11" customFormat="1" ht="15.75" hidden="1" outlineLevel="2" x14ac:dyDescent="0.2">
      <c r="A28" s="10"/>
      <c r="B28" s="1"/>
      <c r="C28" s="35">
        <v>216.02</v>
      </c>
      <c r="D28" s="43">
        <f t="shared" si="8"/>
        <v>0.16447962668413799</v>
      </c>
      <c r="E28" s="35">
        <v>216.02</v>
      </c>
      <c r="F28" s="43">
        <f t="shared" si="9"/>
        <v>0.16447962668413799</v>
      </c>
      <c r="G28" s="35">
        <v>216.02</v>
      </c>
      <c r="H28" s="43">
        <f t="shared" si="11"/>
        <v>0.16447962668413799</v>
      </c>
      <c r="I28" s="35"/>
      <c r="J28" s="43">
        <f t="shared" si="1"/>
        <v>0</v>
      </c>
      <c r="K28" s="35"/>
      <c r="L28" s="159"/>
      <c r="M28" s="159"/>
      <c r="N28" s="43">
        <f t="shared" si="2"/>
        <v>0</v>
      </c>
      <c r="O28" s="43"/>
      <c r="P28" s="133"/>
      <c r="Q28" s="43">
        <f t="shared" si="3"/>
        <v>0</v>
      </c>
      <c r="R28" s="9"/>
      <c r="S28" s="43">
        <f t="shared" si="4"/>
        <v>0</v>
      </c>
      <c r="T28" s="9"/>
      <c r="U28" s="43">
        <f t="shared" si="5"/>
        <v>0</v>
      </c>
      <c r="V28" s="9"/>
      <c r="W28" s="43">
        <f t="shared" si="6"/>
        <v>0</v>
      </c>
      <c r="X28" s="9"/>
    </row>
    <row r="29" spans="1:24" s="11" customFormat="1" ht="15.75" hidden="1" outlineLevel="2" x14ac:dyDescent="0.2">
      <c r="A29" s="10"/>
      <c r="B29" s="1"/>
      <c r="C29" s="35">
        <v>16311.17</v>
      </c>
      <c r="D29" s="43">
        <f t="shared" si="8"/>
        <v>12.419475754011252</v>
      </c>
      <c r="E29" s="35">
        <v>16311.17</v>
      </c>
      <c r="F29" s="43">
        <f t="shared" si="9"/>
        <v>12.419475754011252</v>
      </c>
      <c r="G29" s="35">
        <v>16311.17</v>
      </c>
      <c r="H29" s="43">
        <f t="shared" si="11"/>
        <v>12.419475754011252</v>
      </c>
      <c r="I29" s="35"/>
      <c r="J29" s="43">
        <f t="shared" si="1"/>
        <v>0</v>
      </c>
      <c r="K29" s="35"/>
      <c r="L29" s="159"/>
      <c r="M29" s="159"/>
      <c r="N29" s="43">
        <f t="shared" si="2"/>
        <v>0</v>
      </c>
      <c r="O29" s="43"/>
      <c r="P29" s="133"/>
      <c r="Q29" s="43">
        <f t="shared" si="3"/>
        <v>0</v>
      </c>
      <c r="R29" s="9"/>
      <c r="S29" s="43">
        <f t="shared" si="4"/>
        <v>0</v>
      </c>
      <c r="T29" s="9"/>
      <c r="U29" s="43">
        <f t="shared" si="5"/>
        <v>0</v>
      </c>
      <c r="V29" s="9"/>
      <c r="W29" s="43">
        <f t="shared" si="6"/>
        <v>0</v>
      </c>
      <c r="X29" s="9"/>
    </row>
    <row r="30" spans="1:24" s="11" customFormat="1" ht="15.75" hidden="1" outlineLevel="2" x14ac:dyDescent="0.2">
      <c r="A30" s="10"/>
      <c r="B30" s="1"/>
      <c r="C30" s="35">
        <v>5704.5060000000003</v>
      </c>
      <c r="D30" s="43">
        <f t="shared" si="8"/>
        <v>4.3434636482613884</v>
      </c>
      <c r="E30" s="35">
        <v>5704.5060000000003</v>
      </c>
      <c r="F30" s="43">
        <f t="shared" si="9"/>
        <v>4.3434636482613884</v>
      </c>
      <c r="G30" s="35">
        <v>5704.5060000000003</v>
      </c>
      <c r="H30" s="43">
        <f t="shared" si="11"/>
        <v>4.3434636482613884</v>
      </c>
      <c r="I30" s="35"/>
      <c r="J30" s="43">
        <f t="shared" si="1"/>
        <v>0</v>
      </c>
      <c r="K30" s="35"/>
      <c r="L30" s="159"/>
      <c r="M30" s="159"/>
      <c r="N30" s="43">
        <f t="shared" si="2"/>
        <v>0</v>
      </c>
      <c r="O30" s="43"/>
      <c r="P30" s="133"/>
      <c r="Q30" s="43">
        <f t="shared" si="3"/>
        <v>0</v>
      </c>
      <c r="R30" s="9"/>
      <c r="S30" s="43">
        <f t="shared" si="4"/>
        <v>0</v>
      </c>
      <c r="T30" s="9"/>
      <c r="U30" s="43">
        <f t="shared" si="5"/>
        <v>0</v>
      </c>
      <c r="V30" s="9"/>
      <c r="W30" s="43">
        <f t="shared" si="6"/>
        <v>0</v>
      </c>
      <c r="X30" s="9"/>
    </row>
    <row r="31" spans="1:24" s="11" customFormat="1" ht="15.75" hidden="1" outlineLevel="2" x14ac:dyDescent="0.2">
      <c r="A31" s="10"/>
      <c r="B31" s="1"/>
      <c r="C31" s="35">
        <v>4980.5</v>
      </c>
      <c r="D31" s="43">
        <f t="shared" si="8"/>
        <v>3.7921987811329929</v>
      </c>
      <c r="E31" s="35">
        <v>4980.5</v>
      </c>
      <c r="F31" s="43">
        <f t="shared" si="9"/>
        <v>3.7921987811329929</v>
      </c>
      <c r="G31" s="35">
        <v>4980.5</v>
      </c>
      <c r="H31" s="43">
        <f t="shared" si="11"/>
        <v>3.7921987811329929</v>
      </c>
      <c r="I31" s="35"/>
      <c r="J31" s="43">
        <f t="shared" si="1"/>
        <v>0</v>
      </c>
      <c r="K31" s="35"/>
      <c r="L31" s="159"/>
      <c r="M31" s="159"/>
      <c r="N31" s="43">
        <f t="shared" si="2"/>
        <v>0</v>
      </c>
      <c r="O31" s="43"/>
      <c r="P31" s="133"/>
      <c r="Q31" s="43">
        <f t="shared" si="3"/>
        <v>0</v>
      </c>
      <c r="R31" s="9"/>
      <c r="S31" s="43">
        <f t="shared" si="4"/>
        <v>0</v>
      </c>
      <c r="T31" s="9"/>
      <c r="U31" s="43">
        <f t="shared" si="5"/>
        <v>0</v>
      </c>
      <c r="V31" s="9"/>
      <c r="W31" s="43">
        <f t="shared" si="6"/>
        <v>0</v>
      </c>
      <c r="X31" s="9"/>
    </row>
    <row r="32" spans="1:24" s="11" customFormat="1" ht="15.75" hidden="1" outlineLevel="2" x14ac:dyDescent="0.2">
      <c r="A32" s="10"/>
      <c r="B32" s="1"/>
      <c r="C32" s="35">
        <v>197.43299999999999</v>
      </c>
      <c r="D32" s="43">
        <f t="shared" si="8"/>
        <v>0.15032731291144064</v>
      </c>
      <c r="E32" s="35">
        <v>197.43299999999999</v>
      </c>
      <c r="F32" s="43">
        <f t="shared" si="9"/>
        <v>0.15032731291144064</v>
      </c>
      <c r="G32" s="35">
        <v>197.43299999999999</v>
      </c>
      <c r="H32" s="43">
        <f t="shared" si="11"/>
        <v>0.15032731291144064</v>
      </c>
      <c r="I32" s="35"/>
      <c r="J32" s="43">
        <f t="shared" si="1"/>
        <v>0</v>
      </c>
      <c r="K32" s="35"/>
      <c r="L32" s="159"/>
      <c r="M32" s="159"/>
      <c r="N32" s="43">
        <f t="shared" si="2"/>
        <v>0</v>
      </c>
      <c r="O32" s="43"/>
      <c r="P32" s="133"/>
      <c r="Q32" s="43">
        <f t="shared" si="3"/>
        <v>0</v>
      </c>
      <c r="R32" s="9"/>
      <c r="S32" s="43">
        <f t="shared" si="4"/>
        <v>0</v>
      </c>
      <c r="T32" s="9"/>
      <c r="U32" s="43">
        <f t="shared" si="5"/>
        <v>0</v>
      </c>
      <c r="V32" s="9"/>
      <c r="W32" s="43">
        <f t="shared" si="6"/>
        <v>0</v>
      </c>
      <c r="X32" s="9"/>
    </row>
    <row r="33" spans="1:24" s="11" customFormat="1" ht="15.75" hidden="1" outlineLevel="2" x14ac:dyDescent="0.2">
      <c r="A33" s="10"/>
      <c r="B33" s="1"/>
      <c r="C33" s="35">
        <v>5704.5060000000003</v>
      </c>
      <c r="D33" s="43">
        <f t="shared" si="8"/>
        <v>4.3434636482613884</v>
      </c>
      <c r="E33" s="35">
        <v>5704.5060000000003</v>
      </c>
      <c r="F33" s="43">
        <f t="shared" si="9"/>
        <v>4.3434636482613884</v>
      </c>
      <c r="G33" s="35">
        <v>5704.5060000000003</v>
      </c>
      <c r="H33" s="43">
        <f t="shared" si="11"/>
        <v>4.3434636482613884</v>
      </c>
      <c r="I33" s="35"/>
      <c r="J33" s="43">
        <f t="shared" si="1"/>
        <v>0</v>
      </c>
      <c r="K33" s="35"/>
      <c r="L33" s="159"/>
      <c r="M33" s="159"/>
      <c r="N33" s="43">
        <f t="shared" si="2"/>
        <v>0</v>
      </c>
      <c r="O33" s="43"/>
      <c r="P33" s="133"/>
      <c r="Q33" s="43">
        <f t="shared" si="3"/>
        <v>0</v>
      </c>
      <c r="R33" s="9"/>
      <c r="S33" s="43">
        <f t="shared" si="4"/>
        <v>0</v>
      </c>
      <c r="T33" s="9"/>
      <c r="U33" s="43">
        <f t="shared" si="5"/>
        <v>0</v>
      </c>
      <c r="V33" s="9"/>
      <c r="W33" s="43">
        <f t="shared" si="6"/>
        <v>0</v>
      </c>
      <c r="X33" s="9"/>
    </row>
    <row r="34" spans="1:24" s="11" customFormat="1" ht="15.75" hidden="1" outlineLevel="2" x14ac:dyDescent="0.2">
      <c r="A34" s="10"/>
      <c r="B34" s="1"/>
      <c r="C34" s="35">
        <v>189.36</v>
      </c>
      <c r="D34" s="43">
        <f t="shared" si="8"/>
        <v>0.1441804560175371</v>
      </c>
      <c r="E34" s="35">
        <v>189.36</v>
      </c>
      <c r="F34" s="43">
        <f t="shared" si="9"/>
        <v>0.1441804560175371</v>
      </c>
      <c r="G34" s="35">
        <v>189.36</v>
      </c>
      <c r="H34" s="43">
        <f t="shared" si="11"/>
        <v>0.1441804560175371</v>
      </c>
      <c r="I34" s="35"/>
      <c r="J34" s="43">
        <f t="shared" si="1"/>
        <v>0</v>
      </c>
      <c r="K34" s="35"/>
      <c r="L34" s="159"/>
      <c r="M34" s="159"/>
      <c r="N34" s="43">
        <f t="shared" si="2"/>
        <v>0</v>
      </c>
      <c r="O34" s="43"/>
      <c r="P34" s="133"/>
      <c r="Q34" s="43">
        <f t="shared" si="3"/>
        <v>0</v>
      </c>
      <c r="R34" s="9"/>
      <c r="S34" s="43">
        <f t="shared" si="4"/>
        <v>0</v>
      </c>
      <c r="T34" s="9"/>
      <c r="U34" s="43">
        <f t="shared" si="5"/>
        <v>0</v>
      </c>
      <c r="V34" s="9"/>
      <c r="W34" s="43">
        <f t="shared" si="6"/>
        <v>0</v>
      </c>
      <c r="X34" s="9"/>
    </row>
    <row r="35" spans="1:24" s="11" customFormat="1" ht="15.75" hidden="1" outlineLevel="2" x14ac:dyDescent="0.2">
      <c r="A35" s="10"/>
      <c r="B35" s="1"/>
      <c r="C35" s="35">
        <v>996.1</v>
      </c>
      <c r="D35" s="43">
        <f t="shared" si="8"/>
        <v>0.75843975622659854</v>
      </c>
      <c r="E35" s="35">
        <v>996.1</v>
      </c>
      <c r="F35" s="43">
        <f t="shared" si="9"/>
        <v>0.75843975622659854</v>
      </c>
      <c r="G35" s="35">
        <v>996.1</v>
      </c>
      <c r="H35" s="43">
        <f t="shared" si="11"/>
        <v>0.75843975622659854</v>
      </c>
      <c r="I35" s="35"/>
      <c r="J35" s="43">
        <f t="shared" si="1"/>
        <v>0</v>
      </c>
      <c r="K35" s="35"/>
      <c r="L35" s="159"/>
      <c r="M35" s="159"/>
      <c r="N35" s="43">
        <f t="shared" si="2"/>
        <v>0</v>
      </c>
      <c r="O35" s="43"/>
      <c r="P35" s="133"/>
      <c r="Q35" s="43">
        <f t="shared" si="3"/>
        <v>0</v>
      </c>
      <c r="R35" s="9"/>
      <c r="S35" s="43">
        <f t="shared" si="4"/>
        <v>0</v>
      </c>
      <c r="T35" s="9"/>
      <c r="U35" s="43">
        <f t="shared" si="5"/>
        <v>0</v>
      </c>
      <c r="V35" s="9"/>
      <c r="W35" s="43">
        <f t="shared" si="6"/>
        <v>0</v>
      </c>
      <c r="X35" s="9"/>
    </row>
    <row r="36" spans="1:24" s="11" customFormat="1" ht="15.75" hidden="1" outlineLevel="2" x14ac:dyDescent="0.2">
      <c r="A36" s="10"/>
      <c r="B36" s="1"/>
      <c r="C36" s="35">
        <v>819.66899999999998</v>
      </c>
      <c r="D36" s="43">
        <f t="shared" si="8"/>
        <v>0.62410356043218529</v>
      </c>
      <c r="E36" s="35">
        <v>819.66899999999998</v>
      </c>
      <c r="F36" s="43">
        <f t="shared" si="9"/>
        <v>0.62410356043218529</v>
      </c>
      <c r="G36" s="35">
        <v>819.66899999999998</v>
      </c>
      <c r="H36" s="43">
        <f t="shared" si="11"/>
        <v>0.62410356043218529</v>
      </c>
      <c r="I36" s="35"/>
      <c r="J36" s="43">
        <f t="shared" si="1"/>
        <v>0</v>
      </c>
      <c r="K36" s="35"/>
      <c r="L36" s="159"/>
      <c r="M36" s="159"/>
      <c r="N36" s="43">
        <f t="shared" si="2"/>
        <v>0</v>
      </c>
      <c r="O36" s="43"/>
      <c r="P36" s="133"/>
      <c r="Q36" s="43">
        <f t="shared" si="3"/>
        <v>0</v>
      </c>
      <c r="R36" s="9"/>
      <c r="S36" s="43">
        <f t="shared" si="4"/>
        <v>0</v>
      </c>
      <c r="T36" s="9"/>
      <c r="U36" s="43">
        <f t="shared" si="5"/>
        <v>0</v>
      </c>
      <c r="V36" s="9"/>
      <c r="W36" s="43">
        <f t="shared" si="6"/>
        <v>0</v>
      </c>
      <c r="X36" s="9"/>
    </row>
    <row r="37" spans="1:24" s="11" customFormat="1" ht="15.75" hidden="1" outlineLevel="2" x14ac:dyDescent="0.2">
      <c r="A37" s="10"/>
      <c r="B37" s="1"/>
      <c r="C37" s="35">
        <v>68.664000000000001</v>
      </c>
      <c r="D37" s="43">
        <f t="shared" si="8"/>
        <v>5.228140490065572E-2</v>
      </c>
      <c r="E37" s="35">
        <v>68.664000000000001</v>
      </c>
      <c r="F37" s="43">
        <f t="shared" si="9"/>
        <v>5.228140490065572E-2</v>
      </c>
      <c r="G37" s="35">
        <v>68.664000000000001</v>
      </c>
      <c r="H37" s="43">
        <f t="shared" si="11"/>
        <v>5.228140490065572E-2</v>
      </c>
      <c r="I37" s="35"/>
      <c r="J37" s="43">
        <f t="shared" si="1"/>
        <v>0</v>
      </c>
      <c r="K37" s="35"/>
      <c r="L37" s="159"/>
      <c r="M37" s="159"/>
      <c r="N37" s="43">
        <f t="shared" si="2"/>
        <v>0</v>
      </c>
      <c r="O37" s="43"/>
      <c r="P37" s="133"/>
      <c r="Q37" s="43">
        <f t="shared" si="3"/>
        <v>0</v>
      </c>
      <c r="R37" s="9"/>
      <c r="S37" s="43">
        <f t="shared" si="4"/>
        <v>0</v>
      </c>
      <c r="T37" s="9"/>
      <c r="U37" s="43">
        <f t="shared" si="5"/>
        <v>0</v>
      </c>
      <c r="V37" s="9"/>
      <c r="W37" s="43">
        <f t="shared" si="6"/>
        <v>0</v>
      </c>
      <c r="X37" s="9"/>
    </row>
    <row r="38" spans="1:24" s="11" customFormat="1" ht="15.75" hidden="1" outlineLevel="2" x14ac:dyDescent="0.2">
      <c r="A38" s="10"/>
      <c r="B38" s="1"/>
      <c r="C38" s="35">
        <v>256.18</v>
      </c>
      <c r="D38" s="43">
        <f t="shared" ref="D38:D69" si="15">C38/1.18/1.8035/$E$3</f>
        <v>0.19505782225693208</v>
      </c>
      <c r="E38" s="35">
        <v>256.18</v>
      </c>
      <c r="F38" s="43">
        <f t="shared" si="9"/>
        <v>0.19505782225693208</v>
      </c>
      <c r="G38" s="35">
        <v>256.18</v>
      </c>
      <c r="H38" s="43">
        <f t="shared" ref="H38:H69" si="16">G38/1.18/1.8035/$E$3</f>
        <v>0.19505782225693208</v>
      </c>
      <c r="I38" s="35"/>
      <c r="J38" s="43">
        <f t="shared" ref="J38:J69" si="17">I38/1.18/1.8035/$E$3</f>
        <v>0</v>
      </c>
      <c r="K38" s="35"/>
      <c r="L38" s="159"/>
      <c r="M38" s="159"/>
      <c r="N38" s="43">
        <f t="shared" ref="N38:N69" si="18">K38/1.18/1.8035/$E$3</f>
        <v>0</v>
      </c>
      <c r="O38" s="43"/>
      <c r="P38" s="133"/>
      <c r="Q38" s="43">
        <f t="shared" ref="Q38:Q69" si="19">P38/1.18/1.8035/$E$3</f>
        <v>0</v>
      </c>
      <c r="R38" s="9"/>
      <c r="S38" s="43">
        <f t="shared" ref="S38:S69" si="20">R38/1.18/1.8035/$E$3</f>
        <v>0</v>
      </c>
      <c r="T38" s="9"/>
      <c r="U38" s="43">
        <f t="shared" ref="U38:U69" si="21">T38/1.18/1.8035/$E$3</f>
        <v>0</v>
      </c>
      <c r="V38" s="9"/>
      <c r="W38" s="43">
        <f t="shared" ref="W38:W69" si="22">V38/1.18/1.8035/$E$3</f>
        <v>0</v>
      </c>
      <c r="X38" s="9"/>
    </row>
    <row r="39" spans="1:24" ht="15.75" hidden="1" outlineLevel="2" x14ac:dyDescent="0.2">
      <c r="A39" s="10"/>
      <c r="B39" s="1"/>
      <c r="C39" s="35"/>
      <c r="D39" s="43">
        <f t="shared" si="15"/>
        <v>0</v>
      </c>
      <c r="E39" s="1"/>
      <c r="F39" s="43">
        <f t="shared" si="9"/>
        <v>0</v>
      </c>
      <c r="G39" s="1"/>
      <c r="H39" s="43">
        <f t="shared" si="16"/>
        <v>0</v>
      </c>
      <c r="I39" s="35">
        <v>581.88159999999993</v>
      </c>
      <c r="J39" s="43">
        <f t="shared" si="17"/>
        <v>0.44305003398930137</v>
      </c>
      <c r="K39" s="35">
        <v>581.88159999999993</v>
      </c>
      <c r="L39" s="159"/>
      <c r="M39" s="159"/>
      <c r="N39" s="43">
        <f t="shared" si="18"/>
        <v>0.44305003398930137</v>
      </c>
      <c r="O39" s="43"/>
      <c r="P39" s="134"/>
      <c r="Q39" s="43">
        <f t="shared" si="19"/>
        <v>0</v>
      </c>
      <c r="R39" s="1"/>
      <c r="S39" s="43">
        <f t="shared" si="20"/>
        <v>0</v>
      </c>
      <c r="T39" s="1"/>
      <c r="U39" s="43">
        <f t="shared" si="21"/>
        <v>0</v>
      </c>
      <c r="V39" s="1">
        <v>581.88159999999993</v>
      </c>
      <c r="W39" s="43">
        <f t="shared" si="22"/>
        <v>0.44305003398930137</v>
      </c>
      <c r="X39" s="1"/>
    </row>
    <row r="40" spans="1:24" s="11" customFormat="1" ht="15.75" hidden="1" outlineLevel="2" x14ac:dyDescent="0.2">
      <c r="A40" s="61"/>
      <c r="B40" s="49"/>
      <c r="C40" s="35"/>
      <c r="D40" s="43">
        <f t="shared" si="15"/>
        <v>0</v>
      </c>
      <c r="E40" s="12"/>
      <c r="F40" s="43">
        <f t="shared" ref="F40:F71" si="23">E40/1.18/1.8035/$E$3</f>
        <v>0</v>
      </c>
      <c r="G40" s="12"/>
      <c r="H40" s="43">
        <f t="shared" si="16"/>
        <v>0</v>
      </c>
      <c r="I40" s="35">
        <v>2194.9769999999999</v>
      </c>
      <c r="J40" s="43">
        <f t="shared" si="17"/>
        <v>1.6712757964089857</v>
      </c>
      <c r="K40" s="35">
        <v>2194.9769999999999</v>
      </c>
      <c r="L40" s="159"/>
      <c r="M40" s="159"/>
      <c r="N40" s="43">
        <f t="shared" si="18"/>
        <v>1.6712757964089857</v>
      </c>
      <c r="O40" s="43"/>
      <c r="P40" s="135"/>
      <c r="Q40" s="43">
        <f t="shared" si="19"/>
        <v>0</v>
      </c>
      <c r="R40" s="13"/>
      <c r="S40" s="43">
        <f t="shared" si="20"/>
        <v>0</v>
      </c>
      <c r="T40" s="13"/>
      <c r="U40" s="43">
        <f t="shared" si="21"/>
        <v>0</v>
      </c>
      <c r="V40" s="54">
        <v>2194.9769999999999</v>
      </c>
      <c r="W40" s="43">
        <f t="shared" si="22"/>
        <v>1.6712757964089857</v>
      </c>
      <c r="X40" s="13"/>
    </row>
    <row r="41" spans="1:24" s="11" customFormat="1" ht="15.75" hidden="1" outlineLevel="2" x14ac:dyDescent="0.2">
      <c r="A41" s="153"/>
      <c r="B41" s="48"/>
      <c r="C41" s="35"/>
      <c r="D41" s="43">
        <f t="shared" si="15"/>
        <v>0</v>
      </c>
      <c r="E41" s="43"/>
      <c r="F41" s="43">
        <f t="shared" si="23"/>
        <v>0</v>
      </c>
      <c r="G41" s="43"/>
      <c r="H41" s="43">
        <f t="shared" si="16"/>
        <v>0</v>
      </c>
      <c r="I41" s="37">
        <v>114.04</v>
      </c>
      <c r="J41" s="43">
        <f t="shared" si="17"/>
        <v>8.6831111133501948E-2</v>
      </c>
      <c r="K41" s="37">
        <v>114.04</v>
      </c>
      <c r="L41" s="160"/>
      <c r="M41" s="160"/>
      <c r="N41" s="43">
        <f t="shared" si="18"/>
        <v>8.6831111133501948E-2</v>
      </c>
      <c r="O41" s="43"/>
      <c r="P41" s="131"/>
      <c r="Q41" s="43">
        <f t="shared" si="19"/>
        <v>0</v>
      </c>
      <c r="R41" s="13"/>
      <c r="S41" s="43">
        <f t="shared" si="20"/>
        <v>0</v>
      </c>
      <c r="T41" s="13"/>
      <c r="U41" s="43">
        <f t="shared" si="21"/>
        <v>0</v>
      </c>
      <c r="V41" s="54">
        <v>114.04</v>
      </c>
      <c r="W41" s="43">
        <f t="shared" si="22"/>
        <v>8.6831111133501948E-2</v>
      </c>
      <c r="X41" s="13"/>
    </row>
    <row r="42" spans="1:24" s="11" customFormat="1" ht="15.75" hidden="1" outlineLevel="2" x14ac:dyDescent="0.2">
      <c r="A42" s="153"/>
      <c r="B42" s="48"/>
      <c r="C42" s="35"/>
      <c r="D42" s="43">
        <f t="shared" si="15"/>
        <v>0</v>
      </c>
      <c r="E42" s="43"/>
      <c r="F42" s="43">
        <f t="shared" si="23"/>
        <v>0</v>
      </c>
      <c r="G42" s="43"/>
      <c r="H42" s="43">
        <f t="shared" si="16"/>
        <v>0</v>
      </c>
      <c r="I42" s="35">
        <v>4471.0081999999993</v>
      </c>
      <c r="J42" s="43">
        <f t="shared" si="17"/>
        <v>3.4042670106366053</v>
      </c>
      <c r="K42" s="35">
        <v>4471.0081999999993</v>
      </c>
      <c r="L42" s="159"/>
      <c r="M42" s="159"/>
      <c r="N42" s="43">
        <f t="shared" si="18"/>
        <v>3.4042670106366053</v>
      </c>
      <c r="O42" s="43"/>
      <c r="P42" s="131"/>
      <c r="Q42" s="43">
        <f t="shared" si="19"/>
        <v>0</v>
      </c>
      <c r="R42" s="13"/>
      <c r="S42" s="43">
        <f t="shared" si="20"/>
        <v>0</v>
      </c>
      <c r="T42" s="13"/>
      <c r="U42" s="43">
        <f t="shared" si="21"/>
        <v>0</v>
      </c>
      <c r="V42" s="54">
        <v>4471.0081999999993</v>
      </c>
      <c r="W42" s="43">
        <f t="shared" si="22"/>
        <v>3.4042670106366053</v>
      </c>
      <c r="X42" s="13"/>
    </row>
    <row r="43" spans="1:24" s="11" customFormat="1" ht="15.75" hidden="1" outlineLevel="2" x14ac:dyDescent="0.2">
      <c r="A43" s="153"/>
      <c r="B43" s="48"/>
      <c r="C43" s="35"/>
      <c r="D43" s="43">
        <f t="shared" si="15"/>
        <v>0</v>
      </c>
      <c r="E43" s="43"/>
      <c r="F43" s="43">
        <f t="shared" si="23"/>
        <v>0</v>
      </c>
      <c r="G43" s="43"/>
      <c r="H43" s="43">
        <f t="shared" si="16"/>
        <v>0</v>
      </c>
      <c r="I43" s="35"/>
      <c r="J43" s="43">
        <f t="shared" si="17"/>
        <v>0</v>
      </c>
      <c r="K43" s="35">
        <v>4471.0081999999993</v>
      </c>
      <c r="L43" s="159"/>
      <c r="M43" s="159"/>
      <c r="N43" s="43">
        <f t="shared" si="18"/>
        <v>3.4042670106366053</v>
      </c>
      <c r="O43" s="43"/>
      <c r="P43" s="131"/>
      <c r="Q43" s="43">
        <f t="shared" si="19"/>
        <v>0</v>
      </c>
      <c r="R43" s="13"/>
      <c r="S43" s="43">
        <f t="shared" si="20"/>
        <v>0</v>
      </c>
      <c r="T43" s="13"/>
      <c r="U43" s="43">
        <f t="shared" si="21"/>
        <v>0</v>
      </c>
      <c r="W43" s="43">
        <f t="shared" si="22"/>
        <v>0</v>
      </c>
      <c r="X43" s="13"/>
    </row>
    <row r="44" spans="1:24" s="11" customFormat="1" ht="15.75" hidden="1" outlineLevel="2" x14ac:dyDescent="0.2">
      <c r="A44" s="153"/>
      <c r="B44" s="48"/>
      <c r="C44" s="35"/>
      <c r="D44" s="43">
        <f t="shared" si="15"/>
        <v>0</v>
      </c>
      <c r="E44" s="43"/>
      <c r="F44" s="43">
        <f t="shared" si="23"/>
        <v>0</v>
      </c>
      <c r="G44" s="43"/>
      <c r="H44" s="43">
        <f t="shared" si="16"/>
        <v>0</v>
      </c>
      <c r="I44" s="35">
        <v>3163.3793999999998</v>
      </c>
      <c r="J44" s="43">
        <f t="shared" si="17"/>
        <v>2.4086263437287858</v>
      </c>
      <c r="K44" s="35">
        <v>3163.3793999999998</v>
      </c>
      <c r="L44" s="159"/>
      <c r="M44" s="159"/>
      <c r="N44" s="43">
        <f t="shared" si="18"/>
        <v>2.4086263437287858</v>
      </c>
      <c r="O44" s="43"/>
      <c r="P44" s="131"/>
      <c r="Q44" s="43">
        <f t="shared" si="19"/>
        <v>0</v>
      </c>
      <c r="R44" s="13"/>
      <c r="S44" s="43">
        <f t="shared" si="20"/>
        <v>0</v>
      </c>
      <c r="T44" s="13"/>
      <c r="U44" s="43">
        <f t="shared" si="21"/>
        <v>0</v>
      </c>
      <c r="V44" s="54">
        <v>3163.3793999999998</v>
      </c>
      <c r="W44" s="43">
        <f t="shared" si="22"/>
        <v>2.4086263437287858</v>
      </c>
      <c r="X44" s="13"/>
    </row>
    <row r="45" spans="1:24" s="11" customFormat="1" ht="15.75" hidden="1" outlineLevel="2" x14ac:dyDescent="0.2">
      <c r="A45" s="153"/>
      <c r="B45" s="48"/>
      <c r="C45" s="35"/>
      <c r="D45" s="43">
        <f t="shared" si="15"/>
        <v>0</v>
      </c>
      <c r="E45" s="43"/>
      <c r="F45" s="43">
        <f t="shared" si="23"/>
        <v>0</v>
      </c>
      <c r="G45" s="43"/>
      <c r="H45" s="43">
        <f t="shared" si="16"/>
        <v>0</v>
      </c>
      <c r="I45" s="42"/>
      <c r="J45" s="43">
        <f t="shared" si="17"/>
        <v>0</v>
      </c>
      <c r="K45" s="42"/>
      <c r="L45" s="42"/>
      <c r="M45" s="42"/>
      <c r="N45" s="43">
        <f t="shared" si="18"/>
        <v>0</v>
      </c>
      <c r="O45" s="43"/>
      <c r="P45" s="131"/>
      <c r="Q45" s="43">
        <f t="shared" si="19"/>
        <v>0</v>
      </c>
      <c r="R45" s="13"/>
      <c r="S45" s="43">
        <f t="shared" si="20"/>
        <v>0</v>
      </c>
      <c r="T45" s="13"/>
      <c r="U45" s="43">
        <f t="shared" si="21"/>
        <v>0</v>
      </c>
      <c r="V45" s="13"/>
      <c r="W45" s="43">
        <f t="shared" si="22"/>
        <v>0</v>
      </c>
      <c r="X45" s="13"/>
    </row>
    <row r="46" spans="1:24" s="11" customFormat="1" ht="15.75" hidden="1" outlineLevel="2" x14ac:dyDescent="0.25">
      <c r="A46" s="153"/>
      <c r="B46" s="48"/>
      <c r="C46" s="43"/>
      <c r="D46" s="43">
        <f t="shared" si="15"/>
        <v>0</v>
      </c>
      <c r="E46" s="43"/>
      <c r="F46" s="43">
        <f t="shared" si="23"/>
        <v>0</v>
      </c>
      <c r="G46" s="43"/>
      <c r="H46" s="43">
        <f t="shared" si="16"/>
        <v>0</v>
      </c>
      <c r="I46" s="42"/>
      <c r="J46" s="43">
        <f t="shared" si="17"/>
        <v>0</v>
      </c>
      <c r="K46" s="42"/>
      <c r="L46" s="42"/>
      <c r="M46" s="42"/>
      <c r="N46" s="43">
        <f t="shared" si="18"/>
        <v>0</v>
      </c>
      <c r="O46" s="43"/>
      <c r="P46" s="136">
        <v>986.7</v>
      </c>
      <c r="Q46" s="43">
        <f t="shared" si="19"/>
        <v>0.75128250925487883</v>
      </c>
      <c r="R46" s="13"/>
      <c r="S46" s="43">
        <f t="shared" si="20"/>
        <v>0</v>
      </c>
      <c r="T46" s="13"/>
      <c r="U46" s="43">
        <f t="shared" si="21"/>
        <v>0</v>
      </c>
      <c r="V46" s="13"/>
      <c r="W46" s="43">
        <f t="shared" si="22"/>
        <v>0</v>
      </c>
      <c r="X46" s="13"/>
    </row>
    <row r="47" spans="1:24" s="11" customFormat="1" ht="15.75" hidden="1" outlineLevel="2" x14ac:dyDescent="0.25">
      <c r="A47" s="153"/>
      <c r="B47" s="48"/>
      <c r="C47" s="43"/>
      <c r="D47" s="43">
        <f t="shared" si="15"/>
        <v>0</v>
      </c>
      <c r="E47" s="43"/>
      <c r="F47" s="43">
        <f t="shared" si="23"/>
        <v>0</v>
      </c>
      <c r="G47" s="43"/>
      <c r="H47" s="43">
        <f t="shared" si="16"/>
        <v>0</v>
      </c>
      <c r="I47" s="42"/>
      <c r="J47" s="43">
        <f t="shared" si="17"/>
        <v>0</v>
      </c>
      <c r="K47" s="42"/>
      <c r="L47" s="42"/>
      <c r="M47" s="42"/>
      <c r="N47" s="43">
        <f t="shared" si="18"/>
        <v>0</v>
      </c>
      <c r="O47" s="43"/>
      <c r="P47" s="136">
        <v>36857.5</v>
      </c>
      <c r="Q47" s="43">
        <f t="shared" si="19"/>
        <v>28.06364151703831</v>
      </c>
      <c r="R47" s="13"/>
      <c r="S47" s="43">
        <f t="shared" si="20"/>
        <v>0</v>
      </c>
      <c r="T47" s="13"/>
      <c r="U47" s="43">
        <f t="shared" si="21"/>
        <v>0</v>
      </c>
      <c r="V47" s="13"/>
      <c r="W47" s="43">
        <f t="shared" si="22"/>
        <v>0</v>
      </c>
      <c r="X47" s="13"/>
    </row>
    <row r="48" spans="1:24" s="11" customFormat="1" ht="15.75" hidden="1" outlineLevel="2" x14ac:dyDescent="0.25">
      <c r="A48" s="153"/>
      <c r="B48" s="48"/>
      <c r="C48" s="43"/>
      <c r="D48" s="43">
        <f t="shared" si="15"/>
        <v>0</v>
      </c>
      <c r="E48" s="43"/>
      <c r="F48" s="43">
        <f t="shared" si="23"/>
        <v>0</v>
      </c>
      <c r="G48" s="43"/>
      <c r="H48" s="43">
        <f t="shared" si="16"/>
        <v>0</v>
      </c>
      <c r="I48" s="42"/>
      <c r="J48" s="43">
        <f t="shared" si="17"/>
        <v>0</v>
      </c>
      <c r="K48" s="42"/>
      <c r="L48" s="42"/>
      <c r="M48" s="42"/>
      <c r="N48" s="43">
        <f t="shared" si="18"/>
        <v>0</v>
      </c>
      <c r="O48" s="43"/>
      <c r="P48" s="136">
        <v>24488.720000000001</v>
      </c>
      <c r="Q48" s="43">
        <f t="shared" si="19"/>
        <v>18.645937985243879</v>
      </c>
      <c r="R48" s="13"/>
      <c r="S48" s="43">
        <f t="shared" si="20"/>
        <v>0</v>
      </c>
      <c r="T48" s="13"/>
      <c r="U48" s="43">
        <f t="shared" si="21"/>
        <v>0</v>
      </c>
      <c r="V48" s="13"/>
      <c r="W48" s="43">
        <f t="shared" si="22"/>
        <v>0</v>
      </c>
      <c r="X48" s="13"/>
    </row>
    <row r="49" spans="1:24" s="11" customFormat="1" ht="15.75" hidden="1" outlineLevel="2" x14ac:dyDescent="0.25">
      <c r="A49" s="153"/>
      <c r="B49" s="48"/>
      <c r="C49" s="43"/>
      <c r="D49" s="43">
        <f t="shared" si="15"/>
        <v>0</v>
      </c>
      <c r="E49" s="43"/>
      <c r="F49" s="43">
        <f t="shared" si="23"/>
        <v>0</v>
      </c>
      <c r="G49" s="43"/>
      <c r="H49" s="43">
        <f t="shared" si="16"/>
        <v>0</v>
      </c>
      <c r="I49" s="42"/>
      <c r="J49" s="43">
        <f t="shared" si="17"/>
        <v>0</v>
      </c>
      <c r="K49" s="42"/>
      <c r="L49" s="42"/>
      <c r="M49" s="42"/>
      <c r="N49" s="43">
        <f t="shared" si="18"/>
        <v>0</v>
      </c>
      <c r="O49" s="43"/>
      <c r="P49" s="136">
        <v>18718.41</v>
      </c>
      <c r="Q49" s="43">
        <f t="shared" si="19"/>
        <v>14.252370562543446</v>
      </c>
      <c r="R49" s="13"/>
      <c r="S49" s="43">
        <f t="shared" si="20"/>
        <v>0</v>
      </c>
      <c r="T49" s="13"/>
      <c r="U49" s="43">
        <f t="shared" si="21"/>
        <v>0</v>
      </c>
      <c r="V49" s="13"/>
      <c r="W49" s="43">
        <f t="shared" si="22"/>
        <v>0</v>
      </c>
      <c r="X49" s="13"/>
    </row>
    <row r="50" spans="1:24" s="11" customFormat="1" ht="15.75" hidden="1" outlineLevel="2" x14ac:dyDescent="0.25">
      <c r="A50" s="153"/>
      <c r="B50" s="48"/>
      <c r="C50" s="43"/>
      <c r="D50" s="43">
        <f t="shared" si="15"/>
        <v>0</v>
      </c>
      <c r="E50" s="43"/>
      <c r="F50" s="43">
        <f t="shared" si="23"/>
        <v>0</v>
      </c>
      <c r="G50" s="43"/>
      <c r="H50" s="43">
        <f t="shared" si="16"/>
        <v>0</v>
      </c>
      <c r="I50" s="42"/>
      <c r="J50" s="43">
        <f t="shared" si="17"/>
        <v>0</v>
      </c>
      <c r="K50" s="42"/>
      <c r="L50" s="42"/>
      <c r="M50" s="42"/>
      <c r="N50" s="43">
        <f t="shared" si="18"/>
        <v>0</v>
      </c>
      <c r="O50" s="43"/>
      <c r="P50" s="131"/>
      <c r="Q50" s="43">
        <f t="shared" si="19"/>
        <v>0</v>
      </c>
      <c r="R50" s="51">
        <v>7206.16</v>
      </c>
      <c r="S50" s="43">
        <f t="shared" si="20"/>
        <v>5.4868368976306252</v>
      </c>
      <c r="T50" s="51"/>
      <c r="U50" s="43">
        <f t="shared" si="21"/>
        <v>0</v>
      </c>
      <c r="V50" s="51"/>
      <c r="W50" s="43">
        <f t="shared" si="22"/>
        <v>0</v>
      </c>
      <c r="X50" s="13"/>
    </row>
    <row r="51" spans="1:24" s="11" customFormat="1" ht="15.75" hidden="1" outlineLevel="2" x14ac:dyDescent="0.25">
      <c r="A51" s="153"/>
      <c r="B51" s="48"/>
      <c r="C51" s="43"/>
      <c r="D51" s="43">
        <f t="shared" si="15"/>
        <v>0</v>
      </c>
      <c r="E51" s="43"/>
      <c r="F51" s="43">
        <f t="shared" si="23"/>
        <v>0</v>
      </c>
      <c r="G51" s="43"/>
      <c r="H51" s="43">
        <f t="shared" si="16"/>
        <v>0</v>
      </c>
      <c r="I51" s="42"/>
      <c r="J51" s="43">
        <f t="shared" si="17"/>
        <v>0</v>
      </c>
      <c r="K51" s="42"/>
      <c r="L51" s="42"/>
      <c r="M51" s="42"/>
      <c r="N51" s="43">
        <f t="shared" si="18"/>
        <v>0</v>
      </c>
      <c r="O51" s="43"/>
      <c r="P51" s="131"/>
      <c r="Q51" s="43">
        <f t="shared" si="19"/>
        <v>0</v>
      </c>
      <c r="R51" s="51">
        <v>8196.69</v>
      </c>
      <c r="S51" s="43">
        <f t="shared" si="20"/>
        <v>6.2410356043218531</v>
      </c>
      <c r="T51" s="51"/>
      <c r="U51" s="43">
        <f t="shared" si="21"/>
        <v>0</v>
      </c>
      <c r="V51" s="51"/>
      <c r="W51" s="43">
        <f t="shared" si="22"/>
        <v>0</v>
      </c>
      <c r="X51" s="13"/>
    </row>
    <row r="52" spans="1:24" s="11" customFormat="1" ht="15.75" hidden="1" outlineLevel="2" x14ac:dyDescent="0.25">
      <c r="A52" s="153"/>
      <c r="B52" s="48"/>
      <c r="C52" s="43"/>
      <c r="D52" s="43">
        <f t="shared" si="15"/>
        <v>0</v>
      </c>
      <c r="E52" s="43"/>
      <c r="F52" s="43">
        <f t="shared" si="23"/>
        <v>0</v>
      </c>
      <c r="G52" s="43"/>
      <c r="H52" s="43">
        <f t="shared" si="16"/>
        <v>0</v>
      </c>
      <c r="I52" s="42"/>
      <c r="J52" s="43">
        <f t="shared" si="17"/>
        <v>0</v>
      </c>
      <c r="K52" s="42"/>
      <c r="L52" s="42"/>
      <c r="M52" s="42"/>
      <c r="N52" s="43">
        <f t="shared" si="18"/>
        <v>0</v>
      </c>
      <c r="O52" s="43"/>
      <c r="P52" s="131"/>
      <c r="Q52" s="43">
        <f t="shared" si="19"/>
        <v>0</v>
      </c>
      <c r="R52" s="51">
        <v>342.09000000000003</v>
      </c>
      <c r="S52" s="43">
        <f t="shared" si="20"/>
        <v>0.26047049112293658</v>
      </c>
      <c r="T52" s="51"/>
      <c r="U52" s="43">
        <f t="shared" si="21"/>
        <v>0</v>
      </c>
      <c r="V52" s="51"/>
      <c r="W52" s="43">
        <f t="shared" si="22"/>
        <v>0</v>
      </c>
      <c r="X52" s="13"/>
    </row>
    <row r="53" spans="1:24" s="11" customFormat="1" ht="15.75" hidden="1" outlineLevel="2" x14ac:dyDescent="0.25">
      <c r="A53" s="153"/>
      <c r="B53" s="48"/>
      <c r="C53" s="43"/>
      <c r="D53" s="43">
        <f t="shared" si="15"/>
        <v>0</v>
      </c>
      <c r="E53" s="43"/>
      <c r="F53" s="43">
        <f t="shared" si="23"/>
        <v>0</v>
      </c>
      <c r="G53" s="43"/>
      <c r="H53" s="43">
        <f t="shared" si="16"/>
        <v>0</v>
      </c>
      <c r="I53" s="42"/>
      <c r="J53" s="43">
        <f t="shared" si="17"/>
        <v>0</v>
      </c>
      <c r="K53" s="42"/>
      <c r="L53" s="42"/>
      <c r="M53" s="42"/>
      <c r="N53" s="43">
        <f t="shared" si="18"/>
        <v>0</v>
      </c>
      <c r="O53" s="43"/>
      <c r="P53" s="131"/>
      <c r="Q53" s="43">
        <f t="shared" si="19"/>
        <v>0</v>
      </c>
      <c r="R53" s="51">
        <v>6418.44</v>
      </c>
      <c r="S53" s="43">
        <f t="shared" si="20"/>
        <v>4.8870596014005105</v>
      </c>
      <c r="T53" s="51"/>
      <c r="U53" s="43">
        <f t="shared" si="21"/>
        <v>0</v>
      </c>
      <c r="V53" s="51"/>
      <c r="W53" s="43">
        <f t="shared" si="22"/>
        <v>0</v>
      </c>
      <c r="X53" s="13"/>
    </row>
    <row r="54" spans="1:24" s="11" customFormat="1" ht="15.75" hidden="1" outlineLevel="2" x14ac:dyDescent="0.25">
      <c r="A54" s="153"/>
      <c r="B54" s="48"/>
      <c r="C54" s="43"/>
      <c r="D54" s="43">
        <f t="shared" si="15"/>
        <v>0</v>
      </c>
      <c r="E54" s="43"/>
      <c r="F54" s="43">
        <f t="shared" si="23"/>
        <v>0</v>
      </c>
      <c r="G54" s="43"/>
      <c r="H54" s="43">
        <f t="shared" si="16"/>
        <v>0</v>
      </c>
      <c r="I54" s="42"/>
      <c r="J54" s="43">
        <f t="shared" si="17"/>
        <v>0</v>
      </c>
      <c r="K54" s="42"/>
      <c r="L54" s="42"/>
      <c r="M54" s="42"/>
      <c r="N54" s="43">
        <f t="shared" si="18"/>
        <v>0</v>
      </c>
      <c r="O54" s="43"/>
      <c r="P54" s="131"/>
      <c r="Q54" s="43">
        <f t="shared" si="19"/>
        <v>0</v>
      </c>
      <c r="R54" s="51">
        <v>2194.9769999999999</v>
      </c>
      <c r="S54" s="43">
        <f t="shared" si="20"/>
        <v>1.6712757964089857</v>
      </c>
      <c r="T54" s="51"/>
      <c r="U54" s="43">
        <f t="shared" si="21"/>
        <v>0</v>
      </c>
      <c r="V54" s="51"/>
      <c r="W54" s="43">
        <f t="shared" si="22"/>
        <v>0</v>
      </c>
      <c r="X54" s="13"/>
    </row>
    <row r="55" spans="1:24" s="11" customFormat="1" ht="15.75" hidden="1" outlineLevel="2" x14ac:dyDescent="0.25">
      <c r="A55" s="153"/>
      <c r="B55" s="48"/>
      <c r="C55" s="43"/>
      <c r="D55" s="43">
        <f t="shared" si="15"/>
        <v>0</v>
      </c>
      <c r="E55" s="43"/>
      <c r="F55" s="43">
        <f t="shared" si="23"/>
        <v>0</v>
      </c>
      <c r="G55" s="43"/>
      <c r="H55" s="43">
        <f t="shared" si="16"/>
        <v>0</v>
      </c>
      <c r="I55" s="42"/>
      <c r="J55" s="43">
        <f t="shared" si="17"/>
        <v>0</v>
      </c>
      <c r="K55" s="42"/>
      <c r="L55" s="42"/>
      <c r="M55" s="42"/>
      <c r="N55" s="43">
        <f t="shared" si="18"/>
        <v>0</v>
      </c>
      <c r="O55" s="43"/>
      <c r="P55" s="131"/>
      <c r="Q55" s="43">
        <f t="shared" si="19"/>
        <v>0</v>
      </c>
      <c r="R55" s="51">
        <v>2732.23</v>
      </c>
      <c r="S55" s="43">
        <f t="shared" si="20"/>
        <v>2.0803452014406183</v>
      </c>
      <c r="T55" s="51"/>
      <c r="U55" s="43">
        <f t="shared" si="21"/>
        <v>0</v>
      </c>
      <c r="V55" s="51"/>
      <c r="W55" s="43">
        <f t="shared" si="22"/>
        <v>0</v>
      </c>
      <c r="X55" s="13"/>
    </row>
    <row r="56" spans="1:24" s="11" customFormat="1" ht="15.75" hidden="1" outlineLevel="2" x14ac:dyDescent="0.25">
      <c r="A56" s="153"/>
      <c r="B56" s="48"/>
      <c r="C56" s="43"/>
      <c r="D56" s="43">
        <f t="shared" si="15"/>
        <v>0</v>
      </c>
      <c r="E56" s="43"/>
      <c r="F56" s="43">
        <f t="shared" si="23"/>
        <v>0</v>
      </c>
      <c r="G56" s="43"/>
      <c r="H56" s="43">
        <f t="shared" si="16"/>
        <v>0</v>
      </c>
      <c r="I56" s="42"/>
      <c r="J56" s="43">
        <f t="shared" si="17"/>
        <v>0</v>
      </c>
      <c r="K56" s="42"/>
      <c r="L56" s="42"/>
      <c r="M56" s="42"/>
      <c r="N56" s="43">
        <f t="shared" si="18"/>
        <v>0</v>
      </c>
      <c r="O56" s="43"/>
      <c r="P56" s="131"/>
      <c r="Q56" s="43">
        <f t="shared" si="19"/>
        <v>0</v>
      </c>
      <c r="R56" s="51">
        <v>1140.3</v>
      </c>
      <c r="S56" s="43">
        <f t="shared" si="20"/>
        <v>0.86823497040978859</v>
      </c>
      <c r="T56" s="51"/>
      <c r="U56" s="43">
        <f t="shared" si="21"/>
        <v>0</v>
      </c>
      <c r="V56" s="51"/>
      <c r="W56" s="43">
        <f t="shared" si="22"/>
        <v>0</v>
      </c>
      <c r="X56" s="13"/>
    </row>
    <row r="57" spans="1:24" s="11" customFormat="1" ht="15.75" hidden="1" outlineLevel="2" x14ac:dyDescent="0.25">
      <c r="A57" s="153"/>
      <c r="B57" s="48"/>
      <c r="C57" s="43"/>
      <c r="D57" s="43">
        <f t="shared" si="15"/>
        <v>0</v>
      </c>
      <c r="E57" s="43"/>
      <c r="F57" s="43">
        <f t="shared" si="23"/>
        <v>0</v>
      </c>
      <c r="G57" s="43"/>
      <c r="H57" s="43">
        <f t="shared" si="16"/>
        <v>0</v>
      </c>
      <c r="I57" s="42"/>
      <c r="J57" s="43">
        <f t="shared" si="17"/>
        <v>0</v>
      </c>
      <c r="K57" s="42"/>
      <c r="L57" s="42"/>
      <c r="M57" s="42"/>
      <c r="N57" s="43">
        <f t="shared" si="18"/>
        <v>0</v>
      </c>
      <c r="O57" s="43"/>
      <c r="P57" s="131"/>
      <c r="Q57" s="43">
        <f t="shared" si="19"/>
        <v>0</v>
      </c>
      <c r="R57" s="51">
        <v>228.88</v>
      </c>
      <c r="S57" s="43">
        <f t="shared" si="20"/>
        <v>0.17427134966885241</v>
      </c>
      <c r="T57" s="51"/>
      <c r="U57" s="43">
        <f t="shared" si="21"/>
        <v>0</v>
      </c>
      <c r="V57" s="51"/>
      <c r="W57" s="43">
        <f t="shared" si="22"/>
        <v>0</v>
      </c>
      <c r="X57" s="13"/>
    </row>
    <row r="58" spans="1:24" s="11" customFormat="1" ht="15.75" hidden="1" outlineLevel="2" x14ac:dyDescent="0.25">
      <c r="A58" s="153"/>
      <c r="B58" s="48"/>
      <c r="C58" s="43"/>
      <c r="D58" s="43">
        <f t="shared" si="15"/>
        <v>0</v>
      </c>
      <c r="E58" s="43"/>
      <c r="F58" s="43">
        <f t="shared" si="23"/>
        <v>0</v>
      </c>
      <c r="G58" s="43"/>
      <c r="H58" s="43">
        <f t="shared" si="16"/>
        <v>0</v>
      </c>
      <c r="I58" s="42"/>
      <c r="J58" s="43">
        <f t="shared" si="17"/>
        <v>0</v>
      </c>
      <c r="K58" s="42"/>
      <c r="L58" s="42"/>
      <c r="M58" s="42"/>
      <c r="N58" s="43">
        <f t="shared" si="18"/>
        <v>0</v>
      </c>
      <c r="O58" s="43"/>
      <c r="P58" s="131"/>
      <c r="Q58" s="43">
        <f t="shared" si="19"/>
        <v>0</v>
      </c>
      <c r="R58" s="51">
        <v>5765.5</v>
      </c>
      <c r="S58" s="43">
        <f t="shared" si="20"/>
        <v>4.3899050441968219</v>
      </c>
      <c r="T58" s="51"/>
      <c r="U58" s="43">
        <f t="shared" si="21"/>
        <v>0</v>
      </c>
      <c r="V58" s="51"/>
      <c r="W58" s="43">
        <f t="shared" si="22"/>
        <v>0</v>
      </c>
      <c r="X58" s="13"/>
    </row>
    <row r="59" spans="1:24" s="11" customFormat="1" ht="15.75" hidden="1" outlineLevel="2" x14ac:dyDescent="0.25">
      <c r="A59" s="153"/>
      <c r="B59" s="48"/>
      <c r="C59" s="43"/>
      <c r="D59" s="43">
        <f t="shared" si="15"/>
        <v>0</v>
      </c>
      <c r="E59" s="43"/>
      <c r="F59" s="43">
        <f t="shared" si="23"/>
        <v>0</v>
      </c>
      <c r="G59" s="43"/>
      <c r="H59" s="43">
        <f t="shared" si="16"/>
        <v>0</v>
      </c>
      <c r="I59" s="42"/>
      <c r="J59" s="43">
        <f t="shared" si="17"/>
        <v>0</v>
      </c>
      <c r="K59" s="42"/>
      <c r="L59" s="42"/>
      <c r="M59" s="42"/>
      <c r="N59" s="43">
        <f t="shared" si="18"/>
        <v>0</v>
      </c>
      <c r="O59" s="43"/>
      <c r="P59" s="131"/>
      <c r="Q59" s="43">
        <f t="shared" si="19"/>
        <v>0</v>
      </c>
      <c r="R59" s="51">
        <v>38030.04</v>
      </c>
      <c r="S59" s="43">
        <f t="shared" si="20"/>
        <v>28.956424321742592</v>
      </c>
      <c r="T59" s="51"/>
      <c r="U59" s="43">
        <f t="shared" si="21"/>
        <v>0</v>
      </c>
      <c r="V59" s="51"/>
      <c r="W59" s="43">
        <f t="shared" si="22"/>
        <v>0</v>
      </c>
      <c r="X59" s="13"/>
    </row>
    <row r="60" spans="1:24" s="11" customFormat="1" ht="15.75" hidden="1" outlineLevel="2" x14ac:dyDescent="0.25">
      <c r="A60" s="153"/>
      <c r="B60" s="48"/>
      <c r="C60" s="43"/>
      <c r="D60" s="43">
        <f t="shared" si="15"/>
        <v>0</v>
      </c>
      <c r="E60" s="43"/>
      <c r="F60" s="43">
        <f t="shared" si="23"/>
        <v>0</v>
      </c>
      <c r="G60" s="43"/>
      <c r="H60" s="43">
        <f t="shared" si="16"/>
        <v>0</v>
      </c>
      <c r="I60" s="42"/>
      <c r="J60" s="43">
        <f t="shared" si="17"/>
        <v>0</v>
      </c>
      <c r="K60" s="42"/>
      <c r="L60" s="42"/>
      <c r="M60" s="42"/>
      <c r="N60" s="43">
        <f t="shared" si="18"/>
        <v>0</v>
      </c>
      <c r="O60" s="43"/>
      <c r="P60" s="131"/>
      <c r="Q60" s="43">
        <f t="shared" si="19"/>
        <v>0</v>
      </c>
      <c r="R60" s="51">
        <v>4980.5</v>
      </c>
      <c r="S60" s="43">
        <f t="shared" si="20"/>
        <v>3.7921987811329929</v>
      </c>
      <c r="T60" s="51"/>
      <c r="U60" s="43">
        <f t="shared" si="21"/>
        <v>0</v>
      </c>
      <c r="V60" s="51"/>
      <c r="W60" s="43">
        <f t="shared" si="22"/>
        <v>0</v>
      </c>
      <c r="X60" s="13"/>
    </row>
    <row r="61" spans="1:24" s="11" customFormat="1" ht="15.75" hidden="1" outlineLevel="2" x14ac:dyDescent="0.25">
      <c r="A61" s="153"/>
      <c r="B61" s="48"/>
      <c r="C61" s="43"/>
      <c r="D61" s="43">
        <f t="shared" si="15"/>
        <v>0</v>
      </c>
      <c r="E61" s="43"/>
      <c r="F61" s="43">
        <f t="shared" si="23"/>
        <v>0</v>
      </c>
      <c r="G61" s="43"/>
      <c r="H61" s="43">
        <f t="shared" si="16"/>
        <v>0</v>
      </c>
      <c r="I61" s="42"/>
      <c r="J61" s="43">
        <f t="shared" si="17"/>
        <v>0</v>
      </c>
      <c r="K61" s="42"/>
      <c r="L61" s="42"/>
      <c r="M61" s="42"/>
      <c r="N61" s="43">
        <f t="shared" si="18"/>
        <v>0</v>
      </c>
      <c r="O61" s="43"/>
      <c r="P61" s="131"/>
      <c r="Q61" s="43">
        <f t="shared" si="19"/>
        <v>0</v>
      </c>
      <c r="R61" s="51">
        <v>38030.04</v>
      </c>
      <c r="S61" s="43">
        <f t="shared" si="20"/>
        <v>28.956424321742592</v>
      </c>
      <c r="T61" s="51"/>
      <c r="U61" s="43">
        <f t="shared" si="21"/>
        <v>0</v>
      </c>
      <c r="V61" s="51"/>
      <c r="W61" s="43">
        <f t="shared" si="22"/>
        <v>0</v>
      </c>
      <c r="X61" s="13"/>
    </row>
    <row r="62" spans="1:24" s="11" customFormat="1" ht="15.75" hidden="1" outlineLevel="2" x14ac:dyDescent="0.25">
      <c r="A62" s="153"/>
      <c r="B62" s="48"/>
      <c r="C62" s="43"/>
      <c r="D62" s="43">
        <f t="shared" si="15"/>
        <v>0</v>
      </c>
      <c r="E62" s="43"/>
      <c r="F62" s="43">
        <f t="shared" si="23"/>
        <v>0</v>
      </c>
      <c r="G62" s="43"/>
      <c r="H62" s="43">
        <f t="shared" si="16"/>
        <v>0</v>
      </c>
      <c r="I62" s="42"/>
      <c r="J62" s="43">
        <f t="shared" si="17"/>
        <v>0</v>
      </c>
      <c r="K62" s="42"/>
      <c r="L62" s="42"/>
      <c r="M62" s="42"/>
      <c r="N62" s="43">
        <f t="shared" si="18"/>
        <v>0</v>
      </c>
      <c r="O62" s="43"/>
      <c r="P62" s="131"/>
      <c r="Q62" s="43">
        <f t="shared" si="19"/>
        <v>0</v>
      </c>
      <c r="R62" s="51">
        <v>996.1</v>
      </c>
      <c r="S62" s="43">
        <f t="shared" si="20"/>
        <v>0.75843975622659854</v>
      </c>
      <c r="T62" s="51"/>
      <c r="U62" s="43">
        <f t="shared" si="21"/>
        <v>0</v>
      </c>
      <c r="V62" s="51"/>
      <c r="W62" s="43">
        <f t="shared" si="22"/>
        <v>0</v>
      </c>
      <c r="X62" s="13"/>
    </row>
    <row r="63" spans="1:24" s="11" customFormat="1" ht="15.75" hidden="1" outlineLevel="2" x14ac:dyDescent="0.25">
      <c r="A63" s="153"/>
      <c r="B63" s="48"/>
      <c r="C63" s="43"/>
      <c r="D63" s="43">
        <f t="shared" si="15"/>
        <v>0</v>
      </c>
      <c r="E63" s="43"/>
      <c r="F63" s="43">
        <f t="shared" si="23"/>
        <v>0</v>
      </c>
      <c r="G63" s="43"/>
      <c r="H63" s="43">
        <f t="shared" si="16"/>
        <v>0</v>
      </c>
      <c r="I63" s="42"/>
      <c r="J63" s="43">
        <f t="shared" si="17"/>
        <v>0</v>
      </c>
      <c r="K63" s="42"/>
      <c r="L63" s="42"/>
      <c r="M63" s="42"/>
      <c r="N63" s="43">
        <f t="shared" si="18"/>
        <v>0</v>
      </c>
      <c r="O63" s="43"/>
      <c r="P63" s="131"/>
      <c r="Q63" s="43">
        <f t="shared" si="19"/>
        <v>0</v>
      </c>
      <c r="R63" s="51">
        <v>2732.23</v>
      </c>
      <c r="S63" s="43">
        <f t="shared" si="20"/>
        <v>2.0803452014406183</v>
      </c>
      <c r="T63" s="51"/>
      <c r="U63" s="43">
        <f t="shared" si="21"/>
        <v>0</v>
      </c>
      <c r="V63" s="51"/>
      <c r="W63" s="43">
        <f t="shared" si="22"/>
        <v>0</v>
      </c>
      <c r="X63" s="13"/>
    </row>
    <row r="64" spans="1:24" s="11" customFormat="1" ht="15.75" hidden="1" outlineLevel="2" x14ac:dyDescent="0.25">
      <c r="A64" s="153"/>
      <c r="B64" s="48"/>
      <c r="C64" s="43"/>
      <c r="D64" s="43">
        <f t="shared" si="15"/>
        <v>0</v>
      </c>
      <c r="E64" s="43"/>
      <c r="F64" s="43">
        <f t="shared" si="23"/>
        <v>0</v>
      </c>
      <c r="G64" s="43"/>
      <c r="H64" s="43">
        <f t="shared" si="16"/>
        <v>0</v>
      </c>
      <c r="I64" s="42"/>
      <c r="J64" s="43">
        <f t="shared" si="17"/>
        <v>0</v>
      </c>
      <c r="K64" s="42"/>
      <c r="L64" s="42"/>
      <c r="M64" s="42"/>
      <c r="N64" s="43">
        <f t="shared" si="18"/>
        <v>0</v>
      </c>
      <c r="O64" s="43"/>
      <c r="P64" s="131"/>
      <c r="Q64" s="43">
        <f t="shared" si="19"/>
        <v>0</v>
      </c>
      <c r="R64" s="51">
        <v>228.88</v>
      </c>
      <c r="S64" s="43">
        <f t="shared" si="20"/>
        <v>0.17427134966885241</v>
      </c>
      <c r="T64" s="51"/>
      <c r="U64" s="43">
        <f t="shared" si="21"/>
        <v>0</v>
      </c>
      <c r="V64" s="51"/>
      <c r="W64" s="43">
        <f t="shared" si="22"/>
        <v>0</v>
      </c>
      <c r="X64" s="13"/>
    </row>
    <row r="65" spans="1:24" s="11" customFormat="1" ht="15.75" hidden="1" outlineLevel="2" x14ac:dyDescent="0.25">
      <c r="A65" s="153"/>
      <c r="B65" s="48"/>
      <c r="C65" s="43"/>
      <c r="D65" s="43">
        <f t="shared" si="15"/>
        <v>0</v>
      </c>
      <c r="E65" s="43"/>
      <c r="F65" s="43">
        <f t="shared" si="23"/>
        <v>0</v>
      </c>
      <c r="G65" s="43"/>
      <c r="H65" s="43">
        <f t="shared" si="16"/>
        <v>0</v>
      </c>
      <c r="I65" s="42"/>
      <c r="J65" s="43">
        <f t="shared" si="17"/>
        <v>0</v>
      </c>
      <c r="K65" s="42"/>
      <c r="L65" s="42"/>
      <c r="M65" s="42"/>
      <c r="N65" s="43">
        <f t="shared" si="18"/>
        <v>0</v>
      </c>
      <c r="O65" s="43"/>
      <c r="P65" s="131"/>
      <c r="Q65" s="43">
        <f t="shared" si="19"/>
        <v>0</v>
      </c>
      <c r="R65" s="51">
        <v>256.18</v>
      </c>
      <c r="S65" s="43">
        <f t="shared" si="20"/>
        <v>0.19505782225693208</v>
      </c>
      <c r="T65" s="51"/>
      <c r="U65" s="43">
        <f t="shared" si="21"/>
        <v>0</v>
      </c>
      <c r="V65" s="51"/>
      <c r="W65" s="43">
        <f t="shared" si="22"/>
        <v>0</v>
      </c>
      <c r="X65" s="13"/>
    </row>
    <row r="66" spans="1:24" s="11" customFormat="1" ht="15.75" hidden="1" outlineLevel="2" x14ac:dyDescent="0.25">
      <c r="A66" s="153"/>
      <c r="B66" s="48"/>
      <c r="C66" s="43"/>
      <c r="D66" s="43">
        <f t="shared" si="15"/>
        <v>0</v>
      </c>
      <c r="E66" s="43"/>
      <c r="F66" s="43">
        <f t="shared" si="23"/>
        <v>0</v>
      </c>
      <c r="G66" s="43"/>
      <c r="H66" s="43">
        <f t="shared" si="16"/>
        <v>0</v>
      </c>
      <c r="I66" s="42"/>
      <c r="J66" s="43">
        <f t="shared" si="17"/>
        <v>0</v>
      </c>
      <c r="K66" s="42"/>
      <c r="L66" s="42"/>
      <c r="M66" s="42"/>
      <c r="N66" s="43">
        <f t="shared" si="18"/>
        <v>0</v>
      </c>
      <c r="O66" s="43"/>
      <c r="P66" s="131"/>
      <c r="Q66" s="43">
        <f t="shared" si="19"/>
        <v>0</v>
      </c>
      <c r="R66" s="51">
        <v>9961</v>
      </c>
      <c r="S66" s="43">
        <f t="shared" si="20"/>
        <v>7.5843975622659858</v>
      </c>
      <c r="T66" s="51"/>
      <c r="U66" s="43">
        <f t="shared" si="21"/>
        <v>0</v>
      </c>
      <c r="V66" s="51"/>
      <c r="W66" s="43">
        <f t="shared" si="22"/>
        <v>0</v>
      </c>
      <c r="X66" s="13"/>
    </row>
    <row r="67" spans="1:24" s="11" customFormat="1" ht="15.75" hidden="1" outlineLevel="2" x14ac:dyDescent="0.25">
      <c r="A67" s="153"/>
      <c r="B67" s="48"/>
      <c r="C67" s="43"/>
      <c r="D67" s="43">
        <f t="shared" si="15"/>
        <v>0</v>
      </c>
      <c r="E67" s="43"/>
      <c r="F67" s="43">
        <f t="shared" si="23"/>
        <v>0</v>
      </c>
      <c r="G67" s="43"/>
      <c r="H67" s="43">
        <f t="shared" si="16"/>
        <v>0</v>
      </c>
      <c r="I67" s="42"/>
      <c r="J67" s="43">
        <f t="shared" si="17"/>
        <v>0</v>
      </c>
      <c r="K67" s="42"/>
      <c r="L67" s="42"/>
      <c r="M67" s="42"/>
      <c r="N67" s="43">
        <f t="shared" si="18"/>
        <v>0</v>
      </c>
      <c r="O67" s="43"/>
      <c r="P67" s="131"/>
      <c r="Q67" s="43">
        <f t="shared" si="19"/>
        <v>0</v>
      </c>
      <c r="R67" s="51">
        <v>6145.05</v>
      </c>
      <c r="S67" s="43">
        <f t="shared" si="20"/>
        <v>4.6788979259113139</v>
      </c>
      <c r="T67" s="51"/>
      <c r="U67" s="43">
        <f t="shared" si="21"/>
        <v>0</v>
      </c>
      <c r="V67" s="51"/>
      <c r="W67" s="43">
        <f t="shared" si="22"/>
        <v>0</v>
      </c>
      <c r="X67" s="13"/>
    </row>
    <row r="68" spans="1:24" s="11" customFormat="1" ht="15.75" hidden="1" outlineLevel="2" x14ac:dyDescent="0.25">
      <c r="A68" s="153"/>
      <c r="B68" s="48"/>
      <c r="C68" s="43"/>
      <c r="D68" s="43">
        <f t="shared" si="15"/>
        <v>0</v>
      </c>
      <c r="E68" s="43"/>
      <c r="F68" s="43">
        <f t="shared" si="23"/>
        <v>0</v>
      </c>
      <c r="G68" s="43"/>
      <c r="H68" s="43">
        <f t="shared" si="16"/>
        <v>0</v>
      </c>
      <c r="I68" s="42"/>
      <c r="J68" s="43">
        <f t="shared" si="17"/>
        <v>0</v>
      </c>
      <c r="K68" s="42"/>
      <c r="L68" s="42"/>
      <c r="M68" s="42"/>
      <c r="N68" s="43">
        <f t="shared" si="18"/>
        <v>0</v>
      </c>
      <c r="O68" s="43"/>
      <c r="P68" s="131"/>
      <c r="Q68" s="43">
        <f t="shared" si="19"/>
        <v>0</v>
      </c>
      <c r="R68" s="51">
        <v>15165.96</v>
      </c>
      <c r="S68" s="43">
        <f t="shared" si="20"/>
        <v>11.547502264172618</v>
      </c>
      <c r="T68" s="51"/>
      <c r="U68" s="43">
        <f t="shared" si="21"/>
        <v>0</v>
      </c>
      <c r="V68" s="51"/>
      <c r="W68" s="43">
        <f t="shared" si="22"/>
        <v>0</v>
      </c>
      <c r="X68" s="13"/>
    </row>
    <row r="69" spans="1:24" s="11" customFormat="1" ht="15.75" hidden="1" outlineLevel="2" x14ac:dyDescent="0.25">
      <c r="A69" s="153"/>
      <c r="B69" s="48"/>
      <c r="C69" s="43"/>
      <c r="D69" s="43">
        <f t="shared" si="15"/>
        <v>0</v>
      </c>
      <c r="E69" s="43"/>
      <c r="F69" s="43">
        <f t="shared" si="23"/>
        <v>0</v>
      </c>
      <c r="G69" s="43"/>
      <c r="H69" s="43">
        <f t="shared" si="16"/>
        <v>0</v>
      </c>
      <c r="I69" s="42"/>
      <c r="J69" s="43">
        <f t="shared" si="17"/>
        <v>0</v>
      </c>
      <c r="K69" s="42"/>
      <c r="L69" s="42"/>
      <c r="M69" s="42"/>
      <c r="N69" s="43">
        <f t="shared" si="18"/>
        <v>0</v>
      </c>
      <c r="O69" s="43"/>
      <c r="P69" s="131"/>
      <c r="Q69" s="43">
        <f t="shared" si="19"/>
        <v>0</v>
      </c>
      <c r="R69" s="13"/>
      <c r="S69" s="43">
        <f t="shared" si="20"/>
        <v>0</v>
      </c>
      <c r="T69" s="54">
        <v>581.88</v>
      </c>
      <c r="U69" s="43">
        <f t="shared" si="21"/>
        <v>0.44304881573449773</v>
      </c>
      <c r="V69" s="54"/>
      <c r="W69" s="43">
        <f t="shared" si="22"/>
        <v>0</v>
      </c>
      <c r="X69" s="13"/>
    </row>
    <row r="70" spans="1:24" s="11" customFormat="1" ht="15.75" hidden="1" outlineLevel="2" x14ac:dyDescent="0.25">
      <c r="A70" s="153"/>
      <c r="B70" s="48"/>
      <c r="C70" s="43"/>
      <c r="D70" s="43">
        <f t="shared" ref="D70:D77" si="24">C70/1.18/1.8035/$E$3</f>
        <v>0</v>
      </c>
      <c r="E70" s="43"/>
      <c r="F70" s="43">
        <f t="shared" si="23"/>
        <v>0</v>
      </c>
      <c r="G70" s="43"/>
      <c r="H70" s="43">
        <f t="shared" ref="H70:H76" si="25">G70/1.18/1.8035/$E$3</f>
        <v>0</v>
      </c>
      <c r="I70" s="42"/>
      <c r="J70" s="43">
        <f t="shared" ref="J70:J76" si="26">I70/1.18/1.8035/$E$3</f>
        <v>0</v>
      </c>
      <c r="K70" s="42"/>
      <c r="L70" s="42"/>
      <c r="M70" s="42"/>
      <c r="N70" s="43">
        <f t="shared" ref="N70:N77" si="27">K70/1.18/1.8035/$E$3</f>
        <v>0</v>
      </c>
      <c r="O70" s="43"/>
      <c r="P70" s="131"/>
      <c r="Q70" s="43">
        <f t="shared" ref="Q70:Q76" si="28">P70/1.18/1.8035/$E$3</f>
        <v>0</v>
      </c>
      <c r="R70" s="13"/>
      <c r="S70" s="43">
        <f t="shared" ref="S70:S77" si="29">R70/1.18/1.8035/$E$3</f>
        <v>0</v>
      </c>
      <c r="T70" s="54">
        <v>114.04</v>
      </c>
      <c r="U70" s="43">
        <f t="shared" ref="U70:U77" si="30">T70/1.18/1.8035/$E$3</f>
        <v>8.6831111133501948E-2</v>
      </c>
      <c r="V70" s="54"/>
      <c r="W70" s="43">
        <f t="shared" ref="W70:W77" si="31">V70/1.18/1.8035/$E$3</f>
        <v>0</v>
      </c>
      <c r="X70" s="13"/>
    </row>
    <row r="71" spans="1:24" s="11" customFormat="1" ht="28.5" hidden="1" outlineLevel="1" x14ac:dyDescent="0.25">
      <c r="A71" s="153">
        <v>7</v>
      </c>
      <c r="B71" s="48" t="s">
        <v>39</v>
      </c>
      <c r="C71" s="43" t="e">
        <f>C73*0.42</f>
        <v>#REF!</v>
      </c>
      <c r="D71" s="43" t="e">
        <f t="shared" si="24"/>
        <v>#REF!</v>
      </c>
      <c r="E71" s="43" t="e">
        <f t="shared" ref="E71:X71" si="32">E73*0.42</f>
        <v>#REF!</v>
      </c>
      <c r="F71" s="43" t="e">
        <f t="shared" si="23"/>
        <v>#REF!</v>
      </c>
      <c r="G71" s="43" t="e">
        <f t="shared" si="32"/>
        <v>#REF!</v>
      </c>
      <c r="H71" s="43" t="e">
        <f t="shared" si="25"/>
        <v>#REF!</v>
      </c>
      <c r="I71" s="43">
        <f t="shared" si="32"/>
        <v>0</v>
      </c>
      <c r="J71" s="43">
        <f t="shared" si="26"/>
        <v>0</v>
      </c>
      <c r="K71" s="43">
        <f t="shared" si="32"/>
        <v>0</v>
      </c>
      <c r="L71" s="43"/>
      <c r="M71" s="43"/>
      <c r="N71" s="43">
        <f t="shared" si="27"/>
        <v>0</v>
      </c>
      <c r="O71" s="43"/>
      <c r="P71" s="129">
        <f t="shared" si="32"/>
        <v>0</v>
      </c>
      <c r="Q71" s="43">
        <f t="shared" si="28"/>
        <v>0</v>
      </c>
      <c r="R71" s="43">
        <f>R73*0.42/1.45</f>
        <v>79319.135975172423</v>
      </c>
      <c r="S71" s="43">
        <f t="shared" si="29"/>
        <v>60.394324016779642</v>
      </c>
      <c r="T71" s="43">
        <f t="shared" si="32"/>
        <v>0</v>
      </c>
      <c r="U71" s="43">
        <f t="shared" si="30"/>
        <v>0</v>
      </c>
      <c r="V71" s="43">
        <f t="shared" si="32"/>
        <v>0</v>
      </c>
      <c r="W71" s="43">
        <f t="shared" si="31"/>
        <v>0</v>
      </c>
      <c r="X71" s="43">
        <f t="shared" si="32"/>
        <v>0</v>
      </c>
    </row>
    <row r="72" spans="1:24" s="11" customFormat="1" ht="15.75" hidden="1" outlineLevel="1" x14ac:dyDescent="0.25">
      <c r="A72" s="153">
        <v>8</v>
      </c>
      <c r="B72" s="48" t="s">
        <v>24</v>
      </c>
      <c r="C72" s="43" t="e">
        <f>C73*0.58</f>
        <v>#REF!</v>
      </c>
      <c r="D72" s="43" t="e">
        <f t="shared" si="24"/>
        <v>#REF!</v>
      </c>
      <c r="E72" s="43" t="e">
        <f t="shared" ref="E72:X72" si="33">E73*0.58</f>
        <v>#REF!</v>
      </c>
      <c r="F72" s="43" t="e">
        <f t="shared" ref="F72:F77" si="34">E72/1.18/1.8035/$E$3</f>
        <v>#REF!</v>
      </c>
      <c r="G72" s="43" t="e">
        <f t="shared" si="33"/>
        <v>#REF!</v>
      </c>
      <c r="H72" s="43" t="e">
        <f t="shared" si="25"/>
        <v>#REF!</v>
      </c>
      <c r="I72" s="43">
        <f t="shared" si="33"/>
        <v>0</v>
      </c>
      <c r="J72" s="43">
        <f t="shared" si="26"/>
        <v>0</v>
      </c>
      <c r="K72" s="43">
        <f t="shared" si="33"/>
        <v>0</v>
      </c>
      <c r="L72" s="43"/>
      <c r="M72" s="43"/>
      <c r="N72" s="43">
        <f t="shared" si="27"/>
        <v>0</v>
      </c>
      <c r="O72" s="43"/>
      <c r="P72" s="129">
        <f t="shared" si="33"/>
        <v>0</v>
      </c>
      <c r="Q72" s="43">
        <f t="shared" si="28"/>
        <v>0</v>
      </c>
      <c r="R72" s="43">
        <f>R73*0.58/1.45</f>
        <v>109535.94967999999</v>
      </c>
      <c r="S72" s="43">
        <f t="shared" si="29"/>
        <v>83.401685546981383</v>
      </c>
      <c r="T72" s="43">
        <f t="shared" si="33"/>
        <v>0</v>
      </c>
      <c r="U72" s="43">
        <f t="shared" si="30"/>
        <v>0</v>
      </c>
      <c r="V72" s="43">
        <f t="shared" si="33"/>
        <v>0</v>
      </c>
      <c r="W72" s="43">
        <f t="shared" si="31"/>
        <v>0</v>
      </c>
      <c r="X72" s="43">
        <f t="shared" si="33"/>
        <v>0</v>
      </c>
    </row>
    <row r="73" spans="1:24" s="11" customFormat="1" ht="15.75" hidden="1" outlineLevel="2" x14ac:dyDescent="0.25">
      <c r="A73" s="10"/>
      <c r="B73" s="1"/>
      <c r="C73" s="55" t="e">
        <f>19168.791194+$C$3*0.3</f>
        <v>#REF!</v>
      </c>
      <c r="D73" s="43" t="e">
        <f t="shared" si="24"/>
        <v>#REF!</v>
      </c>
      <c r="E73" s="55" t="e">
        <f>19168.791194+$C$3*0.3</f>
        <v>#REF!</v>
      </c>
      <c r="F73" s="43" t="e">
        <f t="shared" si="34"/>
        <v>#REF!</v>
      </c>
      <c r="G73" s="55" t="e">
        <f>19168.791194+$C$3*0.3</f>
        <v>#REF!</v>
      </c>
      <c r="H73" s="43" t="e">
        <f t="shared" si="25"/>
        <v>#REF!</v>
      </c>
      <c r="I73" s="39"/>
      <c r="J73" s="43">
        <f t="shared" si="26"/>
        <v>0</v>
      </c>
      <c r="K73" s="39"/>
      <c r="L73" s="156"/>
      <c r="M73" s="156"/>
      <c r="N73" s="43">
        <f t="shared" si="27"/>
        <v>0</v>
      </c>
      <c r="O73" s="43"/>
      <c r="P73" s="133"/>
      <c r="Q73" s="43">
        <f t="shared" si="28"/>
        <v>0</v>
      </c>
      <c r="R73" s="9">
        <f>'[1]Состав работ'!$G$212</f>
        <v>273839.87420000002</v>
      </c>
      <c r="S73" s="43">
        <f t="shared" si="29"/>
        <v>208.5042138674535</v>
      </c>
      <c r="T73" s="9"/>
      <c r="U73" s="43">
        <f t="shared" si="30"/>
        <v>0</v>
      </c>
      <c r="V73" s="9"/>
      <c r="W73" s="43">
        <f t="shared" si="31"/>
        <v>0</v>
      </c>
      <c r="X73" s="9"/>
    </row>
    <row r="74" spans="1:24" s="11" customFormat="1" ht="15.75" hidden="1" outlineLevel="2" x14ac:dyDescent="0.25">
      <c r="A74" s="10"/>
      <c r="B74" s="1"/>
      <c r="C74" s="40"/>
      <c r="D74" s="43">
        <f t="shared" si="24"/>
        <v>0</v>
      </c>
      <c r="E74" s="40"/>
      <c r="F74" s="43">
        <f t="shared" si="34"/>
        <v>0</v>
      </c>
      <c r="G74" s="40"/>
      <c r="H74" s="43">
        <f t="shared" si="25"/>
        <v>0</v>
      </c>
      <c r="I74" s="40"/>
      <c r="J74" s="43">
        <f t="shared" si="26"/>
        <v>0</v>
      </c>
      <c r="K74" s="40"/>
      <c r="L74" s="161"/>
      <c r="M74" s="161"/>
      <c r="N74" s="43">
        <f t="shared" si="27"/>
        <v>0</v>
      </c>
      <c r="O74" s="43"/>
      <c r="P74" s="133"/>
      <c r="Q74" s="43">
        <f t="shared" si="28"/>
        <v>0</v>
      </c>
      <c r="R74" s="9"/>
      <c r="S74" s="43">
        <f t="shared" si="29"/>
        <v>0</v>
      </c>
      <c r="T74" s="9"/>
      <c r="U74" s="43">
        <f t="shared" si="30"/>
        <v>0</v>
      </c>
      <c r="V74" s="9"/>
      <c r="W74" s="43">
        <f t="shared" si="31"/>
        <v>0</v>
      </c>
      <c r="X74" s="9"/>
    </row>
    <row r="75" spans="1:24" s="11" customFormat="1" ht="15.75" hidden="1" outlineLevel="2" x14ac:dyDescent="0.25">
      <c r="A75" s="10"/>
      <c r="B75" s="1"/>
      <c r="C75" s="40"/>
      <c r="D75" s="43">
        <f t="shared" si="24"/>
        <v>0</v>
      </c>
      <c r="E75" s="40"/>
      <c r="F75" s="43">
        <f t="shared" si="34"/>
        <v>0</v>
      </c>
      <c r="G75" s="40"/>
      <c r="H75" s="43">
        <f t="shared" si="25"/>
        <v>0</v>
      </c>
      <c r="I75" s="40"/>
      <c r="J75" s="43">
        <f t="shared" si="26"/>
        <v>0</v>
      </c>
      <c r="K75" s="40"/>
      <c r="L75" s="161"/>
      <c r="M75" s="161"/>
      <c r="N75" s="43">
        <f t="shared" si="27"/>
        <v>0</v>
      </c>
      <c r="O75" s="43"/>
      <c r="P75" s="133"/>
      <c r="Q75" s="43">
        <f t="shared" si="28"/>
        <v>0</v>
      </c>
      <c r="R75" s="9"/>
      <c r="S75" s="43">
        <f t="shared" si="29"/>
        <v>0</v>
      </c>
      <c r="T75" s="9"/>
      <c r="U75" s="43">
        <f t="shared" si="30"/>
        <v>0</v>
      </c>
      <c r="V75" s="9"/>
      <c r="W75" s="43">
        <f t="shared" si="31"/>
        <v>0</v>
      </c>
      <c r="X75" s="9"/>
    </row>
    <row r="76" spans="1:24" s="11" customFormat="1" ht="15.75" hidden="1" outlineLevel="2" x14ac:dyDescent="0.25">
      <c r="A76" s="10"/>
      <c r="B76" s="1"/>
      <c r="C76" s="40"/>
      <c r="D76" s="43">
        <f t="shared" si="24"/>
        <v>0</v>
      </c>
      <c r="E76" s="40"/>
      <c r="F76" s="43">
        <f t="shared" si="34"/>
        <v>0</v>
      </c>
      <c r="G76" s="40"/>
      <c r="H76" s="43">
        <f t="shared" si="25"/>
        <v>0</v>
      </c>
      <c r="I76" s="40"/>
      <c r="J76" s="43">
        <f t="shared" si="26"/>
        <v>0</v>
      </c>
      <c r="K76" s="40"/>
      <c r="L76" s="161"/>
      <c r="M76" s="161"/>
      <c r="N76" s="43">
        <f t="shared" si="27"/>
        <v>0</v>
      </c>
      <c r="O76" s="43"/>
      <c r="P76" s="133"/>
      <c r="Q76" s="43">
        <f t="shared" si="28"/>
        <v>0</v>
      </c>
      <c r="R76" s="9"/>
      <c r="S76" s="43">
        <f t="shared" si="29"/>
        <v>0</v>
      </c>
      <c r="T76" s="9"/>
      <c r="U76" s="43">
        <f t="shared" si="30"/>
        <v>0</v>
      </c>
      <c r="V76" s="9"/>
      <c r="W76" s="43">
        <f t="shared" si="31"/>
        <v>0</v>
      </c>
      <c r="X76" s="9"/>
    </row>
    <row r="77" spans="1:24" s="11" customFormat="1" ht="25.9" hidden="1" customHeight="1" outlineLevel="1" x14ac:dyDescent="0.25">
      <c r="A77" s="153">
        <v>9</v>
      </c>
      <c r="B77" s="48" t="s">
        <v>29</v>
      </c>
      <c r="C77" s="43" t="e">
        <f>#REF!+$C$3*0.1</f>
        <v>#REF!</v>
      </c>
      <c r="D77" s="43" t="e">
        <f t="shared" si="24"/>
        <v>#REF!</v>
      </c>
      <c r="E77" s="43" t="e">
        <f>#REF!+$C$3*0.1</f>
        <v>#REF!</v>
      </c>
      <c r="F77" s="43" t="e">
        <f t="shared" si="34"/>
        <v>#REF!</v>
      </c>
      <c r="G77" s="43" t="e">
        <f>#REF!+$C$3*0.1</f>
        <v>#REF!</v>
      </c>
      <c r="H77" s="43" t="e">
        <f>G77/1.18/1.8035/$E$3</f>
        <v>#REF!</v>
      </c>
      <c r="I77" s="43" t="e">
        <f>#REF!</f>
        <v>#REF!</v>
      </c>
      <c r="J77" s="43" t="e">
        <f>I77/1.18/1.8035/$E$3</f>
        <v>#REF!</v>
      </c>
      <c r="K77" s="43" t="e">
        <f>#REF!</f>
        <v>#REF!</v>
      </c>
      <c r="L77" s="43"/>
      <c r="M77" s="43"/>
      <c r="N77" s="43" t="e">
        <f t="shared" si="27"/>
        <v>#REF!</v>
      </c>
      <c r="O77" s="43"/>
      <c r="P77" s="129" t="e">
        <f>#REF!</f>
        <v>#REF!</v>
      </c>
      <c r="Q77" s="43" t="e">
        <f>P77/1.18/1.8035/$E$3</f>
        <v>#REF!</v>
      </c>
      <c r="R77" s="43" t="e">
        <f>#REF!</f>
        <v>#REF!</v>
      </c>
      <c r="S77" s="43" t="e">
        <f t="shared" si="29"/>
        <v>#REF!</v>
      </c>
      <c r="T77" s="43" t="e">
        <f>#REF!</f>
        <v>#REF!</v>
      </c>
      <c r="U77" s="43" t="e">
        <f t="shared" si="30"/>
        <v>#REF!</v>
      </c>
      <c r="V77" s="43" t="e">
        <f>#REF!</f>
        <v>#REF!</v>
      </c>
      <c r="W77" s="43" t="e">
        <f t="shared" si="31"/>
        <v>#REF!</v>
      </c>
      <c r="X77" s="13"/>
    </row>
    <row r="78" spans="1:24" s="11" customFormat="1" ht="15.75" hidden="1" outlineLevel="1" x14ac:dyDescent="0.25">
      <c r="A78" s="153">
        <v>10</v>
      </c>
      <c r="B78" s="48" t="e">
        <f>#REF!</f>
        <v>#REF!</v>
      </c>
      <c r="C78" s="43" t="e">
        <f>#REF!</f>
        <v>#REF!</v>
      </c>
      <c r="D78" s="43">
        <v>5</v>
      </c>
      <c r="E78" s="43" t="e">
        <f>#REF!</f>
        <v>#REF!</v>
      </c>
      <c r="F78" s="43">
        <v>5</v>
      </c>
      <c r="G78" s="43" t="e">
        <f>#REF!</f>
        <v>#REF!</v>
      </c>
      <c r="H78" s="43">
        <v>5</v>
      </c>
      <c r="I78" s="43" t="e">
        <f>#REF!</f>
        <v>#REF!</v>
      </c>
      <c r="J78" s="43">
        <v>5</v>
      </c>
      <c r="K78" s="43" t="e">
        <f>#REF!</f>
        <v>#REF!</v>
      </c>
      <c r="L78" s="43"/>
      <c r="M78" s="43"/>
      <c r="N78" s="43">
        <v>5</v>
      </c>
      <c r="O78" s="43"/>
      <c r="P78" s="129" t="e">
        <f>#REF!</f>
        <v>#REF!</v>
      </c>
      <c r="Q78" s="43">
        <v>5</v>
      </c>
      <c r="R78" s="43" t="e">
        <f>#REF!</f>
        <v>#REF!</v>
      </c>
      <c r="S78" s="43">
        <v>5</v>
      </c>
      <c r="T78" s="43" t="e">
        <f>#REF!</f>
        <v>#REF!</v>
      </c>
      <c r="U78" s="43">
        <v>5</v>
      </c>
      <c r="V78" s="43" t="e">
        <f>#REF!</f>
        <v>#REF!</v>
      </c>
      <c r="W78" s="43">
        <v>5</v>
      </c>
      <c r="X78" s="13"/>
    </row>
    <row r="79" spans="1:24" s="11" customFormat="1" ht="15.75" hidden="1" outlineLevel="1" x14ac:dyDescent="0.25">
      <c r="A79" s="153">
        <v>11</v>
      </c>
      <c r="B79" s="48" t="e">
        <f>#REF!</f>
        <v>#REF!</v>
      </c>
      <c r="C79" s="43" t="e">
        <f>#REF!</f>
        <v>#REF!</v>
      </c>
      <c r="D79" s="43">
        <v>5</v>
      </c>
      <c r="E79" s="43" t="e">
        <f>#REF!</f>
        <v>#REF!</v>
      </c>
      <c r="F79" s="43">
        <v>5</v>
      </c>
      <c r="G79" s="43" t="e">
        <f>#REF!</f>
        <v>#REF!</v>
      </c>
      <c r="H79" s="43">
        <v>5</v>
      </c>
      <c r="I79" s="43" t="e">
        <f>#REF!</f>
        <v>#REF!</v>
      </c>
      <c r="J79" s="43">
        <v>5</v>
      </c>
      <c r="K79" s="43" t="e">
        <f>#REF!</f>
        <v>#REF!</v>
      </c>
      <c r="L79" s="43"/>
      <c r="M79" s="43"/>
      <c r="N79" s="43">
        <v>5</v>
      </c>
      <c r="O79" s="43"/>
      <c r="P79" s="129" t="e">
        <f>#REF!</f>
        <v>#REF!</v>
      </c>
      <c r="Q79" s="43">
        <v>5</v>
      </c>
      <c r="R79" s="43" t="e">
        <f>#REF!</f>
        <v>#REF!</v>
      </c>
      <c r="S79" s="43">
        <v>5</v>
      </c>
      <c r="T79" s="43" t="e">
        <f>#REF!</f>
        <v>#REF!</v>
      </c>
      <c r="U79" s="43">
        <v>5</v>
      </c>
      <c r="V79" s="43" t="e">
        <f>#REF!</f>
        <v>#REF!</v>
      </c>
      <c r="W79" s="43">
        <v>5</v>
      </c>
      <c r="X79" s="13"/>
    </row>
    <row r="80" spans="1:24" hidden="1" outlineLevel="1" x14ac:dyDescent="0.25">
      <c r="C80" s="70" t="e">
        <f>SUM(C77,C72,C71,C13,C12,C11,C8,C7,C6)</f>
        <v>#REF!</v>
      </c>
      <c r="D80" s="70" t="e">
        <f t="shared" ref="D80:W80" si="35">SUM(D77,D72,D71,D13,D12,D11,D8,D7,D6)</f>
        <v>#REF!</v>
      </c>
      <c r="E80" s="70" t="e">
        <f t="shared" si="35"/>
        <v>#REF!</v>
      </c>
      <c r="F80" s="70" t="e">
        <f t="shared" si="35"/>
        <v>#REF!</v>
      </c>
      <c r="G80" s="70" t="e">
        <f t="shared" si="35"/>
        <v>#REF!</v>
      </c>
      <c r="H80" s="70" t="e">
        <f t="shared" si="35"/>
        <v>#REF!</v>
      </c>
      <c r="I80" s="70" t="e">
        <f t="shared" si="35"/>
        <v>#REF!</v>
      </c>
      <c r="J80" s="70" t="e">
        <f t="shared" si="35"/>
        <v>#REF!</v>
      </c>
      <c r="K80" s="70" t="e">
        <f t="shared" si="35"/>
        <v>#REF!</v>
      </c>
      <c r="L80" s="70"/>
      <c r="M80" s="70"/>
      <c r="N80" s="70" t="e">
        <f t="shared" si="35"/>
        <v>#REF!</v>
      </c>
      <c r="O80" s="70"/>
      <c r="P80" s="137" t="e">
        <f t="shared" si="35"/>
        <v>#REF!</v>
      </c>
      <c r="Q80" s="70" t="e">
        <f t="shared" si="35"/>
        <v>#REF!</v>
      </c>
      <c r="R80" s="70" t="e">
        <f t="shared" si="35"/>
        <v>#REF!</v>
      </c>
      <c r="S80" s="70" t="e">
        <f t="shared" si="35"/>
        <v>#REF!</v>
      </c>
      <c r="T80" s="70" t="e">
        <f t="shared" si="35"/>
        <v>#REF!</v>
      </c>
      <c r="U80" s="70" t="e">
        <f t="shared" si="35"/>
        <v>#REF!</v>
      </c>
      <c r="V80" s="70" t="e">
        <f t="shared" si="35"/>
        <v>#REF!</v>
      </c>
      <c r="W80" s="70" t="e">
        <f t="shared" si="35"/>
        <v>#REF!</v>
      </c>
    </row>
    <row r="81" spans="1:24" hidden="1" outlineLevel="1" x14ac:dyDescent="0.25">
      <c r="C81" s="2"/>
      <c r="D81" s="32"/>
      <c r="E81" s="47"/>
      <c r="F81" s="32"/>
      <c r="G81" s="47"/>
      <c r="H81" s="32"/>
      <c r="I81" s="47"/>
      <c r="J81" s="44"/>
      <c r="K81" s="47"/>
      <c r="N81" s="44"/>
    </row>
    <row r="82" spans="1:24" collapsed="1" x14ac:dyDescent="0.25">
      <c r="A82" s="221" t="s">
        <v>22</v>
      </c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141"/>
    </row>
    <row r="83" spans="1:24" x14ac:dyDescent="0.25">
      <c r="C83" s="2"/>
      <c r="D83" s="32"/>
      <c r="E83" s="213" t="s">
        <v>31</v>
      </c>
      <c r="F83" s="213"/>
      <c r="G83" s="213"/>
      <c r="H83" s="32"/>
      <c r="I83" s="47"/>
      <c r="J83" s="44"/>
      <c r="K83" s="47"/>
      <c r="N83" s="44" t="s">
        <v>95</v>
      </c>
    </row>
    <row r="84" spans="1:24" ht="66.599999999999994" customHeight="1" x14ac:dyDescent="0.25">
      <c r="A84" s="10"/>
      <c r="B84" s="1"/>
      <c r="C84" s="167" t="s">
        <v>206</v>
      </c>
      <c r="D84" s="167" t="s">
        <v>207</v>
      </c>
      <c r="E84" s="167" t="s">
        <v>208</v>
      </c>
      <c r="F84" s="167" t="s">
        <v>209</v>
      </c>
      <c r="G84" s="167" t="s">
        <v>210</v>
      </c>
      <c r="H84" s="167" t="s">
        <v>211</v>
      </c>
      <c r="I84" s="167" t="s">
        <v>212</v>
      </c>
      <c r="J84" s="167" t="s">
        <v>213</v>
      </c>
      <c r="K84" s="167" t="s">
        <v>214</v>
      </c>
      <c r="L84" s="167" t="s">
        <v>215</v>
      </c>
      <c r="M84" s="167" t="s">
        <v>216</v>
      </c>
      <c r="N84" s="60" t="s">
        <v>136</v>
      </c>
      <c r="O84" s="144"/>
      <c r="P84" s="120"/>
      <c r="Q84" s="2"/>
      <c r="R84" s="58"/>
    </row>
    <row r="85" spans="1:24" x14ac:dyDescent="0.25">
      <c r="A85" s="165">
        <v>1</v>
      </c>
      <c r="B85" s="6" t="s">
        <v>204</v>
      </c>
      <c r="C85" s="163">
        <v>0</v>
      </c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>
        <v>64</v>
      </c>
      <c r="O85" s="145"/>
      <c r="P85" s="120"/>
      <c r="Q85" s="2"/>
      <c r="R85" s="59"/>
    </row>
    <row r="86" spans="1:24" x14ac:dyDescent="0.25">
      <c r="A86" s="165">
        <v>2</v>
      </c>
      <c r="B86" s="6" t="s">
        <v>142</v>
      </c>
      <c r="C86" s="163">
        <v>10</v>
      </c>
      <c r="D86" s="163">
        <v>10</v>
      </c>
      <c r="E86" s="163">
        <v>10</v>
      </c>
      <c r="F86" s="163">
        <v>10</v>
      </c>
      <c r="G86" s="163">
        <v>10</v>
      </c>
      <c r="H86" s="163">
        <v>10</v>
      </c>
      <c r="I86" s="163">
        <v>10</v>
      </c>
      <c r="J86" s="163">
        <v>10</v>
      </c>
      <c r="K86" s="163">
        <v>10</v>
      </c>
      <c r="L86" s="163">
        <v>10</v>
      </c>
      <c r="M86" s="163">
        <v>10</v>
      </c>
      <c r="N86" s="163"/>
      <c r="O86" s="145"/>
      <c r="P86" s="120"/>
      <c r="Q86" s="2"/>
      <c r="R86" s="59"/>
    </row>
    <row r="87" spans="1:24" ht="28.5" x14ac:dyDescent="0.25">
      <c r="A87" s="165">
        <v>3</v>
      </c>
      <c r="B87" s="6" t="s">
        <v>143</v>
      </c>
      <c r="C87" s="163">
        <f>SUM(C88:C93)</f>
        <v>11.85</v>
      </c>
      <c r="D87" s="163">
        <f t="shared" ref="D87:N87" si="36">SUM(D88:D93)</f>
        <v>11.85</v>
      </c>
      <c r="E87" s="163">
        <f t="shared" si="36"/>
        <v>11.85</v>
      </c>
      <c r="F87" s="163">
        <f t="shared" si="36"/>
        <v>11.85</v>
      </c>
      <c r="G87" s="163">
        <f t="shared" si="36"/>
        <v>11.85</v>
      </c>
      <c r="H87" s="163">
        <f t="shared" si="36"/>
        <v>11.85</v>
      </c>
      <c r="I87" s="163">
        <f t="shared" si="36"/>
        <v>11.85</v>
      </c>
      <c r="J87" s="163">
        <f t="shared" si="36"/>
        <v>11.85</v>
      </c>
      <c r="K87" s="163">
        <f t="shared" si="36"/>
        <v>11.85</v>
      </c>
      <c r="L87" s="163">
        <f t="shared" si="36"/>
        <v>11.85</v>
      </c>
      <c r="M87" s="163">
        <f t="shared" si="36"/>
        <v>11.85</v>
      </c>
      <c r="N87" s="163">
        <f t="shared" si="36"/>
        <v>200</v>
      </c>
      <c r="O87" s="145"/>
      <c r="P87" s="120"/>
      <c r="Q87" s="2"/>
      <c r="R87" s="59"/>
    </row>
    <row r="88" spans="1:24" ht="30" x14ac:dyDescent="0.25">
      <c r="A88" s="166" t="s">
        <v>99</v>
      </c>
      <c r="B88" s="34" t="s">
        <v>132</v>
      </c>
      <c r="C88" s="104">
        <v>3</v>
      </c>
      <c r="D88" s="104">
        <v>3</v>
      </c>
      <c r="E88" s="104">
        <v>3</v>
      </c>
      <c r="F88" s="104">
        <v>3</v>
      </c>
      <c r="G88" s="104">
        <v>3</v>
      </c>
      <c r="H88" s="104">
        <v>3</v>
      </c>
      <c r="I88" s="104">
        <v>3</v>
      </c>
      <c r="J88" s="104">
        <v>3</v>
      </c>
      <c r="K88" s="104">
        <v>3</v>
      </c>
      <c r="L88" s="104">
        <v>3</v>
      </c>
      <c r="M88" s="104">
        <v>3</v>
      </c>
      <c r="N88" s="104"/>
      <c r="O88" s="145"/>
      <c r="P88" s="120"/>
      <c r="Q88" s="2"/>
      <c r="R88" s="59"/>
    </row>
    <row r="89" spans="1:24" outlineLevel="1" x14ac:dyDescent="0.25">
      <c r="A89" s="166" t="s">
        <v>100</v>
      </c>
      <c r="B89" s="34" t="s">
        <v>144</v>
      </c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>
        <v>40</v>
      </c>
      <c r="O89" s="146"/>
      <c r="P89" s="120"/>
      <c r="Q89" s="2"/>
      <c r="R89" s="59"/>
      <c r="S89" s="96"/>
      <c r="T89" s="96"/>
      <c r="U89" s="96"/>
      <c r="V89" s="96"/>
      <c r="W89" s="96"/>
      <c r="X89" s="96"/>
    </row>
    <row r="90" spans="1:24" outlineLevel="1" x14ac:dyDescent="0.25">
      <c r="A90" s="166" t="s">
        <v>101</v>
      </c>
      <c r="B90" s="34" t="s">
        <v>145</v>
      </c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>
        <v>160</v>
      </c>
      <c r="O90" s="146"/>
      <c r="P90" s="120"/>
      <c r="Q90" s="2"/>
      <c r="R90" s="59"/>
      <c r="S90" s="96"/>
      <c r="T90" s="96"/>
      <c r="U90" s="96"/>
      <c r="V90" s="96"/>
      <c r="W90" s="96"/>
      <c r="X90" s="96"/>
    </row>
    <row r="91" spans="1:24" outlineLevel="1" x14ac:dyDescent="0.25">
      <c r="A91" s="166" t="s">
        <v>137</v>
      </c>
      <c r="B91" s="34" t="s">
        <v>106</v>
      </c>
      <c r="C91" s="104">
        <v>2.25</v>
      </c>
      <c r="D91" s="104">
        <v>2.25</v>
      </c>
      <c r="E91" s="104">
        <v>2.25</v>
      </c>
      <c r="F91" s="104">
        <v>2.25</v>
      </c>
      <c r="G91" s="104">
        <v>2.25</v>
      </c>
      <c r="H91" s="104">
        <v>2.25</v>
      </c>
      <c r="I91" s="104">
        <v>2.25</v>
      </c>
      <c r="J91" s="104">
        <v>2.25</v>
      </c>
      <c r="K91" s="104">
        <v>2.25</v>
      </c>
      <c r="L91" s="104">
        <v>2.25</v>
      </c>
      <c r="M91" s="104">
        <v>2.25</v>
      </c>
      <c r="N91" s="104"/>
      <c r="O91" s="146"/>
      <c r="P91" s="120"/>
      <c r="Q91" s="2"/>
      <c r="R91" s="59"/>
      <c r="S91" s="96"/>
      <c r="T91" s="96"/>
      <c r="U91" s="96"/>
      <c r="V91" s="96"/>
      <c r="W91" s="96"/>
      <c r="X91" s="96"/>
    </row>
    <row r="92" spans="1:24" outlineLevel="1" x14ac:dyDescent="0.25">
      <c r="A92" s="166" t="s">
        <v>102</v>
      </c>
      <c r="B92" s="34" t="s">
        <v>107</v>
      </c>
      <c r="C92" s="104">
        <v>4.5</v>
      </c>
      <c r="D92" s="104">
        <v>4.5</v>
      </c>
      <c r="E92" s="104">
        <v>4.5</v>
      </c>
      <c r="F92" s="104">
        <v>4.5</v>
      </c>
      <c r="G92" s="104">
        <v>4.5</v>
      </c>
      <c r="H92" s="104">
        <v>4.5</v>
      </c>
      <c r="I92" s="104">
        <v>4.5</v>
      </c>
      <c r="J92" s="104">
        <v>4.5</v>
      </c>
      <c r="K92" s="104">
        <v>4.5</v>
      </c>
      <c r="L92" s="104">
        <v>4.5</v>
      </c>
      <c r="M92" s="104">
        <v>4.5</v>
      </c>
      <c r="N92" s="104"/>
      <c r="O92" s="146"/>
      <c r="P92" s="120"/>
      <c r="Q92" s="2"/>
      <c r="R92" s="59"/>
      <c r="S92" s="96"/>
      <c r="T92" s="96"/>
      <c r="U92" s="96"/>
      <c r="V92" s="96"/>
      <c r="W92" s="96"/>
      <c r="X92" s="96"/>
    </row>
    <row r="93" spans="1:24" x14ac:dyDescent="0.25">
      <c r="A93" s="166" t="s">
        <v>103</v>
      </c>
      <c r="B93" s="34" t="s">
        <v>108</v>
      </c>
      <c r="C93" s="104">
        <v>2.1</v>
      </c>
      <c r="D93" s="104">
        <v>2.1</v>
      </c>
      <c r="E93" s="104">
        <v>2.1</v>
      </c>
      <c r="F93" s="104">
        <v>2.1</v>
      </c>
      <c r="G93" s="104">
        <v>2.1</v>
      </c>
      <c r="H93" s="104">
        <v>2.1</v>
      </c>
      <c r="I93" s="104">
        <v>2.1</v>
      </c>
      <c r="J93" s="104">
        <v>2.1</v>
      </c>
      <c r="K93" s="104">
        <v>2.1</v>
      </c>
      <c r="L93" s="104">
        <v>2.1</v>
      </c>
      <c r="M93" s="104">
        <v>2.1</v>
      </c>
      <c r="N93" s="104"/>
      <c r="O93" s="146"/>
      <c r="P93" s="120"/>
      <c r="Q93" s="2"/>
      <c r="R93" s="59"/>
    </row>
    <row r="94" spans="1:24" outlineLevel="1" x14ac:dyDescent="0.25">
      <c r="A94" s="165">
        <v>4</v>
      </c>
      <c r="B94" s="6" t="s">
        <v>146</v>
      </c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>
        <v>528</v>
      </c>
      <c r="O94" s="146"/>
      <c r="P94" s="120"/>
      <c r="Q94" s="2"/>
      <c r="R94" s="59"/>
      <c r="S94" s="96"/>
      <c r="T94" s="96"/>
      <c r="U94" s="96"/>
      <c r="V94" s="96"/>
      <c r="W94" s="96"/>
      <c r="X94" s="96"/>
    </row>
    <row r="95" spans="1:24" outlineLevel="1" x14ac:dyDescent="0.25">
      <c r="A95" s="165">
        <v>5</v>
      </c>
      <c r="B95" s="6" t="s">
        <v>191</v>
      </c>
      <c r="C95" s="164">
        <f>SUM(C96:C127)</f>
        <v>106.64000000000001</v>
      </c>
      <c r="D95" s="164">
        <f t="shared" ref="D95:N95" si="37">SUM(D96:D127)</f>
        <v>106.64000000000001</v>
      </c>
      <c r="E95" s="164">
        <f t="shared" si="37"/>
        <v>106.64000000000001</v>
      </c>
      <c r="F95" s="164">
        <f t="shared" si="37"/>
        <v>12.509999999999998</v>
      </c>
      <c r="G95" s="164">
        <f t="shared" si="37"/>
        <v>12.509999999999998</v>
      </c>
      <c r="H95" s="164">
        <f t="shared" si="37"/>
        <v>12.509999999999998</v>
      </c>
      <c r="I95" s="164">
        <f t="shared" si="37"/>
        <v>143.11000000000001</v>
      </c>
      <c r="J95" s="164">
        <f t="shared" si="37"/>
        <v>7.09</v>
      </c>
      <c r="K95" s="164">
        <f t="shared" si="37"/>
        <v>141.97000000000003</v>
      </c>
      <c r="L95" s="164">
        <f t="shared" si="37"/>
        <v>2.0099999999999998</v>
      </c>
      <c r="M95" s="164">
        <f t="shared" si="37"/>
        <v>6.93</v>
      </c>
      <c r="N95" s="164">
        <f t="shared" si="37"/>
        <v>811.11</v>
      </c>
      <c r="O95" s="146"/>
      <c r="P95" s="120"/>
      <c r="Q95" s="2"/>
      <c r="R95" s="59"/>
      <c r="S95" s="96"/>
      <c r="T95" s="96"/>
      <c r="U95" s="96"/>
      <c r="V95" s="96"/>
      <c r="W95" s="96"/>
      <c r="X95" s="96"/>
    </row>
    <row r="96" spans="1:24" outlineLevel="1" x14ac:dyDescent="0.25">
      <c r="A96" s="10" t="s">
        <v>169</v>
      </c>
      <c r="B96" s="34" t="s">
        <v>43</v>
      </c>
      <c r="C96" s="104">
        <v>1.03</v>
      </c>
      <c r="D96" s="104">
        <v>1.03</v>
      </c>
      <c r="E96" s="104">
        <v>1.03</v>
      </c>
      <c r="F96" s="104">
        <v>2.06</v>
      </c>
      <c r="G96" s="104">
        <v>2.06</v>
      </c>
      <c r="H96" s="104">
        <v>2.06</v>
      </c>
      <c r="I96" s="104"/>
      <c r="J96" s="104">
        <v>1.03</v>
      </c>
      <c r="K96" s="104"/>
      <c r="L96" s="104">
        <v>1.03</v>
      </c>
      <c r="M96" s="104">
        <v>1.03</v>
      </c>
      <c r="N96" s="104"/>
      <c r="O96" s="146"/>
      <c r="P96" s="120"/>
      <c r="Q96" s="2"/>
      <c r="R96" s="59"/>
      <c r="S96" s="96"/>
      <c r="T96" s="96"/>
      <c r="U96" s="96"/>
      <c r="V96" s="96"/>
      <c r="W96" s="96"/>
      <c r="X96" s="96"/>
    </row>
    <row r="97" spans="1:24" ht="30" outlineLevel="1" x14ac:dyDescent="0.25">
      <c r="A97" s="10" t="s">
        <v>109</v>
      </c>
      <c r="B97" s="34" t="s">
        <v>67</v>
      </c>
      <c r="C97" s="104">
        <v>0.98</v>
      </c>
      <c r="D97" s="104">
        <v>0.98</v>
      </c>
      <c r="E97" s="104">
        <v>0.98</v>
      </c>
      <c r="F97" s="104">
        <v>0.98</v>
      </c>
      <c r="G97" s="104">
        <v>0.98</v>
      </c>
      <c r="H97" s="104">
        <v>0.98</v>
      </c>
      <c r="I97" s="104"/>
      <c r="J97" s="104">
        <v>0.98</v>
      </c>
      <c r="K97" s="104"/>
      <c r="L97" s="104">
        <v>0.98</v>
      </c>
      <c r="M97" s="104">
        <v>0.98</v>
      </c>
      <c r="N97" s="104"/>
      <c r="O97" s="146"/>
      <c r="P97" s="120"/>
      <c r="Q97" s="2"/>
      <c r="R97" s="59"/>
      <c r="S97" s="96"/>
      <c r="T97" s="96"/>
      <c r="U97" s="96"/>
      <c r="V97" s="96"/>
      <c r="W97" s="96"/>
      <c r="X97" s="96"/>
    </row>
    <row r="98" spans="1:24" ht="30" outlineLevel="1" x14ac:dyDescent="0.25">
      <c r="A98" s="10" t="s">
        <v>110</v>
      </c>
      <c r="B98" s="34" t="s">
        <v>147</v>
      </c>
      <c r="C98" s="104">
        <v>0.15</v>
      </c>
      <c r="D98" s="104">
        <v>0.15</v>
      </c>
      <c r="E98" s="104">
        <v>0.15</v>
      </c>
      <c r="F98" s="104">
        <v>0.09</v>
      </c>
      <c r="G98" s="104">
        <v>0.09</v>
      </c>
      <c r="H98" s="104">
        <v>0.09</v>
      </c>
      <c r="I98" s="104"/>
      <c r="J98" s="104"/>
      <c r="K98" s="104"/>
      <c r="L98" s="104"/>
      <c r="M98" s="104"/>
      <c r="N98" s="104"/>
      <c r="O98" s="146"/>
      <c r="P98" s="120"/>
      <c r="Q98" s="2"/>
      <c r="R98" s="59"/>
      <c r="S98" s="96"/>
      <c r="T98" s="96"/>
      <c r="U98" s="96"/>
      <c r="V98" s="96"/>
      <c r="W98" s="96"/>
      <c r="X98" s="96"/>
    </row>
    <row r="99" spans="1:24" ht="45" outlineLevel="1" x14ac:dyDescent="0.25">
      <c r="A99" s="10" t="s">
        <v>111</v>
      </c>
      <c r="B99" s="36" t="s">
        <v>44</v>
      </c>
      <c r="C99" s="104">
        <v>4.5</v>
      </c>
      <c r="D99" s="104">
        <v>4.5</v>
      </c>
      <c r="E99" s="104">
        <v>4.5</v>
      </c>
      <c r="F99" s="104">
        <v>4.5</v>
      </c>
      <c r="G99" s="104">
        <v>4.5</v>
      </c>
      <c r="H99" s="104">
        <v>4.5</v>
      </c>
      <c r="I99" s="104"/>
      <c r="J99" s="104">
        <v>4.5</v>
      </c>
      <c r="K99" s="104"/>
      <c r="L99" s="104"/>
      <c r="M99" s="104">
        <v>4.5</v>
      </c>
      <c r="N99" s="104"/>
      <c r="O99" s="146"/>
      <c r="P99" s="120"/>
      <c r="Q99" s="2"/>
      <c r="R99" s="59"/>
      <c r="S99" s="96"/>
      <c r="T99" s="96"/>
      <c r="U99" s="96"/>
      <c r="V99" s="96"/>
      <c r="W99" s="96"/>
      <c r="X99" s="96"/>
    </row>
    <row r="100" spans="1:24" s="180" customFormat="1" outlineLevel="1" x14ac:dyDescent="0.25">
      <c r="A100" s="10" t="s">
        <v>112</v>
      </c>
      <c r="B100" s="183" t="s">
        <v>148</v>
      </c>
      <c r="C100" s="104">
        <v>4.5</v>
      </c>
      <c r="D100" s="104">
        <v>4.5</v>
      </c>
      <c r="E100" s="104">
        <v>4.5</v>
      </c>
      <c r="F100" s="104">
        <v>4.5</v>
      </c>
      <c r="G100" s="104">
        <v>4.5</v>
      </c>
      <c r="H100" s="104">
        <v>4.5</v>
      </c>
      <c r="I100" s="104"/>
      <c r="J100" s="104"/>
      <c r="K100" s="104"/>
      <c r="L100" s="104"/>
      <c r="M100" s="104"/>
      <c r="N100" s="104"/>
      <c r="O100" s="146"/>
      <c r="R100" s="181"/>
      <c r="S100" s="182"/>
      <c r="T100" s="182"/>
      <c r="U100" s="182"/>
      <c r="V100" s="182"/>
      <c r="W100" s="182"/>
      <c r="X100" s="182"/>
    </row>
    <row r="101" spans="1:24" ht="30" outlineLevel="1" x14ac:dyDescent="0.25">
      <c r="A101" s="10" t="s">
        <v>113</v>
      </c>
      <c r="B101" s="36" t="s">
        <v>45</v>
      </c>
      <c r="C101" s="104">
        <v>4.5</v>
      </c>
      <c r="D101" s="104">
        <v>4.5</v>
      </c>
      <c r="E101" s="104">
        <v>4.5</v>
      </c>
      <c r="F101" s="104"/>
      <c r="G101" s="104"/>
      <c r="H101" s="104"/>
      <c r="I101" s="104"/>
      <c r="J101" s="104"/>
      <c r="K101" s="104"/>
      <c r="L101" s="104"/>
      <c r="M101" s="104"/>
      <c r="N101" s="104"/>
      <c r="O101" s="146"/>
      <c r="P101" s="120"/>
      <c r="Q101" s="2"/>
      <c r="R101" s="59"/>
      <c r="S101" s="96"/>
      <c r="T101" s="96"/>
      <c r="U101" s="96"/>
      <c r="V101" s="96"/>
      <c r="W101" s="96"/>
      <c r="X101" s="96"/>
    </row>
    <row r="102" spans="1:24" ht="30" outlineLevel="1" x14ac:dyDescent="0.25">
      <c r="A102" s="10" t="s">
        <v>114</v>
      </c>
      <c r="B102" s="34" t="s">
        <v>48</v>
      </c>
      <c r="C102" s="104">
        <v>33.799999999999997</v>
      </c>
      <c r="D102" s="104">
        <v>33.799999999999997</v>
      </c>
      <c r="E102" s="104">
        <v>33.799999999999997</v>
      </c>
      <c r="F102" s="104"/>
      <c r="G102" s="104"/>
      <c r="H102" s="104"/>
      <c r="I102" s="104">
        <v>10</v>
      </c>
      <c r="J102" s="104"/>
      <c r="K102" s="104">
        <v>10</v>
      </c>
      <c r="L102" s="104"/>
      <c r="M102" s="104"/>
      <c r="N102" s="104"/>
      <c r="O102" s="146"/>
      <c r="P102" s="120"/>
      <c r="Q102" s="2"/>
      <c r="R102" s="59"/>
      <c r="S102" s="105"/>
      <c r="T102" s="105"/>
      <c r="U102" s="105"/>
      <c r="V102" s="105"/>
      <c r="W102" s="105"/>
      <c r="X102" s="105"/>
    </row>
    <row r="103" spans="1:24" ht="45" outlineLevel="1" x14ac:dyDescent="0.25">
      <c r="A103" s="10" t="s">
        <v>115</v>
      </c>
      <c r="B103" s="36" t="s">
        <v>49</v>
      </c>
      <c r="C103" s="104">
        <v>12</v>
      </c>
      <c r="D103" s="104">
        <v>12</v>
      </c>
      <c r="E103" s="104">
        <v>12</v>
      </c>
      <c r="F103" s="104"/>
      <c r="G103" s="104"/>
      <c r="H103" s="104"/>
      <c r="I103" s="104"/>
      <c r="J103" s="104"/>
      <c r="K103" s="104"/>
      <c r="L103" s="104"/>
      <c r="M103" s="104"/>
      <c r="N103" s="104"/>
      <c r="O103" s="146"/>
      <c r="P103" s="120"/>
      <c r="Q103" s="2"/>
      <c r="R103" s="59"/>
      <c r="S103" s="105"/>
      <c r="T103" s="105"/>
      <c r="U103" s="105"/>
      <c r="V103" s="105"/>
      <c r="W103" s="105"/>
      <c r="X103" s="105"/>
    </row>
    <row r="104" spans="1:24" ht="45" outlineLevel="1" x14ac:dyDescent="0.25">
      <c r="A104" s="10" t="s">
        <v>116</v>
      </c>
      <c r="B104" s="36" t="s">
        <v>50</v>
      </c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>
        <v>257.58999999999997</v>
      </c>
      <c r="O104" s="146"/>
      <c r="P104" s="120"/>
      <c r="Q104" s="2"/>
      <c r="R104" s="59"/>
      <c r="S104" s="96"/>
      <c r="T104" s="96"/>
      <c r="U104" s="96"/>
      <c r="V104" s="96"/>
      <c r="W104" s="96"/>
      <c r="X104" s="96"/>
    </row>
    <row r="105" spans="1:24" ht="45" x14ac:dyDescent="0.25">
      <c r="A105" s="10" t="s">
        <v>117</v>
      </c>
      <c r="B105" s="34" t="s">
        <v>51</v>
      </c>
      <c r="C105" s="104">
        <v>7.32</v>
      </c>
      <c r="D105" s="104">
        <v>7.32</v>
      </c>
      <c r="E105" s="104">
        <v>7.32</v>
      </c>
      <c r="F105" s="104"/>
      <c r="G105" s="104"/>
      <c r="H105" s="104"/>
      <c r="I105" s="104"/>
      <c r="J105" s="104"/>
      <c r="K105" s="104"/>
      <c r="L105" s="104"/>
      <c r="M105" s="104"/>
      <c r="N105" s="104"/>
      <c r="O105" s="146"/>
      <c r="P105" s="120"/>
      <c r="Q105" s="2"/>
      <c r="R105" s="59"/>
    </row>
    <row r="106" spans="1:24" ht="30" outlineLevel="1" x14ac:dyDescent="0.25">
      <c r="A106" s="10" t="s">
        <v>118</v>
      </c>
      <c r="B106" s="34" t="s">
        <v>52</v>
      </c>
      <c r="C106" s="104">
        <v>0.43</v>
      </c>
      <c r="D106" s="104">
        <v>0.43</v>
      </c>
      <c r="E106" s="104">
        <v>0.43</v>
      </c>
      <c r="F106" s="104"/>
      <c r="G106" s="104"/>
      <c r="H106" s="104"/>
      <c r="I106" s="104"/>
      <c r="J106" s="104"/>
      <c r="K106" s="104"/>
      <c r="L106" s="104"/>
      <c r="M106" s="104"/>
      <c r="N106" s="104"/>
      <c r="O106" s="146"/>
      <c r="P106" s="120"/>
      <c r="Q106" s="2"/>
      <c r="R106" s="59"/>
      <c r="S106" s="96"/>
      <c r="T106" s="96"/>
      <c r="U106" s="96"/>
      <c r="V106" s="96"/>
      <c r="W106" s="96"/>
      <c r="X106" s="96"/>
    </row>
    <row r="107" spans="1:24" ht="60" outlineLevel="1" x14ac:dyDescent="0.25">
      <c r="A107" s="10" t="s">
        <v>119</v>
      </c>
      <c r="B107" s="34" t="s">
        <v>53</v>
      </c>
      <c r="C107" s="104">
        <v>7.32</v>
      </c>
      <c r="D107" s="104">
        <v>7.32</v>
      </c>
      <c r="E107" s="104">
        <v>7.32</v>
      </c>
      <c r="F107" s="104"/>
      <c r="G107" s="104"/>
      <c r="H107" s="104"/>
      <c r="I107" s="104"/>
      <c r="J107" s="104"/>
      <c r="K107" s="104"/>
      <c r="L107" s="104"/>
      <c r="M107" s="104"/>
      <c r="N107" s="104"/>
      <c r="O107" s="146"/>
      <c r="P107" s="120"/>
      <c r="Q107" s="2"/>
      <c r="R107" s="59"/>
      <c r="S107" s="96"/>
      <c r="T107" s="96"/>
      <c r="U107" s="96"/>
      <c r="V107" s="96"/>
      <c r="W107" s="96"/>
      <c r="X107" s="96"/>
    </row>
    <row r="108" spans="1:24" ht="30" outlineLevel="1" x14ac:dyDescent="0.25">
      <c r="A108" s="10" t="s">
        <v>120</v>
      </c>
      <c r="B108" s="36" t="s">
        <v>54</v>
      </c>
      <c r="C108" s="104">
        <v>9.6</v>
      </c>
      <c r="D108" s="104">
        <v>9.6</v>
      </c>
      <c r="E108" s="104">
        <v>9.6</v>
      </c>
      <c r="F108" s="104"/>
      <c r="G108" s="104"/>
      <c r="H108" s="104"/>
      <c r="I108" s="104">
        <v>64</v>
      </c>
      <c r="J108" s="104"/>
      <c r="K108" s="104">
        <v>64</v>
      </c>
      <c r="L108" s="104"/>
      <c r="M108" s="104"/>
      <c r="N108" s="104"/>
      <c r="O108" s="146"/>
      <c r="P108" s="120"/>
      <c r="Q108" s="2"/>
      <c r="R108" s="59"/>
      <c r="S108" s="96"/>
      <c r="T108" s="96"/>
      <c r="U108" s="96"/>
      <c r="V108" s="96"/>
      <c r="W108" s="96"/>
      <c r="X108" s="96"/>
    </row>
    <row r="109" spans="1:24" ht="30" outlineLevel="1" x14ac:dyDescent="0.25">
      <c r="A109" s="10" t="s">
        <v>121</v>
      </c>
      <c r="B109" s="34" t="s">
        <v>152</v>
      </c>
      <c r="C109" s="104">
        <v>6</v>
      </c>
      <c r="D109" s="104">
        <v>6</v>
      </c>
      <c r="E109" s="104">
        <v>6</v>
      </c>
      <c r="F109" s="104"/>
      <c r="G109" s="104"/>
      <c r="H109" s="104"/>
      <c r="I109" s="104">
        <v>6</v>
      </c>
      <c r="J109" s="104"/>
      <c r="K109" s="104">
        <v>6</v>
      </c>
      <c r="L109" s="104"/>
      <c r="M109" s="104"/>
      <c r="N109" s="104"/>
      <c r="O109" s="146"/>
      <c r="P109" s="120"/>
      <c r="Q109" s="2"/>
      <c r="R109" s="59"/>
      <c r="S109" s="96"/>
      <c r="T109" s="96"/>
      <c r="U109" s="96"/>
      <c r="V109" s="96"/>
      <c r="W109" s="96"/>
      <c r="X109" s="96"/>
    </row>
    <row r="110" spans="1:24" ht="56.45" customHeight="1" outlineLevel="1" x14ac:dyDescent="0.25">
      <c r="A110" s="10" t="s">
        <v>130</v>
      </c>
      <c r="B110" s="34" t="s">
        <v>55</v>
      </c>
      <c r="C110" s="104">
        <v>1.2</v>
      </c>
      <c r="D110" s="104">
        <v>1.2</v>
      </c>
      <c r="E110" s="104">
        <v>1.2</v>
      </c>
      <c r="F110" s="104"/>
      <c r="G110" s="104"/>
      <c r="H110" s="104"/>
      <c r="I110" s="104">
        <v>1.2</v>
      </c>
      <c r="J110" s="104"/>
      <c r="K110" s="104">
        <v>1.2</v>
      </c>
      <c r="L110" s="104"/>
      <c r="M110" s="104"/>
      <c r="N110" s="104"/>
      <c r="O110" s="146"/>
      <c r="P110" s="120"/>
      <c r="Q110" s="2"/>
      <c r="R110" s="59"/>
      <c r="S110" s="96"/>
      <c r="T110" s="96"/>
      <c r="U110" s="96"/>
      <c r="V110" s="96"/>
      <c r="W110" s="96"/>
      <c r="X110" s="96"/>
    </row>
    <row r="111" spans="1:24" outlineLevel="1" x14ac:dyDescent="0.25">
      <c r="A111" s="10" t="s">
        <v>131</v>
      </c>
      <c r="B111" s="34" t="s">
        <v>56</v>
      </c>
      <c r="C111" s="104">
        <v>10.26</v>
      </c>
      <c r="D111" s="104">
        <v>10.26</v>
      </c>
      <c r="E111" s="104">
        <v>10.26</v>
      </c>
      <c r="F111" s="104"/>
      <c r="G111" s="104"/>
      <c r="H111" s="104"/>
      <c r="I111" s="104">
        <v>10.26</v>
      </c>
      <c r="J111" s="104"/>
      <c r="K111" s="104">
        <v>10.26</v>
      </c>
      <c r="L111" s="104"/>
      <c r="M111" s="104"/>
      <c r="N111" s="104"/>
      <c r="O111" s="146"/>
      <c r="P111" s="120"/>
      <c r="Q111" s="2"/>
      <c r="R111" s="59"/>
      <c r="S111" s="96"/>
      <c r="T111" s="96"/>
      <c r="U111" s="96"/>
      <c r="V111" s="96"/>
      <c r="W111" s="96"/>
      <c r="X111" s="96"/>
    </row>
    <row r="112" spans="1:24" ht="30" outlineLevel="1" x14ac:dyDescent="0.25">
      <c r="A112" s="10" t="s">
        <v>170</v>
      </c>
      <c r="B112" s="36" t="s">
        <v>57</v>
      </c>
      <c r="C112" s="104">
        <v>0.3</v>
      </c>
      <c r="D112" s="104">
        <v>0.3</v>
      </c>
      <c r="E112" s="104">
        <v>0.3</v>
      </c>
      <c r="F112" s="104"/>
      <c r="G112" s="104"/>
      <c r="H112" s="104"/>
      <c r="I112" s="104">
        <v>0.3</v>
      </c>
      <c r="J112" s="104"/>
      <c r="K112" s="104">
        <v>0.3</v>
      </c>
      <c r="L112" s="104"/>
      <c r="M112" s="104"/>
      <c r="N112" s="104"/>
      <c r="O112" s="146"/>
      <c r="P112" s="120"/>
      <c r="Q112" s="2"/>
      <c r="R112" s="59"/>
      <c r="S112" s="96"/>
      <c r="T112" s="96"/>
      <c r="U112" s="96"/>
      <c r="V112" s="96"/>
      <c r="W112" s="96"/>
      <c r="X112" s="96"/>
    </row>
    <row r="113" spans="1:24" outlineLevel="1" x14ac:dyDescent="0.25">
      <c r="A113" s="10" t="s">
        <v>171</v>
      </c>
      <c r="B113" s="34" t="s">
        <v>58</v>
      </c>
      <c r="C113" s="104">
        <v>0.4</v>
      </c>
      <c r="D113" s="104">
        <v>0.4</v>
      </c>
      <c r="E113" s="104">
        <v>0.4</v>
      </c>
      <c r="F113" s="104"/>
      <c r="G113" s="104"/>
      <c r="H113" s="104"/>
      <c r="I113" s="104">
        <v>0.4</v>
      </c>
      <c r="J113" s="104"/>
      <c r="K113" s="104">
        <v>0.4</v>
      </c>
      <c r="L113" s="104"/>
      <c r="M113" s="104"/>
      <c r="N113" s="104"/>
      <c r="O113" s="146"/>
      <c r="P113" s="120"/>
      <c r="Q113" s="2"/>
      <c r="R113" s="59"/>
      <c r="S113" s="96"/>
      <c r="T113" s="96"/>
      <c r="U113" s="96"/>
      <c r="V113" s="96"/>
      <c r="W113" s="96"/>
      <c r="X113" s="96"/>
    </row>
    <row r="114" spans="1:24" outlineLevel="1" x14ac:dyDescent="0.25">
      <c r="A114" s="10" t="s">
        <v>172</v>
      </c>
      <c r="B114" s="34" t="s">
        <v>59</v>
      </c>
      <c r="C114" s="104">
        <v>1.29</v>
      </c>
      <c r="D114" s="104">
        <v>1.29</v>
      </c>
      <c r="E114" s="104">
        <v>1.29</v>
      </c>
      <c r="F114" s="104"/>
      <c r="G114" s="104"/>
      <c r="H114" s="104"/>
      <c r="I114" s="104">
        <v>4.33</v>
      </c>
      <c r="J114" s="104"/>
      <c r="K114" s="104">
        <v>4.33</v>
      </c>
      <c r="L114" s="104"/>
      <c r="M114" s="104"/>
      <c r="N114" s="104"/>
      <c r="O114" s="146"/>
      <c r="P114" s="120"/>
      <c r="Q114" s="2"/>
      <c r="R114" s="59"/>
      <c r="S114" s="96"/>
      <c r="T114" s="96"/>
      <c r="U114" s="96"/>
      <c r="V114" s="96"/>
      <c r="W114" s="96"/>
      <c r="X114" s="96"/>
    </row>
    <row r="115" spans="1:24" ht="45" outlineLevel="1" x14ac:dyDescent="0.25">
      <c r="A115" s="10" t="s">
        <v>173</v>
      </c>
      <c r="B115" s="34" t="s">
        <v>61</v>
      </c>
      <c r="C115" s="104">
        <v>1.06</v>
      </c>
      <c r="D115" s="104">
        <v>1.06</v>
      </c>
      <c r="E115" s="104">
        <v>1.06</v>
      </c>
      <c r="F115" s="104"/>
      <c r="G115" s="104"/>
      <c r="H115" s="104"/>
      <c r="I115" s="104">
        <v>1.06</v>
      </c>
      <c r="J115" s="104"/>
      <c r="K115" s="104">
        <v>1.06</v>
      </c>
      <c r="L115" s="104"/>
      <c r="M115" s="104"/>
      <c r="N115" s="104"/>
      <c r="O115" s="146"/>
      <c r="P115" s="120"/>
      <c r="Q115" s="2"/>
      <c r="R115" s="59"/>
      <c r="S115" s="96"/>
      <c r="T115" s="96"/>
      <c r="U115" s="96"/>
      <c r="V115" s="96"/>
      <c r="W115" s="96"/>
      <c r="X115" s="96"/>
    </row>
    <row r="116" spans="1:24" s="180" customFormat="1" outlineLevel="1" x14ac:dyDescent="0.25">
      <c r="A116" s="10" t="s">
        <v>174</v>
      </c>
      <c r="B116" s="38" t="s">
        <v>154</v>
      </c>
      <c r="C116" s="104"/>
      <c r="D116" s="104"/>
      <c r="E116" s="104"/>
      <c r="F116" s="104">
        <v>0.02</v>
      </c>
      <c r="G116" s="104">
        <v>0.02</v>
      </c>
      <c r="H116" s="104">
        <v>0.02</v>
      </c>
      <c r="I116" s="104"/>
      <c r="J116" s="104"/>
      <c r="K116" s="104"/>
      <c r="L116" s="104"/>
      <c r="M116" s="104"/>
      <c r="N116" s="104"/>
      <c r="O116" s="146"/>
      <c r="R116" s="181"/>
      <c r="S116" s="182"/>
      <c r="T116" s="182"/>
      <c r="U116" s="182"/>
      <c r="V116" s="182"/>
      <c r="W116" s="182"/>
      <c r="X116" s="182"/>
    </row>
    <row r="117" spans="1:24" ht="30" outlineLevel="1" x14ac:dyDescent="0.25">
      <c r="A117" s="10" t="s">
        <v>175</v>
      </c>
      <c r="B117" s="36" t="s">
        <v>71</v>
      </c>
      <c r="C117" s="104"/>
      <c r="D117" s="104"/>
      <c r="E117" s="104"/>
      <c r="F117" s="104"/>
      <c r="G117" s="104"/>
      <c r="H117" s="104"/>
      <c r="I117" s="104">
        <v>14.6</v>
      </c>
      <c r="J117" s="104"/>
      <c r="K117" s="104">
        <v>14.6</v>
      </c>
      <c r="L117" s="104"/>
      <c r="M117" s="104"/>
      <c r="N117" s="104"/>
      <c r="O117" s="146"/>
      <c r="P117" s="120"/>
      <c r="Q117" s="2"/>
      <c r="R117" s="59"/>
      <c r="S117" s="105"/>
      <c r="T117" s="105"/>
      <c r="U117" s="105"/>
      <c r="V117" s="105"/>
      <c r="W117" s="105"/>
      <c r="X117" s="105"/>
    </row>
    <row r="118" spans="1:24" outlineLevel="1" x14ac:dyDescent="0.25">
      <c r="A118" s="10" t="s">
        <v>176</v>
      </c>
      <c r="B118" s="36" t="s">
        <v>160</v>
      </c>
      <c r="C118" s="104"/>
      <c r="D118" s="104"/>
      <c r="E118" s="104"/>
      <c r="F118" s="104">
        <v>0.36</v>
      </c>
      <c r="G118" s="104">
        <v>0.36</v>
      </c>
      <c r="H118" s="104">
        <v>0.36</v>
      </c>
      <c r="I118" s="104">
        <v>1.08</v>
      </c>
      <c r="J118" s="104">
        <v>0.36</v>
      </c>
      <c r="K118" s="104"/>
      <c r="L118" s="104"/>
      <c r="M118" s="104">
        <v>0.36</v>
      </c>
      <c r="N118" s="104"/>
      <c r="O118" s="146"/>
      <c r="P118" s="120"/>
      <c r="Q118" s="2"/>
      <c r="R118" s="59"/>
      <c r="S118" s="105"/>
      <c r="T118" s="105"/>
      <c r="U118" s="105"/>
      <c r="V118" s="105"/>
      <c r="W118" s="105"/>
      <c r="X118" s="105"/>
    </row>
    <row r="119" spans="1:24" ht="45" outlineLevel="1" x14ac:dyDescent="0.25">
      <c r="A119" s="10" t="s">
        <v>177</v>
      </c>
      <c r="B119" s="36" t="s">
        <v>72</v>
      </c>
      <c r="C119" s="104"/>
      <c r="D119" s="104"/>
      <c r="E119" s="104"/>
      <c r="F119" s="104"/>
      <c r="G119" s="104"/>
      <c r="H119" s="104"/>
      <c r="I119" s="104">
        <v>0.06</v>
      </c>
      <c r="J119" s="104">
        <v>0.22</v>
      </c>
      <c r="K119" s="104"/>
      <c r="L119" s="104"/>
      <c r="M119" s="104">
        <v>0.06</v>
      </c>
      <c r="N119" s="104"/>
      <c r="O119" s="146"/>
      <c r="P119" s="120"/>
      <c r="Q119" s="2"/>
      <c r="R119" s="59"/>
      <c r="S119" s="105"/>
      <c r="T119" s="105"/>
      <c r="U119" s="105"/>
      <c r="V119" s="105"/>
      <c r="W119" s="105"/>
      <c r="X119" s="105"/>
    </row>
    <row r="120" spans="1:24" ht="30" outlineLevel="1" x14ac:dyDescent="0.25">
      <c r="A120" s="10" t="s">
        <v>178</v>
      </c>
      <c r="B120" s="34" t="s">
        <v>161</v>
      </c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>
        <v>551.20000000000005</v>
      </c>
      <c r="O120" s="146"/>
      <c r="P120" s="120"/>
      <c r="Q120" s="2"/>
      <c r="R120" s="59"/>
      <c r="S120" s="105"/>
      <c r="T120" s="105"/>
      <c r="U120" s="105"/>
      <c r="V120" s="105"/>
      <c r="W120" s="105"/>
      <c r="X120" s="105"/>
    </row>
    <row r="121" spans="1:24" ht="30" outlineLevel="1" x14ac:dyDescent="0.25">
      <c r="A121" s="10" t="s">
        <v>179</v>
      </c>
      <c r="B121" s="34" t="s">
        <v>162</v>
      </c>
      <c r="C121" s="139"/>
      <c r="D121" s="139"/>
      <c r="E121" s="139"/>
      <c r="F121" s="104"/>
      <c r="G121" s="139"/>
      <c r="H121" s="139"/>
      <c r="I121" s="139"/>
      <c r="J121" s="139"/>
      <c r="K121" s="139"/>
      <c r="L121" s="139"/>
      <c r="M121" s="139"/>
      <c r="N121" s="104">
        <v>2.3199999999999998</v>
      </c>
      <c r="O121" s="146"/>
      <c r="P121" s="120"/>
      <c r="Q121" s="2"/>
      <c r="R121" s="59"/>
      <c r="S121" s="96"/>
      <c r="T121" s="96"/>
      <c r="U121" s="96"/>
      <c r="V121" s="96"/>
      <c r="W121" s="96"/>
      <c r="X121" s="96"/>
    </row>
    <row r="122" spans="1:24" ht="30" x14ac:dyDescent="0.25">
      <c r="A122" s="10" t="s">
        <v>180</v>
      </c>
      <c r="B122" s="36" t="s">
        <v>73</v>
      </c>
      <c r="C122" s="104"/>
      <c r="D122" s="104"/>
      <c r="E122" s="104"/>
      <c r="F122" s="104"/>
      <c r="G122" s="104"/>
      <c r="H122" s="104"/>
      <c r="I122" s="104">
        <v>7.86</v>
      </c>
      <c r="J122" s="104"/>
      <c r="K122" s="104">
        <v>7.86</v>
      </c>
      <c r="L122" s="104"/>
      <c r="M122" s="104"/>
      <c r="N122" s="104"/>
      <c r="O122" s="146"/>
      <c r="P122" s="120"/>
      <c r="Q122" s="2"/>
      <c r="R122" s="59"/>
    </row>
    <row r="123" spans="1:24" x14ac:dyDescent="0.25">
      <c r="A123" s="10" t="s">
        <v>181</v>
      </c>
      <c r="B123" s="36" t="s">
        <v>74</v>
      </c>
      <c r="C123" s="104"/>
      <c r="D123" s="104"/>
      <c r="E123" s="104"/>
      <c r="F123" s="104"/>
      <c r="G123" s="104"/>
      <c r="H123" s="104"/>
      <c r="I123" s="104">
        <v>0.98</v>
      </c>
      <c r="J123" s="104"/>
      <c r="K123" s="104">
        <v>0.98</v>
      </c>
      <c r="L123" s="104"/>
      <c r="M123" s="104"/>
      <c r="N123" s="104"/>
      <c r="O123" s="146"/>
      <c r="P123" s="120"/>
      <c r="Q123" s="2"/>
      <c r="R123" s="59"/>
      <c r="S123" s="97"/>
      <c r="T123" s="97"/>
      <c r="U123" s="97"/>
      <c r="V123" s="97"/>
      <c r="W123" s="97"/>
      <c r="X123" s="97"/>
    </row>
    <row r="124" spans="1:24" ht="33" customHeight="1" x14ac:dyDescent="0.25">
      <c r="A124" s="10" t="s">
        <v>182</v>
      </c>
      <c r="B124" s="36" t="s">
        <v>75</v>
      </c>
      <c r="C124" s="140"/>
      <c r="D124" s="140"/>
      <c r="E124" s="140"/>
      <c r="F124" s="140"/>
      <c r="G124" s="140"/>
      <c r="H124" s="140"/>
      <c r="I124" s="140">
        <v>0.36</v>
      </c>
      <c r="J124" s="140"/>
      <c r="K124" s="140">
        <v>0.36</v>
      </c>
      <c r="L124" s="140"/>
      <c r="M124" s="140"/>
      <c r="N124" s="140"/>
      <c r="O124" s="147"/>
      <c r="P124" s="120"/>
      <c r="Q124" s="2"/>
      <c r="R124" s="59"/>
      <c r="S124" s="97"/>
      <c r="T124" s="97"/>
      <c r="U124" s="97"/>
      <c r="V124" s="97"/>
      <c r="W124" s="97"/>
      <c r="X124" s="97"/>
    </row>
    <row r="125" spans="1:24" x14ac:dyDescent="0.25">
      <c r="A125" s="10" t="s">
        <v>183</v>
      </c>
      <c r="B125" s="36" t="s">
        <v>76</v>
      </c>
      <c r="C125" s="140"/>
      <c r="D125" s="140"/>
      <c r="E125" s="140"/>
      <c r="F125" s="140"/>
      <c r="G125" s="140"/>
      <c r="H125" s="140"/>
      <c r="I125" s="140">
        <v>0.22</v>
      </c>
      <c r="J125" s="140"/>
      <c r="K125" s="140">
        <v>0.22</v>
      </c>
      <c r="L125" s="140"/>
      <c r="M125" s="140"/>
      <c r="N125" s="140"/>
      <c r="O125" s="147"/>
      <c r="P125" s="120"/>
      <c r="Q125" s="2"/>
      <c r="R125" s="59"/>
      <c r="S125" s="105"/>
      <c r="T125" s="105"/>
      <c r="U125" s="105"/>
      <c r="V125" s="105"/>
      <c r="W125" s="105"/>
      <c r="X125" s="105"/>
    </row>
    <row r="126" spans="1:24" x14ac:dyDescent="0.25">
      <c r="A126" s="10" t="s">
        <v>184</v>
      </c>
      <c r="B126" s="36" t="s">
        <v>77</v>
      </c>
      <c r="C126" s="140"/>
      <c r="D126" s="140"/>
      <c r="E126" s="140"/>
      <c r="F126" s="140"/>
      <c r="G126" s="140"/>
      <c r="H126" s="140"/>
      <c r="I126" s="140">
        <v>0.4</v>
      </c>
      <c r="J126" s="140"/>
      <c r="K126" s="140">
        <v>0.4</v>
      </c>
      <c r="L126" s="140"/>
      <c r="M126" s="140"/>
      <c r="N126" s="140"/>
      <c r="O126" s="147"/>
      <c r="P126" s="120"/>
      <c r="Q126" s="2"/>
      <c r="R126" s="59"/>
      <c r="S126" s="105"/>
      <c r="T126" s="105"/>
      <c r="U126" s="105"/>
      <c r="V126" s="105"/>
      <c r="W126" s="105"/>
      <c r="X126" s="105"/>
    </row>
    <row r="127" spans="1:24" ht="30" x14ac:dyDescent="0.25">
      <c r="A127" s="10" t="s">
        <v>185</v>
      </c>
      <c r="B127" s="36" t="s">
        <v>78</v>
      </c>
      <c r="C127" s="104"/>
      <c r="D127" s="104"/>
      <c r="E127" s="104"/>
      <c r="F127" s="104"/>
      <c r="G127" s="104"/>
      <c r="H127" s="104"/>
      <c r="I127" s="104">
        <v>20</v>
      </c>
      <c r="J127" s="104"/>
      <c r="K127" s="104">
        <v>20</v>
      </c>
      <c r="L127" s="104"/>
      <c r="M127" s="104"/>
      <c r="N127" s="104"/>
    </row>
    <row r="128" spans="1:24" outlineLevel="1" x14ac:dyDescent="0.25">
      <c r="A128" s="165" t="s">
        <v>86</v>
      </c>
      <c r="B128" s="6" t="s">
        <v>192</v>
      </c>
      <c r="C128" s="164">
        <f>SUM(C129:C147)</f>
        <v>22.62</v>
      </c>
      <c r="D128" s="164">
        <f t="shared" ref="D128:N128" si="38">SUM(D129:D147)</f>
        <v>22.62</v>
      </c>
      <c r="E128" s="164">
        <f t="shared" si="38"/>
        <v>27.12</v>
      </c>
      <c r="F128" s="164">
        <f t="shared" si="38"/>
        <v>36</v>
      </c>
      <c r="G128" s="164">
        <f t="shared" si="38"/>
        <v>36</v>
      </c>
      <c r="H128" s="164">
        <f t="shared" si="38"/>
        <v>36</v>
      </c>
      <c r="I128" s="164">
        <f t="shared" si="38"/>
        <v>213.39</v>
      </c>
      <c r="J128" s="164">
        <f t="shared" si="38"/>
        <v>28.4</v>
      </c>
      <c r="K128" s="164">
        <f t="shared" si="38"/>
        <v>76.699999999999989</v>
      </c>
      <c r="L128" s="164">
        <f t="shared" si="38"/>
        <v>0.4</v>
      </c>
      <c r="M128" s="164">
        <f t="shared" si="38"/>
        <v>0.4</v>
      </c>
      <c r="N128" s="164">
        <f t="shared" si="38"/>
        <v>0</v>
      </c>
      <c r="O128" s="146"/>
      <c r="P128" s="120"/>
      <c r="Q128" s="2"/>
      <c r="R128" s="59"/>
      <c r="S128" s="150"/>
      <c r="T128" s="150"/>
      <c r="U128" s="150"/>
      <c r="V128" s="150"/>
      <c r="W128" s="150"/>
      <c r="X128" s="150"/>
    </row>
    <row r="129" spans="1:24" outlineLevel="1" x14ac:dyDescent="0.25">
      <c r="A129" s="10" t="s">
        <v>104</v>
      </c>
      <c r="B129" s="36" t="s">
        <v>46</v>
      </c>
      <c r="C129" s="104">
        <v>4.5</v>
      </c>
      <c r="D129" s="104">
        <v>4.5</v>
      </c>
      <c r="E129" s="104">
        <v>4.5</v>
      </c>
      <c r="F129" s="104">
        <v>4.5</v>
      </c>
      <c r="G129" s="104">
        <v>4.5</v>
      </c>
      <c r="H129" s="104">
        <v>4.5</v>
      </c>
      <c r="I129" s="104"/>
      <c r="J129" s="104"/>
      <c r="K129" s="104"/>
      <c r="L129" s="104"/>
      <c r="M129" s="104"/>
      <c r="N129" s="104"/>
      <c r="O129" s="146"/>
      <c r="P129" s="120"/>
      <c r="Q129" s="2"/>
      <c r="R129" s="59"/>
      <c r="S129" s="96"/>
      <c r="T129" s="96"/>
      <c r="U129" s="96"/>
      <c r="V129" s="96"/>
      <c r="W129" s="96"/>
      <c r="X129" s="96"/>
    </row>
    <row r="130" spans="1:24" outlineLevel="1" x14ac:dyDescent="0.25">
      <c r="A130" s="10" t="s">
        <v>122</v>
      </c>
      <c r="B130" s="36" t="s">
        <v>47</v>
      </c>
      <c r="C130" s="104">
        <v>4.5</v>
      </c>
      <c r="D130" s="104">
        <v>4.5</v>
      </c>
      <c r="E130" s="104">
        <v>4.5</v>
      </c>
      <c r="F130" s="104"/>
      <c r="G130" s="104"/>
      <c r="H130" s="104"/>
      <c r="I130" s="104"/>
      <c r="J130" s="104"/>
      <c r="K130" s="104"/>
      <c r="L130" s="104"/>
      <c r="M130" s="104"/>
      <c r="N130" s="104"/>
      <c r="O130" s="146"/>
      <c r="P130" s="120"/>
      <c r="Q130" s="2"/>
      <c r="R130" s="59"/>
      <c r="S130" s="96"/>
      <c r="T130" s="96"/>
      <c r="U130" s="96"/>
      <c r="V130" s="96"/>
      <c r="W130" s="96"/>
      <c r="X130" s="96"/>
    </row>
    <row r="131" spans="1:24" outlineLevel="1" x14ac:dyDescent="0.25">
      <c r="A131" s="10" t="s">
        <v>123</v>
      </c>
      <c r="B131" s="36" t="s">
        <v>149</v>
      </c>
      <c r="C131" s="104">
        <v>4.5</v>
      </c>
      <c r="D131" s="104">
        <v>4.5</v>
      </c>
      <c r="E131" s="104">
        <v>4.5</v>
      </c>
      <c r="F131" s="104">
        <v>4.5</v>
      </c>
      <c r="G131" s="104">
        <v>4.5</v>
      </c>
      <c r="H131" s="104">
        <v>4.5</v>
      </c>
      <c r="I131" s="104"/>
      <c r="J131" s="104"/>
      <c r="K131" s="104"/>
      <c r="L131" s="104"/>
      <c r="M131" s="104"/>
      <c r="N131" s="104"/>
      <c r="O131" s="146"/>
      <c r="P131" s="120"/>
      <c r="Q131" s="2"/>
      <c r="R131" s="59"/>
      <c r="S131" s="96"/>
      <c r="T131" s="96"/>
      <c r="U131" s="96"/>
      <c r="V131" s="96"/>
      <c r="W131" s="96"/>
      <c r="X131" s="96"/>
    </row>
    <row r="132" spans="1:24" outlineLevel="1" x14ac:dyDescent="0.25">
      <c r="A132" s="10" t="s">
        <v>124</v>
      </c>
      <c r="B132" s="36" t="s">
        <v>150</v>
      </c>
      <c r="C132" s="104">
        <v>4.5</v>
      </c>
      <c r="D132" s="104">
        <v>4.5</v>
      </c>
      <c r="E132" s="104">
        <v>4.5</v>
      </c>
      <c r="F132" s="104"/>
      <c r="G132" s="104"/>
      <c r="H132" s="104"/>
      <c r="I132" s="104"/>
      <c r="J132" s="104"/>
      <c r="K132" s="104"/>
      <c r="L132" s="104"/>
      <c r="M132" s="104"/>
      <c r="N132" s="104"/>
      <c r="O132" s="146"/>
      <c r="P132" s="120"/>
      <c r="Q132" s="2"/>
      <c r="R132" s="59"/>
      <c r="S132" s="96"/>
      <c r="T132" s="96"/>
      <c r="U132" s="96"/>
      <c r="V132" s="96"/>
      <c r="W132" s="96"/>
      <c r="X132" s="96"/>
    </row>
    <row r="133" spans="1:24" outlineLevel="1" x14ac:dyDescent="0.25">
      <c r="A133" s="10" t="s">
        <v>125</v>
      </c>
      <c r="B133" s="36" t="s">
        <v>151</v>
      </c>
      <c r="C133" s="104">
        <v>4.5</v>
      </c>
      <c r="D133" s="104">
        <v>4.5</v>
      </c>
      <c r="E133" s="104">
        <v>4.5</v>
      </c>
      <c r="F133" s="104">
        <v>4.5</v>
      </c>
      <c r="G133" s="104">
        <v>4.5</v>
      </c>
      <c r="H133" s="104">
        <v>4.5</v>
      </c>
      <c r="I133" s="104"/>
      <c r="J133" s="104"/>
      <c r="K133" s="104"/>
      <c r="L133" s="104"/>
      <c r="M133" s="104"/>
      <c r="N133" s="104"/>
      <c r="O133" s="146"/>
      <c r="P133" s="120"/>
      <c r="Q133" s="2"/>
      <c r="R133" s="59"/>
      <c r="S133" s="96"/>
      <c r="T133" s="96"/>
      <c r="U133" s="96"/>
      <c r="V133" s="96"/>
      <c r="W133" s="96"/>
      <c r="X133" s="96"/>
    </row>
    <row r="134" spans="1:24" s="120" customFormat="1" outlineLevel="1" x14ac:dyDescent="0.25">
      <c r="A134" s="10" t="s">
        <v>126</v>
      </c>
      <c r="B134" s="154" t="s">
        <v>60</v>
      </c>
      <c r="C134" s="139">
        <v>0.12</v>
      </c>
      <c r="D134" s="139">
        <v>0.12</v>
      </c>
      <c r="E134" s="139">
        <v>0.12</v>
      </c>
      <c r="F134" s="139"/>
      <c r="G134" s="139"/>
      <c r="H134" s="139"/>
      <c r="I134" s="139">
        <v>0.4</v>
      </c>
      <c r="J134" s="139">
        <v>0.4</v>
      </c>
      <c r="K134" s="139">
        <v>0.4</v>
      </c>
      <c r="L134" s="139">
        <v>0.4</v>
      </c>
      <c r="M134" s="139">
        <v>0.4</v>
      </c>
      <c r="N134" s="139"/>
      <c r="O134" s="178"/>
      <c r="R134" s="179"/>
      <c r="S134" s="138"/>
      <c r="T134" s="138"/>
      <c r="U134" s="138"/>
      <c r="V134" s="138"/>
      <c r="W134" s="138"/>
      <c r="X134" s="138"/>
    </row>
    <row r="135" spans="1:24" outlineLevel="1" x14ac:dyDescent="0.25">
      <c r="A135" s="10" t="s">
        <v>127</v>
      </c>
      <c r="B135" s="36" t="s">
        <v>153</v>
      </c>
      <c r="C135" s="104"/>
      <c r="D135" s="104"/>
      <c r="E135" s="104">
        <v>4.5</v>
      </c>
      <c r="F135" s="104"/>
      <c r="G135" s="104"/>
      <c r="H135" s="104"/>
      <c r="I135" s="104"/>
      <c r="J135" s="104"/>
      <c r="K135" s="104"/>
      <c r="L135" s="104"/>
      <c r="M135" s="104"/>
      <c r="N135" s="104"/>
      <c r="O135" s="146"/>
      <c r="P135" s="120"/>
      <c r="Q135" s="2"/>
      <c r="R135" s="59"/>
      <c r="S135" s="96"/>
      <c r="T135" s="96"/>
      <c r="U135" s="96"/>
      <c r="V135" s="96"/>
      <c r="W135" s="96"/>
      <c r="X135" s="96"/>
    </row>
    <row r="136" spans="1:24" outlineLevel="1" x14ac:dyDescent="0.25">
      <c r="A136" s="10" t="s">
        <v>128</v>
      </c>
      <c r="B136" s="36" t="s">
        <v>155</v>
      </c>
      <c r="C136" s="104"/>
      <c r="D136" s="104"/>
      <c r="E136" s="104"/>
      <c r="F136" s="104">
        <v>4.5</v>
      </c>
      <c r="G136" s="104">
        <v>4.5</v>
      </c>
      <c r="H136" s="104">
        <v>4.5</v>
      </c>
      <c r="I136" s="104"/>
      <c r="J136" s="104"/>
      <c r="K136" s="104"/>
      <c r="L136" s="104"/>
      <c r="M136" s="104"/>
      <c r="N136" s="104"/>
      <c r="O136" s="146"/>
      <c r="P136" s="120"/>
      <c r="Q136" s="2"/>
      <c r="R136" s="59"/>
      <c r="S136" s="96"/>
      <c r="T136" s="96"/>
      <c r="U136" s="96"/>
      <c r="V136" s="96"/>
      <c r="W136" s="96"/>
      <c r="X136" s="96"/>
    </row>
    <row r="137" spans="1:24" outlineLevel="1" x14ac:dyDescent="0.25">
      <c r="A137" s="10" t="s">
        <v>129</v>
      </c>
      <c r="B137" s="36" t="s">
        <v>156</v>
      </c>
      <c r="C137" s="104"/>
      <c r="D137" s="104"/>
      <c r="E137" s="104"/>
      <c r="F137" s="104">
        <v>4.5</v>
      </c>
      <c r="G137" s="104">
        <v>4.5</v>
      </c>
      <c r="H137" s="104">
        <v>4.5</v>
      </c>
      <c r="I137" s="104"/>
      <c r="J137" s="104"/>
      <c r="K137" s="104"/>
      <c r="L137" s="104"/>
      <c r="M137" s="104"/>
      <c r="N137" s="104"/>
      <c r="O137" s="146"/>
      <c r="P137" s="120"/>
      <c r="Q137" s="2"/>
      <c r="R137" s="59"/>
      <c r="S137" s="96"/>
      <c r="T137" s="96"/>
      <c r="U137" s="96"/>
      <c r="V137" s="96"/>
      <c r="W137" s="96"/>
      <c r="X137" s="96"/>
    </row>
    <row r="138" spans="1:24" outlineLevel="1" x14ac:dyDescent="0.25">
      <c r="A138" s="10" t="s">
        <v>193</v>
      </c>
      <c r="B138" s="36" t="s">
        <v>157</v>
      </c>
      <c r="C138" s="104"/>
      <c r="D138" s="104"/>
      <c r="E138" s="104"/>
      <c r="F138" s="104">
        <v>4.5</v>
      </c>
      <c r="G138" s="104">
        <v>4.5</v>
      </c>
      <c r="H138" s="104">
        <v>4.5</v>
      </c>
      <c r="I138" s="104"/>
      <c r="J138" s="104"/>
      <c r="K138" s="104"/>
      <c r="L138" s="104"/>
      <c r="M138" s="104"/>
      <c r="N138" s="104"/>
      <c r="O138" s="146"/>
      <c r="P138" s="120"/>
      <c r="Q138" s="2"/>
      <c r="R138" s="59"/>
      <c r="S138" s="96"/>
      <c r="T138" s="96"/>
      <c r="U138" s="96"/>
      <c r="V138" s="96"/>
      <c r="W138" s="96"/>
      <c r="X138" s="96"/>
    </row>
    <row r="139" spans="1:24" outlineLevel="1" x14ac:dyDescent="0.25">
      <c r="A139" s="10" t="s">
        <v>194</v>
      </c>
      <c r="B139" s="36" t="s">
        <v>220</v>
      </c>
      <c r="C139" s="104"/>
      <c r="D139" s="104"/>
      <c r="E139" s="104"/>
      <c r="F139" s="104">
        <v>4.5</v>
      </c>
      <c r="G139" s="104">
        <v>4.5</v>
      </c>
      <c r="H139" s="104"/>
      <c r="I139" s="104"/>
      <c r="J139" s="104"/>
      <c r="K139" s="104"/>
      <c r="L139" s="104"/>
      <c r="M139" s="104"/>
      <c r="N139" s="104"/>
      <c r="O139" s="146"/>
      <c r="P139" s="120"/>
      <c r="Q139" s="2"/>
      <c r="R139" s="59"/>
      <c r="S139" s="96"/>
      <c r="T139" s="96"/>
      <c r="U139" s="96"/>
      <c r="V139" s="96"/>
      <c r="W139" s="96"/>
      <c r="X139" s="96"/>
    </row>
    <row r="140" spans="1:24" ht="30" outlineLevel="1" x14ac:dyDescent="0.25">
      <c r="A140" s="10" t="s">
        <v>195</v>
      </c>
      <c r="B140" s="36" t="s">
        <v>158</v>
      </c>
      <c r="C140" s="104"/>
      <c r="D140" s="104"/>
      <c r="E140" s="104"/>
      <c r="F140" s="104">
        <v>4.5</v>
      </c>
      <c r="G140" s="104">
        <v>4.5</v>
      </c>
      <c r="H140" s="104">
        <v>4.5</v>
      </c>
      <c r="I140" s="104"/>
      <c r="J140" s="104"/>
      <c r="K140" s="104"/>
      <c r="L140" s="104"/>
      <c r="M140" s="104"/>
      <c r="N140" s="104"/>
      <c r="O140" s="146"/>
      <c r="P140" s="120"/>
      <c r="Q140" s="2"/>
      <c r="R140" s="59"/>
      <c r="S140" s="105"/>
      <c r="T140" s="105"/>
      <c r="U140" s="105"/>
      <c r="V140" s="105"/>
      <c r="W140" s="105"/>
      <c r="X140" s="105"/>
    </row>
    <row r="141" spans="1:24" outlineLevel="1" x14ac:dyDescent="0.25">
      <c r="A141" s="10" t="s">
        <v>196</v>
      </c>
      <c r="B141" s="36" t="s">
        <v>159</v>
      </c>
      <c r="C141" s="104"/>
      <c r="D141" s="104"/>
      <c r="E141" s="104"/>
      <c r="F141" s="104"/>
      <c r="G141" s="104"/>
      <c r="H141" s="104">
        <v>4.5</v>
      </c>
      <c r="I141" s="104"/>
      <c r="J141" s="104"/>
      <c r="K141" s="104"/>
      <c r="L141" s="104"/>
      <c r="M141" s="104"/>
      <c r="N141" s="104"/>
      <c r="O141" s="146"/>
      <c r="P141" s="120"/>
      <c r="Q141" s="2"/>
      <c r="R141" s="59"/>
      <c r="S141" s="105"/>
      <c r="T141" s="105"/>
      <c r="U141" s="105"/>
      <c r="V141" s="105"/>
      <c r="W141" s="105"/>
      <c r="X141" s="105"/>
    </row>
    <row r="142" spans="1:24" ht="30" x14ac:dyDescent="0.25">
      <c r="A142" s="10" t="s">
        <v>197</v>
      </c>
      <c r="B142" s="36" t="s">
        <v>68</v>
      </c>
      <c r="C142" s="140"/>
      <c r="D142" s="140"/>
      <c r="E142" s="140"/>
      <c r="F142" s="140"/>
      <c r="G142" s="140"/>
      <c r="H142" s="140"/>
      <c r="I142" s="140">
        <v>63.68</v>
      </c>
      <c r="J142" s="140"/>
      <c r="K142" s="140"/>
      <c r="L142" s="140"/>
      <c r="M142" s="140"/>
      <c r="N142" s="140"/>
      <c r="O142" s="147"/>
      <c r="P142" s="120"/>
      <c r="Q142" s="120"/>
      <c r="R142" s="59"/>
      <c r="S142" s="97"/>
      <c r="T142" s="97"/>
      <c r="U142" s="97"/>
      <c r="V142" s="97"/>
      <c r="W142" s="97"/>
      <c r="X142" s="97"/>
    </row>
    <row r="143" spans="1:24" ht="30" x14ac:dyDescent="0.25">
      <c r="A143" s="10" t="s">
        <v>198</v>
      </c>
      <c r="B143" s="36" t="s">
        <v>69</v>
      </c>
      <c r="C143" s="104"/>
      <c r="D143" s="104"/>
      <c r="E143" s="104"/>
      <c r="F143" s="104"/>
      <c r="G143" s="104"/>
      <c r="H143" s="104"/>
      <c r="I143" s="104">
        <v>45.01</v>
      </c>
      <c r="J143" s="104"/>
      <c r="K143" s="104"/>
      <c r="L143" s="104"/>
      <c r="M143" s="104"/>
      <c r="N143" s="104"/>
      <c r="O143" s="146"/>
      <c r="P143" s="120"/>
      <c r="Q143" s="120"/>
      <c r="R143" s="59"/>
    </row>
    <row r="144" spans="1:24" ht="45" x14ac:dyDescent="0.25">
      <c r="A144" s="10" t="s">
        <v>199</v>
      </c>
      <c r="B144" s="36" t="s">
        <v>70</v>
      </c>
      <c r="C144" s="104"/>
      <c r="D144" s="104"/>
      <c r="E144" s="104"/>
      <c r="F144" s="104"/>
      <c r="G144" s="104"/>
      <c r="H144" s="104"/>
      <c r="I144" s="104">
        <v>28</v>
      </c>
      <c r="J144" s="104"/>
      <c r="K144" s="104"/>
      <c r="L144" s="104"/>
      <c r="M144" s="104"/>
      <c r="N144" s="104"/>
      <c r="O144" s="146"/>
    </row>
    <row r="145" spans="1:14" x14ac:dyDescent="0.25">
      <c r="A145" s="10" t="s">
        <v>200</v>
      </c>
      <c r="B145" s="36" t="s">
        <v>79</v>
      </c>
      <c r="C145" s="104"/>
      <c r="D145" s="104"/>
      <c r="E145" s="104"/>
      <c r="F145" s="104"/>
      <c r="G145" s="104"/>
      <c r="H145" s="104"/>
      <c r="I145" s="104">
        <v>11.7</v>
      </c>
      <c r="J145" s="104"/>
      <c r="K145" s="104">
        <v>11.7</v>
      </c>
      <c r="L145" s="104"/>
      <c r="M145" s="104"/>
      <c r="N145" s="104"/>
    </row>
    <row r="146" spans="1:14" x14ac:dyDescent="0.25">
      <c r="A146" s="10" t="s">
        <v>201</v>
      </c>
      <c r="B146" s="36" t="s">
        <v>80</v>
      </c>
      <c r="C146" s="104"/>
      <c r="D146" s="104"/>
      <c r="E146" s="104"/>
      <c r="F146" s="104"/>
      <c r="G146" s="104"/>
      <c r="H146" s="104"/>
      <c r="I146" s="104">
        <v>64.599999999999994</v>
      </c>
      <c r="J146" s="104"/>
      <c r="K146" s="104">
        <v>64.599999999999994</v>
      </c>
      <c r="L146" s="104"/>
      <c r="M146" s="104"/>
      <c r="N146" s="104"/>
    </row>
    <row r="147" spans="1:14" x14ac:dyDescent="0.25">
      <c r="A147" s="10" t="s">
        <v>202</v>
      </c>
      <c r="B147" s="36" t="s">
        <v>186</v>
      </c>
      <c r="C147" s="104"/>
      <c r="D147" s="104"/>
      <c r="E147" s="104"/>
      <c r="F147" s="104"/>
      <c r="G147" s="104"/>
      <c r="H147" s="104"/>
      <c r="I147" s="104"/>
      <c r="J147" s="104">
        <v>28</v>
      </c>
      <c r="K147" s="104"/>
      <c r="L147" s="104"/>
      <c r="M147" s="104"/>
      <c r="N147" s="104"/>
    </row>
    <row r="148" spans="1:14" ht="28.5" x14ac:dyDescent="0.25">
      <c r="A148" s="61" t="s">
        <v>87</v>
      </c>
      <c r="B148" s="25" t="s">
        <v>163</v>
      </c>
      <c r="C148" s="164">
        <v>1</v>
      </c>
      <c r="D148" s="164">
        <v>1</v>
      </c>
      <c r="E148" s="164">
        <v>1</v>
      </c>
      <c r="F148" s="164">
        <v>1</v>
      </c>
      <c r="G148" s="164">
        <v>1</v>
      </c>
      <c r="H148" s="164">
        <v>1</v>
      </c>
      <c r="I148" s="164">
        <v>1</v>
      </c>
      <c r="J148" s="164">
        <v>1</v>
      </c>
      <c r="K148" s="164">
        <v>1</v>
      </c>
      <c r="L148" s="164">
        <v>1</v>
      </c>
      <c r="M148" s="164">
        <v>1</v>
      </c>
      <c r="N148" s="164"/>
    </row>
    <row r="149" spans="1:14" x14ac:dyDescent="0.25">
      <c r="A149" s="61" t="s">
        <v>88</v>
      </c>
      <c r="B149" s="25" t="s">
        <v>164</v>
      </c>
      <c r="C149" s="164">
        <v>4.5</v>
      </c>
      <c r="D149" s="164">
        <v>4.5</v>
      </c>
      <c r="E149" s="164">
        <v>4.5</v>
      </c>
      <c r="F149" s="164">
        <v>4.5</v>
      </c>
      <c r="G149" s="164">
        <v>4.5</v>
      </c>
      <c r="H149" s="164">
        <v>4.5</v>
      </c>
      <c r="I149" s="164">
        <v>4.5</v>
      </c>
      <c r="J149" s="164">
        <v>4.5</v>
      </c>
      <c r="K149" s="164">
        <v>4.5</v>
      </c>
      <c r="L149" s="164">
        <v>1.5</v>
      </c>
      <c r="M149" s="164">
        <v>1.5</v>
      </c>
      <c r="N149" s="164">
        <v>22</v>
      </c>
    </row>
    <row r="150" spans="1:14" ht="20.25" customHeight="1" x14ac:dyDescent="0.25">
      <c r="A150" s="61" t="s">
        <v>89</v>
      </c>
      <c r="B150" s="25" t="s">
        <v>203</v>
      </c>
      <c r="C150" s="164">
        <f>SUM(C151:C152)</f>
        <v>10</v>
      </c>
      <c r="D150" s="164">
        <f t="shared" ref="D150:N150" si="39">SUM(D151:D152)</f>
        <v>10</v>
      </c>
      <c r="E150" s="164">
        <f t="shared" si="39"/>
        <v>10</v>
      </c>
      <c r="F150" s="164">
        <f t="shared" si="39"/>
        <v>10</v>
      </c>
      <c r="G150" s="164">
        <f t="shared" si="39"/>
        <v>10</v>
      </c>
      <c r="H150" s="164">
        <f t="shared" si="39"/>
        <v>10</v>
      </c>
      <c r="I150" s="164">
        <f t="shared" si="39"/>
        <v>10</v>
      </c>
      <c r="J150" s="164">
        <f t="shared" si="39"/>
        <v>10</v>
      </c>
      <c r="K150" s="164">
        <f t="shared" si="39"/>
        <v>10</v>
      </c>
      <c r="L150" s="164">
        <f t="shared" si="39"/>
        <v>10</v>
      </c>
      <c r="M150" s="164">
        <f t="shared" si="39"/>
        <v>10</v>
      </c>
      <c r="N150" s="164">
        <f t="shared" si="39"/>
        <v>160</v>
      </c>
    </row>
    <row r="151" spans="1:14" x14ac:dyDescent="0.25">
      <c r="A151" s="10" t="s">
        <v>140</v>
      </c>
      <c r="B151" s="36" t="s">
        <v>165</v>
      </c>
      <c r="C151" s="104">
        <v>10</v>
      </c>
      <c r="D151" s="104">
        <v>10</v>
      </c>
      <c r="E151" s="104">
        <v>10</v>
      </c>
      <c r="F151" s="104">
        <v>10</v>
      </c>
      <c r="G151" s="104">
        <v>10</v>
      </c>
      <c r="H151" s="104">
        <v>10</v>
      </c>
      <c r="I151" s="104">
        <v>10</v>
      </c>
      <c r="J151" s="104">
        <v>10</v>
      </c>
      <c r="K151" s="104">
        <v>10</v>
      </c>
      <c r="L151" s="104">
        <v>10</v>
      </c>
      <c r="M151" s="104">
        <v>10</v>
      </c>
      <c r="N151" s="104"/>
    </row>
    <row r="152" spans="1:14" ht="17.25" customHeight="1" x14ac:dyDescent="0.25">
      <c r="A152" s="10" t="s">
        <v>141</v>
      </c>
      <c r="B152" s="36" t="s">
        <v>166</v>
      </c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>
        <v>160</v>
      </c>
    </row>
    <row r="153" spans="1:14" x14ac:dyDescent="0.25">
      <c r="A153" s="61" t="s">
        <v>85</v>
      </c>
      <c r="B153" s="25" t="s">
        <v>167</v>
      </c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>
        <v>40</v>
      </c>
    </row>
    <row r="154" spans="1:14" x14ac:dyDescent="0.25">
      <c r="A154" s="61" t="s">
        <v>138</v>
      </c>
      <c r="B154" s="25" t="s">
        <v>168</v>
      </c>
      <c r="C154" s="164"/>
      <c r="D154" s="164"/>
      <c r="E154" s="164"/>
      <c r="F154" s="164">
        <v>2656</v>
      </c>
      <c r="G154" s="164">
        <v>2656</v>
      </c>
      <c r="H154" s="164">
        <v>2656</v>
      </c>
      <c r="I154" s="164"/>
      <c r="J154" s="164"/>
      <c r="K154" s="164"/>
      <c r="L154" s="164"/>
      <c r="M154" s="164"/>
      <c r="N154" s="164"/>
    </row>
  </sheetData>
  <mergeCells count="6">
    <mergeCell ref="A2:N2"/>
    <mergeCell ref="E83:G83"/>
    <mergeCell ref="A4:A5"/>
    <mergeCell ref="B4:B5"/>
    <mergeCell ref="C4:X4"/>
    <mergeCell ref="A82:N82"/>
  </mergeCells>
  <printOptions horizontalCentered="1"/>
  <pageMargins left="0.15748031496062992" right="0.15748031496062992" top="0.35433070866141736" bottom="0.19685039370078741" header="0.31496062992125984" footer="0.31496062992125984"/>
  <pageSetup paperSize="9" scale="47" orientation="portrait" r:id="rId1"/>
  <ignoredErrors>
    <ignoredError sqref="D8:D77 F8:F77 H8:H76 J6:J76 J80 N80 P77 Q6:Q76 S6:S77 R77 D80 H80 Q80 S80 N6:N77 K77" formula="1"/>
    <ignoredError sqref="C128:H128 I128:M12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20"/>
  <sheetViews>
    <sheetView tabSelected="1" view="pageBreakPreview" zoomScale="90" zoomScaleSheetLayoutView="90" workbookViewId="0">
      <pane ySplit="5" topLeftCell="A6" activePane="bottomLeft" state="frozen"/>
      <selection pane="bottomLeft" activeCell="O10" sqref="O10"/>
    </sheetView>
  </sheetViews>
  <sheetFormatPr defaultRowHeight="15" x14ac:dyDescent="0.25"/>
  <cols>
    <col min="1" max="1" width="8.7109375" style="112" customWidth="1"/>
    <col min="2" max="2" width="67" style="75" customWidth="1"/>
    <col min="3" max="3" width="19.7109375" style="75" customWidth="1"/>
    <col min="4" max="4" width="16.42578125" customWidth="1"/>
    <col min="5" max="5" width="20.5703125" customWidth="1"/>
    <col min="6" max="6" width="16.85546875" customWidth="1"/>
    <col min="7" max="8" width="14.28515625" customWidth="1"/>
    <col min="9" max="9" width="14.85546875" customWidth="1"/>
    <col min="10" max="10" width="16.85546875" customWidth="1"/>
    <col min="11" max="12" width="14.5703125" customWidth="1"/>
    <col min="13" max="14" width="19.7109375" customWidth="1"/>
  </cols>
  <sheetData>
    <row r="1" spans="1:14" ht="18.75" x14ac:dyDescent="0.3">
      <c r="A1" s="226" t="s">
        <v>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4" ht="15.75" x14ac:dyDescent="0.25">
      <c r="A2" s="110"/>
      <c r="B2" s="73"/>
      <c r="C2" s="73"/>
      <c r="D2" s="4"/>
      <c r="E2" s="4"/>
      <c r="F2" s="4"/>
      <c r="G2" s="4"/>
      <c r="H2" s="4"/>
      <c r="I2" s="4"/>
      <c r="J2" s="4"/>
      <c r="K2" s="4"/>
      <c r="L2" s="4"/>
      <c r="M2" s="5" t="s">
        <v>96</v>
      </c>
    </row>
    <row r="3" spans="1:14" ht="15.75" x14ac:dyDescent="0.25">
      <c r="A3" s="227" t="s">
        <v>4</v>
      </c>
      <c r="B3" s="228" t="s">
        <v>5</v>
      </c>
      <c r="C3" s="229" t="s">
        <v>189</v>
      </c>
      <c r="D3" s="228" t="s">
        <v>6</v>
      </c>
      <c r="E3" s="228" t="s">
        <v>7</v>
      </c>
      <c r="F3" s="228" t="s">
        <v>8</v>
      </c>
      <c r="G3" s="225" t="s">
        <v>34</v>
      </c>
      <c r="H3" s="225"/>
      <c r="I3" s="225"/>
      <c r="J3" s="225"/>
      <c r="K3" s="225"/>
      <c r="L3" s="225"/>
      <c r="M3" s="225" t="s">
        <v>9</v>
      </c>
      <c r="N3" s="222" t="str">
        <f>'Трудоемкость работ'!AJ1</f>
        <v>Среднее количество дней командировки одного командируемого</v>
      </c>
    </row>
    <row r="4" spans="1:14" ht="15.75" x14ac:dyDescent="0.25">
      <c r="A4" s="227"/>
      <c r="B4" s="228"/>
      <c r="C4" s="230"/>
      <c r="D4" s="228"/>
      <c r="E4" s="228"/>
      <c r="F4" s="228"/>
      <c r="G4" s="225" t="s">
        <v>10</v>
      </c>
      <c r="H4" s="225"/>
      <c r="I4" s="225" t="s">
        <v>11</v>
      </c>
      <c r="J4" s="225"/>
      <c r="K4" s="225" t="s">
        <v>12</v>
      </c>
      <c r="L4" s="225"/>
      <c r="M4" s="225"/>
      <c r="N4" s="222"/>
    </row>
    <row r="5" spans="1:14" ht="50.25" customHeight="1" x14ac:dyDescent="0.25">
      <c r="A5" s="227"/>
      <c r="B5" s="228"/>
      <c r="C5" s="231"/>
      <c r="D5" s="228"/>
      <c r="E5" s="228"/>
      <c r="F5" s="228"/>
      <c r="G5" s="80" t="s">
        <v>13</v>
      </c>
      <c r="H5" s="80" t="s">
        <v>14</v>
      </c>
      <c r="I5" s="80" t="s">
        <v>15</v>
      </c>
      <c r="J5" s="80" t="s">
        <v>14</v>
      </c>
      <c r="K5" s="80" t="s">
        <v>16</v>
      </c>
      <c r="L5" s="80" t="s">
        <v>14</v>
      </c>
      <c r="M5" s="225"/>
      <c r="N5" s="222"/>
    </row>
    <row r="6" spans="1:14" ht="21.75" customHeight="1" x14ac:dyDescent="0.25">
      <c r="A6" s="224" t="s">
        <v>42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</row>
    <row r="7" spans="1:14" ht="15.75" x14ac:dyDescent="0.25">
      <c r="A7" s="111">
        <v>1</v>
      </c>
      <c r="B7" s="194" t="str">
        <f>'План распределения'!B2</f>
        <v>Объект1</v>
      </c>
      <c r="C7" s="115"/>
      <c r="D7" s="116"/>
      <c r="E7" s="117"/>
      <c r="F7" s="117" t="e">
        <f>SUM(F8:F16)</f>
        <v>#N/A</v>
      </c>
      <c r="G7" s="118"/>
      <c r="H7" s="118"/>
      <c r="I7" s="118"/>
      <c r="J7" s="118"/>
      <c r="K7" s="119"/>
      <c r="L7" s="118"/>
      <c r="M7" s="118" t="e">
        <f>SUM(M8:M16)</f>
        <v>#N/A</v>
      </c>
    </row>
    <row r="8" spans="1:14" ht="15.75" x14ac:dyDescent="0.25">
      <c r="A8" s="113" t="s">
        <v>17</v>
      </c>
      <c r="B8" s="74" t="str">
        <f>'Работы по развертыванию'!B85</f>
        <v>Обследование объекта</v>
      </c>
      <c r="C8" s="74" t="str">
        <f>B7</f>
        <v>Объект1</v>
      </c>
      <c r="D8" s="81">
        <v>2</v>
      </c>
      <c r="E8" s="67">
        <v>4</v>
      </c>
      <c r="F8" s="67">
        <f t="shared" ref="F8" si="0">D8*E8</f>
        <v>8</v>
      </c>
      <c r="G8" s="82">
        <v>700</v>
      </c>
      <c r="H8" s="82">
        <f t="shared" ref="H8" si="1">F8*G8</f>
        <v>5600</v>
      </c>
      <c r="I8" s="82">
        <v>5000</v>
      </c>
      <c r="J8" s="82">
        <f t="shared" ref="J8" si="2">F8*I8</f>
        <v>40000</v>
      </c>
      <c r="K8" s="83">
        <f>2*958</f>
        <v>1916</v>
      </c>
      <c r="L8" s="82">
        <f t="shared" ref="L8" si="3">D8*K8</f>
        <v>3832</v>
      </c>
      <c r="M8" s="82">
        <f t="shared" ref="M8" si="4">H8+J8+L8</f>
        <v>49432</v>
      </c>
    </row>
    <row r="9" spans="1:14" ht="15.75" x14ac:dyDescent="0.25">
      <c r="A9" s="113" t="s">
        <v>18</v>
      </c>
      <c r="B9" s="74" t="s">
        <v>142</v>
      </c>
      <c r="C9" s="74" t="str">
        <f>B7</f>
        <v>Объект1</v>
      </c>
      <c r="D9" s="81">
        <v>1</v>
      </c>
      <c r="E9" s="67">
        <v>2</v>
      </c>
      <c r="F9" s="67">
        <f t="shared" ref="F9:F16" si="5">D9*E9</f>
        <v>2</v>
      </c>
      <c r="G9" s="82">
        <v>700</v>
      </c>
      <c r="H9" s="82">
        <f t="shared" ref="H9:H16" si="6">F9*G9</f>
        <v>1400</v>
      </c>
      <c r="I9" s="82">
        <v>5000</v>
      </c>
      <c r="J9" s="82">
        <f t="shared" ref="J9:J16" si="7">F9*I9</f>
        <v>10000</v>
      </c>
      <c r="K9" s="83">
        <f t="shared" ref="K9:K16" si="8">2*958</f>
        <v>1916</v>
      </c>
      <c r="L9" s="82">
        <f t="shared" ref="L9:L16" si="9">D9*K9</f>
        <v>1916</v>
      </c>
      <c r="M9" s="82">
        <f t="shared" ref="M9:M16" si="10">H9+J9+L9</f>
        <v>13316</v>
      </c>
    </row>
    <row r="10" spans="1:14" ht="15.75" x14ac:dyDescent="0.25">
      <c r="A10" s="113" t="s">
        <v>19</v>
      </c>
      <c r="B10" s="74" t="s">
        <v>191</v>
      </c>
      <c r="C10" s="74" t="str">
        <f>B7</f>
        <v>Объект1</v>
      </c>
      <c r="D10" s="81">
        <v>1</v>
      </c>
      <c r="E10" s="189" t="e">
        <f t="shared" ref="E10:E12" si="11">ROUNDUP(N10/D10,0)</f>
        <v>#N/A</v>
      </c>
      <c r="F10" s="67" t="e">
        <f t="shared" si="5"/>
        <v>#N/A</v>
      </c>
      <c r="G10" s="82">
        <v>700</v>
      </c>
      <c r="H10" s="82" t="e">
        <f t="shared" si="6"/>
        <v>#N/A</v>
      </c>
      <c r="I10" s="82">
        <v>5000</v>
      </c>
      <c r="J10" s="82" t="e">
        <f t="shared" si="7"/>
        <v>#N/A</v>
      </c>
      <c r="K10" s="83">
        <f t="shared" si="8"/>
        <v>1916</v>
      </c>
      <c r="L10" s="82">
        <f t="shared" si="9"/>
        <v>1916</v>
      </c>
      <c r="M10" s="82" t="e">
        <f t="shared" si="10"/>
        <v>#N/A</v>
      </c>
      <c r="N10" s="198" t="e">
        <f t="array" ref="N10">INDEX('Трудоемкость работ'!$AJ$1:$AJ$30,MATCH(командировка!$C10&amp;командировка!$B10,'Трудоемкость работ'!$B$1:$B$30&amp;'Трудоемкость работ'!$C$1:$C$30,0))</f>
        <v>#N/A</v>
      </c>
    </row>
    <row r="11" spans="1:14" ht="15.75" x14ac:dyDescent="0.25">
      <c r="A11" s="113" t="s">
        <v>133</v>
      </c>
      <c r="B11" s="74" t="s">
        <v>192</v>
      </c>
      <c r="C11" s="74" t="str">
        <f>B7</f>
        <v>Объект1</v>
      </c>
      <c r="D11" s="81">
        <v>1</v>
      </c>
      <c r="E11" s="189" t="e">
        <f t="shared" si="11"/>
        <v>#N/A</v>
      </c>
      <c r="F11" s="67" t="e">
        <f t="shared" si="5"/>
        <v>#N/A</v>
      </c>
      <c r="G11" s="82">
        <v>700</v>
      </c>
      <c r="H11" s="82" t="e">
        <f t="shared" si="6"/>
        <v>#N/A</v>
      </c>
      <c r="I11" s="82">
        <v>5000</v>
      </c>
      <c r="J11" s="82" t="e">
        <f t="shared" si="7"/>
        <v>#N/A</v>
      </c>
      <c r="K11" s="83">
        <f t="shared" si="8"/>
        <v>1916</v>
      </c>
      <c r="L11" s="82">
        <f t="shared" si="9"/>
        <v>1916</v>
      </c>
      <c r="M11" s="82" t="e">
        <f t="shared" si="10"/>
        <v>#N/A</v>
      </c>
      <c r="N11" s="198" t="e">
        <f t="array" ref="N11">INDEX('Трудоемкость работ'!$AJ$1:$AJ$30,MATCH(командировка!$C11&amp;командировка!$B11,'Трудоемкость работ'!$B$1:$B$30&amp;'Трудоемкость работ'!$C$1:$C$30,0))</f>
        <v>#N/A</v>
      </c>
    </row>
    <row r="12" spans="1:14" ht="15.75" x14ac:dyDescent="0.25">
      <c r="A12" s="113" t="s">
        <v>20</v>
      </c>
      <c r="B12" s="190" t="str">
        <f>'Трудоемкость работ'!B24</f>
        <v xml:space="preserve">Объектовые специальные исследования </v>
      </c>
      <c r="C12" s="74" t="str">
        <f>B7</f>
        <v>Объект1</v>
      </c>
      <c r="D12" s="81">
        <v>3</v>
      </c>
      <c r="E12" s="189" t="e">
        <f t="shared" si="11"/>
        <v>#N/A</v>
      </c>
      <c r="F12" s="67" t="e">
        <f t="shared" si="5"/>
        <v>#N/A</v>
      </c>
      <c r="G12" s="82">
        <v>700</v>
      </c>
      <c r="H12" s="82" t="e">
        <f t="shared" ref="H12" si="12">F12*G12</f>
        <v>#N/A</v>
      </c>
      <c r="I12" s="82">
        <v>5000</v>
      </c>
      <c r="J12" s="82" t="e">
        <f t="shared" ref="J12" si="13">F12*I12</f>
        <v>#N/A</v>
      </c>
      <c r="K12" s="83">
        <f t="shared" si="8"/>
        <v>1916</v>
      </c>
      <c r="L12" s="82">
        <f t="shared" ref="L12" si="14">D12*K12</f>
        <v>5748</v>
      </c>
      <c r="M12" s="82" t="e">
        <f t="shared" ref="M12" si="15">H12+J12+L12</f>
        <v>#N/A</v>
      </c>
      <c r="N12" s="198" t="e">
        <f t="array" ref="N12">INDEX('Трудоемкость работ'!$AJ$1:$AJ$30,MATCH(командировка!$C12&amp;командировка!$B12,'Трудоемкость работ'!$B$1:$B$30&amp;'Трудоемкость работ'!$C$1:$C$30,0))</f>
        <v>#N/A</v>
      </c>
    </row>
    <row r="13" spans="1:14" ht="31.5" x14ac:dyDescent="0.25">
      <c r="A13" s="113" t="s">
        <v>21</v>
      </c>
      <c r="B13" s="74" t="str">
        <f>'Работы по развертыванию'!$B$148</f>
        <v>Инструктаж (обучение) должностных лиц по использованию оборудования</v>
      </c>
      <c r="C13" s="74" t="str">
        <f>B7</f>
        <v>Объект1</v>
      </c>
      <c r="D13" s="81">
        <v>4</v>
      </c>
      <c r="E13" s="189" t="e">
        <f>ROUNDUP(N13/D13,0)</f>
        <v>#N/A</v>
      </c>
      <c r="F13" s="67" t="e">
        <f t="shared" si="5"/>
        <v>#N/A</v>
      </c>
      <c r="G13" s="82">
        <v>700</v>
      </c>
      <c r="H13" s="82" t="e">
        <f t="shared" si="6"/>
        <v>#N/A</v>
      </c>
      <c r="I13" s="82">
        <v>5000</v>
      </c>
      <c r="J13" s="82" t="e">
        <f t="shared" si="7"/>
        <v>#N/A</v>
      </c>
      <c r="K13" s="83">
        <f t="shared" si="8"/>
        <v>1916</v>
      </c>
      <c r="L13" s="82">
        <f t="shared" si="9"/>
        <v>7664</v>
      </c>
      <c r="M13" s="82" t="e">
        <f t="shared" si="10"/>
        <v>#N/A</v>
      </c>
      <c r="N13" s="198" t="e">
        <f t="array" ref="N13">INDEX('Трудоемкость работ'!$AJ$1:$AJ$30,MATCH(командировка!$C13&amp;командировка!$B13,'Трудоемкость работ'!$B$1:$B$30&amp;'Трудоемкость работ'!$C$1:$C$30,0))</f>
        <v>#N/A</v>
      </c>
    </row>
    <row r="14" spans="1:14" ht="15.75" x14ac:dyDescent="0.25">
      <c r="A14" s="113" t="s">
        <v>98</v>
      </c>
      <c r="B14" s="74" t="s">
        <v>205</v>
      </c>
      <c r="C14" s="74" t="str">
        <f>B7</f>
        <v>Объект1</v>
      </c>
      <c r="D14" s="81">
        <v>1</v>
      </c>
      <c r="E14" s="67">
        <v>2</v>
      </c>
      <c r="F14" s="67">
        <f t="shared" si="5"/>
        <v>2</v>
      </c>
      <c r="G14" s="82">
        <v>700</v>
      </c>
      <c r="H14" s="82">
        <f t="shared" si="6"/>
        <v>1400</v>
      </c>
      <c r="I14" s="82">
        <v>5000</v>
      </c>
      <c r="J14" s="82">
        <f t="shared" si="7"/>
        <v>10000</v>
      </c>
      <c r="K14" s="83">
        <f t="shared" si="8"/>
        <v>1916</v>
      </c>
      <c r="L14" s="82">
        <f t="shared" si="9"/>
        <v>1916</v>
      </c>
      <c r="M14" s="82">
        <f t="shared" si="10"/>
        <v>13316</v>
      </c>
      <c r="N14" s="198"/>
    </row>
    <row r="15" spans="1:14" ht="15.75" x14ac:dyDescent="0.25">
      <c r="A15" s="113" t="s">
        <v>134</v>
      </c>
      <c r="B15" s="74" t="str">
        <f>'Работы по развертыванию'!B153</f>
        <v xml:space="preserve">Сдача-приемка выполненых работ </v>
      </c>
      <c r="C15" s="74" t="str">
        <f>B7</f>
        <v>Объект1</v>
      </c>
      <c r="D15" s="81">
        <v>1</v>
      </c>
      <c r="E15" s="189" t="e">
        <f t="shared" ref="E15" si="16">ROUNDUP(N15/D15,0)</f>
        <v>#N/A</v>
      </c>
      <c r="F15" s="67" t="e">
        <f t="shared" si="5"/>
        <v>#N/A</v>
      </c>
      <c r="G15" s="82">
        <v>700</v>
      </c>
      <c r="H15" s="82" t="e">
        <f t="shared" si="6"/>
        <v>#N/A</v>
      </c>
      <c r="I15" s="82">
        <v>5000</v>
      </c>
      <c r="J15" s="82" t="e">
        <f t="shared" si="7"/>
        <v>#N/A</v>
      </c>
      <c r="K15" s="83">
        <f t="shared" si="8"/>
        <v>1916</v>
      </c>
      <c r="L15" s="82">
        <f t="shared" si="9"/>
        <v>1916</v>
      </c>
      <c r="M15" s="82" t="e">
        <f t="shared" si="10"/>
        <v>#N/A</v>
      </c>
      <c r="N15" s="198" t="e">
        <f t="array" ref="N15">INDEX('Трудоемкость работ'!$AJ$1:$AJ$30,MATCH(командировка!$C15&amp;командировка!$B15,'Трудоемкость работ'!$B$1:$B$30&amp;'Трудоемкость работ'!$C$1:$C$30,0))</f>
        <v>#N/A</v>
      </c>
    </row>
    <row r="16" spans="1:14" ht="15.75" x14ac:dyDescent="0.25">
      <c r="A16" s="113" t="s">
        <v>139</v>
      </c>
      <c r="B16" s="74" t="str">
        <f>'Работы по развертыванию'!B154</f>
        <v>Участие в эксплуатации</v>
      </c>
      <c r="C16" s="74" t="str">
        <f>B7</f>
        <v>Объект1</v>
      </c>
      <c r="D16" s="81">
        <v>2</v>
      </c>
      <c r="E16" s="189" t="e">
        <f>ROUNDUP(N16/D16,0)</f>
        <v>#N/A</v>
      </c>
      <c r="F16" s="67" t="e">
        <f t="shared" si="5"/>
        <v>#N/A</v>
      </c>
      <c r="G16" s="82">
        <v>700</v>
      </c>
      <c r="H16" s="82" t="e">
        <f t="shared" si="6"/>
        <v>#N/A</v>
      </c>
      <c r="I16" s="82">
        <v>5000</v>
      </c>
      <c r="J16" s="82" t="e">
        <f t="shared" si="7"/>
        <v>#N/A</v>
      </c>
      <c r="K16" s="83">
        <f t="shared" si="8"/>
        <v>1916</v>
      </c>
      <c r="L16" s="82">
        <f t="shared" si="9"/>
        <v>3832</v>
      </c>
      <c r="M16" s="82" t="e">
        <f t="shared" si="10"/>
        <v>#N/A</v>
      </c>
      <c r="N16" s="198" t="e">
        <f t="array" ref="N16">INDEX('Трудоемкость работ'!$AJ$3:$AJ$29,MATCH(командировка!$C16&amp;командировка!$B16,'Трудоемкость работ'!$B$3:$B$29&amp;'Трудоемкость работ'!$C$3:$C$29,0))</f>
        <v>#N/A</v>
      </c>
    </row>
    <row r="17" spans="1:13" ht="19.899999999999999" customHeight="1" x14ac:dyDescent="0.3">
      <c r="A17" s="223" t="s">
        <v>219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114"/>
    </row>
    <row r="20" spans="1:13" x14ac:dyDescent="0.25">
      <c r="F20" s="109"/>
    </row>
  </sheetData>
  <mergeCells count="15">
    <mergeCell ref="N3:N5"/>
    <mergeCell ref="A17:L17"/>
    <mergeCell ref="A6:M6"/>
    <mergeCell ref="K4:L4"/>
    <mergeCell ref="A1:M1"/>
    <mergeCell ref="A3:A5"/>
    <mergeCell ref="B3:B5"/>
    <mergeCell ref="D3:D5"/>
    <mergeCell ref="E3:E5"/>
    <mergeCell ref="F3:F5"/>
    <mergeCell ref="G3:L3"/>
    <mergeCell ref="M3:M5"/>
    <mergeCell ref="G4:H4"/>
    <mergeCell ref="I4:J4"/>
    <mergeCell ref="C3:C5"/>
  </mergeCells>
  <printOptions horizontalCentered="1"/>
  <pageMargins left="0.15748031496062992" right="0.15748031496062992" top="0.39370078740157483" bottom="0.15748031496062992" header="0" footer="0"/>
  <pageSetup paperSize="9" scale="5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План распределения</vt:lpstr>
      <vt:lpstr>Лист2</vt:lpstr>
      <vt:lpstr>Затраты на комплектующие</vt:lpstr>
      <vt:lpstr>Трудоемкость работ</vt:lpstr>
      <vt:lpstr>Работы по развертыванию</vt:lpstr>
      <vt:lpstr>командировка</vt:lpstr>
      <vt:lpstr>'Затраты на комплектующие'!Заголовки_для_печати</vt:lpstr>
      <vt:lpstr>командировка!Заголовки_для_печати</vt:lpstr>
      <vt:lpstr>'Трудоемкость работ'!Заголовки_для_печати</vt:lpstr>
      <vt:lpstr>'Затраты на комплектующие'!Область_печати</vt:lpstr>
      <vt:lpstr>командировка!Область_печати</vt:lpstr>
      <vt:lpstr>Лист2!Область_печати</vt:lpstr>
      <vt:lpstr>'Работы по развертыванию'!Область_печати</vt:lpstr>
      <vt:lpstr>'Трудоемкость работ'!Область_печати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2015-05-06T15:03:41Z</dcterms:modified>
</cp:coreProperties>
</file>