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1029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Лист1!$AB$24:$AB$36</definedName>
    <definedName name="_xlnm.Print_Area" localSheetId="1">Лист2!$A$1:$S$96</definedName>
  </definedNames>
  <calcPr calcId="145621"/>
</workbook>
</file>

<file path=xl/calcChain.xml><?xml version="1.0" encoding="utf-8"?>
<calcChain xmlns="http://schemas.openxmlformats.org/spreadsheetml/2006/main">
  <c r="AD2" i="1" l="1"/>
  <c r="AE2" i="1"/>
  <c r="AF2" i="1"/>
  <c r="AG2" i="1"/>
  <c r="AH2" i="1"/>
  <c r="AI2" i="1"/>
  <c r="AJ2" i="1"/>
  <c r="AK2" i="1"/>
  <c r="AL2" i="1"/>
  <c r="AM2" i="1"/>
  <c r="AN2" i="1"/>
  <c r="AP2" i="1" s="1"/>
  <c r="AO2" i="1"/>
  <c r="AQ2" i="1"/>
  <c r="AD6" i="1"/>
  <c r="AG6" i="1" s="1"/>
  <c r="AE6" i="1"/>
  <c r="AF6" i="1"/>
  <c r="AH6" i="1"/>
  <c r="AJ6" i="1" s="1"/>
  <c r="AI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D7" i="1"/>
  <c r="AG7" i="1" s="1"/>
  <c r="AE7" i="1"/>
  <c r="AF7" i="1"/>
  <c r="AH7" i="1"/>
  <c r="AJ7" i="1" s="1"/>
  <c r="AI7" i="1"/>
  <c r="AK7" i="1"/>
  <c r="AL7" i="1"/>
  <c r="AM7" i="1"/>
  <c r="AN7" i="1"/>
  <c r="AO7" i="1"/>
  <c r="AP7" i="1"/>
  <c r="AQ7" i="1"/>
  <c r="AT7" i="1" s="1"/>
  <c r="AR7" i="1"/>
  <c r="AS7" i="1"/>
  <c r="AU7" i="1"/>
  <c r="AV7" i="1"/>
  <c r="AW7" i="1"/>
  <c r="AX7" i="1"/>
  <c r="AY7" i="1"/>
  <c r="AD8" i="1"/>
  <c r="AG8" i="1" s="1"/>
  <c r="AE8" i="1"/>
  <c r="AF8" i="1"/>
  <c r="AH8" i="1"/>
  <c r="AJ8" i="1" s="1"/>
  <c r="AI8" i="1"/>
  <c r="AK8" i="1"/>
  <c r="AL8" i="1"/>
  <c r="AM8" i="1"/>
  <c r="AN8" i="1"/>
  <c r="AO8" i="1"/>
  <c r="AP8" i="1"/>
  <c r="AQ8" i="1"/>
  <c r="AT8" i="1" s="1"/>
  <c r="AR8" i="1"/>
  <c r="AS8" i="1"/>
  <c r="AU8" i="1"/>
  <c r="AV8" i="1"/>
  <c r="AW8" i="1"/>
  <c r="AX8" i="1"/>
  <c r="AY8" i="1"/>
  <c r="AD9" i="1"/>
  <c r="AG9" i="1" s="1"/>
  <c r="AE9" i="1"/>
  <c r="AF9" i="1"/>
  <c r="AH9" i="1"/>
  <c r="AJ9" i="1" s="1"/>
  <c r="AI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 s="1"/>
  <c r="AD10" i="1"/>
  <c r="AG10" i="1" s="1"/>
  <c r="AE10" i="1"/>
  <c r="AF10" i="1"/>
  <c r="AH10" i="1"/>
  <c r="AJ10" i="1" s="1"/>
  <c r="AI10" i="1"/>
  <c r="AK10" i="1"/>
  <c r="AL10" i="1"/>
  <c r="AM10" i="1"/>
  <c r="AN10" i="1"/>
  <c r="AO10" i="1"/>
  <c r="AP10" i="1"/>
  <c r="AQ10" i="1"/>
  <c r="AT10" i="1" s="1"/>
  <c r="AR10" i="1"/>
  <c r="AS10" i="1"/>
  <c r="AU10" i="1"/>
  <c r="AV10" i="1"/>
  <c r="AW10" i="1"/>
  <c r="AX10" i="1"/>
  <c r="AY10" i="1"/>
  <c r="AD11" i="1"/>
  <c r="AG11" i="1" s="1"/>
  <c r="AE11" i="1"/>
  <c r="AF11" i="1"/>
  <c r="AH11" i="1"/>
  <c r="AJ11" i="1" s="1"/>
  <c r="AI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 s="1"/>
  <c r="AD12" i="1"/>
  <c r="AG12" i="1" s="1"/>
  <c r="AE12" i="1"/>
  <c r="AF12" i="1"/>
  <c r="AH12" i="1"/>
  <c r="AJ12" i="1" s="1"/>
  <c r="AI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Y12" i="1" s="1"/>
  <c r="AW12" i="1"/>
  <c r="AX12" i="1"/>
  <c r="AD13" i="1"/>
  <c r="AG13" i="1" s="1"/>
  <c r="AE13" i="1"/>
  <c r="AF13" i="1"/>
  <c r="AH13" i="1"/>
  <c r="AJ13" i="1" s="1"/>
  <c r="AI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 s="1"/>
  <c r="AD14" i="1"/>
  <c r="AG14" i="1" s="1"/>
  <c r="AE14" i="1"/>
  <c r="AF14" i="1"/>
  <c r="AH14" i="1"/>
  <c r="AJ14" i="1" s="1"/>
  <c r="AI14" i="1"/>
  <c r="AK14" i="1"/>
  <c r="AL14" i="1"/>
  <c r="AM14" i="1"/>
  <c r="AN14" i="1"/>
  <c r="AO14" i="1"/>
  <c r="AP14" i="1"/>
  <c r="AQ14" i="1"/>
  <c r="AR14" i="1"/>
  <c r="AS14" i="1"/>
  <c r="AT14" i="1"/>
  <c r="AU14" i="1"/>
  <c r="AU15" i="1" s="1"/>
  <c r="AY15" i="1" s="1"/>
  <c r="AV14" i="1"/>
  <c r="AY14" i="1" s="1"/>
  <c r="AW14" i="1"/>
  <c r="AX14" i="1"/>
  <c r="AX15" i="1" s="1"/>
  <c r="AD15" i="1"/>
  <c r="AG15" i="1" s="1"/>
  <c r="AE15" i="1"/>
  <c r="AF15" i="1"/>
  <c r="AH15" i="1"/>
  <c r="AI15" i="1"/>
  <c r="AJ15" i="1"/>
  <c r="AK15" i="1"/>
  <c r="AL15" i="1"/>
  <c r="AM15" i="1"/>
  <c r="AN15" i="1"/>
  <c r="AT15" i="1" s="1"/>
  <c r="AO15" i="1"/>
  <c r="AP15" i="1"/>
  <c r="AQ15" i="1"/>
  <c r="AR15" i="1"/>
  <c r="AS15" i="1"/>
  <c r="AV15" i="1"/>
  <c r="AW15" i="1"/>
  <c r="AD16" i="1"/>
  <c r="AG16" i="1" s="1"/>
  <c r="AE16" i="1"/>
  <c r="AF16" i="1"/>
  <c r="AH16" i="1"/>
  <c r="AJ16" i="1" s="1"/>
  <c r="AI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 s="1"/>
  <c r="AD17" i="1"/>
  <c r="AG17" i="1" s="1"/>
  <c r="AE17" i="1"/>
  <c r="AF17" i="1"/>
  <c r="AH17" i="1"/>
  <c r="AJ17" i="1" s="1"/>
  <c r="AI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Y17" i="1" s="1"/>
  <c r="AW17" i="1"/>
  <c r="AX17" i="1"/>
  <c r="AD18" i="1"/>
  <c r="AG18" i="1" s="1"/>
  <c r="AE18" i="1"/>
  <c r="AF18" i="1"/>
  <c r="AH18" i="1"/>
  <c r="AJ18" i="1" s="1"/>
  <c r="AI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 s="1"/>
  <c r="AD20" i="1"/>
  <c r="AG20" i="1" s="1"/>
  <c r="AE20" i="1"/>
  <c r="AF20" i="1"/>
  <c r="AH20" i="1"/>
  <c r="AJ20" i="1" s="1"/>
  <c r="AI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Y20" i="1" s="1"/>
  <c r="AW20" i="1"/>
  <c r="AX20" i="1"/>
  <c r="AD21" i="1"/>
  <c r="AG21" i="1" s="1"/>
  <c r="AE21" i="1"/>
  <c r="AF21" i="1"/>
  <c r="AH21" i="1"/>
  <c r="AJ21" i="1" s="1"/>
  <c r="AI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 s="1"/>
  <c r="AD22" i="1"/>
  <c r="AG22" i="1" s="1"/>
  <c r="AE22" i="1"/>
  <c r="AF22" i="1"/>
  <c r="AH22" i="1"/>
  <c r="AJ22" i="1" s="1"/>
  <c r="AI22" i="1"/>
  <c r="AK22" i="1"/>
  <c r="AL22" i="1"/>
  <c r="AM22" i="1"/>
  <c r="AN22" i="1"/>
  <c r="AO22" i="1"/>
  <c r="AP22" i="1"/>
  <c r="AT22" i="1" s="1"/>
  <c r="AQ22" i="1"/>
  <c r="AR22" i="1"/>
  <c r="AS22" i="1"/>
  <c r="AU22" i="1"/>
  <c r="AV22" i="1"/>
  <c r="AY22" i="1" s="1"/>
  <c r="AW22" i="1"/>
  <c r="AX22" i="1"/>
  <c r="AD26" i="2" l="1"/>
  <c r="AD23" i="2"/>
  <c r="AD22" i="2"/>
  <c r="AC26" i="2"/>
  <c r="AC23" i="2"/>
  <c r="AC22" i="2"/>
  <c r="AE22" i="2" l="1"/>
  <c r="AE23" i="2"/>
  <c r="AE26" i="2"/>
  <c r="Z17" i="2" l="1"/>
  <c r="AE13" i="2"/>
  <c r="AE12" i="2"/>
  <c r="AE11" i="2"/>
  <c r="AE9" i="2"/>
  <c r="AE8" i="2"/>
  <c r="AE7" i="2"/>
  <c r="AD13" i="2"/>
  <c r="AD12" i="2"/>
  <c r="AD11" i="2"/>
  <c r="AD8" i="2"/>
  <c r="AD7" i="2"/>
  <c r="AC13" i="2"/>
  <c r="AC12" i="2"/>
  <c r="AC11" i="2"/>
  <c r="AC9" i="2"/>
  <c r="AC8" i="2"/>
  <c r="AC7" i="2"/>
  <c r="Z13" i="2"/>
  <c r="Z12" i="2"/>
  <c r="AB11" i="2"/>
  <c r="Z11" i="2"/>
  <c r="Z9" i="2"/>
  <c r="Z8" i="2"/>
  <c r="Z7" i="2"/>
  <c r="AB9" i="2" l="1"/>
  <c r="AD9" i="2"/>
  <c r="AB22" i="2"/>
  <c r="AB13" i="2"/>
  <c r="AB8" i="2"/>
  <c r="AD10" i="2"/>
  <c r="AB23" i="2"/>
  <c r="AB26" i="2"/>
  <c r="AC10" i="2"/>
  <c r="AC14" i="2" s="1"/>
  <c r="AC21" i="2" s="1"/>
  <c r="AB12" i="2"/>
  <c r="AB7" i="2"/>
  <c r="Z16" i="2" l="1"/>
  <c r="Z10" i="2"/>
  <c r="Z14" i="2" s="1"/>
  <c r="AD14" i="2"/>
  <c r="AD21" i="2" s="1"/>
  <c r="AE10" i="2"/>
  <c r="AE14" i="2" s="1"/>
  <c r="AE21" i="2" s="1"/>
  <c r="AB10" i="2"/>
  <c r="AB14" i="2" s="1"/>
  <c r="AB21" i="2" s="1"/>
</calcChain>
</file>

<file path=xl/sharedStrings.xml><?xml version="1.0" encoding="utf-8"?>
<sst xmlns="http://schemas.openxmlformats.org/spreadsheetml/2006/main" count="1828" uniqueCount="526">
  <si>
    <t xml:space="preserve">Вид оборудования  </t>
  </si>
  <si>
    <t xml:space="preserve">Класс оборудования  </t>
  </si>
  <si>
    <t xml:space="preserve">Вид объекта  </t>
  </si>
  <si>
    <t xml:space="preserve">Название тех.места  </t>
  </si>
  <si>
    <t xml:space="preserve">Название тех.объекта  </t>
  </si>
  <si>
    <t xml:space="preserve">ЕО  </t>
  </si>
  <si>
    <t xml:space="preserve">ТехнМесто  </t>
  </si>
  <si>
    <t xml:space="preserve">Выявленный дефект  </t>
  </si>
  <si>
    <t>Дополнительная информация</t>
  </si>
  <si>
    <t>Причина дефекта</t>
  </si>
  <si>
    <t xml:space="preserve">Категория критичности  </t>
  </si>
  <si>
    <t xml:space="preserve">Сопряжено с потерей энергоресурсов  </t>
  </si>
  <si>
    <t xml:space="preserve">Плановая дата начала ремонта  </t>
  </si>
  <si>
    <t xml:space="preserve">Плановая дата окончания ремонта  </t>
  </si>
  <si>
    <t xml:space="preserve">Дата факт устранения  </t>
  </si>
  <si>
    <t xml:space="preserve">Цех  </t>
  </si>
  <si>
    <t xml:space="preserve">Стадия ремонта  </t>
  </si>
  <si>
    <t xml:space="preserve">Ответственный_x000D_
  </t>
  </si>
  <si>
    <t xml:space="preserve">Кем создано_x000D_
  </t>
  </si>
  <si>
    <t>Механика</t>
  </si>
  <si>
    <t>Мех: Трубопроводы</t>
  </si>
  <si>
    <t>Канализация</t>
  </si>
  <si>
    <t>МОПС ПК Труб</t>
  </si>
  <si>
    <t>Пром. канал.от ЭЛОУ-АВТ-6</t>
  </si>
  <si>
    <t>S-037-016-0001</t>
  </si>
  <si>
    <t>Другое</t>
  </si>
  <si>
    <t>Разрущение плиты перекрытия и стеновых колец на колодцах ПК-209, ПК-210, ПК-211._x000D_
Колодцы ПК-209, ПК-210, ПК-211 засыпаны строительным мусором.​</t>
  </si>
  <si>
    <t>По колодцам обозначенными координатными табличками неоднократно проехала тяжёлая техника с грузом, что привело к провалу бетонной плиты перекрытия и засыпкой колодцев строительным мусором.​</t>
  </si>
  <si>
    <t>Средний</t>
  </si>
  <si>
    <t>Нет</t>
  </si>
  <si>
    <t>01.04.2015</t>
  </si>
  <si>
    <t>16.04.2015</t>
  </si>
  <si>
    <t>15.04.2015</t>
  </si>
  <si>
    <t>Производство №3:Цех №15:Участок по обслуживанию и ремонту промышленной канализации</t>
  </si>
  <si>
    <t>Выполнено</t>
  </si>
  <si>
    <t>Bulychev, Vladimir P.</t>
  </si>
  <si>
    <t>Мех: Котлы</t>
  </si>
  <si>
    <t>Котел</t>
  </si>
  <si>
    <t>ЭЛОУ-АВТ-6 КУ КУ-2</t>
  </si>
  <si>
    <t>Пропуск экономайзера</t>
  </si>
  <si>
    <t>Да</t>
  </si>
  <si>
    <t>08.04.2015</t>
  </si>
  <si>
    <t>Moshkin, Dmitry A.</t>
  </si>
  <si>
    <t>Мех: Насосы</t>
  </si>
  <si>
    <t>Насос центр. (динам)</t>
  </si>
  <si>
    <t>ЭСННП ОУ об-ты Н-5/1</t>
  </si>
  <si>
    <t>Насос НКВ - 600/125</t>
  </si>
  <si>
    <t>S-018-001-0006</t>
  </si>
  <si>
    <t>Разгерметизация</t>
  </si>
  <si>
    <t>Лопнуло смотровое стекло на бочке (контроля состояния торцевого уплотнения)​</t>
  </si>
  <si>
    <t>03.04.2015</t>
  </si>
  <si>
    <t>02.04.2015</t>
  </si>
  <si>
    <t>Производство №4:Цех №7:Эстакада слива-налива нефти и нефтепродуктов</t>
  </si>
  <si>
    <t>Kudryashov, Dmitry S.</t>
  </si>
  <si>
    <t>Мех: Прочее машинное оборуд.</t>
  </si>
  <si>
    <t>Гидравлический агрег</t>
  </si>
  <si>
    <t>ЭСННП ОУ об-ты Налив.ус№11</t>
  </si>
  <si>
    <t>Налив.устройство УНЖ6-100 АС-06</t>
  </si>
  <si>
    <t>S-018-001-0060</t>
  </si>
  <si>
    <t>Неисправность механизма</t>
  </si>
  <si>
    <t>Наливное устройство TERRA-KOMPLEX DN 100-30-047L Путь №1​</t>
  </si>
  <si>
    <t>Трещина в месте крепления кронштейна пневмо-привода​</t>
  </si>
  <si>
    <t>30.03.2015</t>
  </si>
  <si>
    <t>31.03.2015</t>
  </si>
  <si>
    <t>ЭСННП ОУ об-ты Налив.ус№18</t>
  </si>
  <si>
    <t>S-018-001-0067</t>
  </si>
  <si>
    <t>Наливное устройство TERRA-KOMPLEX DN 100-30-47L​</t>
  </si>
  <si>
    <t>Перетерся тросик пульта управления ​</t>
  </si>
  <si>
    <t>26.03.2015</t>
  </si>
  <si>
    <t>27.03.2015</t>
  </si>
  <si>
    <t>Трубопр пара и гор.в</t>
  </si>
  <si>
    <t>ПГП ОУ об-ты Труб</t>
  </si>
  <si>
    <t>Магистральный паропровод № 2</t>
  </si>
  <si>
    <t>S-030-003-0004</t>
  </si>
  <si>
    <t>Пропуск</t>
  </si>
  <si>
    <t>замена прокладки во фланец запорной арматуры ДУ-400 и ДУ-300​</t>
  </si>
  <si>
    <t>Физический износ ​</t>
  </si>
  <si>
    <t>Производство №3:Цех №11:Участок парогазопроводов и азотная станция</t>
  </si>
  <si>
    <t>Belozub, Andrey V.</t>
  </si>
  <si>
    <t>Промканал.от ГПП-2 6кв.</t>
  </si>
  <si>
    <t>Разрушение стенового кольца и бетонной плиты перекрытия колодца ПК-206​</t>
  </si>
  <si>
    <t>Агрессивная среда​</t>
  </si>
  <si>
    <t>Низкий</t>
  </si>
  <si>
    <t>25.03.2015</t>
  </si>
  <si>
    <t>БОСВ ОУ об-ты Труб</t>
  </si>
  <si>
    <t>Напорный Тр-д сырого осадка К23</t>
  </si>
  <si>
    <t>S-036-001-0166</t>
  </si>
  <si>
    <t>Коррозия​</t>
  </si>
  <si>
    <t>23.02.2015</t>
  </si>
  <si>
    <t>27.02.2015</t>
  </si>
  <si>
    <t>24.02.2015</t>
  </si>
  <si>
    <t>Производство №3:Цех №15:Установка биологической очистки сточных вод</t>
  </si>
  <si>
    <t>Korolev, Alexey G.</t>
  </si>
  <si>
    <t>Мех: Системы вентиляции</t>
  </si>
  <si>
    <t>Вентилятор общеоб.</t>
  </si>
  <si>
    <t>ТРП Ц07 Товарн.насосная ПУ-1</t>
  </si>
  <si>
    <t>Вентилятор осевой ЭВР-5</t>
  </si>
  <si>
    <t>S-020-001-0016</t>
  </si>
  <si>
    <t>Посторонний шум.​</t>
  </si>
  <si>
    <t>Нарушение балансировки, износ подшипников.Попадание инородного тела.​</t>
  </si>
  <si>
    <t>24.03.2015</t>
  </si>
  <si>
    <t>Производство №4:Участок резервуарный парк - паспортной продукции</t>
  </si>
  <si>
    <t>Larionov Vitaliy A.</t>
  </si>
  <si>
    <t>Трубопр технологич</t>
  </si>
  <si>
    <t>ТРП Ц01 ОУ об-ты Труб</t>
  </si>
  <si>
    <t>Тр-д приема н/п с эст.цеха№7 в РВС-26-29</t>
  </si>
  <si>
    <t>На зкл № 53 незначительный пропуск н/п по крышке. ​</t>
  </si>
  <si>
    <t>Изменение атмосферных температур, недостаточная обтяжка крышка-корпус. ​</t>
  </si>
  <si>
    <t>20.03.2015</t>
  </si>
  <si>
    <t>ТРП Ц07 Сырьев.насосная Н-1</t>
  </si>
  <si>
    <t>Установка обратного клапана с ревизии, Ду150 Ру 40.​</t>
  </si>
  <si>
    <t>Не герметичность затвора клапана.​</t>
  </si>
  <si>
    <t>ТРП Ц07 Сырьев.насосная Н-7</t>
  </si>
  <si>
    <t>Замена обратного клапана Ду 150 Ру 40, снятие заглушек.​</t>
  </si>
  <si>
    <t>19.03.2015</t>
  </si>
  <si>
    <t>ХВО ОУ об-ты Н-40/1</t>
  </si>
  <si>
    <t>Насос тип Х Х90/33ЛС</t>
  </si>
  <si>
    <t>Трещина в корпусе насоса​</t>
  </si>
  <si>
    <t>18.03.2015</t>
  </si>
  <si>
    <t>Производство №3:Цех №11:Установка химводоочистка</t>
  </si>
  <si>
    <t>Dugin, Alexander N.</t>
  </si>
  <si>
    <t>ХВО ОУ об-ты Труб</t>
  </si>
  <si>
    <t>Т/провод конденсата пара ХВО</t>
  </si>
  <si>
    <t>S-025-001-0057</t>
  </si>
  <si>
    <t>Установлены два хомута. Требуется замена участка трубопровода​</t>
  </si>
  <si>
    <t>Коррозия от действия пара​</t>
  </si>
  <si>
    <t>ЭСННП ОУ об-ты Налив.ус№9</t>
  </si>
  <si>
    <t>S-018-001-0058</t>
  </si>
  <si>
    <t>Наливное устройство TERRA-KOMPLEX DN 100-30-47L_x000D_
Путь № 2​</t>
  </si>
  <si>
    <t>Пропуск воздуха в редуктор пневмо-привода​</t>
  </si>
  <si>
    <t>16.03.2015</t>
  </si>
  <si>
    <t>17.03.2015</t>
  </si>
  <si>
    <t>МОПС МОПС-1 Труб</t>
  </si>
  <si>
    <t>Сети промливневых стоков</t>
  </si>
  <si>
    <t>S-037-001-0048</t>
  </si>
  <si>
    <t>Сдвинуто и частично разрушено бетонная крышка на колодце ПК-28​</t>
  </si>
  <si>
    <t>Не соответствующий контроль ответственных за уборку снега с применением  транспортных средств​</t>
  </si>
  <si>
    <t>Засорённость трубопровода канализации​</t>
  </si>
  <si>
    <t xml:space="preserve"> частичное обрушение стеновых колец (красный кирпич). Песок с парофином. ​</t>
  </si>
  <si>
    <t>ЭСННП ОУ об-ты Налив.ус№12</t>
  </si>
  <si>
    <t>S-018-001-0061</t>
  </si>
  <si>
    <t>Наливное устройство TERRA-KOMPLTX DN 100-30-047L путь №1​</t>
  </si>
  <si>
    <t>Люфт в креплении кронштейне пневмо-привода​</t>
  </si>
  <si>
    <t>Высокий</t>
  </si>
  <si>
    <t>ЭСННП ОУ об-ты Налив.ус№8</t>
  </si>
  <si>
    <t>S-018-001-0057</t>
  </si>
  <si>
    <t>Наливное устройство_x000D_
TERRA-KOMPLEX_x000D_
DN 100-30-047L​</t>
  </si>
  <si>
    <t>Надломлен кронштейн_x000D_
пневмо-привода​</t>
  </si>
  <si>
    <t>12.03.2015</t>
  </si>
  <si>
    <t>13.03.2015</t>
  </si>
  <si>
    <t>Самотечно-напорный Тр-д</t>
  </si>
  <si>
    <t>11.03.2015</t>
  </si>
  <si>
    <t xml:space="preserve">Корроизя </t>
  </si>
  <si>
    <t>ХВО ОУ об-ты Н-43/1</t>
  </si>
  <si>
    <t>Насос тип КМ КМ45/55</t>
  </si>
  <si>
    <t>Хомут на выкидном трубопроводе насоса. Требуется замена участка трубопровода​</t>
  </si>
  <si>
    <t>Наливное устройство TERRA-KOMPLEX_x000D_
DN 100-30-047L​</t>
  </si>
  <si>
    <t>Нарушено крепление кронштейна пневмо-привода​</t>
  </si>
  <si>
    <t>10.03.2015</t>
  </si>
  <si>
    <t>ЭСННП ОУ об-ты Налив.ус№10</t>
  </si>
  <si>
    <t>S-018-001-0059</t>
  </si>
  <si>
    <t>Трещина в кронштейне пневмо-привода_x000D_
 ​</t>
  </si>
  <si>
    <t>Мех: Аппараты и сосуды</t>
  </si>
  <si>
    <t>Емкость</t>
  </si>
  <si>
    <t>ХВО ОУ об-ты Ф-51</t>
  </si>
  <si>
    <t>Фильтр ионообменный параллельный</t>
  </si>
  <si>
    <t>S-025-001-0033</t>
  </si>
  <si>
    <t>Хомут на воздушном трубопроводе фильтра. Необходима замена участка трубопровода​</t>
  </si>
  <si>
    <t>ХВО ОУ об-ты Ф-50</t>
  </si>
  <si>
    <t>Фильтр механический вертикальный</t>
  </si>
  <si>
    <t>S-025-001-0030</t>
  </si>
  <si>
    <t>Хомуты на воздушном трубопроводе фильтра. Необходима замена участка трубопровода​</t>
  </si>
  <si>
    <t>06.03.2015</t>
  </si>
  <si>
    <t>Пропуск фланцевого соединения крышки задвижки А52​</t>
  </si>
  <si>
    <t>Разрушение прокладочного материала​</t>
  </si>
  <si>
    <t>Производство №4:Цех №8:Резервуарный парк</t>
  </si>
  <si>
    <t>Kozirev Anatoliy A.</t>
  </si>
  <si>
    <t>ЭСННП ОУ об-ты П-4</t>
  </si>
  <si>
    <t>Вентилятор осевой ВЦ4-75н5</t>
  </si>
  <si>
    <t>S-018-001-0029</t>
  </si>
  <si>
    <t>Калорифер​</t>
  </si>
  <si>
    <t>05.03.2015</t>
  </si>
  <si>
    <t>09.03.2015</t>
  </si>
  <si>
    <t>Эл: Электродвигателиреват.</t>
  </si>
  <si>
    <t>Эл.двиг. Асинхранные</t>
  </si>
  <si>
    <t>ЭЛОУ-АВТ-6 АТ Н-3/2</t>
  </si>
  <si>
    <t>Электродвигатель 1BAO-450LC-2У2,5-T</t>
  </si>
  <si>
    <t>​Шум подшипника</t>
  </si>
  <si>
    <t>04.03.2015</t>
  </si>
  <si>
    <t>Производство №1:ЭЛОУ-АВТ-6</t>
  </si>
  <si>
    <t>ХВО ОУ об-ты Ф-4/2</t>
  </si>
  <si>
    <t>Установлен хомут на выходном трубопроводе фильтра. Необходима замена участка трубопровода​</t>
  </si>
  <si>
    <t>ХВО ОУ об-ты Ф-4/1</t>
  </si>
  <si>
    <t>На выходном трубопроводе фильтра установлен хомут. Необходима замена участка трубопровода​</t>
  </si>
  <si>
    <t>ЭСННП ОУ об-ты Налив.ус№15</t>
  </si>
  <si>
    <t>S-018-001-0064</t>
  </si>
  <si>
    <t>Наливное устройство TERRA-KOMPLEX_x000D_
DN 100-30-047L ​</t>
  </si>
  <si>
    <t>Сломан кронштейн пневмо-привода​</t>
  </si>
  <si>
    <t>03.03.2015</t>
  </si>
  <si>
    <t>ХВО ОУ об-ты Ф-5/2</t>
  </si>
  <si>
    <t>Фильтр натрий-катионитовый</t>
  </si>
  <si>
    <t>S-025-001-0036</t>
  </si>
  <si>
    <t>Необходима замена штуцера фильтра​</t>
  </si>
  <si>
    <t>Насос погружной</t>
  </si>
  <si>
    <t>ЭСННП ОУ об-ты Н-9</t>
  </si>
  <si>
    <t>Насос НВЕ - 50/50 3,7 - В - 55</t>
  </si>
  <si>
    <t>S-018-001-0012</t>
  </si>
  <si>
    <t>02.03.2015</t>
  </si>
  <si>
    <t>Коррозия трубопровода​</t>
  </si>
  <si>
    <t>Dashkin, Dmitriy A.</t>
  </si>
  <si>
    <t>Теплообменник</t>
  </si>
  <si>
    <t>МОПС ОУ об-ты 4</t>
  </si>
  <si>
    <t>Теплообменник подогрева нефтешлама</t>
  </si>
  <si>
    <t>S-037-001-0061</t>
  </si>
  <si>
    <t>Пропуск в крышку ​</t>
  </si>
  <si>
    <t>Производство №3:Цех №15:Установка механической очистки промышленных стоков</t>
  </si>
  <si>
    <t>Maslov, Alexander V.</t>
  </si>
  <si>
    <t>ТРП Ц07 Сырьев.насосная Н-4</t>
  </si>
  <si>
    <t>Замена т/у с обвязкой охлаждения, ревизия обратного клапана Ду 150Ру 40​</t>
  </si>
  <si>
    <t>Модернизация насоса. Ревизия обратного клапана.​</t>
  </si>
  <si>
    <t>Висб-г Стаб.бензина Н-103/2</t>
  </si>
  <si>
    <t>Насос ТКА-63/125бС</t>
  </si>
  <si>
    <t>​Шум в улитке</t>
  </si>
  <si>
    <t>​Откручено рабочее колесо</t>
  </si>
  <si>
    <t>20.02.2015</t>
  </si>
  <si>
    <t>Производство №1:Висбрекинг</t>
  </si>
  <si>
    <t>Шум в улитке насоса</t>
  </si>
  <si>
    <t>Электрика</t>
  </si>
  <si>
    <t>Эл.двиг. Синхронные</t>
  </si>
  <si>
    <t>посторонние шумы со стороны заднего подшипника эл.двигателя Н-210В​</t>
  </si>
  <si>
    <t>Производство №2:Установка Изомеризации</t>
  </si>
  <si>
    <t>Murachuev, Ismail M.</t>
  </si>
  <si>
    <t>ЭСННП ОУ об-ты Налив.ус№20</t>
  </si>
  <si>
    <t>S-018-001-0069</t>
  </si>
  <si>
    <t>Наливное устройство TERRA-KOMPLEX DN100 30-047L_x000D_
позиция №30 путь №2_x000D_
​</t>
  </si>
  <si>
    <t>Люфт в креплении кронштейна пневмо-привода​</t>
  </si>
  <si>
    <t>ЭСННП ОУ об-ты П-1а</t>
  </si>
  <si>
    <t>Вентилятор осевой ВЦ4-70н3,2</t>
  </si>
  <si>
    <t>S-018-001-0025</t>
  </si>
  <si>
    <t>Ревизия​</t>
  </si>
  <si>
    <t>Плановый ремонт​</t>
  </si>
  <si>
    <t>10.04.2015</t>
  </si>
  <si>
    <t>Не гермитичное уплотнение затвора обратного клапана Ду 150  Ру 16.​</t>
  </si>
  <si>
    <t>Механический износ.​</t>
  </si>
  <si>
    <t>ХВО ОУ об-ты Ф-11</t>
  </si>
  <si>
    <t>Фильтр водород-катионитовый</t>
  </si>
  <si>
    <t>S-025-001-0041</t>
  </si>
  <si>
    <t>Установлен хомут на входном трубопроводе фильтра. требуется замена трубопровода​</t>
  </si>
  <si>
    <t>ЛЧ 35-11/600 Стабилизация Н-611б</t>
  </si>
  <si>
    <t>Насос НК-65/35-125</t>
  </si>
  <si>
    <t>S-013-004-0005</t>
  </si>
  <si>
    <t>Пропуск торцевого уплотнения.​</t>
  </si>
  <si>
    <t>25.02.2015</t>
  </si>
  <si>
    <t>Производство №2:Установка Лч-35-11-600</t>
  </si>
  <si>
    <t>Gudkov, Dmitry A.</t>
  </si>
  <si>
    <t>ЭСННП ОУ об-ты Налив.ус№14</t>
  </si>
  <si>
    <t>Наливное устройство TERRA-KOMPLEX DN10 30-047L_x000D_
Позиция № 14 путь № 2​</t>
  </si>
  <si>
    <t>Сломан кронштейн пневмо-привода_x000D_
наливного устройства_x000D_
​</t>
  </si>
  <si>
    <t>ТРП Ц07 Сырьев.насосная Н-3</t>
  </si>
  <si>
    <t>Насос НКВ- 360/80</t>
  </si>
  <si>
    <t>Замена т/у с обвязкой охлаждения, ревизия обратного клапана Ду 150 Ру 40.​</t>
  </si>
  <si>
    <t>Модернизация насоса. Нарушена плотность затвора клапана.​</t>
  </si>
  <si>
    <t>26.02.2015</t>
  </si>
  <si>
    <t>ТРП Ц07 Товарн.насосная Н-1</t>
  </si>
  <si>
    <t>Электродвигатель 2В280S2У2,5</t>
  </si>
  <si>
    <t>Вибрация</t>
  </si>
  <si>
    <t>Опорный узел ротора.​</t>
  </si>
  <si>
    <t>Механический износ подшипников.​</t>
  </si>
  <si>
    <t>18.02.2015</t>
  </si>
  <si>
    <t>ЛЧ 35-11/600 ГО Н-601б</t>
  </si>
  <si>
    <t>Электродвигатель ВАО-500L-2У2,5</t>
  </si>
  <si>
    <t>S-013-001-0025</t>
  </si>
  <si>
    <t>Износ подшипника.​</t>
  </si>
  <si>
    <t>ЛЧ 35-11/600 КУ Н-631б</t>
  </si>
  <si>
    <t>Насос ЦНСГ 38-176</t>
  </si>
  <si>
    <t>S-013-005-0001</t>
  </si>
  <si>
    <t>Износ втулок пальцев полумуфты.​</t>
  </si>
  <si>
    <t>19.02.2015</t>
  </si>
  <si>
    <t>Водопровод</t>
  </si>
  <si>
    <t>МОПС КХД Труб</t>
  </si>
  <si>
    <t>Запорная арматура негерметична​</t>
  </si>
  <si>
    <t>Износ запорного элемента​</t>
  </si>
  <si>
    <t>12.02.2015</t>
  </si>
  <si>
    <t>Пропуск в околошовную зону на трубопроводе по входу в ХВ-206/2​</t>
  </si>
  <si>
    <t>Дефект трубопровода​</t>
  </si>
  <si>
    <t>15.02.2015</t>
  </si>
  <si>
    <t>Kalinkin, Andrey N.</t>
  </si>
  <si>
    <t>Выход из строя эл/оборудования, КЛ, ВЛ</t>
  </si>
  <si>
    <t>Не работает эл.двигатель привода задвижки А23​</t>
  </si>
  <si>
    <t>17.02.2015</t>
  </si>
  <si>
    <t>ТРП Ц07 Сырьев.насосная Н-2</t>
  </si>
  <si>
    <t>Нарушена плотность затвора обратного клапана Ду 150 Ру40​</t>
  </si>
  <si>
    <t>Нарушен осевой зазор, повреждение уплотняющих полей затвора. ​</t>
  </si>
  <si>
    <t>МОПС МОПС-2 Н-5</t>
  </si>
  <si>
    <t>Насос Amarex KRTK 40–250/122X1G1–196</t>
  </si>
  <si>
    <t>S-037-004-0001</t>
  </si>
  <si>
    <t>Забито рабочее колесо​</t>
  </si>
  <si>
    <t>11.02.2015</t>
  </si>
  <si>
    <t>Makhin, Igor V.</t>
  </si>
  <si>
    <t>нефтепродукт от резервуарного парка до н</t>
  </si>
  <si>
    <t>Упали плашки на задвижках №32и №36 на приеме Н-8 и Н-9 сепараторная насосная​</t>
  </si>
  <si>
    <t xml:space="preserve"> _x000D_
Не переводится на ручной режим работы редуктор задвижки А23​_x000D_
​</t>
  </si>
  <si>
    <t>Обледенение механизма переключения​</t>
  </si>
  <si>
    <t>10.02.2015</t>
  </si>
  <si>
    <t>Matasov, Sergey A.</t>
  </si>
  <si>
    <t>ТРП Ц07 ОУ об-ты Труб</t>
  </si>
  <si>
    <t>Прием МТБЭ (БВД) в в/цистерны и выкид Е</t>
  </si>
  <si>
    <t>Э67 ЗКЛ Ду250 Ру16 - прокладка​</t>
  </si>
  <si>
    <t>Замена задвижки №564 на трубопроводе пожаротушения 2 группы производства №4​</t>
  </si>
  <si>
    <t>09.02.2015</t>
  </si>
  <si>
    <t>Производство №3:Цех №11:Участок водоснабжения</t>
  </si>
  <si>
    <t>Krasnyakov, Alexey L.</t>
  </si>
  <si>
    <t>Труба ДТ(не кондиции) №31. Свитч на отводе и катушке трубопровода.​</t>
  </si>
  <si>
    <t>Коррозионный износ..​</t>
  </si>
  <si>
    <t>ТРП Ц07 Товарн.насосная Н-7</t>
  </si>
  <si>
    <t>Насос НК- 210/200</t>
  </si>
  <si>
    <t>08.02.2015</t>
  </si>
  <si>
    <t>Не переводится на ручной режим работы редуктор задвижки А67​</t>
  </si>
  <si>
    <t>Не работает задвижка А-67​</t>
  </si>
  <si>
    <t>07.02.2015</t>
  </si>
  <si>
    <t>Fedorova, Galina V.</t>
  </si>
  <si>
    <t>Пропуск торцового уплотнения насоса Н-3​</t>
  </si>
  <si>
    <t>05.02.2015</t>
  </si>
  <si>
    <t>Производство №4:Эстакада слива-налива нефти и нефтепродуктов</t>
  </si>
  <si>
    <t>Lapshov, Dmitry S.</t>
  </si>
  <si>
    <t>Пожарный гидрант ВПГ-38​</t>
  </si>
  <si>
    <t>Трещина в запорном клапане пожарного гидранта​</t>
  </si>
  <si>
    <t>Мех: Здания и сооружения</t>
  </si>
  <si>
    <t>Эстакада</t>
  </si>
  <si>
    <t>ЭСННП ОУ об-ты Эст</t>
  </si>
  <si>
    <t>Эстакада налива темных нефтепродуктов</t>
  </si>
  <si>
    <t>S-018-001-0089</t>
  </si>
  <si>
    <t>Отсутствует крепление штанги поручня переходного мостика​</t>
  </si>
  <si>
    <t>ТРП Ц07 Сырьев.насосная ВУ-2</t>
  </si>
  <si>
    <t>Вентилятор осевой ЦАГИ-6</t>
  </si>
  <si>
    <t>Механический износ в процессе эксплуатации.​</t>
  </si>
  <si>
    <t>Замена торцового уплотнения, монтаж новой обвязки охлаждения т/у,ремонт обратного клапана.​</t>
  </si>
  <si>
    <t>Модернизация. Сбои в работе обратного клапана.​</t>
  </si>
  <si>
    <t>​не значительный пропуск водовода от БОВ-4 на ХВО, Лч-35-11-600, КЦА, ВК</t>
  </si>
  <si>
    <t>​коррозионный износ</t>
  </si>
  <si>
    <t>12.04.2015</t>
  </si>
  <si>
    <t>23.04.2015</t>
  </si>
  <si>
    <t>Производство №3:Цех №11:Участок оборотного водоснабжения и береговая насосная станция</t>
  </si>
  <si>
    <t>Выполняется</t>
  </si>
  <si>
    <t>Balashov, Alexander V.</t>
  </si>
  <si>
    <t>S-020-002-0001</t>
  </si>
  <si>
    <t>Замена торцового уплотнения, монтаж новой обвязки охлаждения.​</t>
  </si>
  <si>
    <t>Модернизация​</t>
  </si>
  <si>
    <t>04.02.2015</t>
  </si>
  <si>
    <t>Неисправна калитка ограждения эстакады​</t>
  </si>
  <si>
    <t>Нарушена целостность сварного шва​</t>
  </si>
  <si>
    <t>03.02.2015</t>
  </si>
  <si>
    <t>Волжская насосная станция, насос Н-2​</t>
  </si>
  <si>
    <t>Не значительное повышение вибрации, требуется центровка полумуфт насосного агрегата.​</t>
  </si>
  <si>
    <t>Golovinov, Andrey B.</t>
  </si>
  <si>
    <t>Пропуск в сальниковом уплотнении задвижки №3,КНС№1.​</t>
  </si>
  <si>
    <t>Производство №3:Цех №15:Участок очистных сооружений</t>
  </si>
  <si>
    <t>CORP\aatrifonov2</t>
  </si>
  <si>
    <t>Дренажный трубопровод ДНС-4​</t>
  </si>
  <si>
    <t>Semyonov, Valery N.</t>
  </si>
  <si>
    <t>Пароутечка через грундбуксу у задвижки D 150 мм у РВС 75​</t>
  </si>
  <si>
    <t>Износ сальникового уплотнения​</t>
  </si>
  <si>
    <t>27.01.2015</t>
  </si>
  <si>
    <t>Ugolnikova, Svetlana Y.</t>
  </si>
  <si>
    <t>Мех: Резервуары</t>
  </si>
  <si>
    <t>РВС</t>
  </si>
  <si>
    <t>Незначительный пропуск н/продукта через фланцевое соединение из под крышки у задвижки №75з​</t>
  </si>
  <si>
    <t>Крепеж крышки затянут с недостаточным моментом.​</t>
  </si>
  <si>
    <t>01.02.2015</t>
  </si>
  <si>
    <t>29.01.2015</t>
  </si>
  <si>
    <t>Эл: Электрооборуд-е аппаратов</t>
  </si>
  <si>
    <t>ЭлОборАпп ЭлектДегид</t>
  </si>
  <si>
    <t>Отказ КИП, ремонт / настройка на месте</t>
  </si>
  <si>
    <t>Массомер Е-5 не считает​</t>
  </si>
  <si>
    <t>25.01.2015</t>
  </si>
  <si>
    <t>24.01.2015</t>
  </si>
  <si>
    <t>Сооружение</t>
  </si>
  <si>
    <t>Переходной мостик через дизельный трубопровод у РВС№72​</t>
  </si>
  <si>
    <t>Нет опоры под стойками лестницы​</t>
  </si>
  <si>
    <t>22.01.2015</t>
  </si>
  <si>
    <t>26.01.2015</t>
  </si>
  <si>
    <t>Tarasova, Ludmila V.</t>
  </si>
  <si>
    <t>Kosolapov, Victor Y.</t>
  </si>
  <si>
    <t>Пропуск на выходе пара с каларифера П-1 сепараторная насоная​</t>
  </si>
  <si>
    <t>Коррозионный износ​</t>
  </si>
  <si>
    <t>21.01.2015</t>
  </si>
  <si>
    <t>выкид от насосов Н-1,2 насосной нефтешла</t>
  </si>
  <si>
    <t>Пароутечка в пароспутнике​</t>
  </si>
  <si>
    <t>Врайоне задвижки №304 ДТ зимнее оторвана скользящая опора.​</t>
  </si>
  <si>
    <t>28.01.2015</t>
  </si>
  <si>
    <t>УПЭС БПЭС Н-4</t>
  </si>
  <si>
    <t>Насос КС-12-110</t>
  </si>
  <si>
    <t>19.01.2015</t>
  </si>
  <si>
    <t>Производство №1:Установки элементарной серы и РХ-2</t>
  </si>
  <si>
    <t>Kuzmin, Alexey Y.</t>
  </si>
  <si>
    <t>Центрифуга</t>
  </si>
  <si>
    <t>МОПС КХД S-2206</t>
  </si>
  <si>
    <t>Шнек-ая центриф.в закр.корпусеDO54-363SB</t>
  </si>
  <si>
    <t>S-037-002-0039</t>
  </si>
  <si>
    <t>Yakimov, Vladimir E.</t>
  </si>
  <si>
    <t>Износ уплотнения.​</t>
  </si>
  <si>
    <t>Висб-г Висб.гудрон Н-102/1</t>
  </si>
  <si>
    <t>Насос HZZ 102-321</t>
  </si>
  <si>
    <t>Забит  фильтр на приеме насоса​</t>
  </si>
  <si>
    <t>20.01.2015</t>
  </si>
  <si>
    <t>УПЭС БРМ Н-129/2</t>
  </si>
  <si>
    <t>Насос ЦГ 12,5/50</t>
  </si>
  <si>
    <t>Износ упорной пяты.​</t>
  </si>
  <si>
    <t>Загрязнение Е-140​</t>
  </si>
  <si>
    <t>18.01.2015</t>
  </si>
  <si>
    <t>Выход из строя заднего подшипника насоса Н-203 А.​</t>
  </si>
  <si>
    <t>износ​</t>
  </si>
  <si>
    <t>15.01.2015</t>
  </si>
  <si>
    <t>16.01.2015</t>
  </si>
  <si>
    <t>Выход из строя заднего подшипника насоса Н-208 А.​</t>
  </si>
  <si>
    <t>Износ ​</t>
  </si>
  <si>
    <t>14.01.2015</t>
  </si>
  <si>
    <t>Выход из строя заднего подшипника эл. двигателя Н-208 а​</t>
  </si>
  <si>
    <t>Висб-г Висб.гудрон Н-102/2</t>
  </si>
  <si>
    <t>Перепад давления на фильтре приёмного трубопровода​</t>
  </si>
  <si>
    <t>Загрязнёность фильтрующего элемента​</t>
  </si>
  <si>
    <t>13.01.2015</t>
  </si>
  <si>
    <t>ЭЛОУ-АВТ-6 АТ H-21/2</t>
  </si>
  <si>
    <t>Насос HGUR-200/4/64B-621</t>
  </si>
  <si>
    <t>Не герметичность торцевого уплотнения​</t>
  </si>
  <si>
    <t>Износ трущейся пары​</t>
  </si>
  <si>
    <t>12.01.2015</t>
  </si>
  <si>
    <t>ЛЧ 35-11/600 КУ Н-631а</t>
  </si>
  <si>
    <t>Превышение норм по виброускорению на задней подшипниковой опоре. При замене подшипника обнаружена сильная язвенная коррозия вала.​</t>
  </si>
  <si>
    <t>Пром. канал.то ТРП цеха №1</t>
  </si>
  <si>
    <t>При уборке снега механизированным способом була сдвинута плита перекрытия колодца ПК-302​</t>
  </si>
  <si>
    <t>БОВ-4 ОУ об-ты Труб</t>
  </si>
  <si>
    <t>Сеть горячей воды 1-й системы</t>
  </si>
  <si>
    <t>S-029-005-0002</t>
  </si>
  <si>
    <t>​пропуск т/ф воды в воздушник</t>
  </si>
  <si>
    <t>​разгерметизация</t>
  </si>
  <si>
    <t>28.12.2014</t>
  </si>
  <si>
    <t>24.04.2015</t>
  </si>
  <si>
    <t>пропуск в тело уровнемерной колонки на отстойнике Е-101​</t>
  </si>
  <si>
    <t>30.12.2014</t>
  </si>
  <si>
    <t>ЭСННП ОУ об-ты Налив.ус№3</t>
  </si>
  <si>
    <t>S-018-001-0052</t>
  </si>
  <si>
    <t>Несоосность гаражного положения_x000D_
​</t>
  </si>
  <si>
    <t>прослаблено крепление​</t>
  </si>
  <si>
    <t>25.12.2014</t>
  </si>
  <si>
    <t>Вент. камера (калорифер паровой КПС)_x000D_
Приточная вентиляция П-4А _x000D_
​</t>
  </si>
  <si>
    <t>22.12.2014</t>
  </si>
  <si>
    <t>23.12.2014</t>
  </si>
  <si>
    <t>Незначительный пропуск фланцевого соединения в поворотную заглушку.​</t>
  </si>
  <si>
    <t>Незначительное ослабление затяжки крепежа.​</t>
  </si>
  <si>
    <t>24.12.2014</t>
  </si>
  <si>
    <t>Chuvilov, Andrey V.</t>
  </si>
  <si>
    <t>ЭСННП ОУ об-ты Н-1/1</t>
  </si>
  <si>
    <t>Насос ТКА - 63/125 ГСУСГ</t>
  </si>
  <si>
    <t>S-018-001-0002</t>
  </si>
  <si>
    <t>18.12.2014</t>
  </si>
  <si>
    <t>21.12.2014</t>
  </si>
  <si>
    <t>Эл: Электроосвещение и сети СП</t>
  </si>
  <si>
    <t>Электроосв. и сети</t>
  </si>
  <si>
    <t>Короткое замыкание на 8 блоке​</t>
  </si>
  <si>
    <t>Smertin, Andrey S.</t>
  </si>
  <si>
    <t>отключение автоматического выключателя питания освещения блока №8​</t>
  </si>
  <si>
    <t>короткое замыкание в КЛ​</t>
  </si>
  <si>
    <t>Pimenov, Andrey V.</t>
  </si>
  <si>
    <t>Здание</t>
  </si>
  <si>
    <t>пропуск в перекрытие кровли единой операторной ​</t>
  </si>
  <si>
    <t>нарушение кровельного покрытия​</t>
  </si>
  <si>
    <t>30.01.2015</t>
  </si>
  <si>
    <t>28.02.2015</t>
  </si>
  <si>
    <t>Abramov, Vladislav V.</t>
  </si>
  <si>
    <t>ЛЧ 35-11/600 Риформинг Труб</t>
  </si>
  <si>
    <t>Тр-д ВСГ от С-614 до ТК-601</t>
  </si>
  <si>
    <t>S-013-002-0083</t>
  </si>
  <si>
    <t>Pylaev, Viacheslav V.</t>
  </si>
  <si>
    <t>Разрушена крышка перекрытия колодца ПК-206​</t>
  </si>
  <si>
    <t>Агрессивная среда в колодце.</t>
  </si>
  <si>
    <t>17.12.2014</t>
  </si>
  <si>
    <t>Производство №3:Цех №15:Участок по обслуживанию и ремонту факельного хозяйства</t>
  </si>
  <si>
    <t>Polynov, Alexander I.</t>
  </si>
  <si>
    <t>Пром. канализаци от К-85 до К32</t>
  </si>
  <si>
    <t>16.12.2014</t>
  </si>
  <si>
    <t>Трубопроводы</t>
  </si>
  <si>
    <t>Паровые и водогрейные котлы</t>
  </si>
  <si>
    <t>Здания и сооружения</t>
  </si>
  <si>
    <t>Динамическое оборудование</t>
  </si>
  <si>
    <t>Резервуары</t>
  </si>
  <si>
    <t>Аппараты и сосуды</t>
  </si>
  <si>
    <t>Прочее машинное оборуд.</t>
  </si>
  <si>
    <t>Электродвигатели</t>
  </si>
  <si>
    <t>Электрооборуд-е аппаратов</t>
  </si>
  <si>
    <t>Насосы</t>
  </si>
  <si>
    <t>Системы вентиляции</t>
  </si>
  <si>
    <t>Электроосвещение и сети СП</t>
  </si>
  <si>
    <t>Производство №1</t>
  </si>
  <si>
    <t>Производство №2</t>
  </si>
  <si>
    <t>Производство №3</t>
  </si>
  <si>
    <t>Производство №4</t>
  </si>
  <si>
    <t>ЭЛОУ-АВТ-6</t>
  </si>
  <si>
    <t>Висбрекинг</t>
  </si>
  <si>
    <t>Установки элементарной серы и РХ-2</t>
  </si>
  <si>
    <t>Установка Изомеризации</t>
  </si>
  <si>
    <t>Установка Лч-35-11-600</t>
  </si>
  <si>
    <t>Цех №15:Участок по обслуживанию и ремонту промышленной канализации</t>
  </si>
  <si>
    <t>Цех №11:Участок парогазопроводов и азотная станция</t>
  </si>
  <si>
    <t>Цех №15:Установка биологической очистки сточных вод</t>
  </si>
  <si>
    <t>Цех №11:Установка химводоочистка</t>
  </si>
  <si>
    <t>Цех №15:Установка механической очистки промышленных стоков</t>
  </si>
  <si>
    <t>Цех №11:Участок водоснабжения</t>
  </si>
  <si>
    <t>Цех №11:Участок оборотного водоснабжения и береговая насосная станция</t>
  </si>
  <si>
    <t>Цех №15:Участок очистных сооружений</t>
  </si>
  <si>
    <t>Цех №15:Участок по обслуживанию и ремонту факельного хозяйства</t>
  </si>
  <si>
    <t>Цех №7:Эстакада слива-налива нефти и нефтепродуктов</t>
  </si>
  <si>
    <t>Участок резервуарный парк - паспортной продукции</t>
  </si>
  <si>
    <t>Цех №8:Резервуарный парк</t>
  </si>
  <si>
    <t>Эстакада слива-налива нефти и нефтепродуктов</t>
  </si>
  <si>
    <t>Всего поломок</t>
  </si>
  <si>
    <t>вияющие на энергоэффективность</t>
  </si>
  <si>
    <t>Просрочено</t>
  </si>
  <si>
    <t>Всего</t>
  </si>
  <si>
    <t>Влияющие на энергоэффективность</t>
  </si>
  <si>
    <t>Комментарии</t>
  </si>
  <si>
    <t>Класс оборудования: Механический</t>
  </si>
  <si>
    <t>Период:</t>
  </si>
  <si>
    <t>январь</t>
  </si>
  <si>
    <t>февраль</t>
  </si>
  <si>
    <t>Динамика ремонтов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</si>
</sst>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Fill="1"/>
    <xf numFmtId="0" fontId="0" fillId="3" borderId="0" xfId="0" applyFill="1"/>
    <xf numFmtId="0" fontId="0" fillId="0" borderId="0" xfId="0" applyAlignment="1"/>
    <xf numFmtId="0" fontId="0" fillId="4" borderId="0" xfId="0" applyFill="1"/>
    <xf numFmtId="0" fontId="0" fillId="5" borderId="0" xfId="0" applyFill="1"/>
    <xf numFmtId="0" fontId="0" fillId="0" borderId="0" xfId="0" applyBorder="1" applyAlignment="1"/>
    <xf numFmtId="14" fontId="0" fillId="0" borderId="0" xfId="0" applyNumberFormat="1"/>
    <xf numFmtId="2" fontId="0" fillId="0" borderId="0" xfId="0" applyNumberFormat="1"/>
    <xf numFmtId="0" fontId="0" fillId="0" borderId="0" xfId="0" applyNumberFormat="1"/>
    <xf numFmtId="16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100"/>
              <a:t>Распределение дефектов по видам оборудования и подразделениям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Лист2!$Y$7</c:f>
              <c:strCache>
                <c:ptCount val="1"/>
                <c:pt idx="0">
                  <c:v>Трубопроводы</c:v>
                </c:pt>
              </c:strCache>
            </c:strRef>
          </c:tx>
          <c:invertIfNegative val="0"/>
          <c:cat>
            <c:strRef>
              <c:f>Лист2!$AB$6:$AE$6</c:f>
              <c:strCache>
                <c:ptCount val="4"/>
                <c:pt idx="0">
                  <c:v>Производство №1</c:v>
                </c:pt>
                <c:pt idx="1">
                  <c:v>Производство №2</c:v>
                </c:pt>
                <c:pt idx="2">
                  <c:v>Производство №3</c:v>
                </c:pt>
                <c:pt idx="3">
                  <c:v>Производство №4</c:v>
                </c:pt>
              </c:strCache>
            </c:strRef>
          </c:cat>
          <c:val>
            <c:numRef>
              <c:f>Лист2!$AB$7:$AE$7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23</c:v>
                </c:pt>
                <c:pt idx="3">
                  <c:v>9</c:v>
                </c:pt>
              </c:numCache>
            </c:numRef>
          </c:val>
        </c:ser>
        <c:ser>
          <c:idx val="0"/>
          <c:order val="1"/>
          <c:tx>
            <c:strRef>
              <c:f>Лист2!$Y$8</c:f>
              <c:strCache>
                <c:ptCount val="1"/>
                <c:pt idx="0">
                  <c:v>Паровые и водогрейные котлы</c:v>
                </c:pt>
              </c:strCache>
            </c:strRef>
          </c:tx>
          <c:invertIfNegative val="0"/>
          <c:cat>
            <c:strRef>
              <c:f>Лист2!$AB$6:$AE$6</c:f>
              <c:strCache>
                <c:ptCount val="4"/>
                <c:pt idx="0">
                  <c:v>Производство №1</c:v>
                </c:pt>
                <c:pt idx="1">
                  <c:v>Производство №2</c:v>
                </c:pt>
                <c:pt idx="2">
                  <c:v>Производство №3</c:v>
                </c:pt>
                <c:pt idx="3">
                  <c:v>Производство №4</c:v>
                </c:pt>
              </c:strCache>
            </c:strRef>
          </c:cat>
          <c:val>
            <c:numRef>
              <c:f>Лист2!$AB$8:$AE$8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Лист2!$Y$9</c:f>
              <c:strCache>
                <c:ptCount val="1"/>
                <c:pt idx="0">
                  <c:v>Здания и сооружения</c:v>
                </c:pt>
              </c:strCache>
            </c:strRef>
          </c:tx>
          <c:invertIfNegative val="0"/>
          <c:cat>
            <c:strRef>
              <c:f>Лист2!$AB$6:$AE$6</c:f>
              <c:strCache>
                <c:ptCount val="4"/>
                <c:pt idx="0">
                  <c:v>Производство №1</c:v>
                </c:pt>
                <c:pt idx="1">
                  <c:v>Производство №2</c:v>
                </c:pt>
                <c:pt idx="2">
                  <c:v>Производство №3</c:v>
                </c:pt>
                <c:pt idx="3">
                  <c:v>Производство №4</c:v>
                </c:pt>
              </c:strCache>
            </c:strRef>
          </c:cat>
          <c:val>
            <c:numRef>
              <c:f>Лист2!$AB$9:$AE$9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ser>
          <c:idx val="3"/>
          <c:order val="3"/>
          <c:tx>
            <c:strRef>
              <c:f>Лист2!$Y$10</c:f>
              <c:strCache>
                <c:ptCount val="1"/>
                <c:pt idx="0">
                  <c:v>Динамическое оборудование</c:v>
                </c:pt>
              </c:strCache>
            </c:strRef>
          </c:tx>
          <c:invertIfNegative val="0"/>
          <c:cat>
            <c:strRef>
              <c:f>Лист2!$AB$6:$AE$6</c:f>
              <c:strCache>
                <c:ptCount val="4"/>
                <c:pt idx="0">
                  <c:v>Производство №1</c:v>
                </c:pt>
                <c:pt idx="1">
                  <c:v>Производство №2</c:v>
                </c:pt>
                <c:pt idx="2">
                  <c:v>Производство №3</c:v>
                </c:pt>
                <c:pt idx="3">
                  <c:v>Производство №4</c:v>
                </c:pt>
              </c:strCache>
            </c:strRef>
          </c:cat>
          <c:val>
            <c:numRef>
              <c:f>Лист2!$AB$10:$AE$10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34</c:v>
                </c:pt>
              </c:numCache>
            </c:numRef>
          </c:val>
        </c:ser>
        <c:ser>
          <c:idx val="4"/>
          <c:order val="4"/>
          <c:tx>
            <c:strRef>
              <c:f>Лист2!$Y$11</c:f>
              <c:strCache>
                <c:ptCount val="1"/>
                <c:pt idx="0">
                  <c:v>Резервуары</c:v>
                </c:pt>
              </c:strCache>
            </c:strRef>
          </c:tx>
          <c:invertIfNegative val="0"/>
          <c:cat>
            <c:strRef>
              <c:f>Лист2!$AB$6:$AE$6</c:f>
              <c:strCache>
                <c:ptCount val="4"/>
                <c:pt idx="0">
                  <c:v>Производство №1</c:v>
                </c:pt>
                <c:pt idx="1">
                  <c:v>Производство №2</c:v>
                </c:pt>
                <c:pt idx="2">
                  <c:v>Производство №3</c:v>
                </c:pt>
                <c:pt idx="3">
                  <c:v>Производство №4</c:v>
                </c:pt>
              </c:strCache>
            </c:strRef>
          </c:cat>
          <c:val>
            <c:numRef>
              <c:f>Лист2!$AB$11:$AE$11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5"/>
          <c:order val="5"/>
          <c:tx>
            <c:strRef>
              <c:f>Лист2!$Y$12</c:f>
              <c:strCache>
                <c:ptCount val="1"/>
                <c:pt idx="0">
                  <c:v>Аппараты и сосуды</c:v>
                </c:pt>
              </c:strCache>
            </c:strRef>
          </c:tx>
          <c:invertIfNegative val="0"/>
          <c:cat>
            <c:strRef>
              <c:f>Лист2!$AB$6:$AE$6</c:f>
              <c:strCache>
                <c:ptCount val="4"/>
                <c:pt idx="0">
                  <c:v>Производство №1</c:v>
                </c:pt>
                <c:pt idx="1">
                  <c:v>Производство №2</c:v>
                </c:pt>
                <c:pt idx="2">
                  <c:v>Производство №3</c:v>
                </c:pt>
                <c:pt idx="3">
                  <c:v>Производство №4</c:v>
                </c:pt>
              </c:strCache>
            </c:strRef>
          </c:cat>
          <c:val>
            <c:numRef>
              <c:f>Лист2!$AB$12:$AE$12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</c:ser>
        <c:ser>
          <c:idx val="6"/>
          <c:order val="6"/>
          <c:tx>
            <c:strRef>
              <c:f>Лист2!$Y$13</c:f>
              <c:strCache>
                <c:ptCount val="1"/>
                <c:pt idx="0">
                  <c:v>Электроосвещение и сети СП</c:v>
                </c:pt>
              </c:strCache>
            </c:strRef>
          </c:tx>
          <c:invertIfNegative val="0"/>
          <c:cat>
            <c:strRef>
              <c:f>Лист2!$AB$6:$AE$6</c:f>
              <c:strCache>
                <c:ptCount val="4"/>
                <c:pt idx="0">
                  <c:v>Производство №1</c:v>
                </c:pt>
                <c:pt idx="1">
                  <c:v>Производство №2</c:v>
                </c:pt>
                <c:pt idx="2">
                  <c:v>Производство №3</c:v>
                </c:pt>
                <c:pt idx="3">
                  <c:v>Производство №4</c:v>
                </c:pt>
              </c:strCache>
            </c:strRef>
          </c:cat>
          <c:val>
            <c:numRef>
              <c:f>Лист2!$AB$13:$AE$13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202752"/>
        <c:axId val="76204288"/>
      </c:barChart>
      <c:catAx>
        <c:axId val="76202752"/>
        <c:scaling>
          <c:orientation val="minMax"/>
        </c:scaling>
        <c:delete val="0"/>
        <c:axPos val="b"/>
        <c:majorTickMark val="out"/>
        <c:minorTickMark val="none"/>
        <c:tickLblPos val="nextTo"/>
        <c:crossAx val="76204288"/>
        <c:crosses val="autoZero"/>
        <c:auto val="1"/>
        <c:lblAlgn val="ctr"/>
        <c:lblOffset val="100"/>
        <c:noMultiLvlLbl val="0"/>
      </c:catAx>
      <c:valAx>
        <c:axId val="7620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202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18</xdr:col>
      <xdr:colOff>600074</xdr:colOff>
      <xdr:row>43</xdr:row>
      <xdr:rowOff>4763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"/>
  <sheetViews>
    <sheetView zoomScale="85" zoomScaleNormal="85" workbookViewId="0">
      <selection activeCell="W39" sqref="W39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19.140625" hidden="1" customWidth="1"/>
    <col min="4" max="4" width="31.7109375" hidden="1" customWidth="1"/>
    <col min="5" max="5" width="23.42578125" hidden="1" customWidth="1"/>
    <col min="6" max="6" width="32.85546875" hidden="1" customWidth="1"/>
    <col min="7" max="7" width="42.85546875" hidden="1" customWidth="1"/>
    <col min="8" max="8" width="9" hidden="1" customWidth="1"/>
    <col min="9" max="9" width="14.28515625" hidden="1" customWidth="1"/>
    <col min="10" max="10" width="39.140625" hidden="1" customWidth="1"/>
    <col min="11" max="11" width="138.7109375" hidden="1" customWidth="1"/>
    <col min="12" max="12" width="199.140625" hidden="1" customWidth="1"/>
    <col min="13" max="13" width="23.42578125" hidden="1" customWidth="1"/>
    <col min="14" max="14" width="37.5703125" hidden="1" customWidth="1"/>
    <col min="15" max="15" width="30.7109375" hidden="1" customWidth="1"/>
    <col min="16" max="16" width="34.28515625" hidden="1" customWidth="1"/>
    <col min="17" max="17" width="22" hidden="1" customWidth="1"/>
    <col min="18" max="18" width="90.28515625" hidden="1" customWidth="1"/>
    <col min="19" max="19" width="16.5703125" hidden="1" customWidth="1"/>
    <col min="20" max="20" width="20.5703125" hidden="1" customWidth="1"/>
    <col min="21" max="21" width="21.85546875" hidden="1" customWidth="1"/>
    <col min="29" max="29" width="30.140625" bestFit="1" customWidth="1"/>
    <col min="30" max="30" width="14.7109375" bestFit="1" customWidth="1"/>
    <col min="31" max="31" width="20" customWidth="1"/>
    <col min="32" max="32" width="12.85546875" customWidth="1"/>
    <col min="33" max="33" width="17.5703125" customWidth="1"/>
    <col min="34" max="34" width="18.140625" customWidth="1"/>
    <col min="35" max="35" width="17.7109375" customWidth="1"/>
    <col min="36" max="36" width="16.85546875" customWidth="1"/>
    <col min="37" max="38" width="15" customWidth="1"/>
    <col min="39" max="39" width="12" bestFit="1" customWidth="1"/>
    <col min="40" max="40" width="11" customWidth="1"/>
    <col min="41" max="41" width="10.85546875" customWidth="1"/>
    <col min="43" max="43" width="11.85546875" customWidth="1"/>
  </cols>
  <sheetData>
    <row r="1" spans="1:51" ht="60" x14ac:dyDescent="0.25">
      <c r="A1" s="1"/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3" t="s">
        <v>17</v>
      </c>
      <c r="U1" s="3" t="s">
        <v>18</v>
      </c>
      <c r="AD1" t="s">
        <v>481</v>
      </c>
      <c r="AE1" s="2" t="s">
        <v>482</v>
      </c>
      <c r="AF1" s="2" t="s">
        <v>483</v>
      </c>
      <c r="AG1" s="2" t="s">
        <v>490</v>
      </c>
      <c r="AH1" s="2" t="s">
        <v>487</v>
      </c>
      <c r="AI1" s="2" t="s">
        <v>488</v>
      </c>
      <c r="AJ1" s="2" t="s">
        <v>489</v>
      </c>
      <c r="AK1" s="2" t="s">
        <v>491</v>
      </c>
      <c r="AL1" s="2" t="s">
        <v>484</v>
      </c>
      <c r="AM1" t="s">
        <v>485</v>
      </c>
      <c r="AN1" s="2" t="s">
        <v>486</v>
      </c>
      <c r="AO1" s="2" t="s">
        <v>492</v>
      </c>
      <c r="AP1" s="2" t="s">
        <v>515</v>
      </c>
      <c r="AQ1" s="2" t="s">
        <v>516</v>
      </c>
    </row>
    <row r="2" spans="1:51" ht="30" x14ac:dyDescent="0.25">
      <c r="C2" t="s">
        <v>19</v>
      </c>
      <c r="D2" t="s">
        <v>20</v>
      </c>
      <c r="E2" t="s">
        <v>21</v>
      </c>
      <c r="F2" t="s">
        <v>22</v>
      </c>
      <c r="G2" t="s">
        <v>23</v>
      </c>
      <c r="I2" t="s">
        <v>24</v>
      </c>
      <c r="J2" t="s">
        <v>25</v>
      </c>
      <c r="K2" s="2" t="s">
        <v>26</v>
      </c>
      <c r="L2" t="s">
        <v>27</v>
      </c>
      <c r="M2" t="s">
        <v>28</v>
      </c>
      <c r="N2" t="s">
        <v>29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U2" t="s">
        <v>35</v>
      </c>
      <c r="AD2" s="5">
        <f>COUNTIF(D1:D5000,"Мех: Трубопроводы")</f>
        <v>35</v>
      </c>
      <c r="AE2" s="5">
        <f>COUNTIF(D1:D5000,"Мех: Котлы")</f>
        <v>1</v>
      </c>
      <c r="AF2" s="5">
        <f>COUNTIF(D1:D5000,"Мех: Здания и сооружения")</f>
        <v>4</v>
      </c>
      <c r="AG2">
        <f>COUNTIFS(D1:D5000,"Мех: Насосы")</f>
        <v>34</v>
      </c>
      <c r="AH2">
        <f>COUNTIF(D1:D5000,"Мех: Прочее машинное оборуд.")</f>
        <v>15</v>
      </c>
      <c r="AI2">
        <f>COUNTIF(D1:D5000,"Эл: Электродвигателиреват.")</f>
        <v>6</v>
      </c>
      <c r="AJ2">
        <f>COUNTIF(D1:D5000,"Эл: Электрооборуд-е аппаратов")</f>
        <v>1</v>
      </c>
      <c r="AK2">
        <f>COUNTIF(D1:D5000,"Мех: Системы вентиляции")</f>
        <v>4</v>
      </c>
      <c r="AL2" s="5">
        <f>SUM(AG2:AK2)</f>
        <v>60</v>
      </c>
      <c r="AM2" s="5">
        <f>COUNTIF(D1:D5000,"Мех: Резервуары")</f>
        <v>1</v>
      </c>
      <c r="AN2" s="5">
        <f>COUNTIF(D1:D5000,"Мех: Аппараты и сосуды")</f>
        <v>8</v>
      </c>
      <c r="AO2" s="5">
        <f>COUNTIF(D1:D5000,"Эл: Электроосвещение и сети СП")</f>
        <v>2</v>
      </c>
      <c r="AP2" s="5">
        <f>SUM(AD2:AF2,AL2:AO2)</f>
        <v>111</v>
      </c>
      <c r="AQ2" s="5">
        <f>COUNTIF($N$1:$N$5000,"Да")</f>
        <v>1</v>
      </c>
    </row>
    <row r="3" spans="1:51" x14ac:dyDescent="0.25">
      <c r="C3" t="s">
        <v>19</v>
      </c>
      <c r="D3" t="s">
        <v>36</v>
      </c>
      <c r="E3" t="s">
        <v>37</v>
      </c>
      <c r="F3" t="s">
        <v>38</v>
      </c>
      <c r="J3" t="s">
        <v>25</v>
      </c>
      <c r="K3" t="s">
        <v>39</v>
      </c>
      <c r="M3" t="s">
        <v>28</v>
      </c>
      <c r="N3" t="s">
        <v>40</v>
      </c>
      <c r="O3" t="s">
        <v>41</v>
      </c>
      <c r="P3" t="s">
        <v>41</v>
      </c>
      <c r="Q3" t="s">
        <v>41</v>
      </c>
      <c r="S3" t="s">
        <v>34</v>
      </c>
      <c r="U3" t="s">
        <v>42</v>
      </c>
    </row>
    <row r="4" spans="1:51" x14ac:dyDescent="0.25">
      <c r="C4" t="s">
        <v>19</v>
      </c>
      <c r="D4" t="s">
        <v>43</v>
      </c>
      <c r="E4" t="s">
        <v>44</v>
      </c>
      <c r="F4" t="s">
        <v>45</v>
      </c>
      <c r="G4" t="s">
        <v>46</v>
      </c>
      <c r="H4">
        <v>16002286</v>
      </c>
      <c r="I4" t="s">
        <v>47</v>
      </c>
      <c r="J4" t="s">
        <v>48</v>
      </c>
      <c r="K4" t="s">
        <v>49</v>
      </c>
      <c r="M4" t="s">
        <v>28</v>
      </c>
      <c r="N4" t="s">
        <v>29</v>
      </c>
      <c r="O4" t="s">
        <v>30</v>
      </c>
      <c r="P4" t="s">
        <v>50</v>
      </c>
      <c r="Q4" t="s">
        <v>51</v>
      </c>
      <c r="R4" t="s">
        <v>52</v>
      </c>
      <c r="S4" t="s">
        <v>34</v>
      </c>
      <c r="U4" t="s">
        <v>53</v>
      </c>
    </row>
    <row r="5" spans="1:51" x14ac:dyDescent="0.25">
      <c r="C5" t="s">
        <v>19</v>
      </c>
      <c r="D5" t="s">
        <v>54</v>
      </c>
      <c r="E5" t="s">
        <v>55</v>
      </c>
      <c r="F5" t="s">
        <v>56</v>
      </c>
      <c r="G5" t="s">
        <v>57</v>
      </c>
      <c r="H5">
        <v>20000074</v>
      </c>
      <c r="I5" t="s">
        <v>58</v>
      </c>
      <c r="J5" t="s">
        <v>59</v>
      </c>
      <c r="K5" t="s">
        <v>60</v>
      </c>
      <c r="L5" t="s">
        <v>61</v>
      </c>
      <c r="M5" t="s">
        <v>28</v>
      </c>
      <c r="N5" t="s">
        <v>29</v>
      </c>
      <c r="O5" t="s">
        <v>62</v>
      </c>
      <c r="P5" t="s">
        <v>63</v>
      </c>
      <c r="Q5" t="s">
        <v>62</v>
      </c>
      <c r="R5" t="s">
        <v>52</v>
      </c>
      <c r="S5" t="s">
        <v>34</v>
      </c>
      <c r="U5" t="s">
        <v>53</v>
      </c>
      <c r="AD5" t="s">
        <v>497</v>
      </c>
      <c r="AE5" t="s">
        <v>498</v>
      </c>
      <c r="AF5" t="s">
        <v>499</v>
      </c>
      <c r="AG5" s="5" t="s">
        <v>493</v>
      </c>
      <c r="AH5" t="s">
        <v>500</v>
      </c>
      <c r="AI5" t="s">
        <v>501</v>
      </c>
      <c r="AJ5" s="5" t="s">
        <v>494</v>
      </c>
      <c r="AK5" t="s">
        <v>502</v>
      </c>
      <c r="AL5" t="s">
        <v>503</v>
      </c>
      <c r="AM5" t="s">
        <v>504</v>
      </c>
      <c r="AN5" t="s">
        <v>505</v>
      </c>
      <c r="AO5" t="s">
        <v>506</v>
      </c>
      <c r="AP5" t="s">
        <v>507</v>
      </c>
      <c r="AQ5" t="s">
        <v>508</v>
      </c>
      <c r="AR5" t="s">
        <v>509</v>
      </c>
      <c r="AS5" t="s">
        <v>510</v>
      </c>
      <c r="AT5" s="5" t="s">
        <v>495</v>
      </c>
      <c r="AU5" t="s">
        <v>511</v>
      </c>
      <c r="AV5" t="s">
        <v>512</v>
      </c>
      <c r="AW5" t="s">
        <v>513</v>
      </c>
      <c r="AX5" t="s">
        <v>514</v>
      </c>
      <c r="AY5" s="5" t="s">
        <v>496</v>
      </c>
    </row>
    <row r="6" spans="1:51" x14ac:dyDescent="0.25">
      <c r="C6" t="s">
        <v>19</v>
      </c>
      <c r="D6" t="s">
        <v>54</v>
      </c>
      <c r="E6" t="s">
        <v>55</v>
      </c>
      <c r="F6" t="s">
        <v>64</v>
      </c>
      <c r="G6" t="s">
        <v>57</v>
      </c>
      <c r="H6">
        <v>20000081</v>
      </c>
      <c r="I6" t="s">
        <v>65</v>
      </c>
      <c r="J6" t="s">
        <v>59</v>
      </c>
      <c r="K6" t="s">
        <v>66</v>
      </c>
      <c r="L6" t="s">
        <v>67</v>
      </c>
      <c r="M6" t="s">
        <v>28</v>
      </c>
      <c r="N6" t="s">
        <v>29</v>
      </c>
      <c r="O6" t="s">
        <v>68</v>
      </c>
      <c r="P6" t="s">
        <v>69</v>
      </c>
      <c r="Q6" t="s">
        <v>68</v>
      </c>
      <c r="R6" t="s">
        <v>52</v>
      </c>
      <c r="S6" t="s">
        <v>34</v>
      </c>
      <c r="U6" t="s">
        <v>53</v>
      </c>
      <c r="AD6">
        <f>COUNTIF(R1:R5000,"Производство №1:ЭЛОУ-АВТ-6")</f>
        <v>3</v>
      </c>
      <c r="AE6">
        <f>COUNTIF(R1:R5000,"Производство №1:Висбрекинг")</f>
        <v>3</v>
      </c>
      <c r="AF6">
        <f>COUNTIF(R1:R5000,"Производство №1:Установки элементарной серы и РХ-2")</f>
        <v>3</v>
      </c>
      <c r="AG6" s="5">
        <f>SUM(AD6:AF6)</f>
        <v>9</v>
      </c>
      <c r="AH6">
        <f>COUNTIF(R1:R5000,"Производство №2:Установка Изомеризации")</f>
        <v>10</v>
      </c>
      <c r="AI6">
        <f>COUNTIF(R1:R5000,"Производство №2:Установка Лч-35-11-600")</f>
        <v>5</v>
      </c>
      <c r="AJ6" s="5">
        <f>SUM(AH6:AI6)</f>
        <v>15</v>
      </c>
      <c r="AK6">
        <f>COUNTIF(R1:R5000,"Производство №3:Цех №15:Участок по обслуживанию и ремонту промышленной канализации")</f>
        <v>7</v>
      </c>
      <c r="AL6">
        <f>COUNTIF(R1:R5000,"Производство №3:Цех №11:Участок парогазопроводов и азотная станция")</f>
        <v>1</v>
      </c>
      <c r="AM6">
        <f>COUNTIF(R1:R5000,"Производство №3:Цех №15:Установка биологической очистки сточных вод")</f>
        <v>4</v>
      </c>
      <c r="AN6">
        <f>COUNTIF(R1:R5000,"Производство №3:Цех №11:Установка химводоочистка")</f>
        <v>10</v>
      </c>
      <c r="AO6">
        <f>COUNTIF(R1:R5000,"Производство №3:Цех №15:Установка механической очистки промышленных стоков")</f>
        <v>8</v>
      </c>
      <c r="AP6">
        <f>COUNTIF(R1:R5000,"Производство №3:Цех №11:Участок водоснабжения")</f>
        <v>3</v>
      </c>
      <c r="AQ6">
        <f>COUNTIF(R1:R5000,"Производство №3:Цех №11:Участок оборотного водоснабжения и береговая насосная станция")</f>
        <v>2</v>
      </c>
      <c r="AR6">
        <f>COUNTIF(R1:R5000,"Производство №3:Цех №15:Участок очистных сооружений")</f>
        <v>2</v>
      </c>
      <c r="AS6">
        <f>COUNTIF(R1:R5000,"Производство №3:Цех №15:Участок по обслуживанию и ремонту факельного хозяйства")</f>
        <v>1</v>
      </c>
      <c r="AT6" s="5">
        <f>SUM(AK6:AS6)</f>
        <v>38</v>
      </c>
      <c r="AU6">
        <f>COUNTIF(R1:R5000,"Производство №4:Цех №7:Эстакада слива-налива нефти и нефтепродуктов")</f>
        <v>20</v>
      </c>
      <c r="AV6">
        <f>COUNTIF(R1:R5000,"Производство №4:Участок резервуарный парк - паспортной продукции")</f>
        <v>22</v>
      </c>
      <c r="AW6">
        <f>COUNTIF(R1:R5000,"Производство №4:Цех №8:Резервуарный парк")</f>
        <v>4</v>
      </c>
      <c r="AX6">
        <f>COUNTIF(R1:R5000,"Производство №4:Эстакада слива-налива нефти и нефтепродуктов")</f>
        <v>1</v>
      </c>
      <c r="AY6" s="5">
        <f>SUM(AU6:AX6)</f>
        <v>47</v>
      </c>
    </row>
    <row r="7" spans="1:51" x14ac:dyDescent="0.25">
      <c r="C7" t="s">
        <v>19</v>
      </c>
      <c r="D7" t="s">
        <v>20</v>
      </c>
      <c r="E7" t="s">
        <v>70</v>
      </c>
      <c r="F7" t="s">
        <v>71</v>
      </c>
      <c r="G7" t="s">
        <v>72</v>
      </c>
      <c r="I7" t="s">
        <v>73</v>
      </c>
      <c r="J7" t="s">
        <v>74</v>
      </c>
      <c r="K7" t="s">
        <v>75</v>
      </c>
      <c r="L7" t="s">
        <v>76</v>
      </c>
      <c r="M7" t="s">
        <v>28</v>
      </c>
      <c r="N7" t="s">
        <v>29</v>
      </c>
      <c r="O7" t="s">
        <v>62</v>
      </c>
      <c r="P7" t="s">
        <v>41</v>
      </c>
      <c r="Q7" t="s">
        <v>41</v>
      </c>
      <c r="R7" t="s">
        <v>77</v>
      </c>
      <c r="S7" t="s">
        <v>34</v>
      </c>
      <c r="U7" t="s">
        <v>78</v>
      </c>
      <c r="AC7" s="6" t="s">
        <v>481</v>
      </c>
      <c r="AD7">
        <f>COUNTIFS($D$1:$D$5000,"Мех: Трубопроводы",$R$1:$R$5000,"Производство №1:ЭЛОУ-АВТ-6")</f>
        <v>0</v>
      </c>
      <c r="AE7">
        <f>COUNTIFS($D$1:$D$5000,"Мех: Трубопроводы",$R$1:$R$5000,"Производство №1:Висбрекинг")</f>
        <v>0</v>
      </c>
      <c r="AF7">
        <f>COUNTIFS(D1:D5000,"Мех: Трубопроводы",$R$1:$R$5000,"Производство №1:Установки элементарной серы и РХ-2")</f>
        <v>0</v>
      </c>
      <c r="AG7" s="5">
        <f t="shared" ref="AG7:AG22" si="0">SUM(AD7:AF7)</f>
        <v>0</v>
      </c>
      <c r="AH7">
        <f>COUNTIFS($D$1:$D$5000,"Мех: Трубопроводы",$R$1:$R$5000,"Производство №2:Установка Изомеризации")</f>
        <v>2</v>
      </c>
      <c r="AI7">
        <f>COUNTIFS($D$1:$D$5000,"Мех: Трубопроводы",$R$1:$R$5000,"Производство №2:Установка Лч-35-11-600")</f>
        <v>1</v>
      </c>
      <c r="AJ7" s="5">
        <f t="shared" ref="AJ7:AJ22" si="1">SUM(AH7:AI7)</f>
        <v>3</v>
      </c>
      <c r="AK7">
        <f>COUNTIFS($D$1:$D$5000,"Мех: Трубопроводы",$R$1:$R$5000,"Производство №3:Цех №15:Участок по обслуживанию и ремонту промышленной канализации")</f>
        <v>7</v>
      </c>
      <c r="AL7">
        <f>COUNTIFS($D$1:$D$5000,"Мех: Трубопроводы",$R$1:$R$5000,"Производство №3:Цех №11:Участок парогазопроводов и азотная станция")</f>
        <v>1</v>
      </c>
      <c r="AM7">
        <f>COUNTIFS($D$1:$D$5000,"Мех: Трубопроводы",$R$1:$R$5000,"Производство №3:Цех №15:Установка биологической очистки сточных вод")</f>
        <v>4</v>
      </c>
      <c r="AN7">
        <f>COUNTIFS($D$1:$D$5000,"Мех: Трубопроводы",$R$1:$R$5000,"Производство №3:Цех №11:Установка химводоочистка")</f>
        <v>1</v>
      </c>
      <c r="AO7">
        <f>COUNTIFS($D$1:$D$5000,"Мех: Трубопроводы",$R$1:$R$5000,"Производство №3:Цех №15:Установка механической очистки промышленных стоков")</f>
        <v>4</v>
      </c>
      <c r="AP7">
        <f>COUNTIFS($D$1:$D$5000,"Мех: Трубопроводы",$R$1:$R$5000,"Производство №3:Цех №11:Участок водоснабжения")</f>
        <v>2</v>
      </c>
      <c r="AQ7">
        <f>COUNTIFS($D$1:$D$5000,"Мех: Трубопроводы",$R$1:$R$5000,"Производство №3:Цех №11:Участок оборотного водоснабжения и береговая насосная станция")</f>
        <v>2</v>
      </c>
      <c r="AR7">
        <f>COUNTIFS($D$1:$D$5000,"Мех: Трубопроводы",$R$1:$R$5000,"Производство №3:Цех №15:Участок очистных сооружений")</f>
        <v>2</v>
      </c>
      <c r="AS7">
        <f>COUNTIFS($D$1:$D$5000,"Мех: Трубопроводы",$R$1:$R$5000,"Производство №3:Цех №15:Участок по обслуживанию и ремонту факельного хозяйства")</f>
        <v>0</v>
      </c>
      <c r="AT7" s="5">
        <f t="shared" ref="AT7:AT22" si="2">SUM(AK7:AS7)</f>
        <v>23</v>
      </c>
      <c r="AU7">
        <f>COUNTIFS($D$1:$D$5000,"Мех: Трубопроводы",$R$1:$R$5000,"Производство №4:Цех №7:Эстакада слива-налива нефти и нефтепродуктов")</f>
        <v>0</v>
      </c>
      <c r="AV7">
        <f>COUNTIFS($D$1:$D$5000,"Мех: Трубопроводы",$R$1:$R$5000,"Производство №4:Участок резервуарный парк - паспортной продукции")</f>
        <v>6</v>
      </c>
      <c r="AW7">
        <f>COUNTIFS($D$1:$D$5000,"Мех: Трубопроводы",$R$1:$R$5000,"Производство №4:Цех №8:Резервуарный парк")</f>
        <v>3</v>
      </c>
      <c r="AX7">
        <f>COUNTIFS($D$1:$D$5000,"Мех: Трубопроводы",$R$1:$R$5000,"Производство №4:Эстакада слива-налива нефти и нефтепродуктов")</f>
        <v>0</v>
      </c>
      <c r="AY7" s="5">
        <f t="shared" ref="AY7:AY22" si="3">SUM(AU7:AX7)</f>
        <v>9</v>
      </c>
    </row>
    <row r="8" spans="1:51" x14ac:dyDescent="0.25">
      <c r="C8" t="s">
        <v>19</v>
      </c>
      <c r="D8" t="s">
        <v>20</v>
      </c>
      <c r="E8" t="s">
        <v>21</v>
      </c>
      <c r="F8" t="s">
        <v>22</v>
      </c>
      <c r="G8" t="s">
        <v>79</v>
      </c>
      <c r="I8" t="s">
        <v>24</v>
      </c>
      <c r="J8" t="s">
        <v>25</v>
      </c>
      <c r="K8" t="s">
        <v>80</v>
      </c>
      <c r="L8" t="s">
        <v>81</v>
      </c>
      <c r="M8" t="s">
        <v>82</v>
      </c>
      <c r="N8" t="s">
        <v>29</v>
      </c>
      <c r="O8" t="s">
        <v>83</v>
      </c>
      <c r="P8" t="s">
        <v>83</v>
      </c>
      <c r="Q8" t="s">
        <v>83</v>
      </c>
      <c r="R8" t="s">
        <v>33</v>
      </c>
      <c r="S8" t="s">
        <v>34</v>
      </c>
      <c r="U8" t="s">
        <v>35</v>
      </c>
      <c r="AC8" s="6" t="s">
        <v>482</v>
      </c>
      <c r="AD8">
        <f>COUNTIFS($D$1:$D$5000,"Мех: Котлы",$R$1:$R$5000,"Производство №1:ЭЛОУ-АВТ-6")</f>
        <v>0</v>
      </c>
      <c r="AE8">
        <f>COUNTIFS($D$1:$D$5000,"Мех: Котлы",$R$1:$R$5000,"Производство №1:Висбрекинг")</f>
        <v>0</v>
      </c>
      <c r="AF8">
        <f>COUNTIFS(D1:D5000,"Мех: Котлы",$R$1:$R$5000,"Производство №1:Установки элементарной серы и РХ-2")</f>
        <v>0</v>
      </c>
      <c r="AG8" s="5">
        <f t="shared" si="0"/>
        <v>0</v>
      </c>
      <c r="AH8">
        <f>COUNTIFS($D$1:$D$5000,"Мех: Котлы",$R$1:$R$5000,"Производство №2:Установка Изомеризации")</f>
        <v>0</v>
      </c>
      <c r="AI8">
        <f>COUNTIFS($D$1:$D$5000,"Мех: Котлы",$R$1:$R$5000,"Производство №2:Установка Лч-35-11-600")</f>
        <v>0</v>
      </c>
      <c r="AJ8" s="5">
        <f t="shared" si="1"/>
        <v>0</v>
      </c>
      <c r="AK8">
        <f>COUNTIFS($D$1:$D$5000,"Мех: Котлы",$R$1:$R$5000,"Производство №3:Цех №15:Участок по обслуживанию и ремонту промышленной канализации")</f>
        <v>0</v>
      </c>
      <c r="AL8">
        <f>COUNTIFS($D$1:$D$5000,"Мех: Котлы",$R$1:$R$5000,"Производство №3:Цех №11:Участок парогазопроводов и азотная станция")</f>
        <v>0</v>
      </c>
      <c r="AM8">
        <f>COUNTIFS($D$1:$D$5000,"Мех: Котлы",$R$1:$R$5000,"Производство №3:Цех №15:Установка биологической очистки сточных вод")</f>
        <v>0</v>
      </c>
      <c r="AN8">
        <f>COUNTIFS($D$1:$D$5000,"Мех: Котлы",$R$1:$R$5000,"Производство №3:Цех №11:Установка химводоочистка")</f>
        <v>0</v>
      </c>
      <c r="AO8">
        <f>COUNTIFS($D$1:$D$5000,"Мех: Котлы",$R$1:$R$5000,"Производство №3:Цех №15:Установка механической очистки промышленных стоков")</f>
        <v>0</v>
      </c>
      <c r="AP8">
        <f>COUNTIFS($D$1:$D$5000,"Мех: Котлы",$R$1:$R$5000,"Производство №3:Цех №11:Участок водоснабжения")</f>
        <v>0</v>
      </c>
      <c r="AQ8">
        <f>COUNTIFS($D$1:$D$5000,"Мех: Котлы",$R$1:$R$5000,"Производство №3:Цех №11:Участок оборотного водоснабжения и береговая насосная станция")</f>
        <v>0</v>
      </c>
      <c r="AR8">
        <f>COUNTIFS($D$1:$D$5000,"Мех: Котлы",$R$1:$R$5000,"Производство №3:Цех №15:Участок очистных сооружений")</f>
        <v>0</v>
      </c>
      <c r="AS8">
        <f>COUNTIFS($D$1:$D$5000,"Мех: Котлы",$R$1:$R$5000,"Производство №3:Цех №15:Участок по обслуживанию и ремонту факельного хозяйства")</f>
        <v>0</v>
      </c>
      <c r="AT8" s="5">
        <f t="shared" si="2"/>
        <v>0</v>
      </c>
      <c r="AU8">
        <f>COUNTIFS($D$1:$D$5000,"Мех: Котлы",$R$1:$R$5000,"Производство №4:Цех №7:Эстакада слива-налива нефти и нефтепродуктов")</f>
        <v>0</v>
      </c>
      <c r="AV8">
        <f>COUNTIFS($D$1:$D$5000,"Мех: Котлы",$R$1:$R$5000,"Производство №4:Участок резервуарный парк - паспортной продукции")</f>
        <v>0</v>
      </c>
      <c r="AW8">
        <f>COUNTIFS($D$1:$D$5000,"Мех: Котлы",$R$1:$R$5000,"Производство №4:Цех №8:Резервуарный парк")</f>
        <v>0</v>
      </c>
      <c r="AX8">
        <f>COUNTIFS($D$1:$D$5000,"Мех: Котлы",$R$1:$R$5000,"Производство №4:Эстакада слива-налива нефти и нефтепродуктов")</f>
        <v>0</v>
      </c>
      <c r="AY8" s="5">
        <f t="shared" si="3"/>
        <v>0</v>
      </c>
    </row>
    <row r="9" spans="1:51" x14ac:dyDescent="0.25">
      <c r="C9" t="s">
        <v>19</v>
      </c>
      <c r="D9" t="s">
        <v>20</v>
      </c>
      <c r="E9" t="s">
        <v>21</v>
      </c>
      <c r="F9" t="s">
        <v>84</v>
      </c>
      <c r="G9" t="s">
        <v>85</v>
      </c>
      <c r="I9" t="s">
        <v>86</v>
      </c>
      <c r="J9" t="s">
        <v>74</v>
      </c>
      <c r="L9" t="s">
        <v>87</v>
      </c>
      <c r="M9" t="s">
        <v>28</v>
      </c>
      <c r="N9" t="s">
        <v>29</v>
      </c>
      <c r="O9" t="s">
        <v>88</v>
      </c>
      <c r="P9" t="s">
        <v>89</v>
      </c>
      <c r="Q9" t="s">
        <v>90</v>
      </c>
      <c r="R9" t="s">
        <v>91</v>
      </c>
      <c r="S9" t="s">
        <v>34</v>
      </c>
      <c r="T9" t="s">
        <v>92</v>
      </c>
      <c r="U9" t="s">
        <v>92</v>
      </c>
      <c r="AC9" s="6" t="s">
        <v>483</v>
      </c>
      <c r="AD9">
        <f>COUNTIFS($D$1:$D$5000,"Мех: Здания и сооружения",$R$1:$R$5000,"Производство №1:ЭЛОУ-АВТ-6")</f>
        <v>0</v>
      </c>
      <c r="AE9">
        <f>COUNTIFS($D$1:$D$5000,"Мех: Здания и сооружения",$R$1:$R$5000,"Производство №1:Висбрекинг")</f>
        <v>0</v>
      </c>
      <c r="AF9">
        <f>COUNTIFS(D1:D5000,"Мех: Здания и сооружения",$R$1:$R$5000,"Производство №1:Установки элементарной серы и РХ-2")</f>
        <v>0</v>
      </c>
      <c r="AG9" s="5">
        <f t="shared" si="0"/>
        <v>0</v>
      </c>
      <c r="AH9">
        <f>COUNTIFS($D$1:$D$5000,"Мех: Здания и сооружения",$R$1:$R$5000,"Производство №2:Установка Изомеризации")</f>
        <v>1</v>
      </c>
      <c r="AI9">
        <f>COUNTIFS($D$1:$D$5000,"Мех: Здания и сооружения",$R$1:$R$5000,"Производство №2:Установка Лч-35-11-600")</f>
        <v>0</v>
      </c>
      <c r="AJ9" s="5">
        <f t="shared" si="1"/>
        <v>1</v>
      </c>
      <c r="AK9">
        <f>COUNTIFS($D$1:$D$5000,"Мех: Здания и сооружения",$R$1:$R$5000,"Производство №3:Цех №15:Участок по обслуживанию и ремонту промышленной канализации")</f>
        <v>0</v>
      </c>
      <c r="AL9">
        <f>COUNTIFS($D$1:$D$5000,"Мех: Здания и сооружения",$R$1:$R$5000,"Производство №3:Цех №11:Участок парогазопроводов и азотная станция")</f>
        <v>0</v>
      </c>
      <c r="AM9">
        <f>COUNTIFS($D$1:$D$5000,"Мех: Здания и сооружения",$R$1:$R$5000,"Производство №3:Цех №15:Установка биологической очистки сточных вод")</f>
        <v>0</v>
      </c>
      <c r="AN9">
        <f>COUNTIFS($D$1:$D$5000,"Мех: Здания и сооружения",$R$1:$R$5000,"Производство №3:Цех №11:Установка химводоочистка")</f>
        <v>0</v>
      </c>
      <c r="AO9">
        <f>COUNTIFS($D$1:$D$5000,"Мех: Здания и сооружения",$R$1:$R$5000,"Производство №3:Цех №15:Установка механической очистки промышленных стоков")</f>
        <v>0</v>
      </c>
      <c r="AP9">
        <f>COUNTIFS($D$1:$D$5000,"Мех: Здания и сооружения",$R$1:$R$5000,"Производство №3:Цех №11:Участок водоснабжения")</f>
        <v>0</v>
      </c>
      <c r="AQ9">
        <f>COUNTIFS($D$1:$D$5000,"Мех: Здания и сооружения",$R$1:$R$5000,"Производство №3:Цех №11:Участок оборотного водоснабжения и береговая насосная станция")</f>
        <v>0</v>
      </c>
      <c r="AR9">
        <f>COUNTIFS($D$1:$D$5000,"Мех: Здания и сооружения",$R$1:$R$5000,"Производство №3:Цех №15:Участок очистных сооружений")</f>
        <v>0</v>
      </c>
      <c r="AS9">
        <f>COUNTIFS($D$1:$D$5000,"Мех: Здания и сооружения",$R$1:$R$5000,"Производство №3:Цех №15:Участок по обслуживанию и ремонту факельного хозяйства")</f>
        <v>0</v>
      </c>
      <c r="AT9" s="5">
        <f t="shared" si="2"/>
        <v>0</v>
      </c>
      <c r="AU9">
        <f>COUNTIFS($D$1:$D$5000,"Мех: Здания и сооружения",$R$1:$R$5000,"Производство №4:Цех №7:Эстакада слива-налива нефти и нефтепродуктов")</f>
        <v>2</v>
      </c>
      <c r="AV9">
        <f>COUNTIFS($D$1:$D$5000,"Мех: Здания и сооружения",$R$1:$R$5000,"Производство №4:Участок резервуарный парк - паспортной продукции")</f>
        <v>1</v>
      </c>
      <c r="AW9">
        <f>COUNTIFS($D$1:$D$5000,"Мех: Здания и сооружения",$R$1:$R$5000,"Производство №4:Цех №8:Резервуарный парк")</f>
        <v>0</v>
      </c>
      <c r="AX9">
        <f>COUNTIFS($D$1:$D$5000,"Мех: Здания и сооружения",$R$1:$R$5000,"Производство №4:Эстакада слива-налива нефти и нефтепродуктов")</f>
        <v>0</v>
      </c>
      <c r="AY9" s="5">
        <f t="shared" si="3"/>
        <v>3</v>
      </c>
    </row>
    <row r="10" spans="1:51" x14ac:dyDescent="0.25">
      <c r="C10" t="s">
        <v>19</v>
      </c>
      <c r="D10" t="s">
        <v>93</v>
      </c>
      <c r="E10" t="s">
        <v>94</v>
      </c>
      <c r="F10" t="s">
        <v>95</v>
      </c>
      <c r="G10" t="s">
        <v>96</v>
      </c>
      <c r="I10" t="s">
        <v>97</v>
      </c>
      <c r="J10" t="s">
        <v>25</v>
      </c>
      <c r="K10" t="s">
        <v>98</v>
      </c>
      <c r="L10" t="s">
        <v>99</v>
      </c>
      <c r="M10" t="s">
        <v>28</v>
      </c>
      <c r="N10" t="s">
        <v>29</v>
      </c>
      <c r="O10" t="s">
        <v>100</v>
      </c>
      <c r="P10" t="s">
        <v>69</v>
      </c>
      <c r="Q10" t="s">
        <v>69</v>
      </c>
      <c r="R10" t="s">
        <v>101</v>
      </c>
      <c r="S10" t="s">
        <v>34</v>
      </c>
      <c r="U10" t="s">
        <v>102</v>
      </c>
      <c r="AC10" s="6" t="s">
        <v>490</v>
      </c>
      <c r="AD10">
        <f>COUNTIFS($D$1:$D$5000,"Мех: Насосы",$R$1:$R$5000,"Производство №1:ЭЛОУ-АВТ-6")</f>
        <v>1</v>
      </c>
      <c r="AE10">
        <f>COUNTIFS($D$1:$D$5000,"Мех: Насосы",$R$1:$R$5000,"Производство №1:Висбрекинг")</f>
        <v>3</v>
      </c>
      <c r="AF10">
        <f>COUNTIFS(D1:D5000,"Мех: Насосы",$R$1:$R$5000,"Производство №1:Установки элементарной серы и РХ-2")</f>
        <v>3</v>
      </c>
      <c r="AG10" s="4">
        <f t="shared" si="0"/>
        <v>7</v>
      </c>
      <c r="AH10">
        <f>COUNTIFS($D$1:$D$5000,"Мех: Насосы",$R$1:$R$5000,"Производство №2:Установка Изомеризации")</f>
        <v>2</v>
      </c>
      <c r="AI10">
        <f>COUNTIFS($D$1:$D$5000,"Мех: Насосы",$R$1:$R$5000,"Производство №2:Установка Лч-35-11-600")</f>
        <v>4</v>
      </c>
      <c r="AJ10" s="4">
        <f t="shared" si="1"/>
        <v>6</v>
      </c>
      <c r="AK10">
        <f>COUNTIFS($D$1:$D$5000,"Мех: Насосы",$R$1:$R$5000,"Производство №3:Цех №15:Участок по обслуживанию и ремонту промышленной канализации")</f>
        <v>0</v>
      </c>
      <c r="AL10">
        <f>COUNTIFS($D$1:$D$5000,"Мех: Насосы",$R$1:$R$5000,"Производство №3:Цех №11:Участок парогазопроводов и азотная станция")</f>
        <v>0</v>
      </c>
      <c r="AM10">
        <f>COUNTIFS($D$1:$D$5000,"Мех: Насосы",$R$1:$R$5000,"Производство №3:Цех №15:Установка биологической очистки сточных вод")</f>
        <v>0</v>
      </c>
      <c r="AN10">
        <f>COUNTIFS($D$1:$D$5000,"Мех: Насосы",$R$1:$R$5000,"Производство №3:Цех №11:Установка химводоочистка")</f>
        <v>3</v>
      </c>
      <c r="AO10">
        <f>COUNTIFS($D$1:$D$5000,"Мех: Насосы",$R$1:$R$5000,"Производство №3:Цех №15:Установка механической очистки промышленных стоков")</f>
        <v>1</v>
      </c>
      <c r="AP10">
        <f>COUNTIFS($D$1:$D$5000,"Мех: Насосы",$R$1:$R$5000,"Производство №3:Цех №11:Участок водоснабжения")</f>
        <v>1</v>
      </c>
      <c r="AQ10">
        <f>COUNTIFS($D$1:$D$5000,"Мех: Насосы",$R$1:$R$5000,"Производство №3:Цех №11:Участок оборотного водоснабжения и береговая насосная станция")</f>
        <v>0</v>
      </c>
      <c r="AR10">
        <f>COUNTIFS($D$1:$D$5000,"Мех: Насосы",$R$1:$R$5000,"Производство №3:Цех №15:Участок очистных сооружений")</f>
        <v>0</v>
      </c>
      <c r="AS10">
        <f>COUNTIFS($D$1:$D$5000,"Мех: Насосы",$R$1:$R$5000,"Производство №3:Цех №15:Участок по обслуживанию и ремонту факельного хозяйства")</f>
        <v>1</v>
      </c>
      <c r="AT10" s="4">
        <f t="shared" si="2"/>
        <v>6</v>
      </c>
      <c r="AU10">
        <f>COUNTIFS($D$1:$D$5000,"Мех: Насосы",$R$1:$R$5000,"Производство №4:Цех №7:Эстакада слива-налива нефти и нефтепродуктов")</f>
        <v>4</v>
      </c>
      <c r="AV10">
        <f>COUNTIFS($D$1:$D$5000,"Мех: Насосы",$R$1:$R$5000,"Производство №4:Участок резервуарный парк - паспортной продукции")</f>
        <v>9</v>
      </c>
      <c r="AW10">
        <f>COUNTIFS($D$1:$D$5000,"Мех: Насосы",$R$1:$R$5000,"Производство №4:Цех №8:Резервуарный парк")</f>
        <v>0</v>
      </c>
      <c r="AX10">
        <f>COUNTIFS($D$1:$D$5000,"Мех: Насосы",$R$1:$R$5000,"Производство №4:Эстакада слива-налива нефти и нефтепродуктов")</f>
        <v>1</v>
      </c>
      <c r="AY10" s="4">
        <f t="shared" si="3"/>
        <v>14</v>
      </c>
    </row>
    <row r="11" spans="1:51" x14ac:dyDescent="0.25">
      <c r="C11" t="s">
        <v>19</v>
      </c>
      <c r="D11" t="s">
        <v>20</v>
      </c>
      <c r="E11" t="s">
        <v>103</v>
      </c>
      <c r="F11" t="s">
        <v>104</v>
      </c>
      <c r="G11" t="s">
        <v>105</v>
      </c>
      <c r="J11" t="s">
        <v>74</v>
      </c>
      <c r="K11" t="s">
        <v>106</v>
      </c>
      <c r="L11" t="s">
        <v>107</v>
      </c>
      <c r="M11" t="s">
        <v>28</v>
      </c>
      <c r="N11" t="s">
        <v>29</v>
      </c>
      <c r="O11" t="s">
        <v>108</v>
      </c>
      <c r="P11" t="s">
        <v>108</v>
      </c>
      <c r="Q11" t="s">
        <v>108</v>
      </c>
      <c r="R11" t="s">
        <v>101</v>
      </c>
      <c r="S11" t="s">
        <v>34</v>
      </c>
      <c r="U11" t="s">
        <v>102</v>
      </c>
      <c r="AC11" s="6" t="s">
        <v>487</v>
      </c>
      <c r="AD11">
        <f>COUNTIFS($D$1:$D$5000,"Мех: Прочее машинное оборуд.",$R$1:$R$5000,"Производство №1:ЭЛОУ-АВТ-6")</f>
        <v>1</v>
      </c>
      <c r="AE11">
        <f>COUNTIFS($D$1:$D$5000,"Мех: Прочее машинное оборуд.",$R$1:$R$5000,"Производство №1:Висбрекинг")</f>
        <v>0</v>
      </c>
      <c r="AF11">
        <f>COUNTIFS(D1:D5000,"Мех: Прочее машинное оборуд.",$R$1:$R$5000,"Производство №1:Установки элементарной серы и РХ-2")</f>
        <v>0</v>
      </c>
      <c r="AG11" s="4">
        <f t="shared" si="0"/>
        <v>1</v>
      </c>
      <c r="AH11">
        <f>COUNTIFS($D$1:$D$5000,"Мех: Прочее машинное оборуд.",$R$1:$R$5000,"Производство №2:Установка Изомеризации")</f>
        <v>0</v>
      </c>
      <c r="AI11">
        <f>COUNTIFS($D$1:$D$5000,"Мех: Прочее машинное оборуд.",$R$1:$R$5000,"Производство №2:Установка Лч-35-11-600")</f>
        <v>0</v>
      </c>
      <c r="AJ11" s="4">
        <f t="shared" si="1"/>
        <v>0</v>
      </c>
      <c r="AK11">
        <f>COUNTIFS($D$1:$D$5000,"Мех: Прочее машинное оборуд.",$R$1:$R$5000,"Производство №3:Цех №15:Участок по обслуживанию и ремонту промышленной канализации")</f>
        <v>0</v>
      </c>
      <c r="AL11">
        <f>COUNTIFS($D$1:$D$5000,"Мех: Прочее машинное оборуд.",$R$1:$R$5000,"Производство №3:Цех №11:Участок парогазопроводов и азотная станция")</f>
        <v>0</v>
      </c>
      <c r="AM11">
        <f>COUNTIFS($D$1:$D$5000,"Мех: Прочее машинное оборуд.",$R$1:$R$5000,"Производство №3:Цех №15:Установка биологической очистки сточных вод")</f>
        <v>0</v>
      </c>
      <c r="AN11">
        <f>COUNTIFS($D$1:$D$5000,"Мех: Прочее машинное оборуд.",$R$1:$R$5000,"Производство №3:Цех №11:Установка химводоочистка")</f>
        <v>0</v>
      </c>
      <c r="AO11">
        <f>COUNTIFS($D$1:$D$5000,"Мех: Прочее машинное оборуд.",$R$1:$R$5000,"Производство №3:Цех №15:Установка механической очистки промышленных стоков")</f>
        <v>2</v>
      </c>
      <c r="AP11">
        <f>COUNTIFS($D$1:$D$5000,"Мех: Прочее машинное оборуд.",$R$1:$R$5000,"Производство №3:Цех №11:Участок водоснабжения")</f>
        <v>0</v>
      </c>
      <c r="AQ11">
        <f>COUNTIFS($D$1:$D$5000,"Мех: Прочее машинное оборуд.",$R$1:$R$5000,"Производство №3:Цех №11:Участок оборотного водоснабжения и береговая насосная станция")</f>
        <v>0</v>
      </c>
      <c r="AR11">
        <f>COUNTIFS($D$1:$D$5000,"Мех: Прочее машинное оборуд.",$R$1:$R$5000,"Производство №3:Цех №15:Участок очистных сооружений")</f>
        <v>0</v>
      </c>
      <c r="AS11">
        <f>COUNTIFS($D$1:$D$5000,"Мех: Прочее машинное оборуд.",$R$1:$R$5000,"Производство №3:Цех №15:Участок по обслуживанию и ремонту факельного хозяйства")</f>
        <v>0</v>
      </c>
      <c r="AT11" s="4">
        <f t="shared" si="2"/>
        <v>2</v>
      </c>
      <c r="AU11">
        <f>COUNTIFS($D$1:$D$5000,"Мех: Прочее машинное оборуд.",$R$1:$R$5000,"Производство №4:Цех №7:Эстакада слива-налива нефти и нефтепродуктов")</f>
        <v>12</v>
      </c>
      <c r="AV11">
        <f>COUNTIFS($D$1:$D$5000,"Мех: Прочее машинное оборуд.",$R$1:$R$5000,"Производство №4:Участок резервуарный парк - паспортной продукции")</f>
        <v>0</v>
      </c>
      <c r="AW11">
        <f>COUNTIFS($D$1:$D$5000,"Мех: Прочее машинное оборуд.",$R$1:$R$5000,"Производство №4:Цех №8:Резервуарный парк")</f>
        <v>0</v>
      </c>
      <c r="AX11">
        <f>COUNTIFS($D$1:$D$5000,"Мех: Прочее машинное оборуд.",$R$1:$R$5000,"Производство №4:Эстакада слива-налива нефти и нефтепродуктов")</f>
        <v>0</v>
      </c>
      <c r="AY11" s="4">
        <f t="shared" si="3"/>
        <v>12</v>
      </c>
    </row>
    <row r="12" spans="1:51" x14ac:dyDescent="0.25">
      <c r="C12" t="s">
        <v>19</v>
      </c>
      <c r="D12" t="s">
        <v>43</v>
      </c>
      <c r="E12" t="s">
        <v>44</v>
      </c>
      <c r="F12" t="s">
        <v>109</v>
      </c>
      <c r="J12" t="s">
        <v>25</v>
      </c>
      <c r="K12" t="s">
        <v>110</v>
      </c>
      <c r="L12" t="s">
        <v>111</v>
      </c>
      <c r="M12" t="s">
        <v>28</v>
      </c>
      <c r="N12" t="s">
        <v>29</v>
      </c>
      <c r="O12" t="s">
        <v>108</v>
      </c>
      <c r="P12" t="s">
        <v>108</v>
      </c>
      <c r="Q12" t="s">
        <v>108</v>
      </c>
      <c r="R12" t="s">
        <v>101</v>
      </c>
      <c r="S12" t="s">
        <v>34</v>
      </c>
      <c r="U12" t="s">
        <v>102</v>
      </c>
      <c r="AC12" s="6" t="s">
        <v>488</v>
      </c>
      <c r="AD12">
        <f>COUNTIFS($D$1:$D$5000,"Эл: Электродвигателиреват.",$R$1:$R$5000,"Производство №1:ЭЛОУ-АВТ-6")</f>
        <v>1</v>
      </c>
      <c r="AE12">
        <f>COUNTIFS($D$1:$D$5000,"Эл: Электродвигателиреват.",$R$1:$R$5000,"Производство №1:Висбрекинг")</f>
        <v>0</v>
      </c>
      <c r="AF12">
        <f>COUNTIFS(D1:D5000,"Эл: Электродвигателиреват.",$R$1:$R$5000,"Производство №1:Установки элементарной серы и РХ-2")</f>
        <v>0</v>
      </c>
      <c r="AG12" s="4">
        <f t="shared" si="0"/>
        <v>1</v>
      </c>
      <c r="AH12">
        <f>COUNTIFS($D$1:$D$5000,"Эл: Электродвигателиреват.",$R$1:$R$5000,"Производство №2:Установка Изомеризации")</f>
        <v>2</v>
      </c>
      <c r="AI12">
        <f>COUNTIFS($D$1:$D$5000,"Эл: Электродвигателиреват.",$R$1:$R$5000,"Производство №2:Установка Лч-35-11-600")</f>
        <v>0</v>
      </c>
      <c r="AJ12" s="4">
        <f t="shared" si="1"/>
        <v>2</v>
      </c>
      <c r="AK12">
        <f>COUNTIFS($D$1:$D$5000,"Эл: Электродвигателиреват.",$R$1:$R$5000,"Производство №3:Цех №15:Участок по обслуживанию и ремонту промышленной канализации")</f>
        <v>0</v>
      </c>
      <c r="AL12">
        <f>COUNTIFS($D$1:$D$5000,"Эл: Электродвигателиреват.",$R$1:$R$5000,"Производство №3:Цех №11:Участок парогазопроводов и азотная станция")</f>
        <v>0</v>
      </c>
      <c r="AM12">
        <f>COUNTIFS($D$1:$D$5000,"Эл: Электродвигателиреват.",$R$1:$R$5000,"Производство №3:Цех №15:Установка биологической очистки сточных вод")</f>
        <v>0</v>
      </c>
      <c r="AN12">
        <f>COUNTIFS($D$1:$D$5000,"Эл: Электродвигателиреват.",$R$1:$R$5000,"Производство №3:Цех №11:Установка химводоочистка")</f>
        <v>0</v>
      </c>
      <c r="AO12">
        <f>COUNTIFS($D$1:$D$5000,"Эл: Электродвигателиреват.",$R$1:$R$5000,"Производство №3:Цех №15:Установка механической очистки промышленных стоков")</f>
        <v>0</v>
      </c>
      <c r="AP12">
        <f>COUNTIFS($D$1:$D$5000,"Эл: Электродвигателиреват.",$R$1:$R$5000,"Производство №3:Цех №11:Участок водоснабжения")</f>
        <v>0</v>
      </c>
      <c r="AQ12">
        <f>COUNTIFS($D$1:$D$5000,"Эл: Электродвигателиреват.",$R$1:$R$5000,"Производство №3:Цех №11:Участок оборотного водоснабжения и береговая насосная станция")</f>
        <v>0</v>
      </c>
      <c r="AR12">
        <f>COUNTIFS($D$1:$D$5000,"Эл: Электродвигателиреват.",$R$1:$R$5000,"Производство №3:Цех №15:Участок очистных сооружений")</f>
        <v>0</v>
      </c>
      <c r="AS12">
        <f>COUNTIFS($D$1:$D$5000,"Эл: Электродвигателиреват.",$R$1:$R$5000,"Производство №3:Цех №15:Участок по обслуживанию и ремонту факельного хозяйства")</f>
        <v>0</v>
      </c>
      <c r="AT12" s="4">
        <f t="shared" si="2"/>
        <v>0</v>
      </c>
      <c r="AU12">
        <f>COUNTIFS($D$1:$D$5000,"Эл: Электродвигателиреват.",$R$1:$R$5000,"Производство №4:Цех №7:Эстакада слива-налива нефти и нефтепродуктов")</f>
        <v>0</v>
      </c>
      <c r="AV12">
        <f>COUNTIFS($D$1:$D$5000,"Эл: Электродвигателиреват.",$R$1:$R$5000,"Производство №4:Участок резервуарный парк - паспортной продукции")</f>
        <v>2</v>
      </c>
      <c r="AW12">
        <f>COUNTIFS($D$1:$D$5000,"Эл: Электродвигателиреват.",$R$1:$R$5000,"Производство №4:Цех №8:Резервуарный парк")</f>
        <v>1</v>
      </c>
      <c r="AX12">
        <f>COUNTIFS($D$1:$D$5000,"Эл: Электродвигателиреват.",$R$1:$R$5000,"Производство №4:Эстакада слива-налива нефти и нефтепродуктов")</f>
        <v>0</v>
      </c>
      <c r="AY12" s="4">
        <f t="shared" si="3"/>
        <v>3</v>
      </c>
    </row>
    <row r="13" spans="1:51" x14ac:dyDescent="0.25">
      <c r="C13" t="s">
        <v>19</v>
      </c>
      <c r="D13" t="s">
        <v>43</v>
      </c>
      <c r="E13" t="s">
        <v>44</v>
      </c>
      <c r="F13" t="s">
        <v>112</v>
      </c>
      <c r="J13" t="s">
        <v>25</v>
      </c>
      <c r="K13" t="s">
        <v>113</v>
      </c>
      <c r="L13" t="s">
        <v>111</v>
      </c>
      <c r="M13" t="s">
        <v>28</v>
      </c>
      <c r="N13" t="s">
        <v>29</v>
      </c>
      <c r="O13" t="s">
        <v>114</v>
      </c>
      <c r="P13" t="s">
        <v>114</v>
      </c>
      <c r="Q13" t="s">
        <v>114</v>
      </c>
      <c r="R13" t="s">
        <v>101</v>
      </c>
      <c r="S13" t="s">
        <v>34</v>
      </c>
      <c r="U13" t="s">
        <v>102</v>
      </c>
      <c r="AC13" s="6" t="s">
        <v>489</v>
      </c>
      <c r="AD13">
        <f>COUNTIFS($D$1:$D$5000,"Эл: Электрооборуд-е аппаратов",$R$1:$R$5000,"Производство №1:ЭЛОУ-АВТ-6")</f>
        <v>0</v>
      </c>
      <c r="AE13">
        <f>COUNTIFS($D$1:$D$5000,"Эл: Электрооборуд-е аппаратов",$R$1:$R$5000,"Производство №1:Висбрекинг")</f>
        <v>0</v>
      </c>
      <c r="AF13">
        <f>COUNTIFS(D1:D5000,"Эл: Электрооборуд-е аппаратов",$R$1:$R$5000,"Производство №1:Установки элементарной серы и РХ-2")</f>
        <v>0</v>
      </c>
      <c r="AG13" s="4">
        <f t="shared" si="0"/>
        <v>0</v>
      </c>
      <c r="AH13">
        <f>COUNTIFS($D$1:$D$5000,"Эл: Электрооборуд-е аппаратов",$R$1:$R$5000,"Производство №2:Установка Изомеризации")</f>
        <v>0</v>
      </c>
      <c r="AI13">
        <f>COUNTIFS($D$1:$D$5000,"Эл: Электрооборуд-е аппаратов",$R$1:$R$5000,"Производство №2:Установка Лч-35-11-600")</f>
        <v>0</v>
      </c>
      <c r="AJ13" s="4">
        <f t="shared" si="1"/>
        <v>0</v>
      </c>
      <c r="AK13">
        <f>COUNTIFS($D$1:$D$5000,"Эл: Электрооборуд-е аппаратов",$R$1:$R$5000,"Производство №3:Цех №15:Участок по обслуживанию и ремонту промышленной канализации")</f>
        <v>0</v>
      </c>
      <c r="AL13">
        <f>COUNTIFS($D$1:$D$5000,"Эл: Электрооборуд-е аппаратов",$R$1:$R$5000,"Производство №3:Цех №11:Участок парогазопроводов и азотная станция")</f>
        <v>0</v>
      </c>
      <c r="AM13">
        <f>COUNTIFS($D$1:$D$5000,"Эл: Электрооборуд-е аппаратов",$R$1:$R$5000,"Производство №3:Цех №15:Установка биологической очистки сточных вод")</f>
        <v>0</v>
      </c>
      <c r="AN13">
        <f>COUNTIFS($D$1:$D$5000,"Эл: Электрооборуд-е аппаратов",$R$1:$R$5000,"Производство №3:Цех №11:Установка химводоочистка")</f>
        <v>0</v>
      </c>
      <c r="AO13">
        <f>COUNTIFS($D$1:$D$5000,"Эл: Электрооборуд-е аппаратов",$R$1:$R$5000,"Производство №3:Цех №15:Установка механической очистки промышленных стоков")</f>
        <v>0</v>
      </c>
      <c r="AP13">
        <f>COUNTIFS($D$1:$D$5000,"Эл: Электрооборуд-е аппаратов",$R$1:$R$5000,"Производство №3:Цех №11:Участок водоснабжения")</f>
        <v>0</v>
      </c>
      <c r="AQ13">
        <f>COUNTIFS($D$1:$D$5000,"Эл: Электрооборуд-е аппаратов",$R$1:$R$5000,"Производство №3:Цех №11:Участок оборотного водоснабжения и береговая насосная станция")</f>
        <v>0</v>
      </c>
      <c r="AR13">
        <f>COUNTIFS($D$1:$D$5000,"Эл: Электрооборуд-е аппаратов",$R$1:$R$5000,"Производство №3:Цех №15:Участок очистных сооружений")</f>
        <v>0</v>
      </c>
      <c r="AS13">
        <f>COUNTIFS($D$1:$D$5000,"Эл: Электрооборуд-е аппаратов",$R$1:$R$5000,"Производство №3:Цех №15:Участок по обслуживанию и ремонту факельного хозяйства")</f>
        <v>0</v>
      </c>
      <c r="AT13" s="4">
        <f t="shared" si="2"/>
        <v>0</v>
      </c>
      <c r="AU13">
        <f>COUNTIFS($D$1:$D$5000,"Эл: Электрооборуд-е аппаратов",$R$1:$R$5000,"Производство №4:Цех №7:Эстакада слива-налива нефти и нефтепродуктов")</f>
        <v>0</v>
      </c>
      <c r="AV13">
        <f>COUNTIFS($D$1:$D$5000,"Эл: Электрооборуд-е аппаратов",$R$1:$R$5000,"Производство №4:Участок резервуарный парк - паспортной продукции")</f>
        <v>1</v>
      </c>
      <c r="AW13">
        <f>COUNTIFS($D$1:$D$5000,"Эл: Электрооборуд-е аппаратов",$R$1:$R$5000,"Производство №4:Цех №8:Резервуарный парк")</f>
        <v>0</v>
      </c>
      <c r="AX13">
        <f>COUNTIFS($D$1:$D$5000,"Эл: Электрооборуд-е аппаратов",$R$1:$R$5000,"Производство №4:Эстакада слива-налива нефти и нефтепродуктов")</f>
        <v>0</v>
      </c>
      <c r="AY13" s="4">
        <f t="shared" si="3"/>
        <v>1</v>
      </c>
    </row>
    <row r="14" spans="1:51" x14ac:dyDescent="0.25">
      <c r="C14" t="s">
        <v>19</v>
      </c>
      <c r="D14" t="s">
        <v>43</v>
      </c>
      <c r="E14" t="s">
        <v>44</v>
      </c>
      <c r="F14" t="s">
        <v>115</v>
      </c>
      <c r="G14" t="s">
        <v>116</v>
      </c>
      <c r="J14" t="s">
        <v>74</v>
      </c>
      <c r="K14" t="s">
        <v>117</v>
      </c>
      <c r="L14" t="s">
        <v>87</v>
      </c>
      <c r="M14" t="s">
        <v>82</v>
      </c>
      <c r="N14" t="s">
        <v>29</v>
      </c>
      <c r="O14" t="s">
        <v>118</v>
      </c>
      <c r="P14" t="s">
        <v>50</v>
      </c>
      <c r="Q14" t="s">
        <v>63</v>
      </c>
      <c r="R14" t="s">
        <v>119</v>
      </c>
      <c r="S14" t="s">
        <v>34</v>
      </c>
      <c r="T14" t="s">
        <v>120</v>
      </c>
      <c r="U14" t="s">
        <v>120</v>
      </c>
      <c r="AC14" s="6" t="s">
        <v>491</v>
      </c>
      <c r="AD14">
        <f>COUNTIFS($D$1:$D$5000,"Мех: Системы вентиляции",$R$1:$R$5000,"Производство №1:ЭЛОУ-АВТ-6")</f>
        <v>0</v>
      </c>
      <c r="AE14">
        <f>COUNTIFS($D$1:$D$5000,"Мех: Системы вентиляции",$R$1:$R$5000,"Производство №1:Висбрекинг")</f>
        <v>0</v>
      </c>
      <c r="AF14">
        <f>COUNTIFS(D1:D5000,"Мех: Системы вентиляции",$R$1:$R$5000,"Производство №1:Установки элементарной серы и РХ-2")</f>
        <v>0</v>
      </c>
      <c r="AG14" s="4">
        <f t="shared" si="0"/>
        <v>0</v>
      </c>
      <c r="AH14">
        <f>COUNTIFS($D$1:$D$5000,"Мех: Системы вентиляции",$R$1:$R$5000,"Производство №2:Установка Изомеризации")</f>
        <v>0</v>
      </c>
      <c r="AI14">
        <f>COUNTIFS($D$1:$D$5000,"Мех: Системы вентиляции",$R$1:$R$5000,"Производство №2:Установка Лч-35-11-600")</f>
        <v>0</v>
      </c>
      <c r="AJ14" s="4">
        <f t="shared" si="1"/>
        <v>0</v>
      </c>
      <c r="AK14">
        <f>COUNTIFS($D$1:$D$5000,"Мех: Системы вентиляции",$R$1:$R$5000,"Производство №3:Цех №15:Участок по обслуживанию и ремонту промышленной канализации")</f>
        <v>0</v>
      </c>
      <c r="AL14">
        <f>COUNTIFS($D$1:$D$5000,"Мех: Системы вентиляции",$R$1:$R$5000,"Производство №3:Цех №11:Участок парогазопроводов и азотная станция")</f>
        <v>0</v>
      </c>
      <c r="AM14">
        <f>COUNTIFS($D$1:$D$5000,"Мех: Системы вентиляции",$R$1:$R$5000,"Производство №3:Цех №15:Установка биологической очистки сточных вод")</f>
        <v>0</v>
      </c>
      <c r="AN14">
        <f>COUNTIFS($D$1:$D$5000,"Мех: Системы вентиляции",$R$1:$R$5000,"Производство №3:Цех №11:Установка химводоочистка")</f>
        <v>0</v>
      </c>
      <c r="AO14">
        <f>COUNTIFS($D$1:$D$5000,"Мех: Системы вентиляции",$R$1:$R$5000,"Производство №3:Цех №15:Установка механической очистки промышленных стоков")</f>
        <v>0</v>
      </c>
      <c r="AP14">
        <f>COUNTIFS($D$1:$D$5000,"Мех: Системы вентиляции",$R$1:$R$5000,"Производство №3:Цех №11:Участок водоснабжения")</f>
        <v>0</v>
      </c>
      <c r="AQ14">
        <f>COUNTIFS($D$1:$D$5000,"Мех: Системы вентиляции",$R$1:$R$5000,"Производство №3:Цех №11:Участок оборотного водоснабжения и береговая насосная станция")</f>
        <v>0</v>
      </c>
      <c r="AR14">
        <f>COUNTIFS($D$1:$D$5000,"Мех: Системы вентиляции",$R$1:$R$5000,"Производство №3:Цех №15:Участок очистных сооружений")</f>
        <v>0</v>
      </c>
      <c r="AS14">
        <f>COUNTIFS($D$1:$D$5000,"Мех: Системы вентиляции",$R$1:$R$5000,"Производство №3:Цех №15:Участок по обслуживанию и ремонту факельного хозяйства")</f>
        <v>0</v>
      </c>
      <c r="AT14" s="4">
        <f t="shared" si="2"/>
        <v>0</v>
      </c>
      <c r="AU14">
        <f>COUNTIFS($D$1:$D$5000,"Мех: Системы вентиляции",$R$1:$R$5000,"Производство №4:Цех №7:Эстакада слива-налива нефти и нефтепродуктов")</f>
        <v>2</v>
      </c>
      <c r="AV14">
        <f>COUNTIFS($D$1:$D$5000,"Мех: Системы вентиляции",$R$1:$R$5000,"Производство №4:Участок резервуарный парк - паспортной продукции")</f>
        <v>2</v>
      </c>
      <c r="AW14">
        <f>COUNTIFS($D$1:$D$5000,"Мех: Системы вентиляции",$R$1:$R$5000,"Производство №4:Цех №8:Резервуарный парк")</f>
        <v>0</v>
      </c>
      <c r="AX14">
        <f>COUNTIFS($D$1:$D$5000,"Мех: Системы вентиляции",$R$1:$R$5000,"Производство №4:Эстакада слива-налива нефти и нефтепродуктов")</f>
        <v>0</v>
      </c>
      <c r="AY14" s="4">
        <f t="shared" si="3"/>
        <v>4</v>
      </c>
    </row>
    <row r="15" spans="1:51" x14ac:dyDescent="0.25">
      <c r="C15" t="s">
        <v>19</v>
      </c>
      <c r="D15" t="s">
        <v>20</v>
      </c>
      <c r="E15" t="s">
        <v>70</v>
      </c>
      <c r="F15" t="s">
        <v>121</v>
      </c>
      <c r="G15" t="s">
        <v>122</v>
      </c>
      <c r="H15">
        <v>24012290</v>
      </c>
      <c r="I15" t="s">
        <v>123</v>
      </c>
      <c r="J15" t="s">
        <v>74</v>
      </c>
      <c r="K15" t="s">
        <v>124</v>
      </c>
      <c r="L15" t="s">
        <v>125</v>
      </c>
      <c r="M15" t="s">
        <v>28</v>
      </c>
      <c r="N15" t="s">
        <v>29</v>
      </c>
      <c r="O15" t="s">
        <v>118</v>
      </c>
      <c r="P15" t="s">
        <v>83</v>
      </c>
      <c r="Q15" t="s">
        <v>108</v>
      </c>
      <c r="R15" t="s">
        <v>119</v>
      </c>
      <c r="S15" t="s">
        <v>34</v>
      </c>
      <c r="T15" t="s">
        <v>120</v>
      </c>
      <c r="U15" t="s">
        <v>120</v>
      </c>
      <c r="AC15" s="6" t="s">
        <v>484</v>
      </c>
      <c r="AD15">
        <f>SUM(AD10:AD14)</f>
        <v>3</v>
      </c>
      <c r="AE15">
        <f t="shared" ref="AE15:AF15" si="4">SUM(AE10:AE14)</f>
        <v>3</v>
      </c>
      <c r="AF15">
        <f t="shared" si="4"/>
        <v>3</v>
      </c>
      <c r="AG15" s="5">
        <f t="shared" si="0"/>
        <v>9</v>
      </c>
      <c r="AH15">
        <f>SUM(AH10:AH14)</f>
        <v>4</v>
      </c>
      <c r="AI15">
        <f>SUM(AI10:AI14)</f>
        <v>4</v>
      </c>
      <c r="AJ15" s="5">
        <f t="shared" si="1"/>
        <v>8</v>
      </c>
      <c r="AK15">
        <f t="shared" ref="AK15:AS15" si="5">SUM(AK10:AK14)</f>
        <v>0</v>
      </c>
      <c r="AL15">
        <f t="shared" si="5"/>
        <v>0</v>
      </c>
      <c r="AM15">
        <f t="shared" si="5"/>
        <v>0</v>
      </c>
      <c r="AN15">
        <f t="shared" si="5"/>
        <v>3</v>
      </c>
      <c r="AO15">
        <f t="shared" si="5"/>
        <v>3</v>
      </c>
      <c r="AP15">
        <f t="shared" si="5"/>
        <v>1</v>
      </c>
      <c r="AQ15">
        <f t="shared" si="5"/>
        <v>0</v>
      </c>
      <c r="AR15">
        <f t="shared" si="5"/>
        <v>0</v>
      </c>
      <c r="AS15">
        <f t="shared" si="5"/>
        <v>1</v>
      </c>
      <c r="AT15" s="5">
        <f t="shared" si="2"/>
        <v>8</v>
      </c>
      <c r="AU15">
        <f t="shared" ref="AU15:AX15" si="6">SUM(AU10:AU14)</f>
        <v>18</v>
      </c>
      <c r="AV15">
        <f t="shared" si="6"/>
        <v>14</v>
      </c>
      <c r="AW15">
        <f t="shared" si="6"/>
        <v>1</v>
      </c>
      <c r="AX15">
        <f t="shared" si="6"/>
        <v>1</v>
      </c>
      <c r="AY15" s="5">
        <f t="shared" si="3"/>
        <v>34</v>
      </c>
    </row>
    <row r="16" spans="1:51" ht="30" x14ac:dyDescent="0.25">
      <c r="C16" t="s">
        <v>19</v>
      </c>
      <c r="D16" t="s">
        <v>54</v>
      </c>
      <c r="E16" t="s">
        <v>55</v>
      </c>
      <c r="F16" t="s">
        <v>126</v>
      </c>
      <c r="G16" t="s">
        <v>57</v>
      </c>
      <c r="H16">
        <v>20000072</v>
      </c>
      <c r="I16" t="s">
        <v>127</v>
      </c>
      <c r="J16" t="s">
        <v>59</v>
      </c>
      <c r="K16" s="2" t="s">
        <v>128</v>
      </c>
      <c r="L16" t="s">
        <v>129</v>
      </c>
      <c r="M16" t="s">
        <v>28</v>
      </c>
      <c r="N16" t="s">
        <v>29</v>
      </c>
      <c r="O16" t="s">
        <v>130</v>
      </c>
      <c r="P16" t="s">
        <v>118</v>
      </c>
      <c r="Q16" t="s">
        <v>131</v>
      </c>
      <c r="R16" t="s">
        <v>52</v>
      </c>
      <c r="S16" t="s">
        <v>34</v>
      </c>
      <c r="U16" t="s">
        <v>53</v>
      </c>
      <c r="AC16" s="6" t="s">
        <v>485</v>
      </c>
      <c r="AD16">
        <f>COUNTIFS($D$1:$D$5000,"Мех: Резервуары",$R$1:$R$5000,"Производство №1:ЭЛОУ-АВТ-6")</f>
        <v>0</v>
      </c>
      <c r="AE16">
        <f>COUNTIFS($D$1:$D$5000,"Мех: Резервуары",$R$1:$R$5000,"Производство №1:Висбрекинг")</f>
        <v>0</v>
      </c>
      <c r="AF16">
        <f>COUNTIFS(D1:D5000,"Мех: Резервуары",$R$1:$R$5000,"Производство №1:Установки элементарной серы и РХ-2")</f>
        <v>0</v>
      </c>
      <c r="AG16" s="5">
        <f t="shared" si="0"/>
        <v>0</v>
      </c>
      <c r="AH16">
        <f>COUNTIFS($D$1:$D$5000,"Мех: Резервуары",$R$1:$R$5000,"Производство №2:Установка Изомеризации")</f>
        <v>0</v>
      </c>
      <c r="AI16">
        <f>COUNTIFS($D$1:$D$5000,"Мех: Резервуары",$R$1:$R$5000,"Производство №2:Установка Лч-35-11-600")</f>
        <v>0</v>
      </c>
      <c r="AJ16" s="5">
        <f t="shared" si="1"/>
        <v>0</v>
      </c>
      <c r="AK16">
        <f>COUNTIFS($D$1:$D$5000,"Мех: Резервуары",$R$1:$R$5000,"Производство №3:Цех №15:Участок по обслуживанию и ремонту промышленной канализации")</f>
        <v>0</v>
      </c>
      <c r="AL16">
        <f>COUNTIFS($D$1:$D$5000,"Мех: Резервуары",$R$1:$R$5000,"Производство №3:Цех №11:Участок парогазопроводов и азотная станция")</f>
        <v>0</v>
      </c>
      <c r="AM16">
        <f>COUNTIFS($D$1:$D$5000,"Мех: Резервуары",$R$1:$R$5000,"Производство №3:Цех №15:Установка биологической очистки сточных вод")</f>
        <v>0</v>
      </c>
      <c r="AN16">
        <f>COUNTIFS($D$1:$D$5000,"Мех: Резервуары",$R$1:$R$5000,"Производство №3:Цех №11:Установка химводоочистка")</f>
        <v>0</v>
      </c>
      <c r="AO16">
        <f>COUNTIFS($D$1:$D$5000,"Мех: Резервуары",$R$1:$R$5000,"Производство №3:Цех №15:Установка механической очистки промышленных стоков")</f>
        <v>0</v>
      </c>
      <c r="AP16">
        <f>COUNTIFS($D$1:$D$5000,"Мех: Резервуары",$R$1:$R$5000,"Производство №3:Цех №11:Участок водоснабжения")</f>
        <v>0</v>
      </c>
      <c r="AQ16">
        <f>COUNTIFS($D$1:$D$5000,"Мех: Резервуары",$R$1:$R$5000,"Производство №3:Цех №11:Участок оборотного водоснабжения и береговая насосная станция")</f>
        <v>0</v>
      </c>
      <c r="AR16">
        <f>COUNTIFS($D$1:$D$5000,"Мех: Резервуары",$R$1:$R$5000,"Производство №3:Цех №15:Участок очистных сооружений")</f>
        <v>0</v>
      </c>
      <c r="AS16">
        <f>COUNTIFS($D$1:$D$5000,"Мех: Резервуары",$R$1:$R$5000,"Производство №3:Цех №15:Участок по обслуживанию и ремонту факельного хозяйства")</f>
        <v>0</v>
      </c>
      <c r="AT16" s="5">
        <f t="shared" si="2"/>
        <v>0</v>
      </c>
      <c r="AU16">
        <f>COUNTIFS($D$1:$D$5000,"Мех: Резервуары",$R$1:$R$5000,"Производство №4:Цех №7:Эстакада слива-налива нефти и нефтепродуктов")</f>
        <v>0</v>
      </c>
      <c r="AV16">
        <f>COUNTIFS($D$1:$D$5000,"Мех: Резервуары",$R$1:$R$5000,"Производство №4:Участок резервуарный парк - паспортной продукции")</f>
        <v>1</v>
      </c>
      <c r="AW16">
        <f>COUNTIFS($D$1:$D$5000,"Мех: Резервуары",$R$1:$R$5000,"Производство №4:Цех №8:Резервуарный парк")</f>
        <v>0</v>
      </c>
      <c r="AX16">
        <f>COUNTIFS($D$1:$D$5000,"Мех: Резервуары",$R$1:$R$5000,"Производство №4:Эстакада слива-налива нефти и нефтепродуктов")</f>
        <v>0</v>
      </c>
      <c r="AY16" s="5">
        <f t="shared" si="3"/>
        <v>1</v>
      </c>
    </row>
    <row r="17" spans="3:51" x14ac:dyDescent="0.25">
      <c r="C17" t="s">
        <v>19</v>
      </c>
      <c r="D17" t="s">
        <v>20</v>
      </c>
      <c r="E17" t="s">
        <v>21</v>
      </c>
      <c r="F17" t="s">
        <v>132</v>
      </c>
      <c r="G17" t="s">
        <v>133</v>
      </c>
      <c r="H17">
        <v>24012473</v>
      </c>
      <c r="I17" t="s">
        <v>134</v>
      </c>
      <c r="J17" t="s">
        <v>25</v>
      </c>
      <c r="K17" t="s">
        <v>135</v>
      </c>
      <c r="L17" t="s">
        <v>136</v>
      </c>
      <c r="M17" t="s">
        <v>28</v>
      </c>
      <c r="N17" t="s">
        <v>29</v>
      </c>
      <c r="O17" t="s">
        <v>130</v>
      </c>
      <c r="P17" t="s">
        <v>130</v>
      </c>
      <c r="Q17" t="s">
        <v>130</v>
      </c>
      <c r="R17" t="s">
        <v>33</v>
      </c>
      <c r="S17" t="s">
        <v>34</v>
      </c>
      <c r="U17" t="s">
        <v>35</v>
      </c>
      <c r="AC17" s="6" t="s">
        <v>486</v>
      </c>
      <c r="AD17">
        <f>COUNTIFS($D$1:$D$5000,"Мех: Аппараты и сосуды",$R$1:$R$5000,"Производство №1:ЭЛОУ-АВТ-6")</f>
        <v>0</v>
      </c>
      <c r="AE17">
        <f>COUNTIFS($D$1:$D$5000,"Мех: Аппараты и сосуды",$R$1:$R$5000,"Производство №1:Висбрекинг")</f>
        <v>0</v>
      </c>
      <c r="AF17">
        <f>COUNTIFS(D1:D5000,"Мех: Аппараты и сосуды",$R$1:$R$5000,"Производство №1:Установки элементарной серы и РХ-2")</f>
        <v>0</v>
      </c>
      <c r="AG17" s="5">
        <f t="shared" si="0"/>
        <v>0</v>
      </c>
      <c r="AH17">
        <f>COUNTIFS($D$1:$D$5000,"Мех: Аппараты и сосуды",$R$1:$R$5000,"Производство №2:Установка Изомеризации")</f>
        <v>1</v>
      </c>
      <c r="AI17">
        <f>COUNTIFS($D$1:$D$5000,"Мех: Аппараты и сосуды",$R$1:$R$5000,"Производство №2:Установка Лч-35-11-600")</f>
        <v>0</v>
      </c>
      <c r="AJ17" s="5">
        <f t="shared" si="1"/>
        <v>1</v>
      </c>
      <c r="AK17">
        <f>COUNTIFS($D$1:$D$5000,"Мех: Аппараты и сосуды",$R$1:$R$5000,"Производство №3:Цех №15:Участок по обслуживанию и ремонту промышленной канализации")</f>
        <v>0</v>
      </c>
      <c r="AL17">
        <f>COUNTIFS($D$1:$D$5000,"Мех: Аппараты и сосуды",$R$1:$R$5000,"Производство №3:Цех №11:Участок парогазопроводов и азотная станция")</f>
        <v>0</v>
      </c>
      <c r="AM17">
        <f>COUNTIFS($D$1:$D$5000,"Мех: Аппараты и сосуды",$R$1:$R$5000,"Производство №3:Цех №15:Установка биологической очистки сточных вод")</f>
        <v>0</v>
      </c>
      <c r="AN17">
        <f>COUNTIFS($D$1:$D$5000,"Мех: Аппараты и сосуды",$R$1:$R$5000,"Производство №3:Цех №11:Установка химводоочистка")</f>
        <v>6</v>
      </c>
      <c r="AO17">
        <f>COUNTIFS($D$1:$D$5000,"Мех: Аппараты и сосуды",$R$1:$R$5000,"Производство №3:Цех №15:Установка механической очистки промышленных стоков")</f>
        <v>1</v>
      </c>
      <c r="AP17">
        <f>COUNTIFS($D$1:$D$5000,"Мех: Аппараты и сосуды",$R$1:$R$5000,"Производство №3:Цех №11:Участок водоснабжения")</f>
        <v>0</v>
      </c>
      <c r="AQ17">
        <f>COUNTIFS($D$1:$D$5000,"Мех: Аппараты и сосуды",$R$1:$R$5000,"Производство №3:Цех №11:Участок оборотного водоснабжения и береговая насосная станция")</f>
        <v>0</v>
      </c>
      <c r="AR17">
        <f>COUNTIFS($D$1:$D$5000,"Мех: Аппараты и сосуды",$R$1:$R$5000,"Производство №3:Цех №15:Участок очистных сооружений")</f>
        <v>0</v>
      </c>
      <c r="AS17">
        <f>COUNTIFS($D$1:$D$5000,"Мех: Аппараты и сосуды",$R$1:$R$5000,"Производство №3:Цех №15:Участок по обслуживанию и ремонту факельного хозяйства")</f>
        <v>0</v>
      </c>
      <c r="AT17" s="5">
        <f t="shared" si="2"/>
        <v>7</v>
      </c>
      <c r="AU17">
        <f>COUNTIFS($D$1:$D$5000,"Мех: Аппараты и сосуды",$R$1:$R$5000,"Производство №4:Цех №7:Эстакада слива-налива нефти и нефтепродуктов")</f>
        <v>0</v>
      </c>
      <c r="AV17">
        <f>COUNTIFS($D$1:$D$5000,"Мех: Аппараты и сосуды",$R$1:$R$5000,"Производство №4:Участок резервуарный парк - паспортной продукции")</f>
        <v>0</v>
      </c>
      <c r="AW17">
        <f>COUNTIFS($D$1:$D$5000,"Мех: Аппараты и сосуды",$R$1:$R$5000,"Производство №4:Цех №8:Резервуарный парк")</f>
        <v>0</v>
      </c>
      <c r="AX17">
        <f>COUNTIFS($D$1:$D$5000,"Мех: Аппараты и сосуды",$R$1:$R$5000,"Производство №4:Эстакада слива-налива нефти и нефтепродуктов")</f>
        <v>0</v>
      </c>
      <c r="AY17" s="5">
        <f t="shared" si="3"/>
        <v>0</v>
      </c>
    </row>
    <row r="18" spans="3:51" x14ac:dyDescent="0.25">
      <c r="C18" t="s">
        <v>19</v>
      </c>
      <c r="D18" t="s">
        <v>20</v>
      </c>
      <c r="E18" t="s">
        <v>21</v>
      </c>
      <c r="F18" t="s">
        <v>22</v>
      </c>
      <c r="G18" t="s">
        <v>79</v>
      </c>
      <c r="H18">
        <v>24012373</v>
      </c>
      <c r="I18" t="s">
        <v>24</v>
      </c>
      <c r="J18" t="s">
        <v>25</v>
      </c>
      <c r="K18" t="s">
        <v>137</v>
      </c>
      <c r="L18" t="s">
        <v>138</v>
      </c>
      <c r="M18" t="s">
        <v>82</v>
      </c>
      <c r="N18" t="s">
        <v>29</v>
      </c>
      <c r="O18" t="s">
        <v>130</v>
      </c>
      <c r="P18" t="s">
        <v>130</v>
      </c>
      <c r="Q18" t="s">
        <v>130</v>
      </c>
      <c r="R18" t="s">
        <v>33</v>
      </c>
      <c r="S18" t="s">
        <v>34</v>
      </c>
      <c r="U18" t="s">
        <v>35</v>
      </c>
      <c r="AC18" s="6" t="s">
        <v>492</v>
      </c>
      <c r="AD18">
        <f>COUNTIFS($D$1:$D$5000,"Эл: Электроосвещение и сети СП",$R$1:$R$5000,"Производство №1:ЭЛОУ-АВТ-6")</f>
        <v>0</v>
      </c>
      <c r="AE18">
        <f>COUNTIFS($D$1:$D$5000,"Эл: Электроосвещение и сети СП",$R$1:$R$5000,"Производство №1:Висбрекинг")</f>
        <v>0</v>
      </c>
      <c r="AF18">
        <f>COUNTIFS(D1:D5000,"Эл: Электроосвещение и сети СП",$R$1:$R$5000,"Производство №1:Установки элементарной серы и РХ-2")</f>
        <v>0</v>
      </c>
      <c r="AG18" s="5">
        <f t="shared" si="0"/>
        <v>0</v>
      </c>
      <c r="AH18">
        <f>COUNTIFS($D$1:$D$5000,"Эл: Электроосвещение и сети СП",$R$1:$R$5000,"Производство №2:Установка Изомеризации")</f>
        <v>2</v>
      </c>
      <c r="AI18">
        <f>COUNTIFS($D$1:$D$5000,"Эл: Электроосвещение и сети СП",$R$1:$R$5000,"Производство №2:Установка Лч-35-11-600")</f>
        <v>0</v>
      </c>
      <c r="AJ18" s="5">
        <f t="shared" si="1"/>
        <v>2</v>
      </c>
      <c r="AK18">
        <f>COUNTIFS($D$1:$D$5000,"Эл: Электроосвещение и сети СП",$R$1:$R$5000,"Производство №3:Цех №15:Участок по обслуживанию и ремонту промышленной канализации")</f>
        <v>0</v>
      </c>
      <c r="AL18">
        <f>COUNTIFS($D$1:$D$5000,"Эл: Электроосвещение и сети СП",$R$1:$R$5000,"Производство №3:Цех №11:Участок парогазопроводов и азотная станция")</f>
        <v>0</v>
      </c>
      <c r="AM18">
        <f>COUNTIFS($D$1:$D$5000,"Эл: Электроосвещение и сети СП",$R$1:$R$5000,"Производство №3:Цех №15:Установка биологической очистки сточных вод")</f>
        <v>0</v>
      </c>
      <c r="AN18">
        <f>COUNTIFS($D$1:$D$5000,"Эл: Электроосвещение и сети СП",$R$1:$R$5000,"Производство №3:Цех №11:Установка химводоочистка")</f>
        <v>0</v>
      </c>
      <c r="AO18">
        <f>COUNTIFS($D$1:$D$5000,"Эл: Электроосвещение и сети СП",$R$1:$R$5000,"Производство №3:Цех №15:Установка механической очистки промышленных стоков")</f>
        <v>0</v>
      </c>
      <c r="AP18">
        <f>COUNTIFS($D$1:$D$5000,"Эл: Электроосвещение и сети СП",$R$1:$R$5000,"Производство №3:Цех №11:Участок водоснабжения")</f>
        <v>0</v>
      </c>
      <c r="AQ18">
        <f>COUNTIFS($D$1:$D$5000,"Эл: Электроосвещение и сети СП",$R$1:$R$5000,"Производство №3:Цех №11:Участок оборотного водоснабжения и береговая насосная станция")</f>
        <v>0</v>
      </c>
      <c r="AR18">
        <f>COUNTIFS($D$1:$D$5000,"Эл: Электроосвещение и сети СП",$R$1:$R$5000,"Производство №3:Цех №15:Участок очистных сооружений")</f>
        <v>0</v>
      </c>
      <c r="AS18">
        <f>COUNTIFS($D$1:$D$5000,"Эл: Электроосвещение и сети СП",$R$1:$R$5000,"Производство №3:Цех №15:Участок по обслуживанию и ремонту факельного хозяйства")</f>
        <v>0</v>
      </c>
      <c r="AT18" s="5">
        <f t="shared" si="2"/>
        <v>0</v>
      </c>
      <c r="AU18">
        <f>COUNTIFS($D$1:$D$5000,"Эл: Электроосвещение и сети СП",$R$1:$R$5000,"Производство №4:Цех №7:Эстакада слива-налива нефти и нефтепродуктов")</f>
        <v>0</v>
      </c>
      <c r="AV18">
        <f>COUNTIFS($D$1:$D$5000,"Эл: Электроосвещение и сети СП",$R$1:$R$5000,"Производство №4:Участок резервуарный парк - паспортной продукции")</f>
        <v>0</v>
      </c>
      <c r="AW18">
        <f>COUNTIFS($D$1:$D$5000,"Эл: Электроосвещение и сети СП",$R$1:$R$5000,"Производство №4:Цех №8:Резервуарный парк")</f>
        <v>0</v>
      </c>
      <c r="AX18">
        <f>COUNTIFS($D$1:$D$5000,"Эл: Электроосвещение и сети СП",$R$1:$R$5000,"Производство №4:Эстакада слива-налива нефти и нефтепродуктов")</f>
        <v>0</v>
      </c>
      <c r="AY18" s="5">
        <f t="shared" si="3"/>
        <v>0</v>
      </c>
    </row>
    <row r="19" spans="3:51" x14ac:dyDescent="0.25">
      <c r="C19" t="s">
        <v>19</v>
      </c>
      <c r="D19" t="s">
        <v>54</v>
      </c>
      <c r="E19" t="s">
        <v>55</v>
      </c>
      <c r="F19" t="s">
        <v>139</v>
      </c>
      <c r="G19" t="s">
        <v>57</v>
      </c>
      <c r="H19">
        <v>20000075</v>
      </c>
      <c r="I19" t="s">
        <v>140</v>
      </c>
      <c r="J19" t="s">
        <v>59</v>
      </c>
      <c r="K19" t="s">
        <v>141</v>
      </c>
      <c r="L19" t="s">
        <v>142</v>
      </c>
      <c r="M19" t="s">
        <v>143</v>
      </c>
      <c r="N19" t="s">
        <v>29</v>
      </c>
      <c r="O19" t="s">
        <v>130</v>
      </c>
      <c r="P19" t="s">
        <v>131</v>
      </c>
      <c r="Q19" t="s">
        <v>130</v>
      </c>
      <c r="R19" t="s">
        <v>52</v>
      </c>
      <c r="S19" t="s">
        <v>34</v>
      </c>
      <c r="U19" t="s">
        <v>53</v>
      </c>
      <c r="AG19" s="4"/>
      <c r="AJ19" s="8"/>
      <c r="AT19" s="8"/>
      <c r="AY19" s="8"/>
    </row>
    <row r="20" spans="3:51" ht="45" x14ac:dyDescent="0.25">
      <c r="C20" t="s">
        <v>19</v>
      </c>
      <c r="D20" t="s">
        <v>54</v>
      </c>
      <c r="E20" t="s">
        <v>55</v>
      </c>
      <c r="F20" t="s">
        <v>144</v>
      </c>
      <c r="G20" t="s">
        <v>57</v>
      </c>
      <c r="H20">
        <v>20000071</v>
      </c>
      <c r="I20" t="s">
        <v>145</v>
      </c>
      <c r="J20" t="s">
        <v>59</v>
      </c>
      <c r="K20" s="2" t="s">
        <v>146</v>
      </c>
      <c r="L20" s="2" t="s">
        <v>147</v>
      </c>
      <c r="M20" t="s">
        <v>143</v>
      </c>
      <c r="N20" t="s">
        <v>29</v>
      </c>
      <c r="O20" t="s">
        <v>148</v>
      </c>
      <c r="P20" t="s">
        <v>149</v>
      </c>
      <c r="Q20" t="s">
        <v>149</v>
      </c>
      <c r="R20" t="s">
        <v>52</v>
      </c>
      <c r="S20" t="s">
        <v>34</v>
      </c>
      <c r="U20" t="s">
        <v>53</v>
      </c>
      <c r="AC20" t="s">
        <v>34</v>
      </c>
      <c r="AD20">
        <f>COUNTIFS($S$1:$S$5000,"Выполнено",$R$1:$R$5000,"Производство №1:ЭЛОУ-АВТ-6")</f>
        <v>3</v>
      </c>
      <c r="AE20">
        <f t="shared" ref="AE20:AE22" si="7">COUNTIFS($D$1:$D$5000,"Эл: Электроосвещение и сети СП",$R$1:$R$5000,"Производство №1:Висбрекинг")</f>
        <v>0</v>
      </c>
      <c r="AF20">
        <f t="shared" ref="AF20:AF22" si="8">COUNTIFS(D3:D5002,"Эл: Электроосвещение и сети СП",$R$1:$R$5000,"Производство №1:Установки элементарной серы и РХ-2")</f>
        <v>0</v>
      </c>
      <c r="AG20" s="5">
        <f t="shared" si="0"/>
        <v>3</v>
      </c>
      <c r="AH20">
        <f>COUNTIFS($S$1:$S$5000,"Выполнено",$R$1:$R$5000,"Производство №2:Установка Изомеризации")</f>
        <v>10</v>
      </c>
      <c r="AI20">
        <f>COUNTIFS($S$1:$S$5000,"Выполнено",$R$1:$R$5000,"Производство №2:Установка Лч-35-11-600")</f>
        <v>5</v>
      </c>
      <c r="AJ20" s="5">
        <f t="shared" si="1"/>
        <v>15</v>
      </c>
      <c r="AK20">
        <f>COUNTIFS($S$1:$S$5000,"Выполнено",$R$1:$R$5000,"Производство №3:Цех №15:Участок по обслуживанию и ремонту промышленной канализации")</f>
        <v>7</v>
      </c>
      <c r="AL20">
        <f>COUNTIFS($S$1:$S$5000,"Выполнено",$R$1:$R$5000,"Производство №3:Цех №11:Участок парогазопроводов и азотная станция")</f>
        <v>1</v>
      </c>
      <c r="AM20">
        <f>COUNTIFS($S$1:$S$5000,"Выполнено",$R$1:$R$5000,"Производство №3:Цех №15:Установка биологической очистки сточных вод")</f>
        <v>4</v>
      </c>
      <c r="AN20">
        <f>COUNTIFS($S$1:$S$5000,"Выполнено",$R$1:$R$5000,"Производство №3:Цех №11:Установка химводоочистка")</f>
        <v>10</v>
      </c>
      <c r="AO20">
        <f>COUNTIFS($S$1:$S$5000,"Выполнено",$R$1:$R$5000,"Производство №3:Цех №15:Установка механической очистки промышленных стоков")</f>
        <v>7</v>
      </c>
      <c r="AP20">
        <f>COUNTIFS($S$1:$S$5000,"Выполнено",$R$1:$R$5000,"Производство №3:Цех №11:Участок водоснабжения")</f>
        <v>3</v>
      </c>
      <c r="AQ20">
        <f>COUNTIFS($S$1:$S$5000,"Выполнено",$R$1:$R$5000,"Производство №3:Цех №11:Участок оборотного водоснабжения и береговая насосная станция")</f>
        <v>1</v>
      </c>
      <c r="AR20">
        <f>COUNTIFS($S$1:$S$5000,"Выполнено",$R$1:$R$5000,"Производство №3:Цех №15:Участок очистных сооружений")</f>
        <v>2</v>
      </c>
      <c r="AS20">
        <f>COUNTIFS($S$1:$S$5000,"Выполнено",$R$1:$R$5000,"Производство №3:Цех №15:Участок по обслуживанию и ремонту факельного хозяйства")</f>
        <v>1</v>
      </c>
      <c r="AT20" s="5">
        <f t="shared" si="2"/>
        <v>36</v>
      </c>
      <c r="AU20">
        <f>COUNTIFS($S$1:$S$5000,"Выполнено",$R$1:$R$5000,"Производство №4:Цех №7:Эстакада слива-налива нефти и нефтепродуктов")</f>
        <v>20</v>
      </c>
      <c r="AV20">
        <f>COUNTIFS($S$1:$S$5000,"Выполнено",$R$1:$R$5000,"Производство №4:Участок резервуарный парк - паспортной продукции")</f>
        <v>22</v>
      </c>
      <c r="AW20">
        <f>COUNTIFS($S$1:$S$5000,"Выполнено",$R$1:$R$5000,"Производство №4:Цех №8:Резервуарный парк")</f>
        <v>4</v>
      </c>
      <c r="AX20">
        <f>COUNTIFS($S$1:$S$5000,"Выполнено",$R$1:$R$5000,"Производство №4:Эстакада слива-налива нефти и нефтепродуктов")</f>
        <v>1</v>
      </c>
      <c r="AY20" s="5">
        <f t="shared" si="3"/>
        <v>47</v>
      </c>
    </row>
    <row r="21" spans="3:51" x14ac:dyDescent="0.25">
      <c r="C21" t="s">
        <v>19</v>
      </c>
      <c r="D21" t="s">
        <v>20</v>
      </c>
      <c r="E21" t="s">
        <v>21</v>
      </c>
      <c r="F21" t="s">
        <v>84</v>
      </c>
      <c r="G21" t="s">
        <v>150</v>
      </c>
      <c r="I21" t="s">
        <v>86</v>
      </c>
      <c r="J21" t="s">
        <v>74</v>
      </c>
      <c r="L21" t="s">
        <v>87</v>
      </c>
      <c r="M21" t="s">
        <v>28</v>
      </c>
      <c r="N21" t="s">
        <v>29</v>
      </c>
      <c r="O21" t="s">
        <v>151</v>
      </c>
      <c r="P21" t="s">
        <v>148</v>
      </c>
      <c r="Q21" t="s">
        <v>151</v>
      </c>
      <c r="R21" t="s">
        <v>91</v>
      </c>
      <c r="S21" t="s">
        <v>34</v>
      </c>
      <c r="U21" t="s">
        <v>92</v>
      </c>
      <c r="AC21" t="s">
        <v>343</v>
      </c>
      <c r="AD21">
        <f>COUNTIFS($S$1:$S$5000,"Выполняется",$R$1:$R$5000,"Производство №1:ЭЛОУ-АВТ-6")</f>
        <v>0</v>
      </c>
      <c r="AE21">
        <f t="shared" si="7"/>
        <v>0</v>
      </c>
      <c r="AF21">
        <f t="shared" si="8"/>
        <v>0</v>
      </c>
      <c r="AG21" s="5">
        <f t="shared" si="0"/>
        <v>0</v>
      </c>
      <c r="AH21">
        <f>COUNTIFS($S$1:$S$5000,"Выполняется",$R$1:$R$5000,"Производство №2:Установка Изомеризации")</f>
        <v>0</v>
      </c>
      <c r="AI21">
        <f>COUNTIFS($S$1:$S$5000,"Выполняется",$R$1:$R$5000,"Производство №2:Установка Лч-35-11-600")</f>
        <v>0</v>
      </c>
      <c r="AJ21" s="5">
        <f t="shared" si="1"/>
        <v>0</v>
      </c>
      <c r="AK21">
        <f>COUNTIFS($S$1:$S$5000,"Выполняется",$R$1:$R$5000,"Производство №3:Цех №15:Участок по обслуживанию и ремонту промышленной канализации")</f>
        <v>0</v>
      </c>
      <c r="AL21">
        <f>COUNTIFS($S$1:$S$5000,"Выполняется",$R$1:$R$5000,"Производство №3:Цех №11:Участок парогазопроводов и азотная станция")</f>
        <v>0</v>
      </c>
      <c r="AM21">
        <f>COUNTIFS($S$1:$S$5000,"Выполняется",$R$1:$R$5000,"Производство №3:Цех №15:Установка биологической очистки сточных вод")</f>
        <v>0</v>
      </c>
      <c r="AN21">
        <f>COUNTIFS($S$1:$S$5000,"Выполняется",$R$1:$R$5000,"Производство №3:Цех №11:Установка химводоочистка")</f>
        <v>0</v>
      </c>
      <c r="AO21">
        <f>COUNTIFS($S$1:$S$5000,"Выполняется",$R$1:$R$5000,"Производство №3:Цех №15:Установка механической очистки промышленных стоков")</f>
        <v>1</v>
      </c>
      <c r="AP21">
        <f>COUNTIFS($S$1:$S$5000,"Выполняется",$R$1:$R$5000,"Производство №3:Цех №11:Участок водоснабжения")</f>
        <v>0</v>
      </c>
      <c r="AQ21">
        <f>COUNTIFS($S$1:$S$5000,"Выполняется",$R$1:$R$5000,"Производство №3:Цех №11:Участок оборотного водоснабжения и береговая насосная станция")</f>
        <v>1</v>
      </c>
      <c r="AR21">
        <f>COUNTIFS($S$1:$S$5000,"Выполняется",$R$1:$R$5000,"Производство №3:Цех №15:Участок очистных сооружений")</f>
        <v>0</v>
      </c>
      <c r="AS21">
        <f>COUNTIFS($S$1:$S$5000,"Выполняется",$R$1:$R$5000,"Производство №3:Цех №15:Участок по обслуживанию и ремонту факельного хозяйства")</f>
        <v>0</v>
      </c>
      <c r="AT21" s="5">
        <f t="shared" si="2"/>
        <v>2</v>
      </c>
      <c r="AU21">
        <f>COUNTIFS($S$1:$S$5000,"Выполняется",$R$1:$R$5000,"Производство №4:Цех №7:Эстакада слива-налива нефти и нефтепродуктов")</f>
        <v>0</v>
      </c>
      <c r="AV21">
        <f>COUNTIFS($S$1:$S$5000,"Выполняется",$R$1:$R$5000,"Производство №4:Участок резервуарный парк - паспортной продукции")</f>
        <v>0</v>
      </c>
      <c r="AW21">
        <f>COUNTIFS($S$1:$S$5000,"Выполняется",$R$1:$R$5000,"Производство №4:Цех №8:Резервуарный парк")</f>
        <v>0</v>
      </c>
      <c r="AX21">
        <f>COUNTIFS($S$1:$S$5000,"Выполняется",$R$1:$R$5000,"Производство №4:Эстакада слива-налива нефти и нефтепродуктов")</f>
        <v>0</v>
      </c>
      <c r="AY21" s="5">
        <f t="shared" si="3"/>
        <v>0</v>
      </c>
    </row>
    <row r="22" spans="3:51" x14ac:dyDescent="0.25">
      <c r="C22" t="s">
        <v>19</v>
      </c>
      <c r="D22" t="s">
        <v>20</v>
      </c>
      <c r="E22" t="s">
        <v>21</v>
      </c>
      <c r="F22" t="s">
        <v>84</v>
      </c>
      <c r="G22" t="s">
        <v>85</v>
      </c>
      <c r="I22" t="s">
        <v>86</v>
      </c>
      <c r="J22" t="s">
        <v>74</v>
      </c>
      <c r="L22" t="s">
        <v>152</v>
      </c>
      <c r="M22" t="s">
        <v>28</v>
      </c>
      <c r="N22" t="s">
        <v>29</v>
      </c>
      <c r="O22" t="s">
        <v>151</v>
      </c>
      <c r="P22" t="s">
        <v>149</v>
      </c>
      <c r="Q22" t="s">
        <v>151</v>
      </c>
      <c r="R22" t="s">
        <v>91</v>
      </c>
      <c r="S22" t="s">
        <v>34</v>
      </c>
      <c r="T22" t="s">
        <v>92</v>
      </c>
      <c r="U22" t="s">
        <v>92</v>
      </c>
      <c r="AC22" t="s">
        <v>517</v>
      </c>
      <c r="AD22" s="7">
        <f>COUNTIFS($S$1:$S$5000,"Выполняется",$R$1:$R$5000,"Производство №1:ЭЛОУ-АВТ-6")</f>
        <v>0</v>
      </c>
      <c r="AE22" s="7">
        <f t="shared" si="7"/>
        <v>0</v>
      </c>
      <c r="AF22" s="7">
        <f t="shared" si="8"/>
        <v>0</v>
      </c>
      <c r="AG22" s="5">
        <f t="shared" si="0"/>
        <v>0</v>
      </c>
      <c r="AH22" s="7">
        <f>COUNTIFS($S$1:$S$5000,"Выполняется",$R$1:$R$5000,"Производство №2:Установка Изомеризации")</f>
        <v>0</v>
      </c>
      <c r="AI22" s="7">
        <f>COUNTIFS($S$1:$S$5000,"Выполняется",$R$1:$R$5000,"Производство №2:Установка Лч-35-11-600")</f>
        <v>0</v>
      </c>
      <c r="AJ22" s="5">
        <f t="shared" si="1"/>
        <v>0</v>
      </c>
      <c r="AK22" s="7">
        <f>COUNTIFS($S$1:$S$5000,"Выполняется",$R$1:$R$5000,"Производство №2:Установка Лч-35-11-600")</f>
        <v>0</v>
      </c>
      <c r="AL22" s="7">
        <f t="shared" ref="AL22" si="9">COUNTIFS($S$1:$S$5000,"Выполняется",$R$1:$R$5000,"Производство №2:Установка Лч-35-11-600")</f>
        <v>0</v>
      </c>
      <c r="AM22" s="7">
        <f>COUNTIFS($S$1:$S$5000,"Выполняется",$R$1:$R$5000,"Производство №3:Цех №15:Установка биологической очистки сточных вод")</f>
        <v>0</v>
      </c>
      <c r="AN22" s="7">
        <f>COUNTIFS($S$1:$S$5000,"Выполняется",$R$1:$R$5000,"Производство №3:Цех №11:Установка химводоочистка")</f>
        <v>0</v>
      </c>
      <c r="AO22" s="7">
        <f>COUNTIFS($S$1:$S$5000,"Выполняется",$R$1:$R$5000,"Производство №3:Цех №15:Установка механической очистки промышленных стоков")</f>
        <v>1</v>
      </c>
      <c r="AP22" s="7">
        <f>COUNTIFS($S$1:$S$5000,"Выполняется",$R$1:$R$5000,"Производство №3:Цех №11:Участок водоснабжения")</f>
        <v>0</v>
      </c>
      <c r="AQ22" s="7">
        <f>COUNTIFS($S$1:$S$5000,"Выполняется",$R$1:$R$5000,"Производство №3:Цех №11:Участок оборотного водоснабжения и береговая насосная станция")</f>
        <v>1</v>
      </c>
      <c r="AR22" s="7">
        <f>COUNTIFS($S$1:$S$5000,"Выполняется",$R$1:$R$5000,"Производство №3:Цех №15:Участок очистных сооружений")</f>
        <v>0</v>
      </c>
      <c r="AS22" s="7">
        <f>COUNTIFS($S$1:$S$5000,"Выполняется",$R$1:$R$5000,"Производство №3:Цех №15:Участок по обслуживанию и ремонту факельного хозяйства")</f>
        <v>0</v>
      </c>
      <c r="AT22" s="5">
        <f t="shared" si="2"/>
        <v>2</v>
      </c>
      <c r="AU22" s="7">
        <f>COUNTIFS($S$1:$S$5000,"Выполняется",$R$1:$R$5000,"Производство №4:Цех №7:Эстакада слива-налива нефти и нефтепродуктов")</f>
        <v>0</v>
      </c>
      <c r="AV22" s="7">
        <f>COUNTIFS($S$1:$S$5000,"Выполняется",$R$1:$R$5000,"Производство №4:Участок резервуарный парк - паспортной продукции")</f>
        <v>0</v>
      </c>
      <c r="AW22" s="7">
        <f>COUNTIFS($S$1:$S$5000,"Выполняется",$R$1:$R$5000,"Производство №4:Цех №8:Резервуарный парк")</f>
        <v>0</v>
      </c>
      <c r="AX22" s="7">
        <f>COUNTIFS($S$1:$S$5000,"Выполняется",$R$1:$R$5000,"Производство №4:Эстакада слива-налива нефти и нефтепродуктов")</f>
        <v>0</v>
      </c>
      <c r="AY22" s="5">
        <f t="shared" si="3"/>
        <v>0</v>
      </c>
    </row>
    <row r="23" spans="3:51" x14ac:dyDescent="0.25">
      <c r="C23" t="s">
        <v>19</v>
      </c>
      <c r="D23" t="s">
        <v>43</v>
      </c>
      <c r="E23" t="s">
        <v>44</v>
      </c>
      <c r="F23" t="s">
        <v>153</v>
      </c>
      <c r="G23" t="s">
        <v>154</v>
      </c>
      <c r="J23" t="s">
        <v>74</v>
      </c>
      <c r="K23" t="s">
        <v>155</v>
      </c>
      <c r="L23" t="s">
        <v>87</v>
      </c>
      <c r="M23" t="s">
        <v>82</v>
      </c>
      <c r="N23" t="s">
        <v>29</v>
      </c>
      <c r="O23" t="s">
        <v>148</v>
      </c>
      <c r="P23" t="s">
        <v>131</v>
      </c>
      <c r="Q23" t="s">
        <v>149</v>
      </c>
      <c r="R23" t="s">
        <v>119</v>
      </c>
      <c r="S23" t="s">
        <v>34</v>
      </c>
      <c r="T23" t="s">
        <v>120</v>
      </c>
      <c r="U23" t="s">
        <v>120</v>
      </c>
    </row>
    <row r="24" spans="3:51" x14ac:dyDescent="0.25">
      <c r="C24" t="s">
        <v>19</v>
      </c>
      <c r="D24" t="s">
        <v>43</v>
      </c>
      <c r="E24" t="s">
        <v>44</v>
      </c>
      <c r="F24" t="s">
        <v>115</v>
      </c>
      <c r="G24" t="s">
        <v>116</v>
      </c>
      <c r="J24" t="s">
        <v>74</v>
      </c>
      <c r="K24" t="s">
        <v>155</v>
      </c>
      <c r="L24" t="s">
        <v>87</v>
      </c>
      <c r="M24" t="s">
        <v>82</v>
      </c>
      <c r="N24" t="s">
        <v>29</v>
      </c>
      <c r="O24" t="s">
        <v>148</v>
      </c>
      <c r="P24" t="s">
        <v>131</v>
      </c>
      <c r="Q24" t="s">
        <v>149</v>
      </c>
      <c r="R24" t="s">
        <v>119</v>
      </c>
      <c r="S24" t="s">
        <v>34</v>
      </c>
      <c r="T24" t="s">
        <v>120</v>
      </c>
      <c r="U24" t="s">
        <v>120</v>
      </c>
      <c r="AC24" s="13"/>
    </row>
    <row r="25" spans="3:51" ht="30" x14ac:dyDescent="0.25">
      <c r="C25" t="s">
        <v>19</v>
      </c>
      <c r="D25" t="s">
        <v>54</v>
      </c>
      <c r="E25" t="s">
        <v>55</v>
      </c>
      <c r="F25" t="s">
        <v>126</v>
      </c>
      <c r="G25" t="s">
        <v>57</v>
      </c>
      <c r="H25">
        <v>20000072</v>
      </c>
      <c r="I25" t="s">
        <v>127</v>
      </c>
      <c r="J25" t="s">
        <v>59</v>
      </c>
      <c r="K25" s="2" t="s">
        <v>156</v>
      </c>
      <c r="L25" t="s">
        <v>157</v>
      </c>
      <c r="M25" t="s">
        <v>143</v>
      </c>
      <c r="N25" t="s">
        <v>29</v>
      </c>
      <c r="O25" t="s">
        <v>158</v>
      </c>
      <c r="P25" t="s">
        <v>151</v>
      </c>
      <c r="Q25" t="s">
        <v>158</v>
      </c>
      <c r="R25" t="s">
        <v>52</v>
      </c>
      <c r="S25" t="s">
        <v>34</v>
      </c>
      <c r="U25" t="s">
        <v>53</v>
      </c>
      <c r="AA25" s="13"/>
      <c r="AB25" s="12"/>
      <c r="AC25" s="10"/>
    </row>
    <row r="26" spans="3:51" ht="30" x14ac:dyDescent="0.25">
      <c r="C26" t="s">
        <v>19</v>
      </c>
      <c r="D26" t="s">
        <v>54</v>
      </c>
      <c r="E26" t="s">
        <v>55</v>
      </c>
      <c r="F26" t="s">
        <v>159</v>
      </c>
      <c r="G26" t="s">
        <v>57</v>
      </c>
      <c r="H26">
        <v>20000073</v>
      </c>
      <c r="I26" t="s">
        <v>160</v>
      </c>
      <c r="J26" t="s">
        <v>59</v>
      </c>
      <c r="K26" s="2" t="s">
        <v>156</v>
      </c>
      <c r="L26" s="2" t="s">
        <v>161</v>
      </c>
      <c r="M26" t="s">
        <v>143</v>
      </c>
      <c r="N26" t="s">
        <v>29</v>
      </c>
      <c r="O26" t="s">
        <v>158</v>
      </c>
      <c r="P26" t="s">
        <v>148</v>
      </c>
      <c r="Q26" t="s">
        <v>151</v>
      </c>
      <c r="R26" t="s">
        <v>52</v>
      </c>
      <c r="S26" t="s">
        <v>34</v>
      </c>
      <c r="U26" t="s">
        <v>53</v>
      </c>
      <c r="AA26" s="13"/>
      <c r="AC26" s="11"/>
    </row>
    <row r="27" spans="3:51" x14ac:dyDescent="0.25">
      <c r="C27" t="s">
        <v>19</v>
      </c>
      <c r="D27" t="s">
        <v>162</v>
      </c>
      <c r="E27" t="s">
        <v>163</v>
      </c>
      <c r="F27" t="s">
        <v>164</v>
      </c>
      <c r="G27" t="s">
        <v>165</v>
      </c>
      <c r="H27">
        <v>11006160</v>
      </c>
      <c r="I27" t="s">
        <v>166</v>
      </c>
      <c r="J27" t="s">
        <v>74</v>
      </c>
      <c r="K27" t="s">
        <v>167</v>
      </c>
      <c r="L27" t="s">
        <v>87</v>
      </c>
      <c r="M27" t="s">
        <v>82</v>
      </c>
      <c r="N27" t="s">
        <v>29</v>
      </c>
      <c r="O27" t="s">
        <v>158</v>
      </c>
      <c r="P27" t="s">
        <v>149</v>
      </c>
      <c r="Q27" t="s">
        <v>151</v>
      </c>
      <c r="R27" t="s">
        <v>119</v>
      </c>
      <c r="S27" t="s">
        <v>34</v>
      </c>
      <c r="T27" t="s">
        <v>120</v>
      </c>
      <c r="U27" t="s">
        <v>120</v>
      </c>
      <c r="AA27" s="13"/>
    </row>
    <row r="28" spans="3:51" x14ac:dyDescent="0.25">
      <c r="C28" t="s">
        <v>19</v>
      </c>
      <c r="D28" t="s">
        <v>162</v>
      </c>
      <c r="E28" t="s">
        <v>163</v>
      </c>
      <c r="F28" t="s">
        <v>168</v>
      </c>
      <c r="G28" t="s">
        <v>169</v>
      </c>
      <c r="H28">
        <v>11006157</v>
      </c>
      <c r="I28" t="s">
        <v>170</v>
      </c>
      <c r="J28" t="s">
        <v>74</v>
      </c>
      <c r="K28" t="s">
        <v>171</v>
      </c>
      <c r="L28" t="s">
        <v>87</v>
      </c>
      <c r="M28" t="s">
        <v>82</v>
      </c>
      <c r="N28" t="s">
        <v>29</v>
      </c>
      <c r="O28" t="s">
        <v>172</v>
      </c>
      <c r="P28" t="s">
        <v>149</v>
      </c>
      <c r="Q28" t="s">
        <v>151</v>
      </c>
      <c r="R28" t="s">
        <v>119</v>
      </c>
      <c r="S28" t="s">
        <v>34</v>
      </c>
      <c r="T28" t="s">
        <v>120</v>
      </c>
      <c r="U28" t="s">
        <v>120</v>
      </c>
      <c r="AA28" s="13"/>
    </row>
    <row r="29" spans="3:51" x14ac:dyDescent="0.25">
      <c r="C29" t="s">
        <v>19</v>
      </c>
      <c r="D29" t="s">
        <v>20</v>
      </c>
      <c r="E29" t="s">
        <v>103</v>
      </c>
      <c r="J29" t="s">
        <v>74</v>
      </c>
      <c r="K29" t="s">
        <v>173</v>
      </c>
      <c r="L29" t="s">
        <v>174</v>
      </c>
      <c r="M29" t="s">
        <v>28</v>
      </c>
      <c r="N29" t="s">
        <v>29</v>
      </c>
      <c r="O29" t="s">
        <v>172</v>
      </c>
      <c r="P29" t="s">
        <v>172</v>
      </c>
      <c r="Q29" t="s">
        <v>172</v>
      </c>
      <c r="R29" t="s">
        <v>175</v>
      </c>
      <c r="S29" t="s">
        <v>34</v>
      </c>
      <c r="T29" t="s">
        <v>176</v>
      </c>
      <c r="U29" t="s">
        <v>176</v>
      </c>
      <c r="AA29" s="13"/>
    </row>
    <row r="30" spans="3:51" x14ac:dyDescent="0.25">
      <c r="C30" t="s">
        <v>19</v>
      </c>
      <c r="D30" t="s">
        <v>93</v>
      </c>
      <c r="E30" t="s">
        <v>94</v>
      </c>
      <c r="F30" t="s">
        <v>177</v>
      </c>
      <c r="G30" t="s">
        <v>178</v>
      </c>
      <c r="H30">
        <v>18002401</v>
      </c>
      <c r="I30" t="s">
        <v>179</v>
      </c>
      <c r="J30" t="s">
        <v>74</v>
      </c>
      <c r="K30" t="s">
        <v>180</v>
      </c>
      <c r="L30" t="s">
        <v>87</v>
      </c>
      <c r="M30" t="s">
        <v>143</v>
      </c>
      <c r="N30" t="s">
        <v>29</v>
      </c>
      <c r="O30" t="s">
        <v>181</v>
      </c>
      <c r="P30" t="s">
        <v>182</v>
      </c>
      <c r="Q30" t="s">
        <v>172</v>
      </c>
      <c r="R30" t="s">
        <v>52</v>
      </c>
      <c r="S30" t="s">
        <v>34</v>
      </c>
      <c r="U30" t="s">
        <v>53</v>
      </c>
      <c r="AA30" s="13"/>
    </row>
    <row r="31" spans="3:51" x14ac:dyDescent="0.25">
      <c r="C31" t="s">
        <v>19</v>
      </c>
      <c r="D31" t="s">
        <v>183</v>
      </c>
      <c r="E31" t="s">
        <v>184</v>
      </c>
      <c r="F31" t="s">
        <v>185</v>
      </c>
      <c r="G31" t="s">
        <v>186</v>
      </c>
      <c r="J31" t="s">
        <v>59</v>
      </c>
      <c r="K31" t="s">
        <v>187</v>
      </c>
      <c r="M31" t="s">
        <v>143</v>
      </c>
      <c r="N31" t="s">
        <v>29</v>
      </c>
      <c r="O31" t="s">
        <v>188</v>
      </c>
      <c r="P31" t="s">
        <v>188</v>
      </c>
      <c r="R31" t="s">
        <v>189</v>
      </c>
      <c r="S31" t="s">
        <v>34</v>
      </c>
      <c r="U31" t="s">
        <v>42</v>
      </c>
      <c r="AA31" s="13"/>
    </row>
    <row r="32" spans="3:51" x14ac:dyDescent="0.25">
      <c r="C32" t="s">
        <v>19</v>
      </c>
      <c r="D32" t="s">
        <v>162</v>
      </c>
      <c r="E32" t="s">
        <v>163</v>
      </c>
      <c r="F32" t="s">
        <v>190</v>
      </c>
      <c r="G32" t="s">
        <v>165</v>
      </c>
      <c r="H32">
        <v>11006160</v>
      </c>
      <c r="I32" t="s">
        <v>166</v>
      </c>
      <c r="J32" t="s">
        <v>74</v>
      </c>
      <c r="K32" t="s">
        <v>191</v>
      </c>
      <c r="L32" t="s">
        <v>87</v>
      </c>
      <c r="M32" t="s">
        <v>82</v>
      </c>
      <c r="N32" t="s">
        <v>29</v>
      </c>
      <c r="O32" t="s">
        <v>181</v>
      </c>
      <c r="P32" t="s">
        <v>172</v>
      </c>
      <c r="Q32" t="s">
        <v>172</v>
      </c>
      <c r="R32" t="s">
        <v>119</v>
      </c>
      <c r="S32" t="s">
        <v>34</v>
      </c>
      <c r="T32" t="s">
        <v>120</v>
      </c>
      <c r="U32" t="s">
        <v>120</v>
      </c>
      <c r="AA32" s="13"/>
    </row>
    <row r="33" spans="3:27" x14ac:dyDescent="0.25">
      <c r="C33" t="s">
        <v>19</v>
      </c>
      <c r="D33" t="s">
        <v>162</v>
      </c>
      <c r="E33" t="s">
        <v>163</v>
      </c>
      <c r="F33" t="s">
        <v>192</v>
      </c>
      <c r="G33" t="s">
        <v>165</v>
      </c>
      <c r="H33">
        <v>11006160</v>
      </c>
      <c r="I33" t="s">
        <v>166</v>
      </c>
      <c r="J33" t="s">
        <v>74</v>
      </c>
      <c r="K33" t="s">
        <v>193</v>
      </c>
      <c r="L33" t="s">
        <v>87</v>
      </c>
      <c r="M33" t="s">
        <v>82</v>
      </c>
      <c r="N33" t="s">
        <v>29</v>
      </c>
      <c r="O33" t="s">
        <v>181</v>
      </c>
      <c r="P33" t="s">
        <v>172</v>
      </c>
      <c r="Q33" t="s">
        <v>181</v>
      </c>
      <c r="R33" t="s">
        <v>119</v>
      </c>
      <c r="S33" t="s">
        <v>34</v>
      </c>
      <c r="T33" t="s">
        <v>120</v>
      </c>
      <c r="U33" t="s">
        <v>120</v>
      </c>
      <c r="AA33" s="13"/>
    </row>
    <row r="34" spans="3:27" ht="30" x14ac:dyDescent="0.25">
      <c r="C34" t="s">
        <v>19</v>
      </c>
      <c r="D34" t="s">
        <v>54</v>
      </c>
      <c r="E34" t="s">
        <v>55</v>
      </c>
      <c r="F34" t="s">
        <v>194</v>
      </c>
      <c r="G34" t="s">
        <v>57</v>
      </c>
      <c r="H34">
        <v>20000078</v>
      </c>
      <c r="I34" t="s">
        <v>195</v>
      </c>
      <c r="J34" t="s">
        <v>59</v>
      </c>
      <c r="K34" s="2" t="s">
        <v>196</v>
      </c>
      <c r="L34" t="s">
        <v>197</v>
      </c>
      <c r="M34" t="s">
        <v>143</v>
      </c>
      <c r="N34" t="s">
        <v>29</v>
      </c>
      <c r="O34" t="s">
        <v>198</v>
      </c>
      <c r="P34" t="s">
        <v>198</v>
      </c>
      <c r="Q34" t="s">
        <v>198</v>
      </c>
      <c r="R34" t="s">
        <v>52</v>
      </c>
      <c r="S34" t="s">
        <v>34</v>
      </c>
      <c r="U34" t="s">
        <v>53</v>
      </c>
      <c r="AA34" s="13"/>
    </row>
    <row r="35" spans="3:27" x14ac:dyDescent="0.25">
      <c r="C35" t="s">
        <v>19</v>
      </c>
      <c r="D35" t="s">
        <v>162</v>
      </c>
      <c r="E35" t="s">
        <v>163</v>
      </c>
      <c r="F35" t="s">
        <v>199</v>
      </c>
      <c r="G35" t="s">
        <v>200</v>
      </c>
      <c r="H35">
        <v>11006163</v>
      </c>
      <c r="I35" t="s">
        <v>201</v>
      </c>
      <c r="J35" t="s">
        <v>74</v>
      </c>
      <c r="K35" t="s">
        <v>202</v>
      </c>
      <c r="L35" t="s">
        <v>87</v>
      </c>
      <c r="M35" t="s">
        <v>82</v>
      </c>
      <c r="N35" t="s">
        <v>29</v>
      </c>
      <c r="O35" t="s">
        <v>188</v>
      </c>
      <c r="P35" t="s">
        <v>181</v>
      </c>
      <c r="Q35" t="s">
        <v>188</v>
      </c>
      <c r="R35" t="s">
        <v>119</v>
      </c>
      <c r="S35" t="s">
        <v>34</v>
      </c>
      <c r="T35" t="s">
        <v>120</v>
      </c>
      <c r="U35" t="s">
        <v>120</v>
      </c>
      <c r="AA35" s="13"/>
    </row>
    <row r="36" spans="3:27" x14ac:dyDescent="0.25">
      <c r="C36" t="s">
        <v>19</v>
      </c>
      <c r="D36" t="s">
        <v>43</v>
      </c>
      <c r="E36" t="s">
        <v>203</v>
      </c>
      <c r="F36" t="s">
        <v>204</v>
      </c>
      <c r="G36" t="s">
        <v>205</v>
      </c>
      <c r="H36">
        <v>31005081</v>
      </c>
      <c r="I36" t="s">
        <v>206</v>
      </c>
      <c r="J36" t="s">
        <v>59</v>
      </c>
      <c r="M36" t="s">
        <v>143</v>
      </c>
      <c r="N36" t="s">
        <v>29</v>
      </c>
      <c r="O36" t="s">
        <v>207</v>
      </c>
      <c r="P36" t="s">
        <v>198</v>
      </c>
      <c r="Q36" t="s">
        <v>207</v>
      </c>
      <c r="R36" t="s">
        <v>52</v>
      </c>
      <c r="S36" t="s">
        <v>34</v>
      </c>
      <c r="T36" t="s">
        <v>53</v>
      </c>
      <c r="U36" t="s">
        <v>53</v>
      </c>
      <c r="AA36" s="13"/>
    </row>
    <row r="37" spans="3:27" x14ac:dyDescent="0.25">
      <c r="C37" t="s">
        <v>19</v>
      </c>
      <c r="D37" t="s">
        <v>20</v>
      </c>
      <c r="E37" t="s">
        <v>21</v>
      </c>
      <c r="F37" t="s">
        <v>84</v>
      </c>
      <c r="G37" t="s">
        <v>85</v>
      </c>
      <c r="I37" t="s">
        <v>86</v>
      </c>
      <c r="J37" t="s">
        <v>74</v>
      </c>
      <c r="L37" t="s">
        <v>208</v>
      </c>
      <c r="M37" t="s">
        <v>28</v>
      </c>
      <c r="N37" t="s">
        <v>29</v>
      </c>
      <c r="O37" t="s">
        <v>207</v>
      </c>
      <c r="P37" t="s">
        <v>181</v>
      </c>
      <c r="Q37" t="s">
        <v>181</v>
      </c>
      <c r="R37" t="s">
        <v>91</v>
      </c>
      <c r="S37" t="s">
        <v>34</v>
      </c>
      <c r="T37" t="s">
        <v>209</v>
      </c>
      <c r="U37" t="s">
        <v>209</v>
      </c>
    </row>
    <row r="38" spans="3:27" x14ac:dyDescent="0.25">
      <c r="C38" t="s">
        <v>19</v>
      </c>
      <c r="D38" t="s">
        <v>162</v>
      </c>
      <c r="E38" t="s">
        <v>210</v>
      </c>
      <c r="F38" t="s">
        <v>211</v>
      </c>
      <c r="G38" t="s">
        <v>212</v>
      </c>
      <c r="I38" t="s">
        <v>213</v>
      </c>
      <c r="J38" t="s">
        <v>74</v>
      </c>
      <c r="K38" t="s">
        <v>214</v>
      </c>
      <c r="M38" t="s">
        <v>28</v>
      </c>
      <c r="N38" t="s">
        <v>29</v>
      </c>
      <c r="O38" t="s">
        <v>207</v>
      </c>
      <c r="P38" t="s">
        <v>207</v>
      </c>
      <c r="Q38" t="s">
        <v>207</v>
      </c>
      <c r="R38" t="s">
        <v>215</v>
      </c>
      <c r="S38" t="s">
        <v>34</v>
      </c>
      <c r="U38" t="s">
        <v>216</v>
      </c>
    </row>
    <row r="39" spans="3:27" x14ac:dyDescent="0.25">
      <c r="C39" t="s">
        <v>19</v>
      </c>
      <c r="D39" t="s">
        <v>43</v>
      </c>
      <c r="E39" t="s">
        <v>44</v>
      </c>
      <c r="F39" t="s">
        <v>217</v>
      </c>
      <c r="J39" t="s">
        <v>25</v>
      </c>
      <c r="K39" t="s">
        <v>218</v>
      </c>
      <c r="L39" t="s">
        <v>219</v>
      </c>
      <c r="M39" t="s">
        <v>28</v>
      </c>
      <c r="N39" t="s">
        <v>29</v>
      </c>
      <c r="O39" t="s">
        <v>207</v>
      </c>
      <c r="P39" t="s">
        <v>172</v>
      </c>
      <c r="Q39" t="s">
        <v>172</v>
      </c>
      <c r="R39" t="s">
        <v>101</v>
      </c>
      <c r="S39" t="s">
        <v>34</v>
      </c>
      <c r="U39" t="s">
        <v>102</v>
      </c>
    </row>
    <row r="40" spans="3:27" x14ac:dyDescent="0.25">
      <c r="C40" t="s">
        <v>19</v>
      </c>
      <c r="D40" t="s">
        <v>43</v>
      </c>
      <c r="E40" t="s">
        <v>44</v>
      </c>
      <c r="F40" t="s">
        <v>220</v>
      </c>
      <c r="G40" t="s">
        <v>221</v>
      </c>
      <c r="J40" t="s">
        <v>59</v>
      </c>
      <c r="K40" t="s">
        <v>222</v>
      </c>
      <c r="L40" t="s">
        <v>223</v>
      </c>
      <c r="M40" t="s">
        <v>143</v>
      </c>
      <c r="N40" t="s">
        <v>29</v>
      </c>
      <c r="O40" t="s">
        <v>224</v>
      </c>
      <c r="P40" t="s">
        <v>224</v>
      </c>
      <c r="Q40" t="s">
        <v>224</v>
      </c>
      <c r="R40" t="s">
        <v>225</v>
      </c>
      <c r="S40" t="s">
        <v>34</v>
      </c>
      <c r="U40" t="s">
        <v>42</v>
      </c>
    </row>
    <row r="41" spans="3:27" x14ac:dyDescent="0.25">
      <c r="C41" t="s">
        <v>19</v>
      </c>
      <c r="D41" t="s">
        <v>43</v>
      </c>
      <c r="E41" t="s">
        <v>44</v>
      </c>
      <c r="F41" t="s">
        <v>220</v>
      </c>
      <c r="J41" t="s">
        <v>59</v>
      </c>
      <c r="K41" t="s">
        <v>226</v>
      </c>
      <c r="L41" t="s">
        <v>223</v>
      </c>
      <c r="M41" t="s">
        <v>143</v>
      </c>
      <c r="N41" t="s">
        <v>29</v>
      </c>
      <c r="O41" t="s">
        <v>224</v>
      </c>
      <c r="P41" t="s">
        <v>224</v>
      </c>
      <c r="Q41" t="s">
        <v>224</v>
      </c>
      <c r="S41" t="s">
        <v>34</v>
      </c>
      <c r="U41" t="s">
        <v>42</v>
      </c>
    </row>
    <row r="42" spans="3:27" x14ac:dyDescent="0.25">
      <c r="C42" t="s">
        <v>227</v>
      </c>
      <c r="D42" t="s">
        <v>183</v>
      </c>
      <c r="E42" t="s">
        <v>228</v>
      </c>
      <c r="J42" t="s">
        <v>59</v>
      </c>
      <c r="K42" t="s">
        <v>229</v>
      </c>
      <c r="M42" t="s">
        <v>143</v>
      </c>
      <c r="N42" t="s">
        <v>29</v>
      </c>
      <c r="O42" t="s">
        <v>89</v>
      </c>
      <c r="P42" t="s">
        <v>89</v>
      </c>
      <c r="Q42" t="s">
        <v>62</v>
      </c>
      <c r="R42" t="s">
        <v>230</v>
      </c>
      <c r="S42" t="s">
        <v>34</v>
      </c>
      <c r="U42" t="s">
        <v>231</v>
      </c>
    </row>
    <row r="43" spans="3:27" ht="45" x14ac:dyDescent="0.25">
      <c r="C43" t="s">
        <v>19</v>
      </c>
      <c r="D43" t="s">
        <v>54</v>
      </c>
      <c r="E43" t="s">
        <v>55</v>
      </c>
      <c r="F43" t="s">
        <v>232</v>
      </c>
      <c r="G43" t="s">
        <v>57</v>
      </c>
      <c r="H43">
        <v>20000083</v>
      </c>
      <c r="I43" t="s">
        <v>233</v>
      </c>
      <c r="J43" t="s">
        <v>59</v>
      </c>
      <c r="K43" s="2" t="s">
        <v>234</v>
      </c>
      <c r="L43" t="s">
        <v>235</v>
      </c>
      <c r="M43" t="s">
        <v>143</v>
      </c>
      <c r="N43" t="s">
        <v>29</v>
      </c>
      <c r="O43" t="s">
        <v>89</v>
      </c>
      <c r="P43" t="s">
        <v>89</v>
      </c>
      <c r="Q43" t="s">
        <v>89</v>
      </c>
      <c r="R43" t="s">
        <v>52</v>
      </c>
      <c r="S43" t="s">
        <v>34</v>
      </c>
      <c r="U43" t="s">
        <v>53</v>
      </c>
    </row>
    <row r="44" spans="3:27" x14ac:dyDescent="0.25">
      <c r="C44" t="s">
        <v>19</v>
      </c>
      <c r="D44" t="s">
        <v>93</v>
      </c>
      <c r="E44" t="s">
        <v>94</v>
      </c>
      <c r="F44" t="s">
        <v>236</v>
      </c>
      <c r="G44" t="s">
        <v>237</v>
      </c>
      <c r="H44">
        <v>18002397</v>
      </c>
      <c r="I44" t="s">
        <v>238</v>
      </c>
      <c r="J44" t="s">
        <v>25</v>
      </c>
      <c r="K44" t="s">
        <v>239</v>
      </c>
      <c r="L44" t="s">
        <v>240</v>
      </c>
      <c r="M44" t="s">
        <v>28</v>
      </c>
      <c r="N44" t="s">
        <v>29</v>
      </c>
      <c r="O44" t="s">
        <v>89</v>
      </c>
      <c r="P44" t="s">
        <v>114</v>
      </c>
      <c r="Q44" t="s">
        <v>241</v>
      </c>
      <c r="R44" t="s">
        <v>52</v>
      </c>
      <c r="S44" t="s">
        <v>34</v>
      </c>
      <c r="U44" t="s">
        <v>53</v>
      </c>
    </row>
    <row r="45" spans="3:27" x14ac:dyDescent="0.25">
      <c r="C45" t="s">
        <v>19</v>
      </c>
      <c r="D45" t="s">
        <v>43</v>
      </c>
      <c r="E45" t="s">
        <v>44</v>
      </c>
      <c r="F45" t="s">
        <v>109</v>
      </c>
      <c r="J45" t="s">
        <v>25</v>
      </c>
      <c r="K45" t="s">
        <v>242</v>
      </c>
      <c r="L45" t="s">
        <v>243</v>
      </c>
      <c r="M45" t="s">
        <v>28</v>
      </c>
      <c r="N45" t="s">
        <v>29</v>
      </c>
      <c r="O45" t="s">
        <v>89</v>
      </c>
      <c r="P45" t="s">
        <v>89</v>
      </c>
      <c r="Q45" t="s">
        <v>89</v>
      </c>
      <c r="R45" t="s">
        <v>101</v>
      </c>
      <c r="S45" t="s">
        <v>34</v>
      </c>
      <c r="U45" t="s">
        <v>102</v>
      </c>
    </row>
    <row r="46" spans="3:27" x14ac:dyDescent="0.25">
      <c r="C46" t="s">
        <v>19</v>
      </c>
      <c r="D46" t="s">
        <v>162</v>
      </c>
      <c r="E46" t="s">
        <v>163</v>
      </c>
      <c r="F46" t="s">
        <v>244</v>
      </c>
      <c r="G46" t="s">
        <v>245</v>
      </c>
      <c r="H46">
        <v>11006168</v>
      </c>
      <c r="I46" t="s">
        <v>246</v>
      </c>
      <c r="J46" t="s">
        <v>74</v>
      </c>
      <c r="K46" t="s">
        <v>247</v>
      </c>
      <c r="L46" t="s">
        <v>208</v>
      </c>
      <c r="M46" t="s">
        <v>82</v>
      </c>
      <c r="N46" t="s">
        <v>29</v>
      </c>
      <c r="O46" t="s">
        <v>207</v>
      </c>
      <c r="P46" t="s">
        <v>181</v>
      </c>
      <c r="Q46" t="s">
        <v>188</v>
      </c>
      <c r="R46" t="s">
        <v>119</v>
      </c>
      <c r="S46" t="s">
        <v>34</v>
      </c>
      <c r="T46" t="s">
        <v>120</v>
      </c>
      <c r="U46" t="s">
        <v>120</v>
      </c>
    </row>
    <row r="47" spans="3:27" x14ac:dyDescent="0.25">
      <c r="C47" t="s">
        <v>19</v>
      </c>
      <c r="D47" t="s">
        <v>43</v>
      </c>
      <c r="E47" t="s">
        <v>44</v>
      </c>
      <c r="F47" t="s">
        <v>248</v>
      </c>
      <c r="G47" t="s">
        <v>249</v>
      </c>
      <c r="H47">
        <v>16002175</v>
      </c>
      <c r="I47" t="s">
        <v>250</v>
      </c>
      <c r="J47" t="s">
        <v>74</v>
      </c>
      <c r="L47" t="s">
        <v>251</v>
      </c>
      <c r="M47" t="s">
        <v>28</v>
      </c>
      <c r="N47" t="s">
        <v>29</v>
      </c>
      <c r="O47" t="s">
        <v>252</v>
      </c>
      <c r="P47" t="s">
        <v>252</v>
      </c>
      <c r="Q47" t="s">
        <v>252</v>
      </c>
      <c r="R47" t="s">
        <v>253</v>
      </c>
      <c r="S47" t="s">
        <v>34</v>
      </c>
      <c r="U47" t="s">
        <v>254</v>
      </c>
    </row>
    <row r="48" spans="3:27" ht="45" x14ac:dyDescent="0.25">
      <c r="C48" t="s">
        <v>19</v>
      </c>
      <c r="D48" t="s">
        <v>54</v>
      </c>
      <c r="E48" t="s">
        <v>55</v>
      </c>
      <c r="F48" t="s">
        <v>255</v>
      </c>
      <c r="G48" t="s">
        <v>57</v>
      </c>
      <c r="H48">
        <v>20000073</v>
      </c>
      <c r="I48" t="s">
        <v>160</v>
      </c>
      <c r="J48" t="s">
        <v>59</v>
      </c>
      <c r="K48" s="2" t="s">
        <v>256</v>
      </c>
      <c r="L48" s="2" t="s">
        <v>257</v>
      </c>
      <c r="M48" t="s">
        <v>143</v>
      </c>
      <c r="N48" t="s">
        <v>29</v>
      </c>
      <c r="O48" t="s">
        <v>90</v>
      </c>
      <c r="P48" t="s">
        <v>90</v>
      </c>
      <c r="Q48" t="s">
        <v>90</v>
      </c>
      <c r="R48" t="s">
        <v>52</v>
      </c>
      <c r="S48" t="s">
        <v>34</v>
      </c>
      <c r="U48" t="s">
        <v>53</v>
      </c>
    </row>
    <row r="49" spans="3:21" x14ac:dyDescent="0.25">
      <c r="C49" t="s">
        <v>19</v>
      </c>
      <c r="D49" t="s">
        <v>43</v>
      </c>
      <c r="E49" t="s">
        <v>44</v>
      </c>
      <c r="F49" t="s">
        <v>258</v>
      </c>
      <c r="G49" t="s">
        <v>259</v>
      </c>
      <c r="J49" t="s">
        <v>25</v>
      </c>
      <c r="K49" t="s">
        <v>260</v>
      </c>
      <c r="L49" t="s">
        <v>261</v>
      </c>
      <c r="M49" t="s">
        <v>28</v>
      </c>
      <c r="N49" t="s">
        <v>29</v>
      </c>
      <c r="O49" t="s">
        <v>90</v>
      </c>
      <c r="P49" t="s">
        <v>89</v>
      </c>
      <c r="Q49" t="s">
        <v>262</v>
      </c>
      <c r="R49" t="s">
        <v>101</v>
      </c>
      <c r="S49" t="s">
        <v>34</v>
      </c>
      <c r="U49" t="s">
        <v>102</v>
      </c>
    </row>
    <row r="50" spans="3:21" x14ac:dyDescent="0.25">
      <c r="C50" t="s">
        <v>19</v>
      </c>
      <c r="D50" t="s">
        <v>183</v>
      </c>
      <c r="E50" t="s">
        <v>184</v>
      </c>
      <c r="F50" t="s">
        <v>263</v>
      </c>
      <c r="G50" t="s">
        <v>264</v>
      </c>
      <c r="J50" t="s">
        <v>265</v>
      </c>
      <c r="K50" t="s">
        <v>266</v>
      </c>
      <c r="L50" t="s">
        <v>267</v>
      </c>
      <c r="M50" t="s">
        <v>28</v>
      </c>
      <c r="N50" t="s">
        <v>29</v>
      </c>
      <c r="O50" t="s">
        <v>268</v>
      </c>
      <c r="P50" t="s">
        <v>224</v>
      </c>
      <c r="Q50" t="s">
        <v>224</v>
      </c>
      <c r="R50" t="s">
        <v>101</v>
      </c>
      <c r="S50" t="s">
        <v>34</v>
      </c>
      <c r="U50" t="s">
        <v>102</v>
      </c>
    </row>
    <row r="51" spans="3:21" x14ac:dyDescent="0.25">
      <c r="C51" t="s">
        <v>19</v>
      </c>
      <c r="D51" t="s">
        <v>43</v>
      </c>
      <c r="E51" t="s">
        <v>44</v>
      </c>
      <c r="F51" t="s">
        <v>269</v>
      </c>
      <c r="G51" t="s">
        <v>270</v>
      </c>
      <c r="H51">
        <v>31004839</v>
      </c>
      <c r="I51" t="s">
        <v>271</v>
      </c>
      <c r="J51" t="s">
        <v>265</v>
      </c>
      <c r="L51" t="s">
        <v>272</v>
      </c>
      <c r="M51" t="s">
        <v>143</v>
      </c>
      <c r="N51" t="s">
        <v>29</v>
      </c>
      <c r="O51" t="s">
        <v>224</v>
      </c>
      <c r="P51" t="s">
        <v>224</v>
      </c>
      <c r="R51" t="s">
        <v>253</v>
      </c>
      <c r="S51" t="s">
        <v>34</v>
      </c>
      <c r="U51" t="s">
        <v>254</v>
      </c>
    </row>
    <row r="52" spans="3:21" x14ac:dyDescent="0.25">
      <c r="C52" t="s">
        <v>19</v>
      </c>
      <c r="D52" t="s">
        <v>43</v>
      </c>
      <c r="E52" t="s">
        <v>44</v>
      </c>
      <c r="F52" t="s">
        <v>273</v>
      </c>
      <c r="G52" t="s">
        <v>274</v>
      </c>
      <c r="H52">
        <v>16002184</v>
      </c>
      <c r="I52" t="s">
        <v>275</v>
      </c>
      <c r="J52" t="s">
        <v>265</v>
      </c>
      <c r="K52" t="s">
        <v>276</v>
      </c>
      <c r="L52" t="s">
        <v>276</v>
      </c>
      <c r="M52" t="s">
        <v>28</v>
      </c>
      <c r="N52" t="s">
        <v>29</v>
      </c>
      <c r="O52" t="s">
        <v>277</v>
      </c>
      <c r="P52" t="s">
        <v>277</v>
      </c>
      <c r="R52" t="s">
        <v>253</v>
      </c>
      <c r="S52" t="s">
        <v>34</v>
      </c>
      <c r="U52" t="s">
        <v>254</v>
      </c>
    </row>
    <row r="53" spans="3:21" x14ac:dyDescent="0.25">
      <c r="C53" t="s">
        <v>19</v>
      </c>
      <c r="D53" t="s">
        <v>183</v>
      </c>
      <c r="E53" t="s">
        <v>184</v>
      </c>
      <c r="F53" t="s">
        <v>263</v>
      </c>
      <c r="G53" t="s">
        <v>264</v>
      </c>
      <c r="J53" t="s">
        <v>265</v>
      </c>
      <c r="M53" t="s">
        <v>28</v>
      </c>
      <c r="N53" t="s">
        <v>29</v>
      </c>
      <c r="O53" t="s">
        <v>277</v>
      </c>
      <c r="P53" t="s">
        <v>224</v>
      </c>
      <c r="Q53" t="s">
        <v>224</v>
      </c>
      <c r="R53" t="s">
        <v>101</v>
      </c>
      <c r="S53" t="s">
        <v>34</v>
      </c>
      <c r="U53" t="s">
        <v>102</v>
      </c>
    </row>
    <row r="54" spans="3:21" x14ac:dyDescent="0.25">
      <c r="C54" t="s">
        <v>19</v>
      </c>
      <c r="D54" t="s">
        <v>20</v>
      </c>
      <c r="E54" t="s">
        <v>278</v>
      </c>
      <c r="F54" t="s">
        <v>279</v>
      </c>
      <c r="J54" t="s">
        <v>25</v>
      </c>
      <c r="K54" t="s">
        <v>280</v>
      </c>
      <c r="L54" t="s">
        <v>281</v>
      </c>
      <c r="M54" t="s">
        <v>82</v>
      </c>
      <c r="N54" t="s">
        <v>29</v>
      </c>
      <c r="O54" t="s">
        <v>282</v>
      </c>
      <c r="P54" t="s">
        <v>282</v>
      </c>
      <c r="Q54" t="s">
        <v>282</v>
      </c>
      <c r="R54" t="s">
        <v>215</v>
      </c>
      <c r="S54" t="s">
        <v>34</v>
      </c>
      <c r="U54" t="s">
        <v>216</v>
      </c>
    </row>
    <row r="55" spans="3:21" x14ac:dyDescent="0.25">
      <c r="C55" t="s">
        <v>19</v>
      </c>
      <c r="D55" t="s">
        <v>20</v>
      </c>
      <c r="E55" t="s">
        <v>103</v>
      </c>
      <c r="J55" t="s">
        <v>74</v>
      </c>
      <c r="K55" t="s">
        <v>283</v>
      </c>
      <c r="L55" t="s">
        <v>284</v>
      </c>
      <c r="M55" t="s">
        <v>28</v>
      </c>
      <c r="N55" t="s">
        <v>29</v>
      </c>
      <c r="O55" t="s">
        <v>285</v>
      </c>
      <c r="P55" t="s">
        <v>90</v>
      </c>
      <c r="Q55" t="s">
        <v>90</v>
      </c>
      <c r="R55" t="s">
        <v>230</v>
      </c>
      <c r="S55" t="s">
        <v>34</v>
      </c>
      <c r="U55" t="s">
        <v>286</v>
      </c>
    </row>
    <row r="56" spans="3:21" x14ac:dyDescent="0.25">
      <c r="C56" t="s">
        <v>227</v>
      </c>
      <c r="D56" t="s">
        <v>183</v>
      </c>
      <c r="E56" t="s">
        <v>184</v>
      </c>
      <c r="J56" t="s">
        <v>287</v>
      </c>
      <c r="K56" t="s">
        <v>288</v>
      </c>
      <c r="M56" t="s">
        <v>28</v>
      </c>
      <c r="N56" t="s">
        <v>29</v>
      </c>
      <c r="O56" t="s">
        <v>282</v>
      </c>
      <c r="P56" t="s">
        <v>277</v>
      </c>
      <c r="Q56" t="s">
        <v>289</v>
      </c>
      <c r="R56" t="s">
        <v>175</v>
      </c>
      <c r="S56" t="s">
        <v>34</v>
      </c>
      <c r="U56" t="s">
        <v>176</v>
      </c>
    </row>
    <row r="57" spans="3:21" x14ac:dyDescent="0.25">
      <c r="C57" t="s">
        <v>19</v>
      </c>
      <c r="D57" t="s">
        <v>43</v>
      </c>
      <c r="E57" t="s">
        <v>44</v>
      </c>
      <c r="F57" t="s">
        <v>290</v>
      </c>
      <c r="G57" t="s">
        <v>259</v>
      </c>
      <c r="J57" t="s">
        <v>25</v>
      </c>
      <c r="K57" t="s">
        <v>291</v>
      </c>
      <c r="L57" t="s">
        <v>292</v>
      </c>
      <c r="M57" t="s">
        <v>28</v>
      </c>
      <c r="N57" t="s">
        <v>29</v>
      </c>
      <c r="O57" t="s">
        <v>285</v>
      </c>
      <c r="P57" t="s">
        <v>277</v>
      </c>
      <c r="Q57" t="s">
        <v>268</v>
      </c>
      <c r="R57" t="s">
        <v>101</v>
      </c>
      <c r="S57" t="s">
        <v>34</v>
      </c>
      <c r="U57" t="s">
        <v>102</v>
      </c>
    </row>
    <row r="58" spans="3:21" x14ac:dyDescent="0.25">
      <c r="C58" t="s">
        <v>19</v>
      </c>
      <c r="D58" t="s">
        <v>43</v>
      </c>
      <c r="E58" t="s">
        <v>203</v>
      </c>
      <c r="F58" t="s">
        <v>293</v>
      </c>
      <c r="G58" t="s">
        <v>294</v>
      </c>
      <c r="I58" t="s">
        <v>295</v>
      </c>
      <c r="J58" t="s">
        <v>25</v>
      </c>
      <c r="K58" t="s">
        <v>296</v>
      </c>
      <c r="M58" t="s">
        <v>28</v>
      </c>
      <c r="N58" t="s">
        <v>29</v>
      </c>
      <c r="O58" t="s">
        <v>297</v>
      </c>
      <c r="P58" t="s">
        <v>297</v>
      </c>
      <c r="Q58" t="s">
        <v>297</v>
      </c>
      <c r="R58" t="s">
        <v>215</v>
      </c>
      <c r="S58" t="s">
        <v>34</v>
      </c>
      <c r="T58" t="s">
        <v>298</v>
      </c>
      <c r="U58" t="s">
        <v>216</v>
      </c>
    </row>
    <row r="59" spans="3:21" x14ac:dyDescent="0.25">
      <c r="C59" t="s">
        <v>19</v>
      </c>
      <c r="D59" t="s">
        <v>20</v>
      </c>
      <c r="E59" t="s">
        <v>103</v>
      </c>
      <c r="F59" t="s">
        <v>132</v>
      </c>
      <c r="G59" t="s">
        <v>299</v>
      </c>
      <c r="I59" t="s">
        <v>134</v>
      </c>
      <c r="J59" t="s">
        <v>59</v>
      </c>
      <c r="K59" t="s">
        <v>300</v>
      </c>
      <c r="M59" t="s">
        <v>28</v>
      </c>
      <c r="N59" t="s">
        <v>29</v>
      </c>
      <c r="O59" t="s">
        <v>297</v>
      </c>
      <c r="P59" t="s">
        <v>297</v>
      </c>
      <c r="Q59" t="s">
        <v>297</v>
      </c>
      <c r="R59" t="s">
        <v>215</v>
      </c>
      <c r="S59" t="s">
        <v>34</v>
      </c>
      <c r="T59" t="s">
        <v>216</v>
      </c>
      <c r="U59" t="s">
        <v>216</v>
      </c>
    </row>
    <row r="60" spans="3:21" ht="45" x14ac:dyDescent="0.25">
      <c r="C60" t="s">
        <v>19</v>
      </c>
      <c r="D60" t="s">
        <v>20</v>
      </c>
      <c r="E60" t="s">
        <v>103</v>
      </c>
      <c r="J60" t="s">
        <v>59</v>
      </c>
      <c r="K60" s="2" t="s">
        <v>301</v>
      </c>
      <c r="L60" t="s">
        <v>302</v>
      </c>
      <c r="M60" t="s">
        <v>28</v>
      </c>
      <c r="N60" t="s">
        <v>29</v>
      </c>
      <c r="O60" t="s">
        <v>303</v>
      </c>
      <c r="P60" t="s">
        <v>282</v>
      </c>
      <c r="Q60" t="s">
        <v>297</v>
      </c>
      <c r="R60" t="s">
        <v>175</v>
      </c>
      <c r="S60" t="s">
        <v>34</v>
      </c>
      <c r="T60" t="s">
        <v>304</v>
      </c>
      <c r="U60" t="s">
        <v>176</v>
      </c>
    </row>
    <row r="61" spans="3:21" x14ac:dyDescent="0.25">
      <c r="C61" t="s">
        <v>19</v>
      </c>
      <c r="D61" t="s">
        <v>20</v>
      </c>
      <c r="E61" t="s">
        <v>103</v>
      </c>
      <c r="F61" t="s">
        <v>305</v>
      </c>
      <c r="G61" t="s">
        <v>306</v>
      </c>
      <c r="J61" t="s">
        <v>74</v>
      </c>
      <c r="K61" t="s">
        <v>307</v>
      </c>
      <c r="M61" t="s">
        <v>143</v>
      </c>
      <c r="N61" t="s">
        <v>29</v>
      </c>
      <c r="O61" t="s">
        <v>303</v>
      </c>
      <c r="P61" t="s">
        <v>297</v>
      </c>
      <c r="Q61" t="s">
        <v>297</v>
      </c>
      <c r="R61" t="s">
        <v>101</v>
      </c>
      <c r="S61" t="s">
        <v>34</v>
      </c>
      <c r="U61" t="s">
        <v>102</v>
      </c>
    </row>
    <row r="62" spans="3:21" x14ac:dyDescent="0.25">
      <c r="C62" t="s">
        <v>19</v>
      </c>
      <c r="D62" t="s">
        <v>20</v>
      </c>
      <c r="E62" t="s">
        <v>278</v>
      </c>
      <c r="J62" t="s">
        <v>59</v>
      </c>
      <c r="K62" t="s">
        <v>308</v>
      </c>
      <c r="M62" t="s">
        <v>82</v>
      </c>
      <c r="N62" t="s">
        <v>29</v>
      </c>
      <c r="O62" t="s">
        <v>309</v>
      </c>
      <c r="P62" t="s">
        <v>303</v>
      </c>
      <c r="R62" t="s">
        <v>310</v>
      </c>
      <c r="S62" t="s">
        <v>34</v>
      </c>
      <c r="U62" t="s">
        <v>311</v>
      </c>
    </row>
    <row r="63" spans="3:21" x14ac:dyDescent="0.25">
      <c r="C63" t="s">
        <v>19</v>
      </c>
      <c r="D63" t="s">
        <v>20</v>
      </c>
      <c r="E63" t="s">
        <v>103</v>
      </c>
      <c r="F63" t="s">
        <v>305</v>
      </c>
      <c r="J63" t="s">
        <v>25</v>
      </c>
      <c r="K63" t="s">
        <v>312</v>
      </c>
      <c r="L63" t="s">
        <v>313</v>
      </c>
      <c r="M63" t="s">
        <v>28</v>
      </c>
      <c r="N63" t="s">
        <v>29</v>
      </c>
      <c r="O63" t="s">
        <v>309</v>
      </c>
      <c r="P63" t="s">
        <v>62</v>
      </c>
      <c r="Q63" t="s">
        <v>30</v>
      </c>
      <c r="R63" t="s">
        <v>101</v>
      </c>
      <c r="S63" t="s">
        <v>34</v>
      </c>
      <c r="U63" t="s">
        <v>102</v>
      </c>
    </row>
    <row r="64" spans="3:21" x14ac:dyDescent="0.25">
      <c r="C64" t="s">
        <v>19</v>
      </c>
      <c r="D64" t="s">
        <v>43</v>
      </c>
      <c r="E64" t="s">
        <v>44</v>
      </c>
      <c r="F64" t="s">
        <v>314</v>
      </c>
      <c r="G64" t="s">
        <v>315</v>
      </c>
      <c r="J64" t="s">
        <v>265</v>
      </c>
      <c r="M64" t="s">
        <v>28</v>
      </c>
      <c r="N64" t="s">
        <v>29</v>
      </c>
      <c r="O64" t="s">
        <v>316</v>
      </c>
      <c r="P64" t="s">
        <v>297</v>
      </c>
      <c r="Q64" t="s">
        <v>297</v>
      </c>
      <c r="R64" t="s">
        <v>101</v>
      </c>
      <c r="S64" t="s">
        <v>34</v>
      </c>
      <c r="U64" t="s">
        <v>102</v>
      </c>
    </row>
    <row r="65" spans="3:21" x14ac:dyDescent="0.25">
      <c r="C65" t="s">
        <v>19</v>
      </c>
      <c r="D65" t="s">
        <v>20</v>
      </c>
      <c r="E65" t="s">
        <v>103</v>
      </c>
      <c r="J65" t="s">
        <v>59</v>
      </c>
      <c r="K65" t="s">
        <v>317</v>
      </c>
      <c r="L65" t="s">
        <v>302</v>
      </c>
      <c r="M65" t="s">
        <v>28</v>
      </c>
      <c r="N65" t="s">
        <v>29</v>
      </c>
      <c r="O65" t="s">
        <v>316</v>
      </c>
      <c r="P65" t="s">
        <v>316</v>
      </c>
      <c r="Q65" t="s">
        <v>316</v>
      </c>
      <c r="R65" t="s">
        <v>175</v>
      </c>
      <c r="S65" t="s">
        <v>34</v>
      </c>
      <c r="T65" t="s">
        <v>304</v>
      </c>
      <c r="U65" t="s">
        <v>176</v>
      </c>
    </row>
    <row r="66" spans="3:21" x14ac:dyDescent="0.25">
      <c r="C66" t="s">
        <v>19</v>
      </c>
      <c r="D66" t="s">
        <v>20</v>
      </c>
      <c r="E66" t="s">
        <v>103</v>
      </c>
      <c r="J66" t="s">
        <v>59</v>
      </c>
      <c r="K66" t="s">
        <v>318</v>
      </c>
      <c r="M66" t="s">
        <v>28</v>
      </c>
      <c r="N66" t="s">
        <v>29</v>
      </c>
      <c r="O66" t="s">
        <v>319</v>
      </c>
      <c r="P66" t="s">
        <v>316</v>
      </c>
      <c r="Q66" t="s">
        <v>316</v>
      </c>
      <c r="R66" t="s">
        <v>101</v>
      </c>
      <c r="S66" t="s">
        <v>34</v>
      </c>
      <c r="U66" t="s">
        <v>320</v>
      </c>
    </row>
    <row r="67" spans="3:21" x14ac:dyDescent="0.25">
      <c r="C67" t="s">
        <v>19</v>
      </c>
      <c r="D67" t="s">
        <v>43</v>
      </c>
      <c r="E67" t="s">
        <v>44</v>
      </c>
      <c r="J67" t="s">
        <v>74</v>
      </c>
      <c r="K67" t="s">
        <v>321</v>
      </c>
      <c r="M67" t="s">
        <v>82</v>
      </c>
      <c r="N67" t="s">
        <v>29</v>
      </c>
      <c r="O67" t="s">
        <v>322</v>
      </c>
      <c r="P67" t="s">
        <v>282</v>
      </c>
      <c r="Q67" t="s">
        <v>62</v>
      </c>
      <c r="R67" t="s">
        <v>323</v>
      </c>
      <c r="S67" t="s">
        <v>34</v>
      </c>
      <c r="T67" t="s">
        <v>324</v>
      </c>
      <c r="U67" t="s">
        <v>176</v>
      </c>
    </row>
    <row r="68" spans="3:21" x14ac:dyDescent="0.25">
      <c r="C68" t="s">
        <v>19</v>
      </c>
      <c r="D68" t="s">
        <v>20</v>
      </c>
      <c r="E68" t="s">
        <v>278</v>
      </c>
      <c r="J68" t="s">
        <v>59</v>
      </c>
      <c r="K68" t="s">
        <v>325</v>
      </c>
      <c r="L68" t="s">
        <v>326</v>
      </c>
      <c r="M68" t="s">
        <v>82</v>
      </c>
      <c r="N68" t="s">
        <v>29</v>
      </c>
      <c r="O68" t="s">
        <v>322</v>
      </c>
      <c r="P68" t="s">
        <v>322</v>
      </c>
      <c r="Q68" t="s">
        <v>322</v>
      </c>
      <c r="R68" t="s">
        <v>310</v>
      </c>
      <c r="S68" t="s">
        <v>34</v>
      </c>
      <c r="U68" t="s">
        <v>311</v>
      </c>
    </row>
    <row r="69" spans="3:21" x14ac:dyDescent="0.25">
      <c r="C69" t="s">
        <v>19</v>
      </c>
      <c r="D69" t="s">
        <v>327</v>
      </c>
      <c r="E69" t="s">
        <v>328</v>
      </c>
      <c r="F69" t="s">
        <v>329</v>
      </c>
      <c r="G69" t="s">
        <v>330</v>
      </c>
      <c r="I69" t="s">
        <v>331</v>
      </c>
      <c r="J69" t="s">
        <v>59</v>
      </c>
      <c r="K69" t="s">
        <v>332</v>
      </c>
      <c r="M69" t="s">
        <v>82</v>
      </c>
      <c r="N69" t="s">
        <v>29</v>
      </c>
      <c r="O69" t="s">
        <v>322</v>
      </c>
      <c r="P69" t="s">
        <v>322</v>
      </c>
      <c r="Q69" t="s">
        <v>322</v>
      </c>
      <c r="R69" t="s">
        <v>52</v>
      </c>
      <c r="S69" t="s">
        <v>34</v>
      </c>
      <c r="U69" t="s">
        <v>53</v>
      </c>
    </row>
    <row r="70" spans="3:21" x14ac:dyDescent="0.25">
      <c r="C70" t="s">
        <v>19</v>
      </c>
      <c r="D70" t="s">
        <v>93</v>
      </c>
      <c r="E70" t="s">
        <v>94</v>
      </c>
      <c r="F70" t="s">
        <v>333</v>
      </c>
      <c r="G70" t="s">
        <v>334</v>
      </c>
      <c r="J70" t="s">
        <v>265</v>
      </c>
      <c r="L70" t="s">
        <v>335</v>
      </c>
      <c r="M70" t="s">
        <v>28</v>
      </c>
      <c r="N70" t="s">
        <v>29</v>
      </c>
      <c r="O70" t="s">
        <v>322</v>
      </c>
      <c r="P70" t="s">
        <v>309</v>
      </c>
      <c r="Q70" t="s">
        <v>309</v>
      </c>
      <c r="R70" t="s">
        <v>101</v>
      </c>
      <c r="S70" t="s">
        <v>34</v>
      </c>
      <c r="U70" t="s">
        <v>102</v>
      </c>
    </row>
    <row r="71" spans="3:21" x14ac:dyDescent="0.25">
      <c r="C71" t="s">
        <v>19</v>
      </c>
      <c r="D71" t="s">
        <v>43</v>
      </c>
      <c r="E71" t="s">
        <v>44</v>
      </c>
      <c r="F71" t="s">
        <v>290</v>
      </c>
      <c r="G71" t="s">
        <v>259</v>
      </c>
      <c r="J71" t="s">
        <v>25</v>
      </c>
      <c r="K71" t="s">
        <v>336</v>
      </c>
      <c r="L71" t="s">
        <v>337</v>
      </c>
      <c r="M71" t="s">
        <v>28</v>
      </c>
      <c r="N71" t="s">
        <v>29</v>
      </c>
      <c r="O71" t="s">
        <v>316</v>
      </c>
      <c r="P71" t="s">
        <v>224</v>
      </c>
      <c r="Q71" t="s">
        <v>224</v>
      </c>
      <c r="R71" t="s">
        <v>101</v>
      </c>
      <c r="S71" t="s">
        <v>34</v>
      </c>
      <c r="U71" t="s">
        <v>102</v>
      </c>
    </row>
    <row r="72" spans="3:21" x14ac:dyDescent="0.25">
      <c r="C72" t="s">
        <v>19</v>
      </c>
      <c r="D72" t="s">
        <v>20</v>
      </c>
      <c r="E72" t="s">
        <v>278</v>
      </c>
      <c r="J72" t="s">
        <v>74</v>
      </c>
      <c r="K72" t="s">
        <v>338</v>
      </c>
      <c r="L72" t="s">
        <v>339</v>
      </c>
      <c r="M72" t="s">
        <v>82</v>
      </c>
      <c r="N72" t="s">
        <v>29</v>
      </c>
      <c r="O72" t="s">
        <v>340</v>
      </c>
      <c r="P72" t="s">
        <v>341</v>
      </c>
      <c r="R72" t="s">
        <v>342</v>
      </c>
      <c r="S72" t="s">
        <v>343</v>
      </c>
      <c r="U72" t="s">
        <v>344</v>
      </c>
    </row>
    <row r="73" spans="3:21" x14ac:dyDescent="0.25">
      <c r="C73" t="s">
        <v>19</v>
      </c>
      <c r="D73" t="s">
        <v>43</v>
      </c>
      <c r="E73" t="s">
        <v>44</v>
      </c>
      <c r="F73" t="s">
        <v>109</v>
      </c>
      <c r="G73" t="s">
        <v>259</v>
      </c>
      <c r="I73" t="s">
        <v>345</v>
      </c>
      <c r="J73" t="s">
        <v>25</v>
      </c>
      <c r="K73" t="s">
        <v>346</v>
      </c>
      <c r="L73" t="s">
        <v>347</v>
      </c>
      <c r="M73" t="s">
        <v>28</v>
      </c>
      <c r="N73" t="s">
        <v>29</v>
      </c>
      <c r="O73" t="s">
        <v>348</v>
      </c>
      <c r="P73" t="s">
        <v>316</v>
      </c>
      <c r="Q73" t="s">
        <v>322</v>
      </c>
      <c r="R73" t="s">
        <v>101</v>
      </c>
      <c r="S73" t="s">
        <v>34</v>
      </c>
      <c r="U73" t="s">
        <v>102</v>
      </c>
    </row>
    <row r="74" spans="3:21" x14ac:dyDescent="0.25">
      <c r="C74" t="s">
        <v>19</v>
      </c>
      <c r="D74" t="s">
        <v>327</v>
      </c>
      <c r="E74" t="s">
        <v>328</v>
      </c>
      <c r="F74" t="s">
        <v>329</v>
      </c>
      <c r="G74" t="s">
        <v>330</v>
      </c>
      <c r="I74" t="s">
        <v>331</v>
      </c>
      <c r="J74" t="s">
        <v>59</v>
      </c>
      <c r="K74" t="s">
        <v>349</v>
      </c>
      <c r="L74" t="s">
        <v>350</v>
      </c>
      <c r="M74" t="s">
        <v>82</v>
      </c>
      <c r="N74" t="s">
        <v>29</v>
      </c>
      <c r="O74" t="s">
        <v>351</v>
      </c>
      <c r="P74" t="s">
        <v>351</v>
      </c>
      <c r="Q74" t="s">
        <v>351</v>
      </c>
      <c r="R74" t="s">
        <v>52</v>
      </c>
      <c r="S74" t="s">
        <v>34</v>
      </c>
      <c r="U74" t="s">
        <v>53</v>
      </c>
    </row>
    <row r="75" spans="3:21" x14ac:dyDescent="0.25">
      <c r="C75" t="s">
        <v>19</v>
      </c>
      <c r="D75" t="s">
        <v>43</v>
      </c>
      <c r="E75" t="s">
        <v>44</v>
      </c>
      <c r="J75" t="s">
        <v>265</v>
      </c>
      <c r="K75" t="s">
        <v>352</v>
      </c>
      <c r="L75" t="s">
        <v>353</v>
      </c>
      <c r="M75" t="s">
        <v>82</v>
      </c>
      <c r="N75" t="s">
        <v>29</v>
      </c>
      <c r="O75" t="s">
        <v>351</v>
      </c>
      <c r="P75" t="s">
        <v>351</v>
      </c>
      <c r="Q75" t="s">
        <v>351</v>
      </c>
      <c r="R75" t="s">
        <v>310</v>
      </c>
      <c r="S75" t="s">
        <v>34</v>
      </c>
      <c r="U75" t="s">
        <v>354</v>
      </c>
    </row>
    <row r="76" spans="3:21" x14ac:dyDescent="0.25">
      <c r="C76" t="s">
        <v>19</v>
      </c>
      <c r="D76" t="s">
        <v>20</v>
      </c>
      <c r="E76" t="s">
        <v>21</v>
      </c>
      <c r="J76" t="s">
        <v>48</v>
      </c>
      <c r="K76" t="s">
        <v>355</v>
      </c>
      <c r="M76" t="s">
        <v>28</v>
      </c>
      <c r="N76" t="s">
        <v>29</v>
      </c>
      <c r="O76" t="s">
        <v>351</v>
      </c>
      <c r="P76" t="s">
        <v>348</v>
      </c>
      <c r="Q76" t="s">
        <v>351</v>
      </c>
      <c r="R76" t="s">
        <v>356</v>
      </c>
      <c r="S76" t="s">
        <v>34</v>
      </c>
      <c r="U76" t="s">
        <v>357</v>
      </c>
    </row>
    <row r="77" spans="3:21" x14ac:dyDescent="0.25">
      <c r="C77" t="s">
        <v>19</v>
      </c>
      <c r="D77" t="s">
        <v>20</v>
      </c>
      <c r="E77" t="s">
        <v>21</v>
      </c>
      <c r="J77" t="s">
        <v>74</v>
      </c>
      <c r="K77" t="s">
        <v>358</v>
      </c>
      <c r="L77" t="s">
        <v>87</v>
      </c>
      <c r="M77" t="s">
        <v>28</v>
      </c>
      <c r="N77" t="s">
        <v>29</v>
      </c>
      <c r="O77" t="s">
        <v>351</v>
      </c>
      <c r="P77" t="s">
        <v>351</v>
      </c>
      <c r="Q77" t="s">
        <v>351</v>
      </c>
      <c r="R77" t="s">
        <v>356</v>
      </c>
      <c r="S77" t="s">
        <v>34</v>
      </c>
      <c r="U77" t="s">
        <v>359</v>
      </c>
    </row>
    <row r="78" spans="3:21" x14ac:dyDescent="0.25">
      <c r="C78" t="s">
        <v>19</v>
      </c>
      <c r="D78" t="s">
        <v>20</v>
      </c>
      <c r="E78" t="s">
        <v>70</v>
      </c>
      <c r="J78" t="s">
        <v>74</v>
      </c>
      <c r="K78" t="s">
        <v>360</v>
      </c>
      <c r="L78" t="s">
        <v>361</v>
      </c>
      <c r="M78" t="s">
        <v>28</v>
      </c>
      <c r="N78" t="s">
        <v>29</v>
      </c>
      <c r="O78" t="s">
        <v>362</v>
      </c>
      <c r="P78" t="s">
        <v>322</v>
      </c>
      <c r="Q78" t="s">
        <v>351</v>
      </c>
      <c r="R78" t="s">
        <v>101</v>
      </c>
      <c r="S78" t="s">
        <v>34</v>
      </c>
      <c r="U78" t="s">
        <v>363</v>
      </c>
    </row>
    <row r="79" spans="3:21" x14ac:dyDescent="0.25">
      <c r="C79" t="s">
        <v>19</v>
      </c>
      <c r="D79" t="s">
        <v>364</v>
      </c>
      <c r="E79" t="s">
        <v>365</v>
      </c>
      <c r="J79" t="s">
        <v>74</v>
      </c>
      <c r="K79" t="s">
        <v>366</v>
      </c>
      <c r="L79" t="s">
        <v>367</v>
      </c>
      <c r="M79" t="s">
        <v>28</v>
      </c>
      <c r="N79" t="s">
        <v>29</v>
      </c>
      <c r="O79" t="s">
        <v>362</v>
      </c>
      <c r="P79" t="s">
        <v>368</v>
      </c>
      <c r="Q79" t="s">
        <v>369</v>
      </c>
      <c r="R79" t="s">
        <v>101</v>
      </c>
      <c r="S79" t="s">
        <v>34</v>
      </c>
      <c r="T79" t="s">
        <v>176</v>
      </c>
      <c r="U79" t="s">
        <v>363</v>
      </c>
    </row>
    <row r="80" spans="3:21" x14ac:dyDescent="0.25">
      <c r="C80" t="s">
        <v>227</v>
      </c>
      <c r="D80" t="s">
        <v>370</v>
      </c>
      <c r="E80" t="s">
        <v>371</v>
      </c>
      <c r="J80" t="s">
        <v>372</v>
      </c>
      <c r="K80" t="s">
        <v>373</v>
      </c>
      <c r="M80" t="s">
        <v>28</v>
      </c>
      <c r="N80" t="s">
        <v>29</v>
      </c>
      <c r="O80" t="s">
        <v>374</v>
      </c>
      <c r="P80" t="s">
        <v>375</v>
      </c>
      <c r="Q80" t="s">
        <v>375</v>
      </c>
      <c r="R80" t="s">
        <v>101</v>
      </c>
      <c r="S80" t="s">
        <v>34</v>
      </c>
      <c r="U80" t="s">
        <v>320</v>
      </c>
    </row>
    <row r="81" spans="3:21" x14ac:dyDescent="0.25">
      <c r="C81" t="s">
        <v>19</v>
      </c>
      <c r="D81" t="s">
        <v>327</v>
      </c>
      <c r="E81" t="s">
        <v>376</v>
      </c>
      <c r="J81" t="s">
        <v>25</v>
      </c>
      <c r="K81" t="s">
        <v>377</v>
      </c>
      <c r="L81" t="s">
        <v>378</v>
      </c>
      <c r="M81" t="s">
        <v>28</v>
      </c>
      <c r="N81" t="s">
        <v>29</v>
      </c>
      <c r="O81" t="s">
        <v>379</v>
      </c>
      <c r="P81" t="s">
        <v>380</v>
      </c>
      <c r="Q81" t="s">
        <v>374</v>
      </c>
      <c r="R81" t="s">
        <v>101</v>
      </c>
      <c r="S81" t="s">
        <v>34</v>
      </c>
      <c r="U81" t="s">
        <v>381</v>
      </c>
    </row>
    <row r="82" spans="3:21" x14ac:dyDescent="0.25">
      <c r="C82" t="s">
        <v>19</v>
      </c>
      <c r="D82" t="s">
        <v>54</v>
      </c>
      <c r="E82" t="s">
        <v>55</v>
      </c>
      <c r="J82" t="s">
        <v>265</v>
      </c>
      <c r="M82" t="s">
        <v>28</v>
      </c>
      <c r="N82" t="s">
        <v>29</v>
      </c>
      <c r="O82" t="s">
        <v>379</v>
      </c>
      <c r="P82" t="s">
        <v>362</v>
      </c>
      <c r="Q82" t="s">
        <v>362</v>
      </c>
      <c r="R82" t="s">
        <v>189</v>
      </c>
      <c r="S82" t="s">
        <v>34</v>
      </c>
      <c r="U82" t="s">
        <v>382</v>
      </c>
    </row>
    <row r="83" spans="3:21" x14ac:dyDescent="0.25">
      <c r="C83" t="s">
        <v>19</v>
      </c>
      <c r="D83" t="s">
        <v>20</v>
      </c>
      <c r="E83" t="s">
        <v>70</v>
      </c>
      <c r="F83" t="s">
        <v>132</v>
      </c>
      <c r="J83" t="s">
        <v>74</v>
      </c>
      <c r="K83" t="s">
        <v>383</v>
      </c>
      <c r="L83" t="s">
        <v>384</v>
      </c>
      <c r="M83" t="s">
        <v>28</v>
      </c>
      <c r="N83" t="s">
        <v>29</v>
      </c>
      <c r="O83" t="s">
        <v>385</v>
      </c>
      <c r="P83" t="s">
        <v>385</v>
      </c>
      <c r="Q83" t="s">
        <v>385</v>
      </c>
      <c r="R83" t="s">
        <v>215</v>
      </c>
      <c r="S83" t="s">
        <v>34</v>
      </c>
      <c r="T83" t="s">
        <v>216</v>
      </c>
      <c r="U83" t="s">
        <v>216</v>
      </c>
    </row>
    <row r="84" spans="3:21" x14ac:dyDescent="0.25">
      <c r="C84" t="s">
        <v>19</v>
      </c>
      <c r="D84" t="s">
        <v>20</v>
      </c>
      <c r="E84" t="s">
        <v>70</v>
      </c>
      <c r="F84" t="s">
        <v>132</v>
      </c>
      <c r="G84" t="s">
        <v>386</v>
      </c>
      <c r="I84" t="s">
        <v>134</v>
      </c>
      <c r="J84" t="s">
        <v>74</v>
      </c>
      <c r="K84" t="s">
        <v>387</v>
      </c>
      <c r="L84" t="s">
        <v>384</v>
      </c>
      <c r="M84" t="s">
        <v>143</v>
      </c>
      <c r="N84" t="s">
        <v>29</v>
      </c>
      <c r="O84" t="s">
        <v>385</v>
      </c>
      <c r="P84" t="s">
        <v>385</v>
      </c>
      <c r="Q84" t="s">
        <v>385</v>
      </c>
      <c r="R84" t="s">
        <v>215</v>
      </c>
      <c r="S84" t="s">
        <v>34</v>
      </c>
      <c r="T84" t="s">
        <v>216</v>
      </c>
      <c r="U84" t="s">
        <v>216</v>
      </c>
    </row>
    <row r="85" spans="3:21" x14ac:dyDescent="0.25">
      <c r="C85" t="s">
        <v>19</v>
      </c>
      <c r="D85" t="s">
        <v>20</v>
      </c>
      <c r="E85" t="s">
        <v>103</v>
      </c>
      <c r="J85" t="s">
        <v>25</v>
      </c>
      <c r="K85" t="s">
        <v>388</v>
      </c>
      <c r="M85" t="s">
        <v>28</v>
      </c>
      <c r="N85" t="s">
        <v>29</v>
      </c>
      <c r="O85" t="s">
        <v>385</v>
      </c>
      <c r="P85" t="s">
        <v>389</v>
      </c>
      <c r="Q85" t="s">
        <v>380</v>
      </c>
      <c r="R85" t="s">
        <v>101</v>
      </c>
      <c r="S85" t="s">
        <v>34</v>
      </c>
      <c r="T85" t="s">
        <v>304</v>
      </c>
      <c r="U85" t="s">
        <v>320</v>
      </c>
    </row>
    <row r="86" spans="3:21" x14ac:dyDescent="0.25">
      <c r="C86" t="s">
        <v>19</v>
      </c>
      <c r="D86" t="s">
        <v>43</v>
      </c>
      <c r="E86" t="s">
        <v>44</v>
      </c>
      <c r="F86" t="s">
        <v>390</v>
      </c>
      <c r="G86" t="s">
        <v>391</v>
      </c>
      <c r="J86" t="s">
        <v>265</v>
      </c>
      <c r="M86" t="s">
        <v>28</v>
      </c>
      <c r="N86" t="s">
        <v>29</v>
      </c>
      <c r="O86" t="s">
        <v>392</v>
      </c>
      <c r="P86" t="s">
        <v>385</v>
      </c>
      <c r="Q86" t="s">
        <v>385</v>
      </c>
      <c r="R86" t="s">
        <v>393</v>
      </c>
      <c r="S86" t="s">
        <v>34</v>
      </c>
      <c r="U86" t="s">
        <v>394</v>
      </c>
    </row>
    <row r="87" spans="3:21" x14ac:dyDescent="0.25">
      <c r="C87" t="s">
        <v>19</v>
      </c>
      <c r="D87" t="s">
        <v>54</v>
      </c>
      <c r="E87" t="s">
        <v>395</v>
      </c>
      <c r="F87" t="s">
        <v>396</v>
      </c>
      <c r="G87" t="s">
        <v>397</v>
      </c>
      <c r="H87">
        <v>20000114</v>
      </c>
      <c r="I87" t="s">
        <v>398</v>
      </c>
      <c r="J87" t="s">
        <v>265</v>
      </c>
      <c r="M87" t="s">
        <v>28</v>
      </c>
      <c r="N87" t="s">
        <v>29</v>
      </c>
      <c r="O87" t="s">
        <v>392</v>
      </c>
      <c r="R87" t="s">
        <v>215</v>
      </c>
      <c r="S87" t="s">
        <v>343</v>
      </c>
      <c r="U87" t="s">
        <v>399</v>
      </c>
    </row>
    <row r="88" spans="3:21" x14ac:dyDescent="0.25">
      <c r="C88" t="s">
        <v>19</v>
      </c>
      <c r="D88" t="s">
        <v>54</v>
      </c>
      <c r="E88" t="s">
        <v>395</v>
      </c>
      <c r="F88" t="s">
        <v>396</v>
      </c>
      <c r="G88" t="s">
        <v>397</v>
      </c>
      <c r="H88">
        <v>20000114</v>
      </c>
      <c r="I88" t="s">
        <v>398</v>
      </c>
      <c r="J88" t="s">
        <v>265</v>
      </c>
      <c r="L88" t="s">
        <v>400</v>
      </c>
      <c r="M88" t="s">
        <v>28</v>
      </c>
      <c r="N88" t="s">
        <v>29</v>
      </c>
      <c r="O88" t="s">
        <v>392</v>
      </c>
      <c r="P88" t="s">
        <v>348</v>
      </c>
      <c r="Q88" t="s">
        <v>62</v>
      </c>
      <c r="R88" t="s">
        <v>215</v>
      </c>
      <c r="S88" t="s">
        <v>34</v>
      </c>
      <c r="U88" t="s">
        <v>399</v>
      </c>
    </row>
    <row r="89" spans="3:21" x14ac:dyDescent="0.25">
      <c r="C89" t="s">
        <v>19</v>
      </c>
      <c r="D89" t="s">
        <v>43</v>
      </c>
      <c r="E89" t="s">
        <v>44</v>
      </c>
      <c r="F89" t="s">
        <v>401</v>
      </c>
      <c r="G89" t="s">
        <v>402</v>
      </c>
      <c r="J89" t="s">
        <v>25</v>
      </c>
      <c r="K89" t="s">
        <v>403</v>
      </c>
      <c r="M89" t="s">
        <v>28</v>
      </c>
      <c r="N89" t="s">
        <v>29</v>
      </c>
      <c r="O89" t="s">
        <v>392</v>
      </c>
      <c r="P89" t="s">
        <v>404</v>
      </c>
      <c r="R89" t="s">
        <v>225</v>
      </c>
      <c r="S89" t="s">
        <v>34</v>
      </c>
      <c r="U89" t="s">
        <v>42</v>
      </c>
    </row>
    <row r="90" spans="3:21" x14ac:dyDescent="0.25">
      <c r="C90" t="s">
        <v>19</v>
      </c>
      <c r="D90" t="s">
        <v>43</v>
      </c>
      <c r="E90" t="s">
        <v>44</v>
      </c>
      <c r="F90" t="s">
        <v>405</v>
      </c>
      <c r="G90" t="s">
        <v>406</v>
      </c>
      <c r="J90" t="s">
        <v>25</v>
      </c>
      <c r="K90" t="s">
        <v>407</v>
      </c>
      <c r="L90" t="s">
        <v>408</v>
      </c>
      <c r="M90" t="s">
        <v>28</v>
      </c>
      <c r="N90" t="s">
        <v>29</v>
      </c>
      <c r="O90" t="s">
        <v>409</v>
      </c>
      <c r="P90" t="s">
        <v>392</v>
      </c>
      <c r="Q90" t="s">
        <v>392</v>
      </c>
      <c r="R90" t="s">
        <v>393</v>
      </c>
      <c r="S90" t="s">
        <v>34</v>
      </c>
      <c r="U90" t="s">
        <v>42</v>
      </c>
    </row>
    <row r="91" spans="3:21" x14ac:dyDescent="0.25">
      <c r="C91" t="s">
        <v>19</v>
      </c>
      <c r="D91" t="s">
        <v>43</v>
      </c>
      <c r="E91" t="s">
        <v>44</v>
      </c>
      <c r="F91" t="s">
        <v>405</v>
      </c>
      <c r="G91" t="s">
        <v>406</v>
      </c>
      <c r="J91" t="s">
        <v>25</v>
      </c>
      <c r="M91" t="s">
        <v>28</v>
      </c>
      <c r="N91" t="s">
        <v>29</v>
      </c>
      <c r="O91" t="s">
        <v>409</v>
      </c>
      <c r="P91" t="s">
        <v>392</v>
      </c>
      <c r="Q91" t="s">
        <v>409</v>
      </c>
      <c r="R91" t="s">
        <v>393</v>
      </c>
      <c r="S91" t="s">
        <v>34</v>
      </c>
      <c r="U91" t="s">
        <v>42</v>
      </c>
    </row>
    <row r="92" spans="3:21" x14ac:dyDescent="0.25">
      <c r="C92" t="s">
        <v>19</v>
      </c>
      <c r="D92" t="s">
        <v>43</v>
      </c>
      <c r="E92" t="s">
        <v>44</v>
      </c>
      <c r="J92" t="s">
        <v>265</v>
      </c>
      <c r="K92" t="s">
        <v>410</v>
      </c>
      <c r="L92" t="s">
        <v>411</v>
      </c>
      <c r="M92" t="s">
        <v>28</v>
      </c>
      <c r="N92" t="s">
        <v>29</v>
      </c>
      <c r="O92" t="s">
        <v>412</v>
      </c>
      <c r="P92" t="s">
        <v>413</v>
      </c>
      <c r="Q92" t="s">
        <v>413</v>
      </c>
      <c r="R92" t="s">
        <v>230</v>
      </c>
      <c r="S92" t="s">
        <v>34</v>
      </c>
      <c r="U92" t="s">
        <v>286</v>
      </c>
    </row>
    <row r="93" spans="3:21" x14ac:dyDescent="0.25">
      <c r="C93" t="s">
        <v>19</v>
      </c>
      <c r="D93" t="s">
        <v>43</v>
      </c>
      <c r="E93" t="s">
        <v>44</v>
      </c>
      <c r="J93" t="s">
        <v>265</v>
      </c>
      <c r="K93" t="s">
        <v>414</v>
      </c>
      <c r="L93" t="s">
        <v>415</v>
      </c>
      <c r="M93" t="s">
        <v>28</v>
      </c>
      <c r="N93" t="s">
        <v>29</v>
      </c>
      <c r="O93" t="s">
        <v>416</v>
      </c>
      <c r="P93" t="s">
        <v>416</v>
      </c>
      <c r="Q93" t="s">
        <v>416</v>
      </c>
      <c r="R93" t="s">
        <v>230</v>
      </c>
      <c r="S93" t="s">
        <v>34</v>
      </c>
      <c r="U93" t="s">
        <v>286</v>
      </c>
    </row>
    <row r="94" spans="3:21" x14ac:dyDescent="0.25">
      <c r="C94" t="s">
        <v>227</v>
      </c>
      <c r="D94" t="s">
        <v>183</v>
      </c>
      <c r="E94" t="s">
        <v>184</v>
      </c>
      <c r="J94" t="s">
        <v>265</v>
      </c>
      <c r="K94" t="s">
        <v>417</v>
      </c>
      <c r="L94" t="s">
        <v>411</v>
      </c>
      <c r="M94" t="s">
        <v>28</v>
      </c>
      <c r="N94" t="s">
        <v>29</v>
      </c>
      <c r="O94" t="s">
        <v>416</v>
      </c>
      <c r="P94" t="s">
        <v>416</v>
      </c>
      <c r="Q94" t="s">
        <v>416</v>
      </c>
      <c r="R94" t="s">
        <v>230</v>
      </c>
      <c r="S94" t="s">
        <v>34</v>
      </c>
      <c r="U94" t="s">
        <v>286</v>
      </c>
    </row>
    <row r="95" spans="3:21" x14ac:dyDescent="0.25">
      <c r="C95" t="s">
        <v>19</v>
      </c>
      <c r="D95" t="s">
        <v>43</v>
      </c>
      <c r="E95" t="s">
        <v>44</v>
      </c>
      <c r="F95" t="s">
        <v>418</v>
      </c>
      <c r="G95" t="s">
        <v>402</v>
      </c>
      <c r="J95" t="s">
        <v>25</v>
      </c>
      <c r="K95" t="s">
        <v>419</v>
      </c>
      <c r="L95" t="s">
        <v>420</v>
      </c>
      <c r="M95" t="s">
        <v>143</v>
      </c>
      <c r="N95" t="s">
        <v>29</v>
      </c>
      <c r="O95" t="s">
        <v>421</v>
      </c>
      <c r="P95" t="s">
        <v>421</v>
      </c>
      <c r="R95" t="s">
        <v>225</v>
      </c>
      <c r="S95" t="s">
        <v>34</v>
      </c>
      <c r="U95" t="s">
        <v>42</v>
      </c>
    </row>
    <row r="96" spans="3:21" x14ac:dyDescent="0.25">
      <c r="C96" t="s">
        <v>19</v>
      </c>
      <c r="D96" t="s">
        <v>43</v>
      </c>
      <c r="E96" t="s">
        <v>44</v>
      </c>
      <c r="F96" t="s">
        <v>422</v>
      </c>
      <c r="G96" t="s">
        <v>423</v>
      </c>
      <c r="J96" t="s">
        <v>25</v>
      </c>
      <c r="K96" t="s">
        <v>424</v>
      </c>
      <c r="L96" t="s">
        <v>425</v>
      </c>
      <c r="M96" t="s">
        <v>143</v>
      </c>
      <c r="N96" t="s">
        <v>29</v>
      </c>
      <c r="O96" t="s">
        <v>426</v>
      </c>
      <c r="R96" t="s">
        <v>189</v>
      </c>
      <c r="S96" t="s">
        <v>34</v>
      </c>
      <c r="U96" t="s">
        <v>42</v>
      </c>
    </row>
    <row r="97" spans="3:21" x14ac:dyDescent="0.25">
      <c r="C97" t="s">
        <v>19</v>
      </c>
      <c r="D97" t="s">
        <v>43</v>
      </c>
      <c r="E97" t="s">
        <v>44</v>
      </c>
      <c r="F97" t="s">
        <v>427</v>
      </c>
      <c r="G97" t="s">
        <v>274</v>
      </c>
      <c r="H97">
        <v>16002184</v>
      </c>
      <c r="I97" t="s">
        <v>275</v>
      </c>
      <c r="J97" t="s">
        <v>265</v>
      </c>
      <c r="K97" t="s">
        <v>428</v>
      </c>
      <c r="M97" t="s">
        <v>143</v>
      </c>
      <c r="N97" t="s">
        <v>29</v>
      </c>
      <c r="O97" t="s">
        <v>426</v>
      </c>
      <c r="P97" t="s">
        <v>416</v>
      </c>
      <c r="Q97" t="s">
        <v>416</v>
      </c>
      <c r="R97" t="s">
        <v>253</v>
      </c>
      <c r="S97" t="s">
        <v>34</v>
      </c>
      <c r="U97" t="s">
        <v>254</v>
      </c>
    </row>
    <row r="98" spans="3:21" x14ac:dyDescent="0.25">
      <c r="C98" t="s">
        <v>19</v>
      </c>
      <c r="D98" t="s">
        <v>20</v>
      </c>
      <c r="E98" t="s">
        <v>21</v>
      </c>
      <c r="F98" t="s">
        <v>22</v>
      </c>
      <c r="G98" t="s">
        <v>429</v>
      </c>
      <c r="H98">
        <v>24012348</v>
      </c>
      <c r="I98" t="s">
        <v>24</v>
      </c>
      <c r="J98" t="s">
        <v>48</v>
      </c>
      <c r="L98" t="s">
        <v>430</v>
      </c>
      <c r="M98" t="s">
        <v>28</v>
      </c>
      <c r="N98" t="s">
        <v>29</v>
      </c>
      <c r="O98" t="s">
        <v>426</v>
      </c>
      <c r="P98" t="s">
        <v>426</v>
      </c>
      <c r="Q98" t="s">
        <v>426</v>
      </c>
      <c r="R98" t="s">
        <v>33</v>
      </c>
      <c r="S98" t="s">
        <v>34</v>
      </c>
      <c r="U98" t="s">
        <v>35</v>
      </c>
    </row>
    <row r="99" spans="3:21" x14ac:dyDescent="0.25">
      <c r="C99" t="s">
        <v>19</v>
      </c>
      <c r="D99" t="s">
        <v>20</v>
      </c>
      <c r="E99" t="s">
        <v>278</v>
      </c>
      <c r="F99" t="s">
        <v>431</v>
      </c>
      <c r="G99" t="s">
        <v>432</v>
      </c>
      <c r="H99">
        <v>24012262</v>
      </c>
      <c r="I99" t="s">
        <v>433</v>
      </c>
      <c r="J99" t="s">
        <v>74</v>
      </c>
      <c r="K99" t="s">
        <v>434</v>
      </c>
      <c r="L99" t="s">
        <v>435</v>
      </c>
      <c r="M99" t="s">
        <v>28</v>
      </c>
      <c r="N99" t="s">
        <v>29</v>
      </c>
      <c r="O99" t="s">
        <v>436</v>
      </c>
      <c r="P99" t="s">
        <v>437</v>
      </c>
      <c r="Q99" t="s">
        <v>437</v>
      </c>
      <c r="R99" t="s">
        <v>342</v>
      </c>
      <c r="S99" t="s">
        <v>34</v>
      </c>
      <c r="U99" t="s">
        <v>344</v>
      </c>
    </row>
    <row r="100" spans="3:21" x14ac:dyDescent="0.25">
      <c r="C100" t="s">
        <v>19</v>
      </c>
      <c r="D100" t="s">
        <v>162</v>
      </c>
      <c r="E100" t="s">
        <v>163</v>
      </c>
      <c r="J100" t="s">
        <v>74</v>
      </c>
      <c r="K100" t="s">
        <v>438</v>
      </c>
      <c r="M100" t="s">
        <v>143</v>
      </c>
      <c r="N100" t="s">
        <v>29</v>
      </c>
      <c r="O100" t="s">
        <v>436</v>
      </c>
      <c r="P100" t="s">
        <v>439</v>
      </c>
      <c r="Q100" t="s">
        <v>439</v>
      </c>
      <c r="R100" t="s">
        <v>230</v>
      </c>
      <c r="S100" t="s">
        <v>34</v>
      </c>
      <c r="U100" t="s">
        <v>231</v>
      </c>
    </row>
    <row r="101" spans="3:21" ht="30" x14ac:dyDescent="0.25">
      <c r="C101" t="s">
        <v>19</v>
      </c>
      <c r="D101" t="s">
        <v>54</v>
      </c>
      <c r="E101" t="s">
        <v>55</v>
      </c>
      <c r="F101" t="s">
        <v>440</v>
      </c>
      <c r="G101" t="s">
        <v>57</v>
      </c>
      <c r="H101">
        <v>20000066</v>
      </c>
      <c r="I101" t="s">
        <v>441</v>
      </c>
      <c r="J101" t="s">
        <v>59</v>
      </c>
      <c r="K101" s="2" t="s">
        <v>442</v>
      </c>
      <c r="L101" t="s">
        <v>443</v>
      </c>
      <c r="M101" t="s">
        <v>28</v>
      </c>
      <c r="N101" t="s">
        <v>29</v>
      </c>
      <c r="O101" t="s">
        <v>444</v>
      </c>
      <c r="P101" t="s">
        <v>444</v>
      </c>
      <c r="Q101" t="s">
        <v>444</v>
      </c>
      <c r="R101" t="s">
        <v>52</v>
      </c>
      <c r="S101" t="s">
        <v>34</v>
      </c>
      <c r="U101" t="s">
        <v>53</v>
      </c>
    </row>
    <row r="102" spans="3:21" ht="45" x14ac:dyDescent="0.25">
      <c r="C102" t="s">
        <v>19</v>
      </c>
      <c r="D102" t="s">
        <v>54</v>
      </c>
      <c r="E102" t="s">
        <v>55</v>
      </c>
      <c r="J102" t="s">
        <v>74</v>
      </c>
      <c r="K102" s="2" t="s">
        <v>445</v>
      </c>
      <c r="M102" t="s">
        <v>28</v>
      </c>
      <c r="N102" t="s">
        <v>29</v>
      </c>
      <c r="O102" t="s">
        <v>446</v>
      </c>
      <c r="P102" t="s">
        <v>447</v>
      </c>
      <c r="Q102" t="s">
        <v>447</v>
      </c>
      <c r="R102" t="s">
        <v>52</v>
      </c>
      <c r="S102" t="s">
        <v>34</v>
      </c>
      <c r="U102" t="s">
        <v>53</v>
      </c>
    </row>
    <row r="103" spans="3:21" x14ac:dyDescent="0.25">
      <c r="C103" t="s">
        <v>19</v>
      </c>
      <c r="D103" t="s">
        <v>20</v>
      </c>
      <c r="E103" t="s">
        <v>103</v>
      </c>
      <c r="J103" t="s">
        <v>74</v>
      </c>
      <c r="K103" t="s">
        <v>448</v>
      </c>
      <c r="L103" t="s">
        <v>449</v>
      </c>
      <c r="M103" t="s">
        <v>28</v>
      </c>
      <c r="N103" t="s">
        <v>29</v>
      </c>
      <c r="O103" t="s">
        <v>450</v>
      </c>
      <c r="P103" t="s">
        <v>450</v>
      </c>
      <c r="Q103" t="s">
        <v>450</v>
      </c>
      <c r="R103" t="s">
        <v>230</v>
      </c>
      <c r="S103" t="s">
        <v>34</v>
      </c>
      <c r="U103" t="s">
        <v>451</v>
      </c>
    </row>
    <row r="104" spans="3:21" x14ac:dyDescent="0.25">
      <c r="C104" t="s">
        <v>19</v>
      </c>
      <c r="D104" t="s">
        <v>43</v>
      </c>
      <c r="E104" t="s">
        <v>44</v>
      </c>
      <c r="F104" t="s">
        <v>452</v>
      </c>
      <c r="G104" t="s">
        <v>453</v>
      </c>
      <c r="I104" t="s">
        <v>454</v>
      </c>
      <c r="J104" t="s">
        <v>74</v>
      </c>
      <c r="M104" t="s">
        <v>82</v>
      </c>
      <c r="N104" t="s">
        <v>29</v>
      </c>
      <c r="O104" t="s">
        <v>455</v>
      </c>
      <c r="P104" t="s">
        <v>446</v>
      </c>
      <c r="Q104" t="s">
        <v>456</v>
      </c>
      <c r="R104" t="s">
        <v>52</v>
      </c>
      <c r="S104" t="s">
        <v>34</v>
      </c>
      <c r="U104" t="s">
        <v>53</v>
      </c>
    </row>
    <row r="105" spans="3:21" x14ac:dyDescent="0.25">
      <c r="C105" t="s">
        <v>227</v>
      </c>
      <c r="D105" t="s">
        <v>457</v>
      </c>
      <c r="E105" t="s">
        <v>458</v>
      </c>
      <c r="J105" t="s">
        <v>287</v>
      </c>
      <c r="K105" t="s">
        <v>459</v>
      </c>
      <c r="M105" t="s">
        <v>28</v>
      </c>
      <c r="N105" t="s">
        <v>29</v>
      </c>
      <c r="O105" t="s">
        <v>456</v>
      </c>
      <c r="P105" t="s">
        <v>416</v>
      </c>
      <c r="Q105" t="s">
        <v>416</v>
      </c>
      <c r="R105" t="s">
        <v>230</v>
      </c>
      <c r="S105" t="s">
        <v>34</v>
      </c>
      <c r="U105" t="s">
        <v>460</v>
      </c>
    </row>
    <row r="106" spans="3:21" x14ac:dyDescent="0.25">
      <c r="C106" t="s">
        <v>227</v>
      </c>
      <c r="D106" t="s">
        <v>457</v>
      </c>
      <c r="E106" t="s">
        <v>458</v>
      </c>
      <c r="J106" t="s">
        <v>287</v>
      </c>
      <c r="K106" t="s">
        <v>461</v>
      </c>
      <c r="L106" t="s">
        <v>462</v>
      </c>
      <c r="M106" t="s">
        <v>28</v>
      </c>
      <c r="N106" t="s">
        <v>29</v>
      </c>
      <c r="O106" t="s">
        <v>455</v>
      </c>
      <c r="P106" t="s">
        <v>447</v>
      </c>
      <c r="Q106" t="s">
        <v>447</v>
      </c>
      <c r="R106" t="s">
        <v>230</v>
      </c>
      <c r="S106" t="s">
        <v>34</v>
      </c>
      <c r="T106" t="s">
        <v>463</v>
      </c>
      <c r="U106" t="s">
        <v>460</v>
      </c>
    </row>
    <row r="107" spans="3:21" x14ac:dyDescent="0.25">
      <c r="C107" t="s">
        <v>19</v>
      </c>
      <c r="D107" t="s">
        <v>327</v>
      </c>
      <c r="E107" t="s">
        <v>464</v>
      </c>
      <c r="J107" t="s">
        <v>25</v>
      </c>
      <c r="K107" t="s">
        <v>465</v>
      </c>
      <c r="L107" t="s">
        <v>466</v>
      </c>
      <c r="M107" t="s">
        <v>28</v>
      </c>
      <c r="N107" t="s">
        <v>29</v>
      </c>
      <c r="O107" t="s">
        <v>456</v>
      </c>
      <c r="P107" t="s">
        <v>467</v>
      </c>
      <c r="Q107" t="s">
        <v>468</v>
      </c>
      <c r="R107" t="s">
        <v>230</v>
      </c>
      <c r="S107" t="s">
        <v>34</v>
      </c>
      <c r="U107" t="s">
        <v>469</v>
      </c>
    </row>
    <row r="108" spans="3:21" x14ac:dyDescent="0.25">
      <c r="C108" t="s">
        <v>19</v>
      </c>
      <c r="D108" t="s">
        <v>20</v>
      </c>
      <c r="E108" t="s">
        <v>103</v>
      </c>
      <c r="F108" t="s">
        <v>470</v>
      </c>
      <c r="G108" t="s">
        <v>471</v>
      </c>
      <c r="H108">
        <v>24011742</v>
      </c>
      <c r="I108" t="s">
        <v>472</v>
      </c>
      <c r="J108" t="s">
        <v>74</v>
      </c>
      <c r="M108" t="s">
        <v>28</v>
      </c>
      <c r="N108" t="s">
        <v>29</v>
      </c>
      <c r="O108" t="s">
        <v>455</v>
      </c>
      <c r="P108" t="s">
        <v>446</v>
      </c>
      <c r="R108" t="s">
        <v>253</v>
      </c>
      <c r="S108" t="s">
        <v>34</v>
      </c>
      <c r="U108" t="s">
        <v>473</v>
      </c>
    </row>
    <row r="109" spans="3:21" x14ac:dyDescent="0.25">
      <c r="C109" t="s">
        <v>19</v>
      </c>
      <c r="D109" t="s">
        <v>20</v>
      </c>
      <c r="E109" t="s">
        <v>21</v>
      </c>
      <c r="F109" t="s">
        <v>22</v>
      </c>
      <c r="J109" t="s">
        <v>74</v>
      </c>
      <c r="K109" t="s">
        <v>474</v>
      </c>
      <c r="L109" t="s">
        <v>475</v>
      </c>
      <c r="M109" t="s">
        <v>28</v>
      </c>
      <c r="N109" t="s">
        <v>29</v>
      </c>
      <c r="O109" t="s">
        <v>455</v>
      </c>
      <c r="P109" t="s">
        <v>416</v>
      </c>
      <c r="Q109" t="s">
        <v>409</v>
      </c>
      <c r="R109" t="s">
        <v>33</v>
      </c>
      <c r="S109" t="s">
        <v>34</v>
      </c>
      <c r="U109" t="s">
        <v>35</v>
      </c>
    </row>
    <row r="110" spans="3:21" x14ac:dyDescent="0.25">
      <c r="C110" t="s">
        <v>19</v>
      </c>
      <c r="D110" t="s">
        <v>43</v>
      </c>
      <c r="E110" t="s">
        <v>44</v>
      </c>
      <c r="J110" t="s">
        <v>74</v>
      </c>
      <c r="M110" t="s">
        <v>82</v>
      </c>
      <c r="N110" t="s">
        <v>29</v>
      </c>
      <c r="O110" t="s">
        <v>476</v>
      </c>
      <c r="P110" t="s">
        <v>476</v>
      </c>
      <c r="Q110" t="s">
        <v>476</v>
      </c>
      <c r="R110" t="s">
        <v>477</v>
      </c>
      <c r="S110" t="s">
        <v>34</v>
      </c>
      <c r="U110" t="s">
        <v>478</v>
      </c>
    </row>
    <row r="111" spans="3:21" x14ac:dyDescent="0.25">
      <c r="C111" t="s">
        <v>19</v>
      </c>
      <c r="D111" t="s">
        <v>20</v>
      </c>
      <c r="E111" t="s">
        <v>21</v>
      </c>
      <c r="F111" t="s">
        <v>22</v>
      </c>
      <c r="G111" t="s">
        <v>479</v>
      </c>
      <c r="I111" t="s">
        <v>24</v>
      </c>
      <c r="J111" t="s">
        <v>48</v>
      </c>
      <c r="M111" t="s">
        <v>82</v>
      </c>
      <c r="N111" t="s">
        <v>29</v>
      </c>
      <c r="O111" t="s">
        <v>476</v>
      </c>
      <c r="P111" t="s">
        <v>476</v>
      </c>
      <c r="Q111" t="s">
        <v>476</v>
      </c>
      <c r="R111" t="s">
        <v>33</v>
      </c>
      <c r="S111" t="s">
        <v>34</v>
      </c>
      <c r="U111" t="s">
        <v>35</v>
      </c>
    </row>
    <row r="112" spans="3:21" x14ac:dyDescent="0.25">
      <c r="C112" t="s">
        <v>19</v>
      </c>
      <c r="D112" t="s">
        <v>43</v>
      </c>
      <c r="E112" t="s">
        <v>44</v>
      </c>
      <c r="F112" t="s">
        <v>45</v>
      </c>
      <c r="G112" t="s">
        <v>46</v>
      </c>
      <c r="J112" t="s">
        <v>265</v>
      </c>
      <c r="M112" t="s">
        <v>28</v>
      </c>
      <c r="N112" t="s">
        <v>29</v>
      </c>
      <c r="O112" t="s">
        <v>480</v>
      </c>
      <c r="P112" t="s">
        <v>480</v>
      </c>
      <c r="Q112" t="s">
        <v>480</v>
      </c>
      <c r="R112" t="s">
        <v>52</v>
      </c>
      <c r="S112" t="s">
        <v>34</v>
      </c>
      <c r="U112" t="s">
        <v>53</v>
      </c>
    </row>
  </sheetData>
  <dataConsolidate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"/>
  <sheetViews>
    <sheetView tabSelected="1" view="pageBreakPreview" zoomScale="60" zoomScaleNormal="70" workbookViewId="0">
      <selection activeCell="H17" sqref="H17"/>
    </sheetView>
  </sheetViews>
  <sheetFormatPr defaultRowHeight="15" x14ac:dyDescent="0.25"/>
  <cols>
    <col min="2" max="8" width="9.140625" customWidth="1"/>
    <col min="10" max="12" width="9.140625" customWidth="1"/>
    <col min="27" max="27" width="9.85546875" customWidth="1"/>
    <col min="28" max="31" width="17.5703125" bestFit="1" customWidth="1"/>
    <col min="32" max="32" width="12" bestFit="1" customWidth="1"/>
  </cols>
  <sheetData>
    <row r="1" spans="1:31" ht="18.75" x14ac:dyDescent="0.3">
      <c r="A1" s="16" t="s">
        <v>525</v>
      </c>
      <c r="B1" s="16"/>
      <c r="C1" s="16"/>
      <c r="D1" s="16"/>
    </row>
    <row r="2" spans="1:31" x14ac:dyDescent="0.25">
      <c r="A2" t="s">
        <v>521</v>
      </c>
    </row>
    <row r="3" spans="1:31" x14ac:dyDescent="0.25">
      <c r="A3" t="s">
        <v>522</v>
      </c>
    </row>
    <row r="4" spans="1:31" ht="5.25" customHeight="1" x14ac:dyDescent="0.25"/>
    <row r="5" spans="1:31" ht="5.25" customHeight="1" x14ac:dyDescent="0.25"/>
    <row r="6" spans="1:31" x14ac:dyDescent="0.25">
      <c r="I6" s="2"/>
      <c r="N6" s="2"/>
      <c r="O6" s="2"/>
      <c r="AB6" t="s">
        <v>493</v>
      </c>
      <c r="AC6" t="s">
        <v>494</v>
      </c>
      <c r="AD6" t="s">
        <v>495</v>
      </c>
      <c r="AE6" t="s">
        <v>496</v>
      </c>
    </row>
    <row r="7" spans="1:31" x14ac:dyDescent="0.25">
      <c r="Y7" t="s">
        <v>481</v>
      </c>
      <c r="Z7">
        <f>Лист1!AD2</f>
        <v>35</v>
      </c>
      <c r="AB7">
        <f>Лист1!AG7</f>
        <v>0</v>
      </c>
      <c r="AC7">
        <f>Лист1!AJ7</f>
        <v>3</v>
      </c>
      <c r="AD7">
        <f>Лист1!AT7</f>
        <v>23</v>
      </c>
      <c r="AE7">
        <f>Лист1!AY7</f>
        <v>9</v>
      </c>
    </row>
    <row r="8" spans="1:31" x14ac:dyDescent="0.25">
      <c r="Y8" s="6" t="s">
        <v>482</v>
      </c>
      <c r="Z8">
        <f>Лист1!AE2</f>
        <v>1</v>
      </c>
      <c r="AB8">
        <f>Лист1!AG8</f>
        <v>0</v>
      </c>
      <c r="AC8">
        <f>Лист1!AJ8</f>
        <v>0</v>
      </c>
      <c r="AD8">
        <f>Лист1!AT8</f>
        <v>0</v>
      </c>
      <c r="AE8">
        <f>Лист1!AY8</f>
        <v>0</v>
      </c>
    </row>
    <row r="9" spans="1:31" x14ac:dyDescent="0.25">
      <c r="Y9" s="6" t="s">
        <v>483</v>
      </c>
      <c r="Z9">
        <f>Лист1!AF2</f>
        <v>4</v>
      </c>
      <c r="AB9">
        <f>Лист1!AG9</f>
        <v>0</v>
      </c>
      <c r="AC9">
        <f>Лист1!AJ9</f>
        <v>1</v>
      </c>
      <c r="AD9">
        <f>Лист1!AT9</f>
        <v>0</v>
      </c>
      <c r="AE9">
        <f>Лист1!AY9</f>
        <v>3</v>
      </c>
    </row>
    <row r="10" spans="1:31" x14ac:dyDescent="0.25">
      <c r="Y10" s="6" t="s">
        <v>484</v>
      </c>
      <c r="Z10">
        <f>Лист1!AL2</f>
        <v>60</v>
      </c>
      <c r="AB10">
        <f>Лист1!AG15</f>
        <v>9</v>
      </c>
      <c r="AC10">
        <f>Лист1!AJ15</f>
        <v>8</v>
      </c>
      <c r="AD10">
        <f>Лист1!AT15</f>
        <v>8</v>
      </c>
      <c r="AE10">
        <f>Лист1!AY15</f>
        <v>34</v>
      </c>
    </row>
    <row r="11" spans="1:31" x14ac:dyDescent="0.25">
      <c r="Y11" t="s">
        <v>485</v>
      </c>
      <c r="Z11">
        <f>Лист1!AM2</f>
        <v>1</v>
      </c>
      <c r="AB11">
        <f>Лист1!AG16</f>
        <v>0</v>
      </c>
      <c r="AC11">
        <f>Лист1!AJ16</f>
        <v>0</v>
      </c>
      <c r="AD11">
        <f>Лист1!AT16</f>
        <v>0</v>
      </c>
      <c r="AE11">
        <f>Лист1!AY16</f>
        <v>1</v>
      </c>
    </row>
    <row r="12" spans="1:31" x14ac:dyDescent="0.25">
      <c r="Y12" s="6" t="s">
        <v>486</v>
      </c>
      <c r="Z12">
        <f>Лист1!AN2</f>
        <v>8</v>
      </c>
      <c r="AB12">
        <f>Лист1!AG17</f>
        <v>0</v>
      </c>
      <c r="AC12">
        <f>Лист1!AJ17</f>
        <v>1</v>
      </c>
      <c r="AD12">
        <f>Лист1!AT17</f>
        <v>7</v>
      </c>
      <c r="AE12">
        <f>Лист1!AY17</f>
        <v>0</v>
      </c>
    </row>
    <row r="13" spans="1:31" x14ac:dyDescent="0.25">
      <c r="Y13" s="6" t="s">
        <v>492</v>
      </c>
      <c r="Z13">
        <f>Лист1!AO2</f>
        <v>2</v>
      </c>
      <c r="AB13">
        <f>Лист1!AG18</f>
        <v>0</v>
      </c>
      <c r="AC13">
        <f>Лист1!AJ18</f>
        <v>2</v>
      </c>
      <c r="AD13">
        <f>Лист1!AT18</f>
        <v>0</v>
      </c>
      <c r="AE13">
        <f>Лист1!AY18</f>
        <v>0</v>
      </c>
    </row>
    <row r="14" spans="1:31" x14ac:dyDescent="0.25">
      <c r="Y14" s="6" t="s">
        <v>518</v>
      </c>
      <c r="Z14">
        <f>SUM(Z7:Z13)</f>
        <v>111</v>
      </c>
      <c r="AB14">
        <f t="shared" ref="AB14:AE14" si="0">SUM(AB7:AB13)</f>
        <v>9</v>
      </c>
      <c r="AC14">
        <f t="shared" si="0"/>
        <v>15</v>
      </c>
      <c r="AD14">
        <f t="shared" si="0"/>
        <v>38</v>
      </c>
      <c r="AE14">
        <f t="shared" si="0"/>
        <v>47</v>
      </c>
    </row>
    <row r="16" spans="1:31" x14ac:dyDescent="0.25">
      <c r="Y16" t="s">
        <v>518</v>
      </c>
      <c r="Z16">
        <f>Лист1!AP2</f>
        <v>111</v>
      </c>
    </row>
    <row r="17" spans="1:32" x14ac:dyDescent="0.25">
      <c r="Y17" t="s">
        <v>519</v>
      </c>
      <c r="Z17">
        <f>Лист1!AQ2</f>
        <v>1</v>
      </c>
    </row>
    <row r="20" spans="1:32" x14ac:dyDescent="0.25">
      <c r="AB20" t="s">
        <v>493</v>
      </c>
      <c r="AC20" t="s">
        <v>494</v>
      </c>
      <c r="AD20" t="s">
        <v>495</v>
      </c>
      <c r="AE20" t="s">
        <v>496</v>
      </c>
    </row>
    <row r="21" spans="1:32" x14ac:dyDescent="0.25">
      <c r="Y21" t="s">
        <v>518</v>
      </c>
      <c r="AB21">
        <f>AB14</f>
        <v>9</v>
      </c>
      <c r="AC21">
        <f t="shared" ref="AC21:AE21" si="1">AC14</f>
        <v>15</v>
      </c>
      <c r="AD21">
        <f t="shared" si="1"/>
        <v>38</v>
      </c>
      <c r="AE21">
        <f t="shared" si="1"/>
        <v>47</v>
      </c>
    </row>
    <row r="22" spans="1:32" x14ac:dyDescent="0.25">
      <c r="A22" s="15" t="s">
        <v>520</v>
      </c>
      <c r="B22" s="15"/>
      <c r="C22" s="15"/>
      <c r="D22" s="15"/>
      <c r="E22" s="15"/>
      <c r="F22" s="15"/>
      <c r="G22" s="15"/>
      <c r="H22" s="15"/>
      <c r="I22" s="15"/>
      <c r="K22" s="15" t="s">
        <v>520</v>
      </c>
      <c r="L22" s="15"/>
      <c r="M22" s="15"/>
      <c r="N22" s="15"/>
      <c r="O22" s="15"/>
      <c r="P22" s="15"/>
      <c r="Q22" s="15"/>
      <c r="R22" s="15"/>
      <c r="S22" s="15"/>
      <c r="Y22" t="s">
        <v>34</v>
      </c>
      <c r="AB22">
        <f>Лист1!AG20</f>
        <v>3</v>
      </c>
      <c r="AC22">
        <f>Лист1!AJ20</f>
        <v>15</v>
      </c>
      <c r="AD22">
        <f>Лист1!AT20</f>
        <v>36</v>
      </c>
      <c r="AE22">
        <f>Лист1!AY20</f>
        <v>47</v>
      </c>
    </row>
    <row r="23" spans="1:32" x14ac:dyDescent="0.25">
      <c r="A23" s="17"/>
      <c r="B23" s="18"/>
      <c r="C23" s="18"/>
      <c r="D23" s="18"/>
      <c r="E23" s="18"/>
      <c r="F23" s="18"/>
      <c r="G23" s="18"/>
      <c r="H23" s="18"/>
      <c r="I23" s="19"/>
      <c r="K23" s="17"/>
      <c r="L23" s="18"/>
      <c r="M23" s="18"/>
      <c r="N23" s="18"/>
      <c r="O23" s="18"/>
      <c r="P23" s="18"/>
      <c r="Q23" s="18"/>
      <c r="R23" s="18"/>
      <c r="S23" s="19"/>
      <c r="Y23" t="s">
        <v>343</v>
      </c>
      <c r="AB23">
        <f>Лист1!AG21</f>
        <v>0</v>
      </c>
      <c r="AC23">
        <f>Лист1!AJ21</f>
        <v>0</v>
      </c>
      <c r="AD23">
        <f>Лист1!AT21</f>
        <v>2</v>
      </c>
      <c r="AE23">
        <f>Лист1!AY21</f>
        <v>0</v>
      </c>
    </row>
    <row r="24" spans="1:32" x14ac:dyDescent="0.25">
      <c r="A24" s="17"/>
      <c r="B24" s="18"/>
      <c r="C24" s="18"/>
      <c r="D24" s="18"/>
      <c r="E24" s="18"/>
      <c r="F24" s="18"/>
      <c r="G24" s="18"/>
      <c r="H24" s="18"/>
      <c r="I24" s="19"/>
      <c r="K24" s="17"/>
      <c r="L24" s="18"/>
      <c r="M24" s="18"/>
      <c r="N24" s="18"/>
      <c r="O24" s="18"/>
      <c r="P24" s="18"/>
      <c r="Q24" s="18"/>
      <c r="R24" s="18"/>
      <c r="S24" s="19"/>
    </row>
    <row r="25" spans="1:32" x14ac:dyDescent="0.25">
      <c r="A25" s="17"/>
      <c r="B25" s="18"/>
      <c r="C25" s="18"/>
      <c r="D25" s="18"/>
      <c r="E25" s="18"/>
      <c r="F25" s="18"/>
      <c r="G25" s="18"/>
      <c r="H25" s="18"/>
      <c r="I25" s="19"/>
      <c r="K25" s="17"/>
      <c r="L25" s="18"/>
      <c r="M25" s="18"/>
      <c r="N25" s="18"/>
      <c r="O25" s="18"/>
      <c r="P25" s="18"/>
      <c r="Q25" s="18"/>
      <c r="R25" s="18"/>
      <c r="S25" s="19"/>
      <c r="AB25" t="s">
        <v>493</v>
      </c>
      <c r="AC25" t="s">
        <v>494</v>
      </c>
      <c r="AD25" t="s">
        <v>495</v>
      </c>
      <c r="AE25" t="s">
        <v>496</v>
      </c>
    </row>
    <row r="26" spans="1:32" x14ac:dyDescent="0.25">
      <c r="A26" s="17"/>
      <c r="B26" s="18"/>
      <c r="C26" s="18"/>
      <c r="D26" s="18"/>
      <c r="E26" s="18"/>
      <c r="F26" s="18"/>
      <c r="G26" s="18"/>
      <c r="H26" s="18"/>
      <c r="I26" s="19"/>
      <c r="K26" s="17"/>
      <c r="L26" s="18"/>
      <c r="M26" s="18"/>
      <c r="N26" s="18"/>
      <c r="O26" s="18"/>
      <c r="P26" s="18"/>
      <c r="Q26" s="18"/>
      <c r="R26" s="18"/>
      <c r="S26" s="19"/>
      <c r="Y26" t="s">
        <v>517</v>
      </c>
      <c r="AB26">
        <f>Лист1!AG22</f>
        <v>0</v>
      </c>
      <c r="AC26">
        <f>Лист1!AJ22</f>
        <v>0</v>
      </c>
      <c r="AD26">
        <f>Лист1!AT22</f>
        <v>2</v>
      </c>
      <c r="AE26">
        <f>Лист1!AY22</f>
        <v>0</v>
      </c>
    </row>
    <row r="27" spans="1:32" x14ac:dyDescent="0.25">
      <c r="A27" s="17"/>
      <c r="B27" s="18"/>
      <c r="C27" s="18"/>
      <c r="D27" s="18"/>
      <c r="E27" s="18"/>
      <c r="F27" s="18"/>
      <c r="G27" s="18"/>
      <c r="H27" s="18"/>
      <c r="I27" s="19"/>
      <c r="K27" s="17"/>
      <c r="L27" s="18"/>
      <c r="M27" s="18"/>
      <c r="N27" s="18"/>
      <c r="O27" s="18"/>
      <c r="P27" s="18"/>
      <c r="Q27" s="18"/>
      <c r="R27" s="18"/>
      <c r="S27" s="19"/>
    </row>
    <row r="28" spans="1:32" x14ac:dyDescent="0.25">
      <c r="U28" s="9"/>
      <c r="V28" s="9"/>
      <c r="W28" s="9"/>
      <c r="X28" s="9"/>
    </row>
    <row r="29" spans="1:32" x14ac:dyDescent="0.25">
      <c r="U29" s="9"/>
      <c r="V29" s="9"/>
      <c r="W29" s="9"/>
      <c r="X29" s="9"/>
      <c r="Z29" t="s">
        <v>523</v>
      </c>
      <c r="AA29" s="14" t="s">
        <v>524</v>
      </c>
      <c r="AF29" s="10"/>
    </row>
    <row r="30" spans="1:32" x14ac:dyDescent="0.25">
      <c r="Y30" t="s">
        <v>481</v>
      </c>
      <c r="Z30">
        <v>2</v>
      </c>
      <c r="AA30">
        <v>1</v>
      </c>
    </row>
    <row r="31" spans="1:32" x14ac:dyDescent="0.25">
      <c r="Y31" s="6" t="s">
        <v>482</v>
      </c>
      <c r="Z31">
        <v>2</v>
      </c>
      <c r="AA31">
        <v>1</v>
      </c>
    </row>
    <row r="32" spans="1:32" x14ac:dyDescent="0.25">
      <c r="Y32" s="6" t="s">
        <v>483</v>
      </c>
      <c r="Z32">
        <v>2</v>
      </c>
      <c r="AA32">
        <v>1</v>
      </c>
    </row>
    <row r="33" spans="1:27" x14ac:dyDescent="0.25">
      <c r="Y33" s="6" t="s">
        <v>484</v>
      </c>
      <c r="Z33">
        <v>2</v>
      </c>
      <c r="AA33">
        <v>1</v>
      </c>
    </row>
    <row r="34" spans="1:27" x14ac:dyDescent="0.25">
      <c r="Y34" t="s">
        <v>485</v>
      </c>
      <c r="Z34">
        <v>2</v>
      </c>
      <c r="AA34">
        <v>1</v>
      </c>
    </row>
    <row r="35" spans="1:27" x14ac:dyDescent="0.25">
      <c r="Y35" s="6" t="s">
        <v>486</v>
      </c>
      <c r="Z35">
        <v>2</v>
      </c>
      <c r="AA35">
        <v>1</v>
      </c>
    </row>
    <row r="36" spans="1:27" x14ac:dyDescent="0.25">
      <c r="Y36" s="6" t="s">
        <v>492</v>
      </c>
      <c r="Z36">
        <v>2</v>
      </c>
      <c r="AA36">
        <v>1</v>
      </c>
    </row>
    <row r="37" spans="1:27" x14ac:dyDescent="0.25">
      <c r="AA37" s="14"/>
    </row>
    <row r="38" spans="1:27" x14ac:dyDescent="0.25">
      <c r="AA38" s="14"/>
    </row>
    <row r="39" spans="1:27" x14ac:dyDescent="0.25">
      <c r="AA39" s="14"/>
    </row>
    <row r="40" spans="1:27" x14ac:dyDescent="0.25">
      <c r="AA40" s="14"/>
    </row>
    <row r="45" spans="1:27" x14ac:dyDescent="0.25">
      <c r="A45" s="15" t="s">
        <v>520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2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27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27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68" spans="1:19" x14ac:dyDescent="0.25">
      <c r="A68" s="15" t="s">
        <v>520</v>
      </c>
      <c r="B68" s="15"/>
      <c r="C68" s="15"/>
      <c r="D68" s="15"/>
      <c r="E68" s="15"/>
      <c r="F68" s="15"/>
      <c r="G68" s="15"/>
      <c r="H68" s="15"/>
      <c r="I68" s="15"/>
      <c r="K68" s="15" t="s">
        <v>520</v>
      </c>
      <c r="L68" s="15"/>
      <c r="M68" s="15"/>
      <c r="N68" s="15"/>
      <c r="O68" s="15"/>
      <c r="P68" s="15"/>
      <c r="Q68" s="15"/>
      <c r="R68" s="15"/>
      <c r="S68" s="15"/>
    </row>
    <row r="69" spans="1:19" x14ac:dyDescent="0.25">
      <c r="A69" s="17"/>
      <c r="B69" s="18"/>
      <c r="C69" s="18"/>
      <c r="D69" s="18"/>
      <c r="E69" s="18"/>
      <c r="F69" s="18"/>
      <c r="G69" s="18"/>
      <c r="H69" s="18"/>
      <c r="I69" s="19"/>
      <c r="K69" s="17"/>
      <c r="L69" s="18"/>
      <c r="M69" s="18"/>
      <c r="N69" s="18"/>
      <c r="O69" s="18"/>
      <c r="P69" s="18"/>
      <c r="Q69" s="18"/>
      <c r="R69" s="18"/>
      <c r="S69" s="19"/>
    </row>
    <row r="70" spans="1:19" x14ac:dyDescent="0.25">
      <c r="A70" s="17"/>
      <c r="B70" s="18"/>
      <c r="C70" s="18"/>
      <c r="D70" s="18"/>
      <c r="E70" s="18"/>
      <c r="F70" s="18"/>
      <c r="G70" s="18"/>
      <c r="H70" s="18"/>
      <c r="I70" s="19"/>
      <c r="K70" s="17"/>
      <c r="L70" s="18"/>
      <c r="M70" s="18"/>
      <c r="N70" s="18"/>
      <c r="O70" s="18"/>
      <c r="P70" s="18"/>
      <c r="Q70" s="18"/>
      <c r="R70" s="18"/>
      <c r="S70" s="19"/>
    </row>
    <row r="71" spans="1:19" x14ac:dyDescent="0.25">
      <c r="A71" s="17"/>
      <c r="B71" s="18"/>
      <c r="C71" s="18"/>
      <c r="D71" s="18"/>
      <c r="E71" s="18"/>
      <c r="F71" s="18"/>
      <c r="G71" s="18"/>
      <c r="H71" s="18"/>
      <c r="I71" s="19"/>
      <c r="K71" s="17"/>
      <c r="L71" s="18"/>
      <c r="M71" s="18"/>
      <c r="N71" s="18"/>
      <c r="O71" s="18"/>
      <c r="P71" s="18"/>
      <c r="Q71" s="18"/>
      <c r="R71" s="18"/>
      <c r="S71" s="19"/>
    </row>
    <row r="72" spans="1:19" x14ac:dyDescent="0.25">
      <c r="A72" s="17"/>
      <c r="B72" s="18"/>
      <c r="C72" s="18"/>
      <c r="D72" s="18"/>
      <c r="E72" s="18"/>
      <c r="F72" s="18"/>
      <c r="G72" s="18"/>
      <c r="H72" s="18"/>
      <c r="I72" s="19"/>
      <c r="K72" s="17"/>
      <c r="L72" s="18"/>
      <c r="M72" s="18"/>
      <c r="N72" s="18"/>
      <c r="O72" s="18"/>
      <c r="P72" s="18"/>
      <c r="Q72" s="18"/>
      <c r="R72" s="18"/>
      <c r="S72" s="19"/>
    </row>
    <row r="73" spans="1:19" x14ac:dyDescent="0.25">
      <c r="A73" s="17"/>
      <c r="B73" s="18"/>
      <c r="C73" s="18"/>
      <c r="D73" s="18"/>
      <c r="E73" s="18"/>
      <c r="F73" s="18"/>
      <c r="G73" s="18"/>
      <c r="H73" s="18"/>
      <c r="I73" s="19"/>
      <c r="K73" s="17"/>
      <c r="L73" s="18"/>
      <c r="M73" s="18"/>
      <c r="N73" s="18"/>
      <c r="O73" s="18"/>
      <c r="P73" s="18"/>
      <c r="Q73" s="18"/>
      <c r="R73" s="18"/>
      <c r="S73" s="19"/>
    </row>
    <row r="90" spans="1:19" x14ac:dyDescent="0.25">
      <c r="A90" s="15" t="s">
        <v>520</v>
      </c>
      <c r="B90" s="15"/>
      <c r="C90" s="15"/>
      <c r="D90" s="15"/>
      <c r="E90" s="15"/>
      <c r="F90" s="15"/>
      <c r="G90" s="15"/>
      <c r="H90" s="15"/>
      <c r="I90" s="15"/>
      <c r="J90" s="9"/>
      <c r="K90" s="15" t="s">
        <v>520</v>
      </c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9"/>
      <c r="K91" s="15"/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9"/>
      <c r="K92" s="15"/>
      <c r="L92" s="15"/>
      <c r="M92" s="15"/>
      <c r="N92" s="15"/>
      <c r="O92" s="15"/>
      <c r="P92" s="15"/>
      <c r="Q92" s="15"/>
      <c r="R92" s="15"/>
      <c r="S92" s="15"/>
    </row>
    <row r="93" spans="1:19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9"/>
      <c r="K93" s="15"/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9"/>
      <c r="K94" s="15"/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9"/>
      <c r="K95" s="15"/>
      <c r="L95" s="15"/>
      <c r="M95" s="15"/>
      <c r="N95" s="15"/>
      <c r="O95" s="15"/>
      <c r="P95" s="15"/>
      <c r="Q95" s="15"/>
      <c r="R95" s="15"/>
      <c r="S95" s="15"/>
    </row>
  </sheetData>
  <mergeCells count="43">
    <mergeCell ref="A95:I95"/>
    <mergeCell ref="K90:S90"/>
    <mergeCell ref="K91:S91"/>
    <mergeCell ref="K92:S92"/>
    <mergeCell ref="K93:S93"/>
    <mergeCell ref="K94:S94"/>
    <mergeCell ref="K95:S95"/>
    <mergeCell ref="A91:I91"/>
    <mergeCell ref="A92:I92"/>
    <mergeCell ref="A93:I93"/>
    <mergeCell ref="A94:I94"/>
    <mergeCell ref="A72:I72"/>
    <mergeCell ref="K72:S72"/>
    <mergeCell ref="A73:I73"/>
    <mergeCell ref="K73:S73"/>
    <mergeCell ref="A90:I90"/>
    <mergeCell ref="A69:I69"/>
    <mergeCell ref="K69:S69"/>
    <mergeCell ref="A70:I70"/>
    <mergeCell ref="K70:S70"/>
    <mergeCell ref="A71:I71"/>
    <mergeCell ref="K71:S71"/>
    <mergeCell ref="A47:S47"/>
    <mergeCell ref="A48:S48"/>
    <mergeCell ref="A49:S49"/>
    <mergeCell ref="A68:I68"/>
    <mergeCell ref="K68:S68"/>
    <mergeCell ref="A50:S50"/>
    <mergeCell ref="A45:S45"/>
    <mergeCell ref="A46:S46"/>
    <mergeCell ref="A1:D1"/>
    <mergeCell ref="A27:I27"/>
    <mergeCell ref="K23:S23"/>
    <mergeCell ref="K24:S24"/>
    <mergeCell ref="K25:S25"/>
    <mergeCell ref="K26:S26"/>
    <mergeCell ref="K27:S27"/>
    <mergeCell ref="A22:I22"/>
    <mergeCell ref="K22:S22"/>
    <mergeCell ref="A23:I23"/>
    <mergeCell ref="A24:I24"/>
    <mergeCell ref="A25:I25"/>
    <mergeCell ref="A26:I26"/>
  </mergeCells>
  <pageMargins left="0.7" right="0.7" top="0.75" bottom="0.75" header="0.3" footer="0.3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myryzhov</cp:lastModifiedBy>
  <cp:lastPrinted>2015-04-22T12:17:05Z</cp:lastPrinted>
  <dcterms:created xsi:type="dcterms:W3CDTF">2015-04-20T11:09:57Z</dcterms:created>
  <dcterms:modified xsi:type="dcterms:W3CDTF">2015-05-18T07:15:13Z</dcterms:modified>
</cp:coreProperties>
</file>